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hartsheets/sheet1.xml" ContentType="application/vnd.openxmlformats-officedocument.spreadsheetml.chart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G:\Mon disque\Compta\fin de mois\2025\02. Février\"/>
    </mc:Choice>
  </mc:AlternateContent>
  <bookViews>
    <workbookView xWindow="0" yWindow="0" windowWidth="19200" windowHeight="7800" firstSheet="7" activeTab="9"/>
  </bookViews>
  <sheets>
    <sheet name="Parametres" sheetId="1" r:id="rId1"/>
    <sheet name="Bilan" sheetId="2" r:id="rId2"/>
    <sheet name="Budget original" sheetId="3" r:id="rId3"/>
    <sheet name="Réel 2024" sheetId="20" r:id="rId4"/>
    <sheet name="Capex" sheetId="5" r:id="rId5"/>
    <sheet name="Inventaire_Used" sheetId="7" state="hidden" r:id="rId6"/>
    <sheet name="Inventaire_Neuf" sheetId="6" state="hidden" r:id="rId7"/>
    <sheet name="2pager" sheetId="8" r:id="rId8"/>
    <sheet name="Chart1" sheetId="19" r:id="rId9"/>
    <sheet name="Print_Mois" sheetId="9" r:id="rId10"/>
    <sheet name="Démo" sheetId="22" r:id="rId11"/>
    <sheet name="Wholesale" sheetId="21" r:id="rId12"/>
    <sheet name="Vol &amp; Taux MOIS" sheetId="10" r:id="rId13"/>
    <sheet name="Print_AAD" sheetId="12" r:id="rId14"/>
    <sheet name="Mix Produits Volks Mois" sheetId="11" r:id="rId15"/>
    <sheet name="Vol &amp; Taux AAJ" sheetId="13" r:id="rId16"/>
    <sheet name="Mix Produits Volks AAJ" sheetId="14" r:id="rId17"/>
    <sheet name="BV_Data_An_Cour" sheetId="15" r:id="rId18"/>
    <sheet name="Data_Validation" sheetId="16" r:id="rId19"/>
    <sheet name="BV_Data_An_Prec" sheetId="17" r:id="rId20"/>
    <sheet name="Feuil1" sheetId="18" r:id="rId21"/>
  </sheets>
  <definedNames>
    <definedName name="_xlnm._FilterDatabase" localSheetId="17" hidden="1">BV_Data_An_Cour!$A$1:$X$467</definedName>
    <definedName name="_xlnm._FilterDatabase" localSheetId="19" hidden="1">BV_Data_An_Prec!$A$1:$X$1055</definedName>
    <definedName name="_xlnm._FilterDatabase" localSheetId="18" hidden="1">Data_Validation!$A$1:$G$946</definedName>
    <definedName name="_xlnm._FilterDatabase" localSheetId="20" hidden="1">Feuil1!$A$1:$D$1</definedName>
    <definedName name="_xlnm._FilterDatabase" localSheetId="6" hidden="1">Inventaire_Neuf!$A$1:$H$25</definedName>
    <definedName name="_xlnm._FilterDatabase" localSheetId="5" hidden="1">Inventaire_Used!$A$1:$H$75</definedName>
    <definedName name="Ticker" localSheetId="11">#REF!</definedName>
    <definedName name="Ticker">#REF!</definedName>
    <definedName name="_xlnm.Print_Area" localSheetId="13">Print_AAD!$C$1:$S$353,Print_AAD!$V$402:$AO$498</definedName>
    <definedName name="_xlnm.Print_Area" localSheetId="9">Print_Mois!$C$1:$S$353,Print_Mois!$V$402:$AO$498</definedName>
  </definedNames>
  <calcPr calcId="152511"/>
</workbook>
</file>

<file path=xl/calcChain.xml><?xml version="1.0" encoding="utf-8"?>
<calcChain xmlns="http://schemas.openxmlformats.org/spreadsheetml/2006/main">
  <c r="S467" i="15" l="1"/>
  <c r="R467" i="15"/>
  <c r="Q467" i="15"/>
  <c r="P467" i="15" s="1"/>
  <c r="M467" i="15"/>
  <c r="L467" i="15"/>
  <c r="V467" i="15" s="1"/>
  <c r="S466" i="15"/>
  <c r="R466" i="15"/>
  <c r="Q466" i="15"/>
  <c r="P466" i="15" s="1"/>
  <c r="M466" i="15"/>
  <c r="L466" i="15"/>
  <c r="W466" i="15" s="1"/>
  <c r="S465" i="15"/>
  <c r="R465" i="15"/>
  <c r="Q465" i="15"/>
  <c r="P465" i="15" s="1"/>
  <c r="M465" i="15"/>
  <c r="L465" i="15"/>
  <c r="X465" i="15" s="1"/>
  <c r="S464" i="15"/>
  <c r="R464" i="15"/>
  <c r="Q464" i="15"/>
  <c r="O464" i="15" s="1"/>
  <c r="M464" i="15"/>
  <c r="L464" i="15"/>
  <c r="X464" i="15" s="1"/>
  <c r="S463" i="15"/>
  <c r="R463" i="15"/>
  <c r="Q463" i="15"/>
  <c r="N463" i="15" s="1"/>
  <c r="M463" i="15"/>
  <c r="L463" i="15"/>
  <c r="X463" i="15" s="1"/>
  <c r="S462" i="15"/>
  <c r="R462" i="15"/>
  <c r="Q462" i="15"/>
  <c r="O462" i="15" s="1"/>
  <c r="M462" i="15"/>
  <c r="L462" i="15"/>
  <c r="X462" i="15" s="1"/>
  <c r="S461" i="15"/>
  <c r="R461" i="15"/>
  <c r="Q461" i="15"/>
  <c r="P461" i="15" s="1"/>
  <c r="M461" i="15"/>
  <c r="L461" i="15"/>
  <c r="X461" i="15" s="1"/>
  <c r="S460" i="15"/>
  <c r="R460" i="15"/>
  <c r="Q460" i="15"/>
  <c r="O460" i="15" s="1"/>
  <c r="M460" i="15"/>
  <c r="L460" i="15"/>
  <c r="X460" i="15" s="1"/>
  <c r="S459" i="15"/>
  <c r="R459" i="15"/>
  <c r="Q459" i="15"/>
  <c r="P459" i="15" s="1"/>
  <c r="M459" i="15"/>
  <c r="L459" i="15"/>
  <c r="X459" i="15" s="1"/>
  <c r="S458" i="15"/>
  <c r="R458" i="15"/>
  <c r="Q458" i="15"/>
  <c r="P458" i="15" s="1"/>
  <c r="M458" i="15"/>
  <c r="L458" i="15"/>
  <c r="X458" i="15" s="1"/>
  <c r="S457" i="15"/>
  <c r="R457" i="15"/>
  <c r="Q457" i="15"/>
  <c r="O457" i="15" s="1"/>
  <c r="M457" i="15"/>
  <c r="L457" i="15"/>
  <c r="X457" i="15" s="1"/>
  <c r="S456" i="15"/>
  <c r="R456" i="15"/>
  <c r="Q456" i="15"/>
  <c r="P456" i="15" s="1"/>
  <c r="M456" i="15"/>
  <c r="L456" i="15"/>
  <c r="X456" i="15" s="1"/>
  <c r="S455" i="15"/>
  <c r="R455" i="15"/>
  <c r="Q455" i="15"/>
  <c r="P455" i="15" s="1"/>
  <c r="M455" i="15"/>
  <c r="L455" i="15"/>
  <c r="V455" i="15" s="1"/>
  <c r="S454" i="15"/>
  <c r="R454" i="15"/>
  <c r="Q454" i="15"/>
  <c r="P454" i="15" s="1"/>
  <c r="M454" i="15"/>
  <c r="L454" i="15"/>
  <c r="W454" i="15" s="1"/>
  <c r="S453" i="15"/>
  <c r="R453" i="15"/>
  <c r="Q453" i="15"/>
  <c r="P453" i="15" s="1"/>
  <c r="M453" i="15"/>
  <c r="L453" i="15"/>
  <c r="X453" i="15" s="1"/>
  <c r="S452" i="15"/>
  <c r="R452" i="15"/>
  <c r="Q452" i="15"/>
  <c r="P452" i="15" s="1"/>
  <c r="M452" i="15"/>
  <c r="L452" i="15"/>
  <c r="X452" i="15" s="1"/>
  <c r="S451" i="15"/>
  <c r="R451" i="15"/>
  <c r="Q451" i="15"/>
  <c r="N451" i="15" s="1"/>
  <c r="M451" i="15"/>
  <c r="L451" i="15"/>
  <c r="X451" i="15" s="1"/>
  <c r="S450" i="15"/>
  <c r="R450" i="15"/>
  <c r="Q450" i="15"/>
  <c r="O450" i="15" s="1"/>
  <c r="M450" i="15"/>
  <c r="L450" i="15"/>
  <c r="X450" i="15" s="1"/>
  <c r="S449" i="15"/>
  <c r="R449" i="15"/>
  <c r="Q449" i="15"/>
  <c r="P449" i="15" s="1"/>
  <c r="M449" i="15"/>
  <c r="L449" i="15"/>
  <c r="X449" i="15" s="1"/>
  <c r="S448" i="15"/>
  <c r="R448" i="15"/>
  <c r="Q448" i="15"/>
  <c r="O448" i="15" s="1"/>
  <c r="M448" i="15"/>
  <c r="L448" i="15"/>
  <c r="X448" i="15" s="1"/>
  <c r="S447" i="15"/>
  <c r="R447" i="15"/>
  <c r="Q447" i="15"/>
  <c r="P447" i="15" s="1"/>
  <c r="M447" i="15"/>
  <c r="L447" i="15"/>
  <c r="X447" i="15" s="1"/>
  <c r="S446" i="15"/>
  <c r="R446" i="15"/>
  <c r="Q446" i="15"/>
  <c r="P446" i="15" s="1"/>
  <c r="M446" i="15"/>
  <c r="L446" i="15"/>
  <c r="X446" i="15" s="1"/>
  <c r="S445" i="15"/>
  <c r="R445" i="15"/>
  <c r="Q445" i="15"/>
  <c r="O445" i="15" s="1"/>
  <c r="M445" i="15"/>
  <c r="L445" i="15"/>
  <c r="T445" i="15" s="1"/>
  <c r="S444" i="15"/>
  <c r="R444" i="15"/>
  <c r="Q444" i="15"/>
  <c r="P444" i="15" s="1"/>
  <c r="M444" i="15"/>
  <c r="L444" i="15"/>
  <c r="X444" i="15" s="1"/>
  <c r="S443" i="15"/>
  <c r="R443" i="15"/>
  <c r="Q443" i="15"/>
  <c r="P443" i="15" s="1"/>
  <c r="M443" i="15"/>
  <c r="L443" i="15"/>
  <c r="V443" i="15" s="1"/>
  <c r="S442" i="15"/>
  <c r="R442" i="15"/>
  <c r="Q442" i="15"/>
  <c r="P442" i="15" s="1"/>
  <c r="M442" i="15"/>
  <c r="L442" i="15"/>
  <c r="W442" i="15" s="1"/>
  <c r="S441" i="15"/>
  <c r="R441" i="15"/>
  <c r="Q441" i="15"/>
  <c r="N441" i="15" s="1"/>
  <c r="M441" i="15"/>
  <c r="L441" i="15"/>
  <c r="X441" i="15" s="1"/>
  <c r="S440" i="15"/>
  <c r="R440" i="15"/>
  <c r="Q440" i="15"/>
  <c r="P440" i="15" s="1"/>
  <c r="M440" i="15"/>
  <c r="L440" i="15"/>
  <c r="X440" i="15" s="1"/>
  <c r="S439" i="15"/>
  <c r="R439" i="15"/>
  <c r="Q439" i="15"/>
  <c r="N439" i="15" s="1"/>
  <c r="M439" i="15"/>
  <c r="L439" i="15"/>
  <c r="X439" i="15" s="1"/>
  <c r="S438" i="15"/>
  <c r="R438" i="15"/>
  <c r="Q438" i="15"/>
  <c r="O438" i="15" s="1"/>
  <c r="M438" i="15"/>
  <c r="L438" i="15"/>
  <c r="X438" i="15" s="1"/>
  <c r="S437" i="15"/>
  <c r="R437" i="15"/>
  <c r="Q437" i="15"/>
  <c r="P437" i="15" s="1"/>
  <c r="M437" i="15"/>
  <c r="L437" i="15"/>
  <c r="X437" i="15" s="1"/>
  <c r="S436" i="15"/>
  <c r="R436" i="15"/>
  <c r="Q436" i="15"/>
  <c r="O436" i="15" s="1"/>
  <c r="M436" i="15"/>
  <c r="L436" i="15"/>
  <c r="X436" i="15" s="1"/>
  <c r="S435" i="15"/>
  <c r="R435" i="15"/>
  <c r="Q435" i="15"/>
  <c r="P435" i="15" s="1"/>
  <c r="M435" i="15"/>
  <c r="L435" i="15"/>
  <c r="X435" i="15" s="1"/>
  <c r="S434" i="15"/>
  <c r="R434" i="15"/>
  <c r="Q434" i="15"/>
  <c r="P434" i="15" s="1"/>
  <c r="M434" i="15"/>
  <c r="L434" i="15"/>
  <c r="X434" i="15" s="1"/>
  <c r="S433" i="15"/>
  <c r="R433" i="15"/>
  <c r="Q433" i="15"/>
  <c r="O433" i="15" s="1"/>
  <c r="M433" i="15"/>
  <c r="L433" i="15"/>
  <c r="T433" i="15" s="1"/>
  <c r="S432" i="15"/>
  <c r="R432" i="15"/>
  <c r="Q432" i="15"/>
  <c r="P432" i="15" s="1"/>
  <c r="M432" i="15"/>
  <c r="L432" i="15"/>
  <c r="U432" i="15" s="1"/>
  <c r="S431" i="15"/>
  <c r="R431" i="15"/>
  <c r="Q431" i="15"/>
  <c r="P431" i="15" s="1"/>
  <c r="M431" i="15"/>
  <c r="L431" i="15"/>
  <c r="X431" i="15" s="1"/>
  <c r="S430" i="15"/>
  <c r="R430" i="15"/>
  <c r="Q430" i="15"/>
  <c r="P430" i="15" s="1"/>
  <c r="N430" i="15"/>
  <c r="M430" i="15"/>
  <c r="L430" i="15"/>
  <c r="W430" i="15" s="1"/>
  <c r="S429" i="15"/>
  <c r="R429" i="15"/>
  <c r="Q429" i="15"/>
  <c r="P429" i="15" s="1"/>
  <c r="M429" i="15"/>
  <c r="L429" i="15"/>
  <c r="X429" i="15" s="1"/>
  <c r="S428" i="15"/>
  <c r="R428" i="15"/>
  <c r="Q428" i="15"/>
  <c r="P428" i="15" s="1"/>
  <c r="M428" i="15"/>
  <c r="L428" i="15"/>
  <c r="X428" i="15" s="1"/>
  <c r="S427" i="15"/>
  <c r="R427" i="15"/>
  <c r="Q427" i="15"/>
  <c r="N427" i="15" s="1"/>
  <c r="M427" i="15"/>
  <c r="L427" i="15"/>
  <c r="X427" i="15" s="1"/>
  <c r="S426" i="15"/>
  <c r="R426" i="15"/>
  <c r="Q426" i="15"/>
  <c r="O426" i="15" s="1"/>
  <c r="M426" i="15"/>
  <c r="L426" i="15"/>
  <c r="X426" i="15" s="1"/>
  <c r="S425" i="15"/>
  <c r="R425" i="15"/>
  <c r="Q425" i="15"/>
  <c r="P425" i="15" s="1"/>
  <c r="M425" i="15"/>
  <c r="L425" i="15"/>
  <c r="X425" i="15" s="1"/>
  <c r="S424" i="15"/>
  <c r="R424" i="15"/>
  <c r="Q424" i="15"/>
  <c r="O424" i="15" s="1"/>
  <c r="M424" i="15"/>
  <c r="L424" i="15"/>
  <c r="X424" i="15" s="1"/>
  <c r="S423" i="15"/>
  <c r="R423" i="15"/>
  <c r="Q423" i="15"/>
  <c r="P423" i="15" s="1"/>
  <c r="M423" i="15"/>
  <c r="L423" i="15"/>
  <c r="X423" i="15" s="1"/>
  <c r="S422" i="15"/>
  <c r="R422" i="15"/>
  <c r="Q422" i="15"/>
  <c r="P422" i="15" s="1"/>
  <c r="M422" i="15"/>
  <c r="L422" i="15"/>
  <c r="X422" i="15" s="1"/>
  <c r="S421" i="15"/>
  <c r="R421" i="15"/>
  <c r="Q421" i="15"/>
  <c r="O421" i="15" s="1"/>
  <c r="M421" i="15"/>
  <c r="L421" i="15"/>
  <c r="T421" i="15" s="1"/>
  <c r="S420" i="15"/>
  <c r="R420" i="15"/>
  <c r="Q420" i="15"/>
  <c r="P420" i="15" s="1"/>
  <c r="M420" i="15"/>
  <c r="L420" i="15"/>
  <c r="U420" i="15" s="1"/>
  <c r="S419" i="15"/>
  <c r="R419" i="15"/>
  <c r="Q419" i="15"/>
  <c r="P419" i="15" s="1"/>
  <c r="M419" i="15"/>
  <c r="L419" i="15"/>
  <c r="V419" i="15" s="1"/>
  <c r="S418" i="15"/>
  <c r="R418" i="15"/>
  <c r="Q418" i="15"/>
  <c r="P418" i="15" s="1"/>
  <c r="M418" i="15"/>
  <c r="L418" i="15"/>
  <c r="X418" i="15" s="1"/>
  <c r="S417" i="15"/>
  <c r="R417" i="15"/>
  <c r="Q417" i="15"/>
  <c r="N417" i="15" s="1"/>
  <c r="O417" i="15"/>
  <c r="M417" i="15"/>
  <c r="L417" i="15"/>
  <c r="X417" i="15" s="1"/>
  <c r="S416" i="15"/>
  <c r="R416" i="15"/>
  <c r="Q416" i="15"/>
  <c r="P416" i="15" s="1"/>
  <c r="M416" i="15"/>
  <c r="L416" i="15"/>
  <c r="X416" i="15" s="1"/>
  <c r="S415" i="15"/>
  <c r="R415" i="15"/>
  <c r="Q415" i="15"/>
  <c r="N415" i="15" s="1"/>
  <c r="M415" i="15"/>
  <c r="L415" i="15"/>
  <c r="X415" i="15" s="1"/>
  <c r="S414" i="15"/>
  <c r="R414" i="15"/>
  <c r="Q414" i="15"/>
  <c r="O414" i="15" s="1"/>
  <c r="M414" i="15"/>
  <c r="L414" i="15"/>
  <c r="X414" i="15" s="1"/>
  <c r="S413" i="15"/>
  <c r="R413" i="15"/>
  <c r="Q413" i="15"/>
  <c r="P413" i="15" s="1"/>
  <c r="M413" i="15"/>
  <c r="L413" i="15"/>
  <c r="X413" i="15" s="1"/>
  <c r="S412" i="15"/>
  <c r="R412" i="15"/>
  <c r="Q412" i="15"/>
  <c r="O412" i="15" s="1"/>
  <c r="M412" i="15"/>
  <c r="L412" i="15"/>
  <c r="X412" i="15" s="1"/>
  <c r="S411" i="15"/>
  <c r="R411" i="15"/>
  <c r="Q411" i="15"/>
  <c r="P411" i="15" s="1"/>
  <c r="M411" i="15"/>
  <c r="L411" i="15"/>
  <c r="X411" i="15" s="1"/>
  <c r="S410" i="15"/>
  <c r="R410" i="15"/>
  <c r="Q410" i="15"/>
  <c r="P410" i="15" s="1"/>
  <c r="M410" i="15"/>
  <c r="L410" i="15"/>
  <c r="X410" i="15" s="1"/>
  <c r="S409" i="15"/>
  <c r="R409" i="15"/>
  <c r="Q409" i="15"/>
  <c r="O409" i="15" s="1"/>
  <c r="M409" i="15"/>
  <c r="L409" i="15"/>
  <c r="T409" i="15" s="1"/>
  <c r="S408" i="15"/>
  <c r="R408" i="15"/>
  <c r="Q408" i="15"/>
  <c r="P408" i="15" s="1"/>
  <c r="M408" i="15"/>
  <c r="L408" i="15"/>
  <c r="U408" i="15" s="1"/>
  <c r="S407" i="15"/>
  <c r="R407" i="15"/>
  <c r="Q407" i="15"/>
  <c r="P407" i="15" s="1"/>
  <c r="M407" i="15"/>
  <c r="L407" i="15"/>
  <c r="V407" i="15" s="1"/>
  <c r="S406" i="15"/>
  <c r="R406" i="15"/>
  <c r="Q406" i="15"/>
  <c r="P406" i="15" s="1"/>
  <c r="M406" i="15"/>
  <c r="L406" i="15"/>
  <c r="X406" i="15" s="1"/>
  <c r="S405" i="15"/>
  <c r="R405" i="15"/>
  <c r="Q405" i="15"/>
  <c r="O405" i="15" s="1"/>
  <c r="M405" i="15"/>
  <c r="L405" i="15"/>
  <c r="X405" i="15" s="1"/>
  <c r="S404" i="15"/>
  <c r="R404" i="15"/>
  <c r="Q404" i="15"/>
  <c r="N404" i="15" s="1"/>
  <c r="M404" i="15"/>
  <c r="L404" i="15"/>
  <c r="X404" i="15" s="1"/>
  <c r="S403" i="15"/>
  <c r="R403" i="15"/>
  <c r="Q403" i="15"/>
  <c r="N403" i="15" s="1"/>
  <c r="M403" i="15"/>
  <c r="L403" i="15"/>
  <c r="X403" i="15" s="1"/>
  <c r="S402" i="15"/>
  <c r="R402" i="15"/>
  <c r="Q402" i="15"/>
  <c r="O402" i="15" s="1"/>
  <c r="M402" i="15"/>
  <c r="L402" i="15"/>
  <c r="X402" i="15" s="1"/>
  <c r="S401" i="15"/>
  <c r="R401" i="15"/>
  <c r="Q401" i="15"/>
  <c r="P401" i="15" s="1"/>
  <c r="M401" i="15"/>
  <c r="L401" i="15"/>
  <c r="X401" i="15" s="1"/>
  <c r="S400" i="15"/>
  <c r="R400" i="15"/>
  <c r="Q400" i="15"/>
  <c r="O400" i="15" s="1"/>
  <c r="M400" i="15"/>
  <c r="L400" i="15"/>
  <c r="X400" i="15" s="1"/>
  <c r="H37" i="21"/>
  <c r="U435" i="15" l="1"/>
  <c r="O453" i="15"/>
  <c r="P421" i="15"/>
  <c r="O428" i="15"/>
  <c r="W441" i="15"/>
  <c r="T400" i="15"/>
  <c r="N440" i="15"/>
  <c r="N431" i="15"/>
  <c r="V435" i="15"/>
  <c r="N466" i="15"/>
  <c r="T413" i="15"/>
  <c r="N418" i="15"/>
  <c r="P462" i="15"/>
  <c r="P417" i="15"/>
  <c r="N419" i="15"/>
  <c r="N455" i="15"/>
  <c r="V459" i="15"/>
  <c r="P464" i="15"/>
  <c r="N411" i="15"/>
  <c r="O451" i="15"/>
  <c r="V409" i="15"/>
  <c r="N416" i="15"/>
  <c r="O440" i="15"/>
  <c r="U400" i="15"/>
  <c r="O410" i="15"/>
  <c r="P426" i="15"/>
  <c r="O430" i="15"/>
  <c r="W453" i="15"/>
  <c r="P460" i="15"/>
  <c r="P400" i="15"/>
  <c r="O404" i="15"/>
  <c r="N406" i="15"/>
  <c r="V434" i="15"/>
  <c r="U447" i="15"/>
  <c r="W407" i="15"/>
  <c r="T434" i="15"/>
  <c r="P402" i="15"/>
  <c r="P404" i="15"/>
  <c r="U422" i="15"/>
  <c r="T424" i="15"/>
  <c r="N454" i="15"/>
  <c r="V422" i="15"/>
  <c r="U424" i="15"/>
  <c r="O465" i="15"/>
  <c r="N467" i="15"/>
  <c r="P415" i="15"/>
  <c r="O429" i="15"/>
  <c r="P448" i="15"/>
  <c r="T435" i="15"/>
  <c r="N464" i="15"/>
  <c r="T458" i="15"/>
  <c r="V458" i="15"/>
  <c r="W434" i="15"/>
  <c r="V446" i="15"/>
  <c r="U448" i="15"/>
  <c r="U404" i="15"/>
  <c r="W419" i="15"/>
  <c r="V444" i="15"/>
  <c r="O441" i="15"/>
  <c r="V421" i="15"/>
  <c r="N405" i="15"/>
  <c r="U410" i="15"/>
  <c r="W414" i="15"/>
  <c r="O422" i="15"/>
  <c r="T425" i="15"/>
  <c r="V427" i="15"/>
  <c r="U433" i="15"/>
  <c r="P441" i="15"/>
  <c r="N443" i="15"/>
  <c r="P445" i="15"/>
  <c r="T401" i="15"/>
  <c r="V403" i="15"/>
  <c r="P405" i="15"/>
  <c r="N407" i="15"/>
  <c r="P409" i="15"/>
  <c r="V410" i="15"/>
  <c r="P424" i="15"/>
  <c r="T459" i="15"/>
  <c r="O406" i="15"/>
  <c r="U409" i="15"/>
  <c r="W410" i="15"/>
  <c r="P412" i="15"/>
  <c r="O418" i="15"/>
  <c r="U421" i="15"/>
  <c r="W422" i="15"/>
  <c r="N429" i="15"/>
  <c r="V433" i="15"/>
  <c r="P438" i="15"/>
  <c r="W444" i="15"/>
  <c r="T447" i="15"/>
  <c r="W455" i="15"/>
  <c r="U458" i="15"/>
  <c r="T461" i="15"/>
  <c r="N465" i="15"/>
  <c r="W433" i="15"/>
  <c r="W409" i="15"/>
  <c r="P414" i="15"/>
  <c r="V415" i="15"/>
  <c r="W421" i="15"/>
  <c r="T436" i="15"/>
  <c r="V447" i="15"/>
  <c r="P451" i="15"/>
  <c r="O454" i="15"/>
  <c r="U457" i="15"/>
  <c r="W458" i="15"/>
  <c r="V432" i="15"/>
  <c r="U436" i="15"/>
  <c r="T446" i="15"/>
  <c r="V457" i="15"/>
  <c r="V408" i="15"/>
  <c r="T412" i="15"/>
  <c r="V420" i="15"/>
  <c r="N428" i="15"/>
  <c r="W432" i="15"/>
  <c r="O434" i="15"/>
  <c r="U446" i="15"/>
  <c r="T449" i="15"/>
  <c r="N453" i="15"/>
  <c r="W457" i="15"/>
  <c r="W402" i="15"/>
  <c r="W408" i="15"/>
  <c r="U412" i="15"/>
  <c r="W420" i="15"/>
  <c r="W426" i="15"/>
  <c r="W443" i="15"/>
  <c r="T460" i="15"/>
  <c r="O416" i="15"/>
  <c r="T423" i="15"/>
  <c r="T429" i="15"/>
  <c r="O439" i="15"/>
  <c r="N442" i="15"/>
  <c r="W446" i="15"/>
  <c r="V456" i="15"/>
  <c r="U460" i="15"/>
  <c r="T405" i="15"/>
  <c r="T411" i="15"/>
  <c r="T417" i="15"/>
  <c r="U423" i="15"/>
  <c r="W429" i="15"/>
  <c r="P433" i="15"/>
  <c r="P439" i="15"/>
  <c r="O442" i="15"/>
  <c r="U445" i="15"/>
  <c r="P450" i="15"/>
  <c r="W456" i="15"/>
  <c r="O458" i="15"/>
  <c r="W467" i="15"/>
  <c r="U411" i="15"/>
  <c r="V423" i="15"/>
  <c r="O427" i="15"/>
  <c r="V445" i="15"/>
  <c r="N452" i="15"/>
  <c r="O403" i="15"/>
  <c r="W405" i="15"/>
  <c r="W417" i="15"/>
  <c r="P403" i="15"/>
  <c r="T410" i="15"/>
  <c r="V411" i="15"/>
  <c r="O415" i="15"/>
  <c r="T422" i="15"/>
  <c r="P427" i="15"/>
  <c r="W431" i="15"/>
  <c r="U434" i="15"/>
  <c r="T437" i="15"/>
  <c r="W445" i="15"/>
  <c r="T448" i="15"/>
  <c r="O452" i="15"/>
  <c r="U459" i="15"/>
  <c r="O463" i="15"/>
  <c r="O466" i="15"/>
  <c r="P436" i="15"/>
  <c r="P457" i="15"/>
  <c r="P463" i="15"/>
  <c r="X466" i="15"/>
  <c r="X421" i="15"/>
  <c r="X433" i="15"/>
  <c r="V400" i="15"/>
  <c r="U401" i="15"/>
  <c r="T402" i="15"/>
  <c r="O407" i="15"/>
  <c r="N408" i="15"/>
  <c r="W411" i="15"/>
  <c r="V412" i="15"/>
  <c r="U413" i="15"/>
  <c r="T414" i="15"/>
  <c r="O419" i="15"/>
  <c r="N420" i="15"/>
  <c r="W423" i="15"/>
  <c r="V424" i="15"/>
  <c r="U425" i="15"/>
  <c r="T426" i="15"/>
  <c r="O431" i="15"/>
  <c r="N432" i="15"/>
  <c r="W435" i="15"/>
  <c r="V436" i="15"/>
  <c r="U437" i="15"/>
  <c r="T438" i="15"/>
  <c r="O443" i="15"/>
  <c r="N444" i="15"/>
  <c r="W447" i="15"/>
  <c r="V448" i="15"/>
  <c r="U449" i="15"/>
  <c r="T450" i="15"/>
  <c r="O455" i="15"/>
  <c r="N456" i="15"/>
  <c r="W459" i="15"/>
  <c r="V460" i="15"/>
  <c r="U461" i="15"/>
  <c r="T462" i="15"/>
  <c r="O467" i="15"/>
  <c r="X407" i="15"/>
  <c r="X409" i="15"/>
  <c r="W400" i="15"/>
  <c r="V401" i="15"/>
  <c r="U402" i="15"/>
  <c r="T403" i="15"/>
  <c r="O408" i="15"/>
  <c r="N409" i="15"/>
  <c r="W412" i="15"/>
  <c r="V413" i="15"/>
  <c r="U414" i="15"/>
  <c r="T415" i="15"/>
  <c r="O420" i="15"/>
  <c r="N421" i="15"/>
  <c r="W424" i="15"/>
  <c r="V425" i="15"/>
  <c r="U426" i="15"/>
  <c r="T427" i="15"/>
  <c r="O432" i="15"/>
  <c r="N433" i="15"/>
  <c r="W436" i="15"/>
  <c r="V437" i="15"/>
  <c r="U438" i="15"/>
  <c r="T439" i="15"/>
  <c r="O444" i="15"/>
  <c r="N445" i="15"/>
  <c r="W448" i="15"/>
  <c r="V449" i="15"/>
  <c r="U450" i="15"/>
  <c r="T451" i="15"/>
  <c r="O456" i="15"/>
  <c r="N457" i="15"/>
  <c r="W460" i="15"/>
  <c r="V461" i="15"/>
  <c r="U462" i="15"/>
  <c r="T463" i="15"/>
  <c r="X430" i="15"/>
  <c r="X442" i="15"/>
  <c r="X419" i="15"/>
  <c r="X445" i="15"/>
  <c r="W401" i="15"/>
  <c r="V402" i="15"/>
  <c r="U403" i="15"/>
  <c r="T404" i="15"/>
  <c r="N410" i="15"/>
  <c r="W413" i="15"/>
  <c r="V414" i="15"/>
  <c r="U415" i="15"/>
  <c r="T416" i="15"/>
  <c r="N422" i="15"/>
  <c r="W425" i="15"/>
  <c r="V426" i="15"/>
  <c r="U427" i="15"/>
  <c r="T428" i="15"/>
  <c r="N434" i="15"/>
  <c r="W437" i="15"/>
  <c r="V438" i="15"/>
  <c r="U439" i="15"/>
  <c r="T440" i="15"/>
  <c r="N446" i="15"/>
  <c r="W449" i="15"/>
  <c r="V450" i="15"/>
  <c r="U451" i="15"/>
  <c r="T452" i="15"/>
  <c r="N458" i="15"/>
  <c r="W461" i="15"/>
  <c r="V462" i="15"/>
  <c r="U463" i="15"/>
  <c r="T464" i="15"/>
  <c r="X455" i="15"/>
  <c r="U416" i="15"/>
  <c r="U428" i="15"/>
  <c r="N435" i="15"/>
  <c r="W438" i="15"/>
  <c r="V439" i="15"/>
  <c r="U440" i="15"/>
  <c r="T441" i="15"/>
  <c r="O446" i="15"/>
  <c r="N447" i="15"/>
  <c r="W450" i="15"/>
  <c r="V451" i="15"/>
  <c r="U452" i="15"/>
  <c r="T453" i="15"/>
  <c r="N459" i="15"/>
  <c r="W462" i="15"/>
  <c r="V463" i="15"/>
  <c r="U464" i="15"/>
  <c r="T465" i="15"/>
  <c r="X420" i="15"/>
  <c r="N400" i="15"/>
  <c r="W403" i="15"/>
  <c r="V404" i="15"/>
  <c r="U405" i="15"/>
  <c r="T406" i="15"/>
  <c r="O411" i="15"/>
  <c r="N412" i="15"/>
  <c r="W415" i="15"/>
  <c r="V416" i="15"/>
  <c r="U417" i="15"/>
  <c r="T418" i="15"/>
  <c r="O423" i="15"/>
  <c r="N424" i="15"/>
  <c r="W427" i="15"/>
  <c r="V428" i="15"/>
  <c r="U429" i="15"/>
  <c r="T430" i="15"/>
  <c r="O435" i="15"/>
  <c r="N436" i="15"/>
  <c r="W439" i="15"/>
  <c r="V440" i="15"/>
  <c r="U441" i="15"/>
  <c r="T442" i="15"/>
  <c r="O447" i="15"/>
  <c r="N448" i="15"/>
  <c r="W451" i="15"/>
  <c r="V452" i="15"/>
  <c r="U453" i="15"/>
  <c r="T454" i="15"/>
  <c r="O459" i="15"/>
  <c r="N460" i="15"/>
  <c r="W463" i="15"/>
  <c r="V464" i="15"/>
  <c r="U465" i="15"/>
  <c r="T466" i="15"/>
  <c r="X408" i="15"/>
  <c r="N423" i="15"/>
  <c r="N401" i="15"/>
  <c r="W404" i="15"/>
  <c r="V405" i="15"/>
  <c r="U406" i="15"/>
  <c r="T407" i="15"/>
  <c r="N413" i="15"/>
  <c r="W416" i="15"/>
  <c r="V417" i="15"/>
  <c r="U418" i="15"/>
  <c r="T419" i="15"/>
  <c r="N425" i="15"/>
  <c r="W428" i="15"/>
  <c r="V429" i="15"/>
  <c r="U430" i="15"/>
  <c r="T431" i="15"/>
  <c r="N437" i="15"/>
  <c r="W440" i="15"/>
  <c r="V441" i="15"/>
  <c r="U442" i="15"/>
  <c r="T443" i="15"/>
  <c r="N449" i="15"/>
  <c r="W452" i="15"/>
  <c r="V453" i="15"/>
  <c r="U454" i="15"/>
  <c r="T455" i="15"/>
  <c r="N461" i="15"/>
  <c r="W464" i="15"/>
  <c r="V465" i="15"/>
  <c r="U466" i="15"/>
  <c r="T467" i="15"/>
  <c r="X454" i="15"/>
  <c r="X443" i="15"/>
  <c r="X467" i="15"/>
  <c r="X432" i="15"/>
  <c r="O401" i="15"/>
  <c r="N402" i="15"/>
  <c r="V418" i="15"/>
  <c r="U419" i="15"/>
  <c r="T420" i="15"/>
  <c r="O425" i="15"/>
  <c r="N426" i="15"/>
  <c r="V430" i="15"/>
  <c r="U431" i="15"/>
  <c r="O437" i="15"/>
  <c r="V442" i="15"/>
  <c r="U443" i="15"/>
  <c r="O449" i="15"/>
  <c r="N450" i="15"/>
  <c r="V454" i="15"/>
  <c r="U455" i="15"/>
  <c r="T456" i="15"/>
  <c r="O461" i="15"/>
  <c r="N462" i="15"/>
  <c r="W465" i="15"/>
  <c r="V466" i="15"/>
  <c r="U467" i="15"/>
  <c r="V406" i="15"/>
  <c r="U407" i="15"/>
  <c r="T408" i="15"/>
  <c r="O413" i="15"/>
  <c r="N414" i="15"/>
  <c r="T432" i="15"/>
  <c r="N438" i="15"/>
  <c r="T444" i="15"/>
  <c r="W406" i="15"/>
  <c r="W418" i="15"/>
  <c r="V431" i="15"/>
  <c r="U444" i="15"/>
  <c r="U456" i="15"/>
  <c r="T457" i="15"/>
  <c r="S399" i="15"/>
  <c r="R399" i="15"/>
  <c r="Q399" i="15"/>
  <c r="P399" i="15" s="1"/>
  <c r="M399" i="15"/>
  <c r="L399" i="15"/>
  <c r="X399" i="15" s="1"/>
  <c r="S398" i="15"/>
  <c r="R398" i="15"/>
  <c r="Q398" i="15"/>
  <c r="N398" i="15" s="1"/>
  <c r="M398" i="15"/>
  <c r="L398" i="15"/>
  <c r="X398" i="15" s="1"/>
  <c r="S397" i="15"/>
  <c r="R397" i="15"/>
  <c r="Q397" i="15"/>
  <c r="O397" i="15" s="1"/>
  <c r="M397" i="15"/>
  <c r="L397" i="15"/>
  <c r="X397" i="15" s="1"/>
  <c r="S396" i="15"/>
  <c r="R396" i="15"/>
  <c r="Q396" i="15"/>
  <c r="P396" i="15" s="1"/>
  <c r="M396" i="15"/>
  <c r="L396" i="15"/>
  <c r="X396" i="15" s="1"/>
  <c r="S395" i="15"/>
  <c r="R395" i="15"/>
  <c r="Q395" i="15"/>
  <c r="N395" i="15" s="1"/>
  <c r="M395" i="15"/>
  <c r="L395" i="15"/>
  <c r="X395" i="15" s="1"/>
  <c r="S394" i="15"/>
  <c r="R394" i="15"/>
  <c r="Q394" i="15"/>
  <c r="O394" i="15" s="1"/>
  <c r="M394" i="15"/>
  <c r="L394" i="15"/>
  <c r="X394" i="15" s="1"/>
  <c r="S393" i="15"/>
  <c r="R393" i="15"/>
  <c r="Q393" i="15"/>
  <c r="P393" i="15" s="1"/>
  <c r="M393" i="15"/>
  <c r="L393" i="15"/>
  <c r="X393" i="15" s="1"/>
  <c r="S392" i="15"/>
  <c r="R392" i="15"/>
  <c r="Q392" i="15"/>
  <c r="O392" i="15" s="1"/>
  <c r="M392" i="15"/>
  <c r="L392" i="15"/>
  <c r="T392" i="15" s="1"/>
  <c r="S391" i="15"/>
  <c r="R391" i="15"/>
  <c r="Q391" i="15"/>
  <c r="O391" i="15" s="1"/>
  <c r="M391" i="15"/>
  <c r="L391" i="15"/>
  <c r="U391" i="15" s="1"/>
  <c r="S390" i="15"/>
  <c r="R390" i="15"/>
  <c r="Q390" i="15"/>
  <c r="O390" i="15" s="1"/>
  <c r="M390" i="15"/>
  <c r="L390" i="15"/>
  <c r="V390" i="15" s="1"/>
  <c r="S389" i="15"/>
  <c r="R389" i="15"/>
  <c r="Q389" i="15"/>
  <c r="P389" i="15" s="1"/>
  <c r="M389" i="15"/>
  <c r="L389" i="15"/>
  <c r="W389" i="15" s="1"/>
  <c r="A496" i="9"/>
  <c r="P392" i="15" l="1"/>
  <c r="N390" i="15"/>
  <c r="P390" i="15"/>
  <c r="P391" i="15"/>
  <c r="P398" i="15"/>
  <c r="V393" i="15"/>
  <c r="U392" i="15"/>
  <c r="V392" i="15"/>
  <c r="P394" i="15"/>
  <c r="W395" i="15"/>
  <c r="W392" i="15"/>
  <c r="W397" i="15"/>
  <c r="V394" i="15"/>
  <c r="W394" i="15"/>
  <c r="T396" i="15"/>
  <c r="T393" i="15"/>
  <c r="V396" i="15"/>
  <c r="U393" i="15"/>
  <c r="P395" i="15"/>
  <c r="W396" i="15"/>
  <c r="N391" i="15"/>
  <c r="W393" i="15"/>
  <c r="U397" i="15"/>
  <c r="O395" i="15"/>
  <c r="V397" i="15"/>
  <c r="U396" i="15"/>
  <c r="N389" i="15"/>
  <c r="T395" i="15"/>
  <c r="O389" i="15"/>
  <c r="N392" i="15"/>
  <c r="T394" i="15"/>
  <c r="U395" i="15"/>
  <c r="W390" i="15"/>
  <c r="U394" i="15"/>
  <c r="V395" i="15"/>
  <c r="P397" i="15"/>
  <c r="O398" i="15"/>
  <c r="N399" i="15"/>
  <c r="O399" i="15"/>
  <c r="T397" i="15"/>
  <c r="T398" i="15"/>
  <c r="X391" i="15"/>
  <c r="U398" i="15"/>
  <c r="T399" i="15"/>
  <c r="X392" i="15"/>
  <c r="N393" i="15"/>
  <c r="V398" i="15"/>
  <c r="U399" i="15"/>
  <c r="X389" i="15"/>
  <c r="O393" i="15"/>
  <c r="N394" i="15"/>
  <c r="T389" i="15"/>
  <c r="W398" i="15"/>
  <c r="V399" i="15"/>
  <c r="V391" i="15"/>
  <c r="X390" i="15"/>
  <c r="W391" i="15"/>
  <c r="T390" i="15"/>
  <c r="N396" i="15"/>
  <c r="W399" i="15"/>
  <c r="U389" i="15"/>
  <c r="V389" i="15"/>
  <c r="U390" i="15"/>
  <c r="T391" i="15"/>
  <c r="O396" i="15"/>
  <c r="N397" i="15"/>
  <c r="S223" i="15"/>
  <c r="R223" i="15"/>
  <c r="Q223" i="15"/>
  <c r="P223" i="15" s="1"/>
  <c r="M223" i="15"/>
  <c r="L223" i="15"/>
  <c r="V223" i="15" s="1"/>
  <c r="S225" i="15"/>
  <c r="R225" i="15"/>
  <c r="Q225" i="15"/>
  <c r="O225" i="15" s="1"/>
  <c r="M225" i="15"/>
  <c r="L225" i="15"/>
  <c r="V225" i="15" s="1"/>
  <c r="S224" i="15"/>
  <c r="R224" i="15"/>
  <c r="Q224" i="15"/>
  <c r="P224" i="15" s="1"/>
  <c r="M224" i="15"/>
  <c r="L224" i="15"/>
  <c r="T224" i="15" s="1"/>
  <c r="S388" i="15"/>
  <c r="R388" i="15"/>
  <c r="Q388" i="15"/>
  <c r="O388" i="15" s="1"/>
  <c r="M388" i="15"/>
  <c r="L388" i="15"/>
  <c r="W388" i="15" s="1"/>
  <c r="S387" i="15"/>
  <c r="R387" i="15"/>
  <c r="Q387" i="15"/>
  <c r="P387" i="15" s="1"/>
  <c r="M387" i="15"/>
  <c r="L387" i="15"/>
  <c r="X387" i="15" s="1"/>
  <c r="N223" i="15" l="1"/>
  <c r="W224" i="15"/>
  <c r="X388" i="15"/>
  <c r="U224" i="15"/>
  <c r="X224" i="15"/>
  <c r="U387" i="15"/>
  <c r="V387" i="15"/>
  <c r="T387" i="15"/>
  <c r="O223" i="15"/>
  <c r="P388" i="15"/>
  <c r="V224" i="15"/>
  <c r="W223" i="15"/>
  <c r="X223" i="15"/>
  <c r="T388" i="15"/>
  <c r="O387" i="15"/>
  <c r="V388" i="15"/>
  <c r="N387" i="15"/>
  <c r="U388" i="15"/>
  <c r="P225" i="15"/>
  <c r="N225" i="15"/>
  <c r="W387" i="15"/>
  <c r="T225" i="15"/>
  <c r="U225" i="15"/>
  <c r="W225" i="15"/>
  <c r="X225" i="15"/>
  <c r="N224" i="15"/>
  <c r="T223" i="15"/>
  <c r="N388" i="15"/>
  <c r="O224" i="15"/>
  <c r="U223" i="15"/>
  <c r="A48" i="21" l="1"/>
  <c r="A47" i="21"/>
  <c r="A46" i="21"/>
  <c r="A45" i="21"/>
  <c r="A44" i="21"/>
  <c r="A43" i="21"/>
  <c r="A42" i="21"/>
  <c r="A41" i="21"/>
  <c r="A40" i="21"/>
  <c r="A39" i="21"/>
  <c r="A38" i="21"/>
  <c r="A37" i="21"/>
  <c r="AO36" i="21"/>
  <c r="AN36" i="21"/>
  <c r="AM36" i="21"/>
  <c r="AL36" i="21"/>
  <c r="AK36" i="21"/>
  <c r="AJ36" i="21"/>
  <c r="AI36" i="21"/>
  <c r="AH36" i="21"/>
  <c r="AG36" i="21"/>
  <c r="AF36" i="21"/>
  <c r="AE36" i="21"/>
  <c r="AD36" i="21"/>
  <c r="AC36" i="21"/>
  <c r="AB36" i="21"/>
  <c r="AA36" i="21"/>
  <c r="Z36" i="21"/>
  <c r="Y36" i="21"/>
  <c r="X36" i="21"/>
  <c r="W36" i="21"/>
  <c r="V36" i="21"/>
  <c r="U36" i="21"/>
  <c r="S36" i="21"/>
  <c r="R36" i="21"/>
  <c r="Q36" i="21"/>
  <c r="P36" i="21"/>
  <c r="O36" i="21"/>
  <c r="N36" i="21"/>
  <c r="M36" i="21"/>
  <c r="L36" i="21"/>
  <c r="K36" i="21"/>
  <c r="J36" i="21"/>
  <c r="I36" i="21"/>
  <c r="H36" i="21"/>
  <c r="J18" i="21"/>
  <c r="E18" i="21"/>
  <c r="J4" i="21"/>
  <c r="E4" i="21"/>
  <c r="C1" i="21"/>
  <c r="A7" i="21"/>
  <c r="F11" i="21" l="1"/>
  <c r="E6" i="21"/>
  <c r="F14" i="21"/>
  <c r="F6" i="21"/>
  <c r="F23" i="21" l="1"/>
  <c r="G6" i="21"/>
  <c r="H6" i="21" s="1"/>
  <c r="F25" i="21"/>
  <c r="B1" i="20" l="1"/>
  <c r="A96" i="12"/>
  <c r="P98" i="12"/>
  <c r="E98" i="12"/>
  <c r="A97" i="9"/>
  <c r="A98" i="9"/>
  <c r="A99" i="9"/>
  <c r="A96" i="9"/>
  <c r="Q248" i="9"/>
  <c r="P98" i="9"/>
  <c r="F248" i="9"/>
  <c r="E98" i="9"/>
  <c r="D53" i="9"/>
  <c r="A500" i="20"/>
  <c r="A499" i="20"/>
  <c r="A498" i="20"/>
  <c r="A497" i="20"/>
  <c r="A496" i="20"/>
  <c r="A495" i="20"/>
  <c r="A494" i="20"/>
  <c r="A486" i="20"/>
  <c r="A485" i="20"/>
  <c r="A484" i="20"/>
  <c r="A483" i="20"/>
  <c r="A482" i="20"/>
  <c r="A481" i="20"/>
  <c r="A480"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3" i="20"/>
  <c r="A452" i="20"/>
  <c r="A451" i="20"/>
  <c r="A450" i="20"/>
  <c r="A449" i="20"/>
  <c r="A448" i="20"/>
  <c r="A447" i="20"/>
  <c r="A446" i="20"/>
  <c r="A445" i="20"/>
  <c r="A444" i="20"/>
  <c r="A442" i="20"/>
  <c r="A441" i="20"/>
  <c r="A440" i="20"/>
  <c r="A439" i="20"/>
  <c r="A438" i="20"/>
  <c r="A437" i="20"/>
  <c r="A436" i="20"/>
  <c r="A434" i="20"/>
  <c r="A433" i="20"/>
  <c r="A432" i="20"/>
  <c r="A431" i="20"/>
  <c r="A430" i="20"/>
  <c r="A429" i="20"/>
  <c r="A428" i="20"/>
  <c r="A427" i="20"/>
  <c r="A426" i="20"/>
  <c r="A425" i="20"/>
  <c r="A424" i="20"/>
  <c r="A423" i="20"/>
  <c r="A422" i="20"/>
  <c r="A421" i="20"/>
  <c r="A420" i="20"/>
  <c r="A419" i="20"/>
  <c r="A418" i="20"/>
  <c r="A417" i="20"/>
  <c r="A416" i="20"/>
  <c r="A415" i="20"/>
  <c r="A414" i="20"/>
  <c r="A413" i="20"/>
  <c r="A412" i="20"/>
  <c r="A411" i="20"/>
  <c r="A410" i="20"/>
  <c r="A409" i="20"/>
  <c r="A402" i="20"/>
  <c r="A401" i="20"/>
  <c r="A400" i="20"/>
  <c r="A399" i="20"/>
  <c r="A398" i="20"/>
  <c r="A397" i="20"/>
  <c r="A396" i="20"/>
  <c r="A395" i="20"/>
  <c r="A394" i="20"/>
  <c r="A393" i="20"/>
  <c r="A392" i="20"/>
  <c r="A391" i="20"/>
  <c r="A390" i="20"/>
  <c r="A389" i="20"/>
  <c r="A388" i="20"/>
  <c r="A387" i="20"/>
  <c r="A386" i="20"/>
  <c r="A385" i="20"/>
  <c r="A384" i="20"/>
  <c r="A383" i="20"/>
  <c r="A382" i="20"/>
  <c r="A381" i="20"/>
  <c r="A380" i="20"/>
  <c r="A379" i="20"/>
  <c r="A378" i="20"/>
  <c r="A377" i="20"/>
  <c r="A376" i="20"/>
  <c r="A375" i="20"/>
  <c r="A374" i="20"/>
  <c r="A373" i="20"/>
  <c r="A372" i="20"/>
  <c r="A371" i="20"/>
  <c r="A370" i="20"/>
  <c r="A369" i="20"/>
  <c r="A368" i="20"/>
  <c r="A367" i="20"/>
  <c r="A366" i="20"/>
  <c r="A365" i="20"/>
  <c r="A364" i="20"/>
  <c r="A363"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6" i="20"/>
  <c r="A325" i="20"/>
  <c r="A324" i="20"/>
  <c r="A323" i="20"/>
  <c r="A322" i="20"/>
  <c r="A321" i="20"/>
  <c r="A320" i="20"/>
  <c r="A319" i="20"/>
  <c r="A318" i="20"/>
  <c r="A317" i="20"/>
  <c r="A316" i="20"/>
  <c r="A315" i="20"/>
  <c r="A314" i="20"/>
  <c r="A313" i="20"/>
  <c r="A312" i="20"/>
  <c r="A311" i="20"/>
  <c r="A310" i="20"/>
  <c r="A309" i="20"/>
  <c r="A308" i="20"/>
  <c r="A307" i="20"/>
  <c r="A306" i="20"/>
  <c r="A305" i="20"/>
  <c r="A304" i="20"/>
  <c r="A303" i="20"/>
  <c r="A302" i="20"/>
  <c r="A301" i="20"/>
  <c r="A300" i="20"/>
  <c r="A299" i="20"/>
  <c r="A298" i="20"/>
  <c r="A297" i="20"/>
  <c r="A292" i="20"/>
  <c r="A291" i="20"/>
  <c r="A290" i="20"/>
  <c r="A289" i="20"/>
  <c r="A288" i="20"/>
  <c r="A287" i="20"/>
  <c r="A286"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61" i="20"/>
  <c r="A260" i="20"/>
  <c r="A259" i="20"/>
  <c r="A258" i="20"/>
  <c r="A257" i="20"/>
  <c r="A256" i="20"/>
  <c r="A255" i="20"/>
  <c r="A254" i="20"/>
  <c r="A253" i="20"/>
  <c r="A252" i="20"/>
  <c r="A251" i="20"/>
  <c r="A250" i="20"/>
  <c r="A249" i="20"/>
  <c r="A248" i="20"/>
  <c r="A247" i="20"/>
  <c r="A246" i="20"/>
  <c r="A245" i="20"/>
  <c r="A244" i="20"/>
  <c r="A243" i="20"/>
  <c r="A242"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68" i="20"/>
  <c r="A167" i="20"/>
  <c r="A166" i="20"/>
  <c r="A165" i="20"/>
  <c r="A164" i="20"/>
  <c r="A163"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88" i="20"/>
  <c r="A87" i="20"/>
  <c r="A86" i="20"/>
  <c r="A85" i="20"/>
  <c r="A84" i="20"/>
  <c r="A83" i="20"/>
  <c r="A82" i="20"/>
  <c r="A81" i="20"/>
  <c r="A80" i="20"/>
  <c r="A79" i="20"/>
  <c r="A78" i="20"/>
  <c r="A77" i="20"/>
  <c r="A76" i="20"/>
  <c r="A75" i="20"/>
  <c r="A74"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9" i="20"/>
  <c r="A28" i="20"/>
  <c r="A27" i="20"/>
  <c r="A26" i="20"/>
  <c r="A25" i="20"/>
  <c r="A24" i="20"/>
  <c r="A23" i="20"/>
  <c r="A22" i="20"/>
  <c r="A21" i="20"/>
  <c r="A20" i="20"/>
  <c r="A19" i="20"/>
  <c r="A18" i="20"/>
  <c r="A17" i="20"/>
  <c r="A16" i="20"/>
  <c r="A15" i="20"/>
  <c r="A14" i="20"/>
  <c r="A13" i="20"/>
  <c r="A12" i="20"/>
  <c r="A11" i="20"/>
  <c r="A10" i="20"/>
  <c r="A9" i="20"/>
  <c r="A8" i="20"/>
  <c r="AO2" i="20"/>
  <c r="AN2" i="20"/>
  <c r="AM2" i="20"/>
  <c r="AL2" i="20"/>
  <c r="AK2" i="20"/>
  <c r="AJ2" i="20"/>
  <c r="AI2" i="20"/>
  <c r="AH2" i="20"/>
  <c r="AG2" i="20"/>
  <c r="AF2" i="20"/>
  <c r="AE2" i="20"/>
  <c r="AD2" i="20"/>
  <c r="AC2" i="20"/>
  <c r="AB2" i="20"/>
  <c r="AA2" i="20"/>
  <c r="Z2" i="20"/>
  <c r="Y2" i="20"/>
  <c r="X2" i="20"/>
  <c r="W2" i="20"/>
  <c r="V2" i="20"/>
  <c r="U2" i="20"/>
  <c r="T2" i="20"/>
  <c r="S2" i="20"/>
  <c r="R2" i="20"/>
  <c r="Q2" i="20"/>
  <c r="P2" i="20"/>
  <c r="O2" i="20"/>
  <c r="N2" i="20"/>
  <c r="M2" i="20"/>
  <c r="L2" i="20"/>
  <c r="K2" i="20"/>
  <c r="J2" i="20"/>
  <c r="I2" i="20"/>
  <c r="H2" i="20"/>
  <c r="G2" i="20"/>
  <c r="F2" i="20"/>
  <c r="A340" i="3"/>
  <c r="A276" i="3"/>
  <c r="A220" i="3"/>
  <c r="B1" i="3"/>
  <c r="A99" i="3"/>
  <c r="N8" i="7"/>
  <c r="N7" i="7"/>
  <c r="M6" i="6"/>
  <c r="L6" i="6"/>
  <c r="N3" i="7"/>
  <c r="Q12" i="9" l="1" a="1"/>
  <c r="Q12" i="9" s="1"/>
  <c r="Q128" i="9" a="1"/>
  <c r="Q128" i="9" s="1"/>
  <c r="Q8" i="9" a="1"/>
  <c r="Q8" i="9" s="1"/>
  <c r="Q80" i="9" a="1"/>
  <c r="Q80" i="9" s="1"/>
  <c r="Q71" i="9" a="1"/>
  <c r="Q71" i="9" s="1"/>
  <c r="Q23" i="9" a="1"/>
  <c r="Q23" i="9" s="1"/>
  <c r="Q38" i="9" a="1"/>
  <c r="Q38" i="9" s="1"/>
  <c r="Q47" i="9" a="1"/>
  <c r="Q47" i="9" s="1"/>
  <c r="Q56" i="9" a="1"/>
  <c r="Q56" i="9" s="1"/>
  <c r="Q64" i="9" a="1"/>
  <c r="Q64" i="9" s="1"/>
  <c r="Q77" i="9" a="1"/>
  <c r="Q77" i="9" s="1"/>
  <c r="Q96" i="9"/>
  <c r="Q133" i="9" a="1"/>
  <c r="Q133" i="9" s="1"/>
  <c r="O9" i="9" a="1"/>
  <c r="O9" i="9" s="1"/>
  <c r="P9" i="9" s="1"/>
  <c r="O15" i="9" a="1"/>
  <c r="O15" i="9" s="1"/>
  <c r="Q31" i="9" a="1"/>
  <c r="Q31" i="9" s="1"/>
  <c r="Q39" i="9" a="1"/>
  <c r="Q39" i="9" s="1"/>
  <c r="Q48" i="9" a="1"/>
  <c r="Q48" i="9" s="1"/>
  <c r="Q57" i="9" a="1"/>
  <c r="Q57" i="9" s="1"/>
  <c r="Q65" i="9" a="1"/>
  <c r="Q65" i="9" s="1"/>
  <c r="Q79" i="9" a="1"/>
  <c r="Q79" i="9" s="1"/>
  <c r="Q103" i="9" a="1"/>
  <c r="Q103" i="9" s="1"/>
  <c r="Q139" i="9" a="1"/>
  <c r="Q139" i="9" s="1"/>
  <c r="Q58" i="9" a="1"/>
  <c r="Q58" i="9" s="1"/>
  <c r="O6" i="9"/>
  <c r="O10" i="9" a="1"/>
  <c r="O10" i="9" s="1"/>
  <c r="P10" i="9" s="1"/>
  <c r="O17" i="9" a="1"/>
  <c r="O17" i="9" s="1"/>
  <c r="Q33" i="9" a="1"/>
  <c r="Q33" i="9" s="1"/>
  <c r="Q42" i="9" a="1"/>
  <c r="Q42" i="9" s="1"/>
  <c r="Q50" i="9" a="1"/>
  <c r="Q50" i="9" s="1"/>
  <c r="Q59" i="9" a="1"/>
  <c r="Q59" i="9" s="1"/>
  <c r="Q67" i="9" a="1"/>
  <c r="Q67" i="9" s="1"/>
  <c r="Q81" i="9" a="1"/>
  <c r="Q81" i="9" s="1"/>
  <c r="Q116" i="9" a="1"/>
  <c r="Q116" i="9" s="1"/>
  <c r="Q144" i="9" a="1"/>
  <c r="Q144" i="9" s="1"/>
  <c r="Q15" i="9" a="1"/>
  <c r="Q15" i="9" s="1"/>
  <c r="Q140" i="9" a="1"/>
  <c r="Q140" i="9" s="1"/>
  <c r="Q6" i="9" a="1"/>
  <c r="Q6" i="9" s="1"/>
  <c r="Q10" i="9" a="1"/>
  <c r="Q10" i="9" s="1"/>
  <c r="Q17" i="9" a="1"/>
  <c r="Q17" i="9" s="1"/>
  <c r="Q34" i="9" a="1"/>
  <c r="Q34" i="9" s="1"/>
  <c r="Q43" i="9" a="1"/>
  <c r="Q43" i="9" s="1"/>
  <c r="Q51" i="9" a="1"/>
  <c r="Q51" i="9" s="1"/>
  <c r="Q60" i="9" a="1"/>
  <c r="Q60" i="9" s="1"/>
  <c r="Q68" i="9" a="1"/>
  <c r="Q68" i="9" s="1"/>
  <c r="Q82" i="9" a="1"/>
  <c r="Q82" i="9" s="1"/>
  <c r="Q121" i="9" a="1"/>
  <c r="Q121" i="9" s="1"/>
  <c r="Q145" i="9" a="1"/>
  <c r="Q145" i="9" s="1"/>
  <c r="Q9" i="9" a="1"/>
  <c r="Q9" i="9" s="1"/>
  <c r="Q40" i="9" a="1"/>
  <c r="Q40" i="9" s="1"/>
  <c r="Q104" i="9" a="1"/>
  <c r="Q104" i="9" s="1"/>
  <c r="O7" i="9" a="1"/>
  <c r="O7" i="9" s="1"/>
  <c r="O11" i="9" a="1"/>
  <c r="O11" i="9" s="1"/>
  <c r="P11" i="9" s="1"/>
  <c r="Q19" i="9" a="1"/>
  <c r="Q19" i="9" s="1"/>
  <c r="Q35" i="9" a="1"/>
  <c r="Q35" i="9" s="1"/>
  <c r="Q44" i="9" a="1"/>
  <c r="Q44" i="9" s="1"/>
  <c r="Q52" i="9" a="1"/>
  <c r="Q52" i="9" s="1"/>
  <c r="Q61" i="9" a="1"/>
  <c r="Q61" i="9" s="1"/>
  <c r="Q69" i="9" a="1"/>
  <c r="Q69" i="9" s="1"/>
  <c r="Q93" i="9" a="1"/>
  <c r="Q93" i="9" s="1"/>
  <c r="Q123" i="9" a="1"/>
  <c r="Q123" i="9" s="1"/>
  <c r="Q150" i="9" a="1"/>
  <c r="Q150" i="9" s="1"/>
  <c r="Q66" i="9" a="1"/>
  <c r="Q66" i="9" s="1"/>
  <c r="Q7" i="9" a="1"/>
  <c r="Q7" i="9" s="1"/>
  <c r="Q11" i="9" a="1"/>
  <c r="Q11" i="9" s="1"/>
  <c r="Q21" i="9" a="1"/>
  <c r="Q21" i="9" s="1"/>
  <c r="Q36" i="9" a="1"/>
  <c r="Q36" i="9" s="1"/>
  <c r="Q45" i="9" a="1"/>
  <c r="Q45" i="9" s="1"/>
  <c r="Q53" i="9" a="1"/>
  <c r="Q53" i="9" s="1"/>
  <c r="Q62" i="9" a="1"/>
  <c r="Q62" i="9" s="1"/>
  <c r="Q70" i="9" a="1"/>
  <c r="Q70" i="9" s="1"/>
  <c r="Q95" i="9" a="1"/>
  <c r="Q95" i="9" s="1"/>
  <c r="Q127" i="9" a="1"/>
  <c r="Q127" i="9" s="1"/>
  <c r="AL477" i="9"/>
  <c r="Q5" i="9" a="1"/>
  <c r="Q5" i="9" s="1"/>
  <c r="Q32" i="9" a="1"/>
  <c r="Q32" i="9" s="1"/>
  <c r="Q49" i="9" a="1"/>
  <c r="Q49" i="9" s="1"/>
  <c r="Q75" i="9"/>
  <c r="O8" i="9" a="1"/>
  <c r="O8" i="9" s="1"/>
  <c r="P8" i="9" s="1"/>
  <c r="O12" i="9" a="1"/>
  <c r="O12" i="9" s="1"/>
  <c r="P12" i="9" s="1"/>
  <c r="Q22" i="9" a="1"/>
  <c r="Q22" i="9" s="1"/>
  <c r="Q37" i="9" a="1"/>
  <c r="Q37" i="9" s="1"/>
  <c r="Q46" i="9" a="1"/>
  <c r="Q46" i="9" s="1"/>
  <c r="Q55" i="9" a="1"/>
  <c r="Q55" i="9" s="1"/>
  <c r="Q63" i="9" a="1"/>
  <c r="Q63" i="9" s="1"/>
  <c r="O96" i="9"/>
  <c r="P96" i="9" s="1"/>
  <c r="Q387" i="9" a="1"/>
  <c r="Q387" i="9" s="1"/>
  <c r="Q175" i="9" a="1"/>
  <c r="Q175" i="9" s="1"/>
  <c r="Q209" i="9" a="1"/>
  <c r="Q209" i="9" s="1"/>
  <c r="Q227" i="9" a="1"/>
  <c r="Q227" i="9" s="1"/>
  <c r="Q263" i="9" a="1"/>
  <c r="Q263" i="9" s="1"/>
  <c r="Q295" i="9" a="1"/>
  <c r="Q295" i="9" s="1"/>
  <c r="O308" i="9" a="1"/>
  <c r="O308" i="9" s="1"/>
  <c r="Q337" i="9"/>
  <c r="Q374" i="9" a="1"/>
  <c r="Q374" i="9" s="1"/>
  <c r="Q391" i="9" a="1"/>
  <c r="Q391" i="9" s="1"/>
  <c r="AL497" i="9"/>
  <c r="O172" i="9" a="1"/>
  <c r="O172" i="9" s="1"/>
  <c r="Q371" i="9" a="1"/>
  <c r="Q371" i="9" s="1"/>
  <c r="O178" i="9" a="1"/>
  <c r="O178" i="9" s="1"/>
  <c r="Q211" i="9" a="1"/>
  <c r="Q211" i="9" s="1"/>
  <c r="Q228" i="9" a="1"/>
  <c r="Q228" i="9" s="1"/>
  <c r="Q268" i="9" a="1"/>
  <c r="Q268" i="9" s="1"/>
  <c r="O298" i="9" a="1"/>
  <c r="O298" i="9" s="1"/>
  <c r="Q319" i="9" a="1"/>
  <c r="Q319" i="9" s="1"/>
  <c r="Q338" i="9" a="1"/>
  <c r="Q338" i="9" s="1"/>
  <c r="Q375" i="9" a="1"/>
  <c r="Q375" i="9" s="1"/>
  <c r="Q392" i="9" a="1"/>
  <c r="Q392" i="9" s="1"/>
  <c r="Q332" i="9" a="1"/>
  <c r="Q332" i="9" s="1"/>
  <c r="Q181" i="9" a="1"/>
  <c r="Q181" i="9" s="1"/>
  <c r="Q214" i="9" a="1"/>
  <c r="Q214" i="9" s="1"/>
  <c r="O244" i="9" a="1"/>
  <c r="O244" i="9" s="1"/>
  <c r="Q273" i="9" a="1"/>
  <c r="Q273" i="9" s="1"/>
  <c r="Q298" i="9" a="1"/>
  <c r="Q298" i="9" s="1"/>
  <c r="Q324" i="9" a="1"/>
  <c r="Q324" i="9" s="1"/>
  <c r="Q343" i="9" a="1"/>
  <c r="Q343" i="9" s="1"/>
  <c r="Q376" i="9" a="1"/>
  <c r="Q376" i="9" s="1"/>
  <c r="Q393" i="9" a="1"/>
  <c r="Q393" i="9" s="1"/>
  <c r="O295" i="9" a="1"/>
  <c r="O295" i="9" s="1"/>
  <c r="Q191" i="9" a="1"/>
  <c r="Q191" i="9" s="1"/>
  <c r="Q215" i="9" a="1"/>
  <c r="Q215" i="9" s="1"/>
  <c r="P244" i="9" a="1"/>
  <c r="P244" i="9" s="1"/>
  <c r="Q274" i="9" a="1"/>
  <c r="Q274" i="9" s="1"/>
  <c r="O301" i="9" a="1"/>
  <c r="O301" i="9" s="1"/>
  <c r="P301" i="9" s="1"/>
  <c r="Q325" i="9" a="1"/>
  <c r="Q325" i="9" s="1"/>
  <c r="O360" i="9" a="1"/>
  <c r="O360" i="9" s="1"/>
  <c r="O362" i="9" s="1"/>
  <c r="P362" i="9" s="1"/>
  <c r="Q381" i="9" a="1"/>
  <c r="Q381" i="9" s="1"/>
  <c r="Q226" i="9" a="1"/>
  <c r="Q226" i="9" s="1"/>
  <c r="Q307" i="9" a="1"/>
  <c r="Q307" i="9" s="1"/>
  <c r="Q198" i="9" a="1"/>
  <c r="Q198" i="9" s="1"/>
  <c r="Q216" i="9" a="1"/>
  <c r="Q216" i="9" s="1"/>
  <c r="Q256" i="9" a="1"/>
  <c r="Q256" i="9" s="1"/>
  <c r="Q275" i="9" a="1"/>
  <c r="Q275" i="9" s="1"/>
  <c r="Q301" i="9" a="1"/>
  <c r="Q301" i="9" s="1"/>
  <c r="Q326" i="9" a="1"/>
  <c r="Q326" i="9" s="1"/>
  <c r="Q360" i="9" a="1"/>
  <c r="Q360" i="9" s="1"/>
  <c r="Q362" i="9" s="1"/>
  <c r="Q382" i="9" a="1"/>
  <c r="Q382" i="9" s="1"/>
  <c r="Q262" i="9" a="1"/>
  <c r="Q262" i="9" s="1"/>
  <c r="Q388" i="9" a="1"/>
  <c r="Q388" i="9" s="1"/>
  <c r="Q158" i="9" a="1"/>
  <c r="Q158" i="9" s="1"/>
  <c r="Q199" i="9" a="1"/>
  <c r="Q199" i="9" s="1"/>
  <c r="Q221" i="9" a="1"/>
  <c r="Q221" i="9" s="1"/>
  <c r="Q257" i="9" a="1"/>
  <c r="Q257" i="9" s="1"/>
  <c r="Q279" i="9" a="1"/>
  <c r="Q279" i="9" s="1"/>
  <c r="O302" i="9" a="1"/>
  <c r="O302" i="9" s="1"/>
  <c r="P302" i="9" s="1"/>
  <c r="Q329" i="9" a="1"/>
  <c r="Q329" i="9" s="1"/>
  <c r="Q369" i="9" a="1"/>
  <c r="Q369" i="9" s="1"/>
  <c r="Q386" i="9" a="1"/>
  <c r="Q386" i="9" s="1"/>
  <c r="Q204" i="9" a="1"/>
  <c r="Q204" i="9" s="1"/>
  <c r="Q159" i="9" a="1"/>
  <c r="Q159" i="9" s="1"/>
  <c r="Q203" i="9" a="1"/>
  <c r="Q203" i="9" s="1"/>
  <c r="Q222" i="9" a="1"/>
  <c r="Q222" i="9" s="1"/>
  <c r="Q261" i="9" a="1"/>
  <c r="Q261" i="9" s="1"/>
  <c r="Q284" i="9" a="1"/>
  <c r="Q284" i="9" s="1"/>
  <c r="O307" i="9" a="1"/>
  <c r="O307" i="9" s="1"/>
  <c r="Q331" i="9" a="1"/>
  <c r="Q331" i="9" s="1"/>
  <c r="Q370" i="9" a="1"/>
  <c r="Q370" i="9" s="1"/>
  <c r="AL420" i="9"/>
  <c r="AL457" i="9"/>
  <c r="AL480" i="9"/>
  <c r="AL491" i="9"/>
  <c r="Q78" i="9" a="1"/>
  <c r="Q78" i="9" s="1"/>
  <c r="O94" i="9" a="1"/>
  <c r="O94" i="9" s="1"/>
  <c r="O100" i="9" a="1"/>
  <c r="O100" i="9" s="1"/>
  <c r="Q112" i="9" a="1"/>
  <c r="Q112" i="9" s="1"/>
  <c r="Q117" i="9" a="1"/>
  <c r="Q117" i="9" s="1"/>
  <c r="Q124" i="9" a="1"/>
  <c r="Q124" i="9" s="1"/>
  <c r="Q129" i="9" a="1"/>
  <c r="Q129" i="9" s="1"/>
  <c r="Q134" i="9" a="1"/>
  <c r="Q134" i="9" s="1"/>
  <c r="Q141" i="9" a="1"/>
  <c r="Q141" i="9" s="1"/>
  <c r="Q146" i="9" a="1"/>
  <c r="Q146" i="9" s="1"/>
  <c r="Q151" i="9" a="1"/>
  <c r="Q151" i="9" s="1"/>
  <c r="Q160" i="9" a="1"/>
  <c r="Q160" i="9" s="1"/>
  <c r="P172" i="9" a="1"/>
  <c r="P172" i="9" s="1"/>
  <c r="P178" i="9" a="1"/>
  <c r="P178" i="9" s="1"/>
  <c r="Q184" i="9" a="1"/>
  <c r="Q184" i="9" s="1"/>
  <c r="Q200" i="9" a="1"/>
  <c r="Q200" i="9" s="1"/>
  <c r="Q217" i="9" a="1"/>
  <c r="Q217" i="9" s="1"/>
  <c r="Q223" i="9" a="1"/>
  <c r="Q223" i="9" s="1"/>
  <c r="Q258" i="9" a="1"/>
  <c r="Q258" i="9" s="1"/>
  <c r="Q269" i="9" a="1"/>
  <c r="Q269" i="9" s="1"/>
  <c r="Q280" i="9" a="1"/>
  <c r="Q280" i="9" s="1"/>
  <c r="O299" i="9" a="1"/>
  <c r="O299" i="9" s="1"/>
  <c r="Q308" i="9" a="1"/>
  <c r="Q308" i="9" s="1"/>
  <c r="Q320" i="9" a="1"/>
  <c r="Q320" i="9" s="1"/>
  <c r="Q333" i="9" a="1"/>
  <c r="Q333" i="9" s="1"/>
  <c r="Q339" i="9" a="1"/>
  <c r="Q339" i="9" s="1"/>
  <c r="Q344" i="9" a="1"/>
  <c r="Q344" i="9" s="1"/>
  <c r="Q365" i="9" a="1"/>
  <c r="Q365" i="9" s="1"/>
  <c r="Q378" i="9" a="1"/>
  <c r="Q378" i="9" s="1"/>
  <c r="Q394" i="9" a="1"/>
  <c r="Q394" i="9" s="1"/>
  <c r="AL453" i="9"/>
  <c r="AL459" i="9"/>
  <c r="AL492" i="9"/>
  <c r="Q94" i="9" a="1"/>
  <c r="Q94" i="9" s="1"/>
  <c r="Q113" i="9" a="1"/>
  <c r="Q113" i="9" s="1"/>
  <c r="Q130" i="9" a="1"/>
  <c r="Q130" i="9" s="1"/>
  <c r="Q147" i="9" a="1"/>
  <c r="Q147" i="9" s="1"/>
  <c r="Q172" i="9" a="1"/>
  <c r="Q172" i="9" s="1"/>
  <c r="Q178" i="9" a="1"/>
  <c r="Q178" i="9" s="1"/>
  <c r="P188" i="9" a="1"/>
  <c r="P188" i="9" s="1"/>
  <c r="Q205" i="9" a="1"/>
  <c r="Q205" i="9" s="1"/>
  <c r="Q212" i="9" a="1"/>
  <c r="Q212" i="9" s="1"/>
  <c r="Q218" i="9" a="1"/>
  <c r="Q218" i="9" s="1"/>
  <c r="O241" i="9" a="1"/>
  <c r="O241" i="9" s="1"/>
  <c r="Q244" i="9" a="1"/>
  <c r="Q244" i="9" s="1"/>
  <c r="Q264" i="9" a="1"/>
  <c r="Q264" i="9" s="1"/>
  <c r="Q270" i="9" a="1"/>
  <c r="Q270" i="9" s="1"/>
  <c r="Q276" i="9" a="1"/>
  <c r="Q276" i="9" s="1"/>
  <c r="Q281" i="9" a="1"/>
  <c r="Q281" i="9" s="1"/>
  <c r="O296" i="9" a="1"/>
  <c r="O296" i="9" s="1"/>
  <c r="Q299" i="9" a="1"/>
  <c r="Q299" i="9" s="1"/>
  <c r="Q302" i="9" a="1"/>
  <c r="Q302" i="9" s="1"/>
  <c r="O312" i="9" a="1"/>
  <c r="O312" i="9" s="1"/>
  <c r="P312" i="9" s="1"/>
  <c r="Q327" i="9" a="1"/>
  <c r="Q327" i="9" s="1"/>
  <c r="Q334" i="9" a="1"/>
  <c r="Q334" i="9" s="1"/>
  <c r="Q340" i="9" a="1"/>
  <c r="Q340" i="9" s="1"/>
  <c r="Q345" i="9" a="1"/>
  <c r="Q345" i="9" s="1"/>
  <c r="Q372" i="9" a="1"/>
  <c r="Q372" i="9" s="1"/>
  <c r="Q379" i="9" a="1"/>
  <c r="Q379" i="9" s="1"/>
  <c r="Q383" i="9" a="1"/>
  <c r="Q383" i="9" s="1"/>
  <c r="Q389" i="9" a="1"/>
  <c r="Q389" i="9" s="1"/>
  <c r="AL454" i="9"/>
  <c r="AL460" i="9"/>
  <c r="AL493" i="9"/>
  <c r="AL458" i="9"/>
  <c r="Q100" i="9" a="1"/>
  <c r="Q100" i="9" s="1"/>
  <c r="Q118" i="9" a="1"/>
  <c r="Q118" i="9" s="1"/>
  <c r="Q125" i="9" a="1"/>
  <c r="Q125" i="9" s="1"/>
  <c r="Q136" i="9" a="1"/>
  <c r="Q136" i="9" s="1"/>
  <c r="Q142" i="9" a="1"/>
  <c r="Q142" i="9" s="1"/>
  <c r="Q152" i="9" a="1"/>
  <c r="Q152" i="9" s="1"/>
  <c r="Q161" i="9" a="1"/>
  <c r="Q161" i="9" s="1"/>
  <c r="O175" i="9" a="1"/>
  <c r="O175" i="9" s="1"/>
  <c r="O181" i="9" a="1"/>
  <c r="O181" i="9" s="1"/>
  <c r="Q188" i="9" a="1"/>
  <c r="Q188" i="9" s="1"/>
  <c r="Q201" i="9" a="1"/>
  <c r="Q201" i="9" s="1"/>
  <c r="Q206" i="9" a="1"/>
  <c r="Q206" i="9" s="1"/>
  <c r="Q219" i="9" a="1"/>
  <c r="Q219" i="9" s="1"/>
  <c r="Q224" i="9" a="1"/>
  <c r="Q224" i="9" s="1"/>
  <c r="P241" i="9" a="1"/>
  <c r="P241" i="9" s="1"/>
  <c r="Q254" i="9" a="1"/>
  <c r="Q254" i="9" s="1"/>
  <c r="Q259" i="9" a="1"/>
  <c r="Q259" i="9" s="1"/>
  <c r="Q265" i="9" a="1"/>
  <c r="Q265" i="9" s="1"/>
  <c r="Q271" i="9" a="1"/>
  <c r="Q271" i="9" s="1"/>
  <c r="Q277" i="9" a="1"/>
  <c r="Q277" i="9" s="1"/>
  <c r="Q282" i="9" a="1"/>
  <c r="Q282" i="9" s="1"/>
  <c r="Q296" i="9" a="1"/>
  <c r="Q296" i="9" s="1"/>
  <c r="O303" i="9" a="1"/>
  <c r="O303" i="9" s="1"/>
  <c r="P303" i="9" s="1"/>
  <c r="Q321" i="9" a="1"/>
  <c r="Q321" i="9" s="1"/>
  <c r="Q335" i="9" a="1"/>
  <c r="Q335" i="9" s="1"/>
  <c r="Q341" i="9" a="1"/>
  <c r="Q341" i="9" s="1"/>
  <c r="Q346" i="9" a="1"/>
  <c r="Q346" i="9" s="1"/>
  <c r="Q366" i="9" a="1"/>
  <c r="Q366" i="9" s="1"/>
  <c r="AL461" i="9"/>
  <c r="AL494" i="9"/>
  <c r="O95" i="9" a="1"/>
  <c r="O95" i="9" s="1"/>
  <c r="Q114" i="9" a="1"/>
  <c r="Q114" i="9" s="1"/>
  <c r="Q119" i="9" a="1"/>
  <c r="Q119" i="9" s="1"/>
  <c r="Q131" i="9" a="1"/>
  <c r="Q131" i="9" s="1"/>
  <c r="Q137" i="9" a="1"/>
  <c r="Q137" i="9" s="1"/>
  <c r="Q148" i="9" a="1"/>
  <c r="Q148" i="9" s="1"/>
  <c r="Q156" i="9" a="1"/>
  <c r="Q156" i="9" s="1"/>
  <c r="P175" i="9" a="1"/>
  <c r="P175" i="9" s="1"/>
  <c r="Q202" i="9" a="1"/>
  <c r="Q202" i="9" s="1"/>
  <c r="Q207" i="9" a="1"/>
  <c r="Q207" i="9" s="1"/>
  <c r="Q213" i="9" a="1"/>
  <c r="Q213" i="9" s="1"/>
  <c r="Q220" i="9" a="1"/>
  <c r="Q220" i="9" s="1"/>
  <c r="Q241" i="9" a="1"/>
  <c r="Q241" i="9" s="1"/>
  <c r="Q255" i="9" a="1"/>
  <c r="Q255" i="9" s="1"/>
  <c r="Q272" i="9" a="1"/>
  <c r="Q272" i="9" s="1"/>
  <c r="Q283" i="9" a="1"/>
  <c r="Q283" i="9" s="1"/>
  <c r="O297" i="9" a="1"/>
  <c r="O297" i="9" s="1"/>
  <c r="O300" i="9" a="1"/>
  <c r="O300" i="9" s="1"/>
  <c r="Q303" i="9" a="1"/>
  <c r="Q303" i="9" s="1"/>
  <c r="Q312" i="9" a="1"/>
  <c r="Q312" i="9" s="1"/>
  <c r="Q322" i="9" a="1"/>
  <c r="Q322" i="9" s="1"/>
  <c r="Q328" i="9" a="1"/>
  <c r="Q328" i="9" s="1"/>
  <c r="Q347" i="9" a="1"/>
  <c r="Q347" i="9" s="1"/>
  <c r="Q367" i="9" a="1"/>
  <c r="Q367" i="9" s="1"/>
  <c r="Q373" i="9" a="1"/>
  <c r="Q373" i="9" s="1"/>
  <c r="Q380" i="9" a="1"/>
  <c r="Q380" i="9" s="1"/>
  <c r="Q384" i="9" a="1"/>
  <c r="Q384" i="9" s="1"/>
  <c r="Q390" i="9" a="1"/>
  <c r="Q390" i="9" s="1"/>
  <c r="AL455" i="9"/>
  <c r="AL462" i="9"/>
  <c r="AL495" i="9"/>
  <c r="Q76" i="9" a="1"/>
  <c r="Q76" i="9" s="1"/>
  <c r="Q102" i="9" a="1"/>
  <c r="Q102" i="9" s="1"/>
  <c r="Q115" i="9" a="1"/>
  <c r="Q115" i="9" s="1"/>
  <c r="Q120" i="9" a="1"/>
  <c r="Q120" i="9" s="1"/>
  <c r="Q126" i="9" a="1"/>
  <c r="Q126" i="9" s="1"/>
  <c r="Q132" i="9" a="1"/>
  <c r="Q132" i="9" s="1"/>
  <c r="Q138" i="9" a="1"/>
  <c r="Q138" i="9" s="1"/>
  <c r="Q143" i="9" a="1"/>
  <c r="Q143" i="9" s="1"/>
  <c r="Q149" i="9" a="1"/>
  <c r="Q149" i="9" s="1"/>
  <c r="Q157" i="9" a="1"/>
  <c r="Q157" i="9" s="1"/>
  <c r="Q162" i="9" a="1"/>
  <c r="Q162" i="9" s="1"/>
  <c r="P181" i="9" a="1"/>
  <c r="P181" i="9" s="1"/>
  <c r="P191" i="9" a="1"/>
  <c r="P191" i="9" s="1"/>
  <c r="Q208" i="9" a="1"/>
  <c r="Q208" i="9" s="1"/>
  <c r="Q225" i="9" a="1"/>
  <c r="Q225" i="9" s="1"/>
  <c r="Q260" i="9" a="1"/>
  <c r="Q260" i="9" s="1"/>
  <c r="Q267" i="9" a="1"/>
  <c r="Q267" i="9" s="1"/>
  <c r="Q278" i="9" a="1"/>
  <c r="Q278" i="9" s="1"/>
  <c r="Q297" i="9" a="1"/>
  <c r="Q297" i="9" s="1"/>
  <c r="Q300" i="9" a="1"/>
  <c r="Q300" i="9" s="1"/>
  <c r="Q318" i="9" a="1"/>
  <c r="Q318" i="9" s="1"/>
  <c r="Q323" i="9" a="1"/>
  <c r="Q323" i="9" s="1"/>
  <c r="Q336" i="9" a="1"/>
  <c r="Q336" i="9" s="1"/>
  <c r="Q342" i="9" a="1"/>
  <c r="Q342" i="9" s="1"/>
  <c r="Q348" i="9" a="1"/>
  <c r="Q348" i="9" s="1"/>
  <c r="Q368" i="9" a="1"/>
  <c r="Q368" i="9" s="1"/>
  <c r="Q385" i="9" a="1"/>
  <c r="Q385" i="9" s="1"/>
  <c r="AL456" i="9"/>
  <c r="AL469" i="9"/>
  <c r="AL496" i="9"/>
  <c r="P183" i="9" l="1"/>
  <c r="P307" i="9"/>
  <c r="P6" i="9"/>
  <c r="Q179" i="9"/>
  <c r="Q192" i="9"/>
  <c r="P180" i="9"/>
  <c r="P7" i="9"/>
  <c r="P250" i="9"/>
  <c r="P15" i="9"/>
  <c r="P17" i="9"/>
  <c r="P295" i="9"/>
  <c r="Q72" i="9"/>
  <c r="P177" i="9"/>
  <c r="Q24" i="9"/>
  <c r="O32" i="9" s="1"/>
  <c r="P298" i="9"/>
  <c r="Q41" i="9"/>
  <c r="Q105" i="9"/>
  <c r="O113" i="9" s="1"/>
  <c r="P174" i="9"/>
  <c r="Q245" i="9"/>
  <c r="Q189" i="9"/>
  <c r="Q13" i="9"/>
  <c r="O31" i="9" s="1"/>
  <c r="P287" i="9"/>
  <c r="Q97" i="9"/>
  <c r="P285" i="9"/>
  <c r="P95" i="9"/>
  <c r="Q176" i="9"/>
  <c r="Q173" i="9"/>
  <c r="P296" i="9"/>
  <c r="Q54" i="9"/>
  <c r="P94" i="9"/>
  <c r="O13" i="9"/>
  <c r="O27" i="9" s="1"/>
  <c r="Q185" i="9"/>
  <c r="Q194" i="9" s="1"/>
  <c r="Q304" i="9"/>
  <c r="Q309" i="9" s="1"/>
  <c r="Q314" i="9" s="1"/>
  <c r="Q122" i="9"/>
  <c r="P308" i="9"/>
  <c r="P300" i="9"/>
  <c r="O304" i="9"/>
  <c r="O309" i="9" s="1"/>
  <c r="P360" i="9"/>
  <c r="Q229" i="9"/>
  <c r="P297" i="9"/>
  <c r="Q330" i="9"/>
  <c r="Q210" i="9"/>
  <c r="Q395" i="9"/>
  <c r="P395" i="9" s="1"/>
  <c r="P299" i="9"/>
  <c r="Q266" i="9"/>
  <c r="Q377" i="9"/>
  <c r="P377" i="9" s="1"/>
  <c r="Q250" i="9"/>
  <c r="Q349" i="9"/>
  <c r="O185" i="9"/>
  <c r="P266" i="9"/>
  <c r="Q83" i="9"/>
  <c r="Q285" i="9"/>
  <c r="P185" i="9"/>
  <c r="P194" i="9" s="1"/>
  <c r="Q153" i="9"/>
  <c r="O97" i="9"/>
  <c r="P115" i="9" s="1"/>
  <c r="P100" i="9"/>
  <c r="Q182" i="9"/>
  <c r="Q163" i="9"/>
  <c r="Q135" i="9"/>
  <c r="Q242" i="9"/>
  <c r="O2" i="7"/>
  <c r="Q251" i="9" l="1"/>
  <c r="Q108" i="9"/>
  <c r="P122" i="9" s="1"/>
  <c r="Q74" i="9"/>
  <c r="P112" i="9"/>
  <c r="P97" i="9"/>
  <c r="Q287" i="9"/>
  <c r="Q289" i="9" s="1"/>
  <c r="P289" i="9" s="1"/>
  <c r="Q27" i="9"/>
  <c r="P72" i="9" s="1"/>
  <c r="Q397" i="9"/>
  <c r="P397" i="9" s="1"/>
  <c r="P309" i="9"/>
  <c r="P349" i="9"/>
  <c r="P330" i="9"/>
  <c r="Q351" i="9"/>
  <c r="Q353" i="9" s="1"/>
  <c r="O24" i="9"/>
  <c r="P36" i="9" s="1"/>
  <c r="O112" i="9"/>
  <c r="P13" i="9"/>
  <c r="P304" i="9"/>
  <c r="P118" i="9"/>
  <c r="Q231" i="9"/>
  <c r="Q233" i="9" s="1"/>
  <c r="P233" i="9" s="1"/>
  <c r="Q155" i="9"/>
  <c r="P186" i="9"/>
  <c r="Q186" i="9"/>
  <c r="P113" i="9"/>
  <c r="P121" i="9"/>
  <c r="O314" i="9"/>
  <c r="P314" i="9" s="1"/>
  <c r="O108" i="9"/>
  <c r="P116" i="9"/>
  <c r="P114" i="9"/>
  <c r="O105" i="9"/>
  <c r="P105" i="9" s="1"/>
  <c r="P120" i="9"/>
  <c r="P117" i="9"/>
  <c r="P119" i="9"/>
  <c r="Q195" i="9"/>
  <c r="P229" i="9"/>
  <c r="P210" i="9"/>
  <c r="N2" i="7"/>
  <c r="M2" i="15"/>
  <c r="Q2" i="15"/>
  <c r="N2" i="15" s="1"/>
  <c r="R2" i="15"/>
  <c r="S2" i="15"/>
  <c r="M3" i="15"/>
  <c r="Q3" i="15"/>
  <c r="N3" i="15" s="1"/>
  <c r="R3" i="15"/>
  <c r="S3" i="15"/>
  <c r="M4" i="15"/>
  <c r="Q4" i="15"/>
  <c r="N4" i="15" s="1"/>
  <c r="R4" i="15"/>
  <c r="S4" i="15"/>
  <c r="M5" i="15"/>
  <c r="Q5" i="15"/>
  <c r="N5" i="15" s="1"/>
  <c r="R5" i="15"/>
  <c r="S5" i="15"/>
  <c r="M6" i="15"/>
  <c r="Q6" i="15"/>
  <c r="N6" i="15" s="1"/>
  <c r="R6" i="15"/>
  <c r="S6" i="15"/>
  <c r="M7" i="15"/>
  <c r="Q7" i="15"/>
  <c r="N7" i="15" s="1"/>
  <c r="R7" i="15"/>
  <c r="S7" i="15"/>
  <c r="M8" i="15"/>
  <c r="Q8" i="15"/>
  <c r="N8" i="15" s="1"/>
  <c r="R8" i="15"/>
  <c r="S8" i="15"/>
  <c r="M9" i="15"/>
  <c r="Q9" i="15"/>
  <c r="N9" i="15" s="1"/>
  <c r="R9" i="15"/>
  <c r="S9" i="15"/>
  <c r="M10" i="15"/>
  <c r="Q10" i="15"/>
  <c r="O10" i="15" s="1"/>
  <c r="R10" i="15"/>
  <c r="S10" i="15"/>
  <c r="M11" i="15"/>
  <c r="Q11" i="15"/>
  <c r="P11" i="15" s="1"/>
  <c r="R11" i="15"/>
  <c r="S11" i="15"/>
  <c r="M12" i="15"/>
  <c r="Q12" i="15"/>
  <c r="P12" i="15" s="1"/>
  <c r="R12" i="15"/>
  <c r="S12" i="15"/>
  <c r="M13" i="15"/>
  <c r="Q13" i="15"/>
  <c r="N13" i="15" s="1"/>
  <c r="R13" i="15"/>
  <c r="S13" i="15"/>
  <c r="M14" i="15"/>
  <c r="Q14" i="15"/>
  <c r="O14" i="15" s="1"/>
  <c r="R14" i="15"/>
  <c r="S14" i="15"/>
  <c r="M15" i="15"/>
  <c r="Q15" i="15"/>
  <c r="N15" i="15" s="1"/>
  <c r="R15" i="15"/>
  <c r="S15" i="15"/>
  <c r="M16" i="15"/>
  <c r="Q16" i="15"/>
  <c r="N16" i="15" s="1"/>
  <c r="R16" i="15"/>
  <c r="S16" i="15"/>
  <c r="M17" i="15"/>
  <c r="Q17" i="15"/>
  <c r="N17" i="15" s="1"/>
  <c r="R17" i="15"/>
  <c r="S17" i="15"/>
  <c r="M18" i="15"/>
  <c r="Q18" i="15"/>
  <c r="N18" i="15" s="1"/>
  <c r="R18" i="15"/>
  <c r="S18" i="15"/>
  <c r="M19" i="15"/>
  <c r="Q19" i="15"/>
  <c r="N19" i="15" s="1"/>
  <c r="R19" i="15"/>
  <c r="S19" i="15"/>
  <c r="M20" i="15"/>
  <c r="Q20" i="15"/>
  <c r="N20" i="15" s="1"/>
  <c r="R20" i="15"/>
  <c r="S20" i="15"/>
  <c r="M21" i="15"/>
  <c r="Q21" i="15"/>
  <c r="R21" i="15"/>
  <c r="S21" i="15"/>
  <c r="M22" i="15"/>
  <c r="Q22" i="15"/>
  <c r="N22" i="15" s="1"/>
  <c r="R22" i="15"/>
  <c r="S22" i="15"/>
  <c r="M23" i="15"/>
  <c r="Q23" i="15"/>
  <c r="N23" i="15" s="1"/>
  <c r="R23" i="15"/>
  <c r="S23" i="15"/>
  <c r="M24" i="15"/>
  <c r="Q24" i="15"/>
  <c r="P24" i="15" s="1"/>
  <c r="R24" i="15"/>
  <c r="S24" i="15"/>
  <c r="M25" i="15"/>
  <c r="Q25" i="15"/>
  <c r="N25" i="15" s="1"/>
  <c r="R25" i="15"/>
  <c r="S25" i="15"/>
  <c r="M26" i="15"/>
  <c r="Q26" i="15"/>
  <c r="O26" i="15" s="1"/>
  <c r="R26" i="15"/>
  <c r="S26" i="15"/>
  <c r="M27" i="15"/>
  <c r="Q27" i="15"/>
  <c r="P27" i="15" s="1"/>
  <c r="R27" i="15"/>
  <c r="S27" i="15"/>
  <c r="M28" i="15"/>
  <c r="Q28" i="15"/>
  <c r="P28" i="15" s="1"/>
  <c r="R28" i="15"/>
  <c r="S28" i="15"/>
  <c r="M29" i="15"/>
  <c r="Q29" i="15"/>
  <c r="N29" i="15" s="1"/>
  <c r="R29" i="15"/>
  <c r="S29" i="15"/>
  <c r="M30" i="15"/>
  <c r="Q30" i="15"/>
  <c r="O30" i="15" s="1"/>
  <c r="R30" i="15"/>
  <c r="S30" i="15"/>
  <c r="M31" i="15"/>
  <c r="Q31" i="15"/>
  <c r="N31" i="15" s="1"/>
  <c r="R31" i="15"/>
  <c r="S31" i="15"/>
  <c r="M32" i="15"/>
  <c r="Q32" i="15"/>
  <c r="N32" i="15" s="1"/>
  <c r="R32" i="15"/>
  <c r="S32" i="15"/>
  <c r="M33" i="15"/>
  <c r="Q33" i="15"/>
  <c r="N33" i="15" s="1"/>
  <c r="R33" i="15"/>
  <c r="S33" i="15"/>
  <c r="M34" i="15"/>
  <c r="Q34" i="15"/>
  <c r="N34" i="15" s="1"/>
  <c r="R34" i="15"/>
  <c r="S34" i="15"/>
  <c r="M35" i="15"/>
  <c r="Q35" i="15"/>
  <c r="N35" i="15" s="1"/>
  <c r="R35" i="15"/>
  <c r="S35" i="15"/>
  <c r="M36" i="15"/>
  <c r="Q36" i="15"/>
  <c r="N36" i="15" s="1"/>
  <c r="R36" i="15"/>
  <c r="S36" i="15"/>
  <c r="M37" i="15"/>
  <c r="Q37" i="15"/>
  <c r="N37" i="15" s="1"/>
  <c r="R37" i="15"/>
  <c r="S37" i="15"/>
  <c r="M38" i="15"/>
  <c r="Q38" i="15"/>
  <c r="P38" i="15" s="1"/>
  <c r="R38" i="15"/>
  <c r="S38" i="15"/>
  <c r="M39" i="15"/>
  <c r="Q39" i="15"/>
  <c r="N39" i="15" s="1"/>
  <c r="R39" i="15"/>
  <c r="S39" i="15"/>
  <c r="M40" i="15"/>
  <c r="Q40" i="15"/>
  <c r="O40" i="15" s="1"/>
  <c r="R40" i="15"/>
  <c r="S40" i="15"/>
  <c r="M41" i="15"/>
  <c r="Q41" i="15"/>
  <c r="P41" i="15" s="1"/>
  <c r="R41" i="15"/>
  <c r="S41" i="15"/>
  <c r="M42" i="15"/>
  <c r="Q42" i="15"/>
  <c r="O42" i="15" s="1"/>
  <c r="R42" i="15"/>
  <c r="S42" i="15"/>
  <c r="M43" i="15"/>
  <c r="Q43" i="15"/>
  <c r="N43" i="15" s="1"/>
  <c r="R43" i="15"/>
  <c r="S43" i="15"/>
  <c r="M44" i="15"/>
  <c r="Q44" i="15"/>
  <c r="O44" i="15" s="1"/>
  <c r="R44" i="15"/>
  <c r="S44" i="15"/>
  <c r="M45" i="15"/>
  <c r="Q45" i="15"/>
  <c r="N45" i="15" s="1"/>
  <c r="R45" i="15"/>
  <c r="S45" i="15"/>
  <c r="M46" i="15"/>
  <c r="Q46" i="15"/>
  <c r="P46" i="15" s="1"/>
  <c r="R46" i="15"/>
  <c r="S46" i="15"/>
  <c r="M47" i="15"/>
  <c r="Q47" i="15"/>
  <c r="N47" i="15" s="1"/>
  <c r="R47" i="15"/>
  <c r="S47" i="15"/>
  <c r="M48" i="15"/>
  <c r="Q48" i="15"/>
  <c r="N48" i="15" s="1"/>
  <c r="R48" i="15"/>
  <c r="S48" i="15"/>
  <c r="M49" i="15"/>
  <c r="Q49" i="15"/>
  <c r="N49" i="15" s="1"/>
  <c r="R49" i="15"/>
  <c r="S49" i="15"/>
  <c r="M50" i="15"/>
  <c r="Q50" i="15"/>
  <c r="N50" i="15" s="1"/>
  <c r="R50" i="15"/>
  <c r="S50" i="15"/>
  <c r="M51" i="15"/>
  <c r="Q51" i="15"/>
  <c r="N51" i="15" s="1"/>
  <c r="R51" i="15"/>
  <c r="S51" i="15"/>
  <c r="M52" i="15"/>
  <c r="Q52" i="15"/>
  <c r="N52" i="15" s="1"/>
  <c r="R52" i="15"/>
  <c r="S52" i="15"/>
  <c r="M53" i="15"/>
  <c r="Q53" i="15"/>
  <c r="N53" i="15" s="1"/>
  <c r="R53" i="15"/>
  <c r="S53" i="15"/>
  <c r="M54" i="15"/>
  <c r="Q54" i="15"/>
  <c r="N54" i="15" s="1"/>
  <c r="R54" i="15"/>
  <c r="S54" i="15"/>
  <c r="M55" i="15"/>
  <c r="Q55" i="15"/>
  <c r="N55" i="15" s="1"/>
  <c r="R55" i="15"/>
  <c r="S55" i="15"/>
  <c r="M56" i="15"/>
  <c r="Q56" i="15"/>
  <c r="N56" i="15" s="1"/>
  <c r="R56" i="15"/>
  <c r="S56" i="15"/>
  <c r="M57" i="15"/>
  <c r="Q57" i="15"/>
  <c r="P57" i="15" s="1"/>
  <c r="R57" i="15"/>
  <c r="S57" i="15"/>
  <c r="M58" i="15"/>
  <c r="Q58" i="15"/>
  <c r="O58" i="15" s="1"/>
  <c r="R58" i="15"/>
  <c r="S58" i="15"/>
  <c r="M59" i="15"/>
  <c r="Q59" i="15"/>
  <c r="N59" i="15" s="1"/>
  <c r="R59" i="15"/>
  <c r="S59" i="15"/>
  <c r="M60" i="15"/>
  <c r="Q60" i="15"/>
  <c r="O60" i="15" s="1"/>
  <c r="R60" i="15"/>
  <c r="S60" i="15"/>
  <c r="M61" i="15"/>
  <c r="Q61" i="15"/>
  <c r="N61" i="15" s="1"/>
  <c r="R61" i="15"/>
  <c r="S61" i="15"/>
  <c r="M62" i="15"/>
  <c r="Q62" i="15"/>
  <c r="P62" i="15" s="1"/>
  <c r="R62" i="15"/>
  <c r="S62" i="15"/>
  <c r="M63" i="15"/>
  <c r="Q63" i="15"/>
  <c r="N63" i="15" s="1"/>
  <c r="R63" i="15"/>
  <c r="S63" i="15"/>
  <c r="M64" i="15"/>
  <c r="Q64" i="15"/>
  <c r="N64" i="15" s="1"/>
  <c r="R64" i="15"/>
  <c r="S64" i="15"/>
  <c r="M65" i="15"/>
  <c r="Q65" i="15"/>
  <c r="N65" i="15" s="1"/>
  <c r="R65" i="15"/>
  <c r="S65" i="15"/>
  <c r="M66" i="15"/>
  <c r="Q66" i="15"/>
  <c r="N66" i="15" s="1"/>
  <c r="R66" i="15"/>
  <c r="S66" i="15"/>
  <c r="M67" i="15"/>
  <c r="Q67" i="15"/>
  <c r="N67" i="15" s="1"/>
  <c r="R67" i="15"/>
  <c r="S67" i="15"/>
  <c r="M68" i="15"/>
  <c r="Q68" i="15"/>
  <c r="N68" i="15" s="1"/>
  <c r="R68" i="15"/>
  <c r="S68" i="15"/>
  <c r="M69" i="15"/>
  <c r="Q69" i="15"/>
  <c r="N69" i="15" s="1"/>
  <c r="R69" i="15"/>
  <c r="S69" i="15"/>
  <c r="M70" i="15"/>
  <c r="Q70" i="15"/>
  <c r="O70" i="15" s="1"/>
  <c r="R70" i="15"/>
  <c r="S70" i="15"/>
  <c r="M71" i="15"/>
  <c r="Q71" i="15"/>
  <c r="N71" i="15" s="1"/>
  <c r="R71" i="15"/>
  <c r="S71" i="15"/>
  <c r="M72" i="15"/>
  <c r="Q72" i="15"/>
  <c r="O72" i="15" s="1"/>
  <c r="R72" i="15"/>
  <c r="S72" i="15"/>
  <c r="M73" i="15"/>
  <c r="Q73" i="15"/>
  <c r="P73" i="15" s="1"/>
  <c r="R73" i="15"/>
  <c r="S73" i="15"/>
  <c r="M74" i="15"/>
  <c r="Q74" i="15"/>
  <c r="P74" i="15" s="1"/>
  <c r="R74" i="15"/>
  <c r="S74" i="15"/>
  <c r="M75" i="15"/>
  <c r="Q75" i="15"/>
  <c r="N75" i="15" s="1"/>
  <c r="R75" i="15"/>
  <c r="S75" i="15"/>
  <c r="M76" i="15"/>
  <c r="Q76" i="15"/>
  <c r="O76" i="15" s="1"/>
  <c r="R76" i="15"/>
  <c r="S76" i="15"/>
  <c r="M77" i="15"/>
  <c r="Q77" i="15"/>
  <c r="N77" i="15" s="1"/>
  <c r="R77" i="15"/>
  <c r="S77" i="15"/>
  <c r="M78" i="15"/>
  <c r="Q78" i="15"/>
  <c r="P78" i="15" s="1"/>
  <c r="R78" i="15"/>
  <c r="S78" i="15"/>
  <c r="M79" i="15"/>
  <c r="Q79" i="15"/>
  <c r="N79" i="15" s="1"/>
  <c r="R79" i="15"/>
  <c r="S79" i="15"/>
  <c r="M80" i="15"/>
  <c r="Q80" i="15"/>
  <c r="N80" i="15" s="1"/>
  <c r="R80" i="15"/>
  <c r="S80" i="15"/>
  <c r="M81" i="15"/>
  <c r="Q81" i="15"/>
  <c r="N81" i="15" s="1"/>
  <c r="R81" i="15"/>
  <c r="S81" i="15"/>
  <c r="M82" i="15"/>
  <c r="Q82" i="15"/>
  <c r="N82" i="15" s="1"/>
  <c r="R82" i="15"/>
  <c r="S82" i="15"/>
  <c r="M83" i="15"/>
  <c r="Q83" i="15"/>
  <c r="N83" i="15" s="1"/>
  <c r="R83" i="15"/>
  <c r="S83" i="15"/>
  <c r="M84" i="15"/>
  <c r="Q84" i="15"/>
  <c r="N84" i="15" s="1"/>
  <c r="R84" i="15"/>
  <c r="S84" i="15"/>
  <c r="M85" i="15"/>
  <c r="Q85" i="15"/>
  <c r="N85" i="15" s="1"/>
  <c r="R85" i="15"/>
  <c r="S85" i="15"/>
  <c r="M86" i="15"/>
  <c r="Q86" i="15"/>
  <c r="R86" i="15"/>
  <c r="S86" i="15"/>
  <c r="M87" i="15"/>
  <c r="Q87" i="15"/>
  <c r="N87" i="15" s="1"/>
  <c r="R87" i="15"/>
  <c r="S87" i="15"/>
  <c r="M88" i="15"/>
  <c r="Q88" i="15"/>
  <c r="N88" i="15" s="1"/>
  <c r="R88" i="15"/>
  <c r="S88" i="15"/>
  <c r="M89" i="15"/>
  <c r="Q89" i="15"/>
  <c r="P89" i="15" s="1"/>
  <c r="R89" i="15"/>
  <c r="S89" i="15"/>
  <c r="M90" i="15"/>
  <c r="Q90" i="15"/>
  <c r="P90" i="15" s="1"/>
  <c r="R90" i="15"/>
  <c r="S90" i="15"/>
  <c r="M91" i="15"/>
  <c r="Q91" i="15"/>
  <c r="N91" i="15" s="1"/>
  <c r="R91" i="15"/>
  <c r="S91" i="15"/>
  <c r="M92" i="15"/>
  <c r="Q92" i="15"/>
  <c r="O92" i="15" s="1"/>
  <c r="R92" i="15"/>
  <c r="S92" i="15"/>
  <c r="M93" i="15"/>
  <c r="Q93" i="15"/>
  <c r="N93" i="15" s="1"/>
  <c r="R93" i="15"/>
  <c r="S93" i="15"/>
  <c r="M94" i="15"/>
  <c r="Q94" i="15"/>
  <c r="P94" i="15" s="1"/>
  <c r="R94" i="15"/>
  <c r="S94" i="15"/>
  <c r="M95" i="15"/>
  <c r="Q95" i="15"/>
  <c r="N95" i="15" s="1"/>
  <c r="R95" i="15"/>
  <c r="S95" i="15"/>
  <c r="M96" i="15"/>
  <c r="Q96" i="15"/>
  <c r="R96" i="15"/>
  <c r="S96" i="15"/>
  <c r="M97" i="15"/>
  <c r="Q97" i="15"/>
  <c r="N97" i="15" s="1"/>
  <c r="R97" i="15"/>
  <c r="S97" i="15"/>
  <c r="M98" i="15"/>
  <c r="Q98" i="15"/>
  <c r="N98" i="15" s="1"/>
  <c r="R98" i="15"/>
  <c r="S98" i="15"/>
  <c r="M99" i="15"/>
  <c r="Q99" i="15"/>
  <c r="N99" i="15" s="1"/>
  <c r="R99" i="15"/>
  <c r="S99" i="15"/>
  <c r="M100" i="15"/>
  <c r="Q100" i="15"/>
  <c r="N100" i="15" s="1"/>
  <c r="R100" i="15"/>
  <c r="S100" i="15"/>
  <c r="M101" i="15"/>
  <c r="Q101" i="15"/>
  <c r="N101" i="15" s="1"/>
  <c r="R101" i="15"/>
  <c r="S101" i="15"/>
  <c r="M102" i="15"/>
  <c r="Q102" i="15"/>
  <c r="N102" i="15" s="1"/>
  <c r="R102" i="15"/>
  <c r="S102" i="15"/>
  <c r="M103" i="15"/>
  <c r="Q103" i="15"/>
  <c r="N103" i="15" s="1"/>
  <c r="R103" i="15"/>
  <c r="S103" i="15"/>
  <c r="M104" i="15"/>
  <c r="Q104" i="15"/>
  <c r="N104" i="15" s="1"/>
  <c r="R104" i="15"/>
  <c r="S104" i="15"/>
  <c r="M105" i="15"/>
  <c r="Q105" i="15"/>
  <c r="P105" i="15" s="1"/>
  <c r="R105" i="15"/>
  <c r="S105" i="15"/>
  <c r="M106" i="15"/>
  <c r="Q106" i="15"/>
  <c r="R106" i="15"/>
  <c r="S106" i="15"/>
  <c r="M107" i="15"/>
  <c r="Q107" i="15"/>
  <c r="N107" i="15" s="1"/>
  <c r="R107" i="15"/>
  <c r="S107" i="15"/>
  <c r="M108" i="15"/>
  <c r="Q108" i="15"/>
  <c r="O108" i="15" s="1"/>
  <c r="R108" i="15"/>
  <c r="S108" i="15"/>
  <c r="M109" i="15"/>
  <c r="Q109" i="15"/>
  <c r="N109" i="15" s="1"/>
  <c r="R109" i="15"/>
  <c r="S109" i="15"/>
  <c r="M110" i="15"/>
  <c r="Q110" i="15"/>
  <c r="P110" i="15" s="1"/>
  <c r="R110" i="15"/>
  <c r="S110" i="15"/>
  <c r="M111" i="15"/>
  <c r="Q111" i="15"/>
  <c r="N111" i="15" s="1"/>
  <c r="R111" i="15"/>
  <c r="S111" i="15"/>
  <c r="M112" i="15"/>
  <c r="Q112" i="15"/>
  <c r="N112" i="15" s="1"/>
  <c r="R112" i="15"/>
  <c r="S112" i="15"/>
  <c r="M113" i="15"/>
  <c r="Q113" i="15"/>
  <c r="N113" i="15" s="1"/>
  <c r="R113" i="15"/>
  <c r="S113" i="15"/>
  <c r="M114" i="15"/>
  <c r="Q114" i="15"/>
  <c r="N114" i="15" s="1"/>
  <c r="R114" i="15"/>
  <c r="S114" i="15"/>
  <c r="M115" i="15"/>
  <c r="Q115" i="15"/>
  <c r="N115" i="15" s="1"/>
  <c r="R115" i="15"/>
  <c r="S115" i="15"/>
  <c r="M116" i="15"/>
  <c r="Q116" i="15"/>
  <c r="N116" i="15" s="1"/>
  <c r="R116" i="15"/>
  <c r="S116" i="15"/>
  <c r="M117" i="15"/>
  <c r="Q117" i="15"/>
  <c r="N117" i="15" s="1"/>
  <c r="R117" i="15"/>
  <c r="S117" i="15"/>
  <c r="M118" i="15"/>
  <c r="Q118" i="15"/>
  <c r="N118" i="15" s="1"/>
  <c r="R118" i="15"/>
  <c r="S118" i="15"/>
  <c r="M119" i="15"/>
  <c r="Q119" i="15"/>
  <c r="N119" i="15" s="1"/>
  <c r="R119" i="15"/>
  <c r="S119" i="15"/>
  <c r="M120" i="15"/>
  <c r="Q120" i="15"/>
  <c r="O120" i="15" s="1"/>
  <c r="R120" i="15"/>
  <c r="S120" i="15"/>
  <c r="M121" i="15"/>
  <c r="Q121" i="15"/>
  <c r="P121" i="15" s="1"/>
  <c r="R121" i="15"/>
  <c r="S121" i="15"/>
  <c r="M122" i="15"/>
  <c r="Q122" i="15"/>
  <c r="P122" i="15" s="1"/>
  <c r="R122" i="15"/>
  <c r="S122" i="15"/>
  <c r="M123" i="15"/>
  <c r="Q123" i="15"/>
  <c r="P123" i="15" s="1"/>
  <c r="R123" i="15"/>
  <c r="S123" i="15"/>
  <c r="M124" i="15"/>
  <c r="Q124" i="15"/>
  <c r="O124" i="15" s="1"/>
  <c r="R124" i="15"/>
  <c r="S124" i="15"/>
  <c r="M125" i="15"/>
  <c r="Q125" i="15"/>
  <c r="N125" i="15" s="1"/>
  <c r="R125" i="15"/>
  <c r="S125" i="15"/>
  <c r="M126" i="15"/>
  <c r="Q126" i="15"/>
  <c r="P126" i="15" s="1"/>
  <c r="R126" i="15"/>
  <c r="S126" i="15"/>
  <c r="M127" i="15"/>
  <c r="Q127" i="15"/>
  <c r="N127" i="15" s="1"/>
  <c r="R127" i="15"/>
  <c r="S127" i="15"/>
  <c r="M128" i="15"/>
  <c r="Q128" i="15"/>
  <c r="N128" i="15" s="1"/>
  <c r="R128" i="15"/>
  <c r="S128" i="15"/>
  <c r="M129" i="15"/>
  <c r="Q129" i="15"/>
  <c r="N129" i="15" s="1"/>
  <c r="R129" i="15"/>
  <c r="S129" i="15"/>
  <c r="M130" i="15"/>
  <c r="Q130" i="15"/>
  <c r="N130" i="15" s="1"/>
  <c r="R130" i="15"/>
  <c r="S130" i="15"/>
  <c r="M131" i="15"/>
  <c r="Q131" i="15"/>
  <c r="N131" i="15" s="1"/>
  <c r="R131" i="15"/>
  <c r="S131" i="15"/>
  <c r="M132" i="15"/>
  <c r="Q132" i="15"/>
  <c r="R132" i="15"/>
  <c r="S132" i="15"/>
  <c r="M133" i="15"/>
  <c r="Q133" i="15"/>
  <c r="N133" i="15" s="1"/>
  <c r="R133" i="15"/>
  <c r="S133" i="15"/>
  <c r="M134" i="15"/>
  <c r="Q134" i="15"/>
  <c r="N134" i="15" s="1"/>
  <c r="R134" i="15"/>
  <c r="S134" i="15"/>
  <c r="M135" i="15"/>
  <c r="Q135" i="15"/>
  <c r="N135" i="15" s="1"/>
  <c r="R135" i="15"/>
  <c r="S135" i="15"/>
  <c r="M148" i="15"/>
  <c r="Q148" i="15"/>
  <c r="N148" i="15" s="1"/>
  <c r="R148" i="15"/>
  <c r="S148" i="15"/>
  <c r="M140" i="15"/>
  <c r="Q140" i="15"/>
  <c r="P140" i="15" s="1"/>
  <c r="R140" i="15"/>
  <c r="S140" i="15"/>
  <c r="M144" i="15"/>
  <c r="Q144" i="15"/>
  <c r="P144" i="15" s="1"/>
  <c r="R144" i="15"/>
  <c r="S144" i="15"/>
  <c r="M150" i="15"/>
  <c r="Q150" i="15"/>
  <c r="P150" i="15" s="1"/>
  <c r="R150" i="15"/>
  <c r="S150" i="15"/>
  <c r="M151" i="15"/>
  <c r="Q151" i="15"/>
  <c r="O151" i="15" s="1"/>
  <c r="R151" i="15"/>
  <c r="S151" i="15"/>
  <c r="M136" i="15"/>
  <c r="Q136" i="15"/>
  <c r="N136" i="15" s="1"/>
  <c r="R136" i="15"/>
  <c r="S136" i="15"/>
  <c r="M145" i="15"/>
  <c r="Q145" i="15"/>
  <c r="P145" i="15" s="1"/>
  <c r="R145" i="15"/>
  <c r="S145" i="15"/>
  <c r="M141" i="15"/>
  <c r="Q141" i="15"/>
  <c r="N141" i="15" s="1"/>
  <c r="R141" i="15"/>
  <c r="S141" i="15"/>
  <c r="M149" i="15"/>
  <c r="Q149" i="15"/>
  <c r="N149" i="15" s="1"/>
  <c r="R149" i="15"/>
  <c r="S149" i="15"/>
  <c r="M137" i="15"/>
  <c r="Q137" i="15"/>
  <c r="N137" i="15" s="1"/>
  <c r="R137" i="15"/>
  <c r="S137" i="15"/>
  <c r="M143" i="15"/>
  <c r="Q143" i="15"/>
  <c r="N143" i="15" s="1"/>
  <c r="R143" i="15"/>
  <c r="S143" i="15"/>
  <c r="M142" i="15"/>
  <c r="Q142" i="15"/>
  <c r="N142" i="15" s="1"/>
  <c r="R142" i="15"/>
  <c r="S142" i="15"/>
  <c r="M147" i="15"/>
  <c r="Q147" i="15"/>
  <c r="N147" i="15" s="1"/>
  <c r="R147" i="15"/>
  <c r="S147" i="15"/>
  <c r="M138" i="15"/>
  <c r="Q138" i="15"/>
  <c r="N138" i="15" s="1"/>
  <c r="R138" i="15"/>
  <c r="S138" i="15"/>
  <c r="M146" i="15"/>
  <c r="Q146" i="15"/>
  <c r="N146" i="15" s="1"/>
  <c r="R146" i="15"/>
  <c r="S146" i="15"/>
  <c r="M139" i="15"/>
  <c r="Q139" i="15"/>
  <c r="N139" i="15" s="1"/>
  <c r="R139" i="15"/>
  <c r="S139" i="15"/>
  <c r="M152" i="15"/>
  <c r="Q152" i="15"/>
  <c r="O152" i="15" s="1"/>
  <c r="R152" i="15"/>
  <c r="S152" i="15"/>
  <c r="M153" i="15"/>
  <c r="Q153" i="15"/>
  <c r="P153" i="15" s="1"/>
  <c r="R153" i="15"/>
  <c r="S153" i="15"/>
  <c r="M154" i="15"/>
  <c r="Q154" i="15"/>
  <c r="P154" i="15" s="1"/>
  <c r="R154" i="15"/>
  <c r="S154" i="15"/>
  <c r="M155" i="15"/>
  <c r="Q155" i="15"/>
  <c r="R155" i="15"/>
  <c r="S155" i="15"/>
  <c r="M156" i="15"/>
  <c r="Q156" i="15"/>
  <c r="O156" i="15" s="1"/>
  <c r="R156" i="15"/>
  <c r="S156" i="15"/>
  <c r="M157" i="15"/>
  <c r="Q157" i="15"/>
  <c r="N157" i="15" s="1"/>
  <c r="R157" i="15"/>
  <c r="S157" i="15"/>
  <c r="M158" i="15"/>
  <c r="Q158" i="15"/>
  <c r="P158" i="15" s="1"/>
  <c r="R158" i="15"/>
  <c r="S158" i="15"/>
  <c r="M159" i="15"/>
  <c r="Q159" i="15"/>
  <c r="N159" i="15" s="1"/>
  <c r="R159" i="15"/>
  <c r="S159" i="15"/>
  <c r="M160" i="15"/>
  <c r="Q160" i="15"/>
  <c r="N160" i="15" s="1"/>
  <c r="R160" i="15"/>
  <c r="S160" i="15"/>
  <c r="M161" i="15"/>
  <c r="Q161" i="15"/>
  <c r="N161" i="15" s="1"/>
  <c r="R161" i="15"/>
  <c r="S161" i="15"/>
  <c r="M162" i="15"/>
  <c r="Q162" i="15"/>
  <c r="N162" i="15" s="1"/>
  <c r="R162" i="15"/>
  <c r="S162" i="15"/>
  <c r="M163" i="15"/>
  <c r="Q163" i="15"/>
  <c r="N163" i="15" s="1"/>
  <c r="R163" i="15"/>
  <c r="S163" i="15"/>
  <c r="M164" i="15"/>
  <c r="Q164" i="15"/>
  <c r="R164" i="15"/>
  <c r="S164" i="15"/>
  <c r="M165" i="15"/>
  <c r="Q165" i="15"/>
  <c r="N165" i="15" s="1"/>
  <c r="R165" i="15"/>
  <c r="S165" i="15"/>
  <c r="M166" i="15"/>
  <c r="Q166" i="15"/>
  <c r="O166" i="15" s="1"/>
  <c r="R166" i="15"/>
  <c r="S166" i="15"/>
  <c r="M167" i="15"/>
  <c r="Q167" i="15"/>
  <c r="N167" i="15" s="1"/>
  <c r="R167" i="15"/>
  <c r="S167" i="15"/>
  <c r="M168" i="15"/>
  <c r="Q168" i="15"/>
  <c r="N168" i="15" s="1"/>
  <c r="R168" i="15"/>
  <c r="S168" i="15"/>
  <c r="M169" i="15"/>
  <c r="Q169" i="15"/>
  <c r="P169" i="15" s="1"/>
  <c r="R169" i="15"/>
  <c r="S169" i="15"/>
  <c r="M170" i="15"/>
  <c r="Q170" i="15"/>
  <c r="P170" i="15" s="1"/>
  <c r="R170" i="15"/>
  <c r="S170" i="15"/>
  <c r="M171" i="15"/>
  <c r="Q171" i="15"/>
  <c r="N171" i="15" s="1"/>
  <c r="R171" i="15"/>
  <c r="S171" i="15"/>
  <c r="M172" i="15"/>
  <c r="Q172" i="15"/>
  <c r="R172" i="15"/>
  <c r="S172" i="15"/>
  <c r="M173" i="15"/>
  <c r="Q173" i="15"/>
  <c r="N173" i="15" s="1"/>
  <c r="R173" i="15"/>
  <c r="S173" i="15"/>
  <c r="M174" i="15"/>
  <c r="Q174" i="15"/>
  <c r="O174" i="15" s="1"/>
  <c r="R174" i="15"/>
  <c r="S174" i="15"/>
  <c r="M175" i="15"/>
  <c r="Q175" i="15"/>
  <c r="N175" i="15" s="1"/>
  <c r="R175" i="15"/>
  <c r="S175" i="15"/>
  <c r="M176" i="15"/>
  <c r="Q176" i="15"/>
  <c r="N176" i="15" s="1"/>
  <c r="R176" i="15"/>
  <c r="S176" i="15"/>
  <c r="M177" i="15"/>
  <c r="Q177" i="15"/>
  <c r="N177" i="15" s="1"/>
  <c r="R177" i="15"/>
  <c r="S177" i="15"/>
  <c r="M178" i="15"/>
  <c r="Q178" i="15"/>
  <c r="N178" i="15" s="1"/>
  <c r="R178" i="15"/>
  <c r="S178" i="15"/>
  <c r="M179" i="15"/>
  <c r="Q179" i="15"/>
  <c r="N179" i="15" s="1"/>
  <c r="R179" i="15"/>
  <c r="S179" i="15"/>
  <c r="M182" i="15"/>
  <c r="Q182" i="15"/>
  <c r="N182" i="15" s="1"/>
  <c r="R182" i="15"/>
  <c r="S182" i="15"/>
  <c r="M181" i="15"/>
  <c r="Q181" i="15"/>
  <c r="R181" i="15"/>
  <c r="S181" i="15"/>
  <c r="M180" i="15"/>
  <c r="Q180" i="15"/>
  <c r="P180" i="15" s="1"/>
  <c r="R180" i="15"/>
  <c r="S180" i="15"/>
  <c r="M183" i="15"/>
  <c r="Q183" i="15"/>
  <c r="N183" i="15" s="1"/>
  <c r="R183" i="15"/>
  <c r="S183" i="15"/>
  <c r="M184" i="15"/>
  <c r="Q184" i="15"/>
  <c r="R184" i="15"/>
  <c r="S184" i="15"/>
  <c r="M185" i="15"/>
  <c r="Q185" i="15"/>
  <c r="P185" i="15" s="1"/>
  <c r="R185" i="15"/>
  <c r="S185" i="15"/>
  <c r="M186" i="15"/>
  <c r="Q186" i="15"/>
  <c r="P186" i="15" s="1"/>
  <c r="R186" i="15"/>
  <c r="S186" i="15"/>
  <c r="M187" i="15"/>
  <c r="Q187" i="15"/>
  <c r="N187" i="15" s="1"/>
  <c r="R187" i="15"/>
  <c r="S187" i="15"/>
  <c r="M188" i="15"/>
  <c r="Q188" i="15"/>
  <c r="O188" i="15" s="1"/>
  <c r="R188" i="15"/>
  <c r="S188" i="15"/>
  <c r="M189" i="15"/>
  <c r="Q189" i="15"/>
  <c r="N189" i="15" s="1"/>
  <c r="R189" i="15"/>
  <c r="S189" i="15"/>
  <c r="M190" i="15"/>
  <c r="Q190" i="15"/>
  <c r="O190" i="15" s="1"/>
  <c r="R190" i="15"/>
  <c r="S190" i="15"/>
  <c r="M191" i="15"/>
  <c r="Q191" i="15"/>
  <c r="N191" i="15" s="1"/>
  <c r="R191" i="15"/>
  <c r="S191" i="15"/>
  <c r="M192" i="15"/>
  <c r="Q192" i="15"/>
  <c r="N192" i="15" s="1"/>
  <c r="R192" i="15"/>
  <c r="S192" i="15"/>
  <c r="M193" i="15"/>
  <c r="Q193" i="15"/>
  <c r="N193" i="15" s="1"/>
  <c r="R193" i="15"/>
  <c r="S193" i="15"/>
  <c r="M194" i="15"/>
  <c r="Q194" i="15"/>
  <c r="N194" i="15" s="1"/>
  <c r="R194" i="15"/>
  <c r="S194" i="15"/>
  <c r="M195" i="15"/>
  <c r="Q195" i="15"/>
  <c r="N195" i="15" s="1"/>
  <c r="R195" i="15"/>
  <c r="S195" i="15"/>
  <c r="M196" i="15"/>
  <c r="Q196" i="15"/>
  <c r="N196" i="15" s="1"/>
  <c r="R196" i="15"/>
  <c r="S196" i="15"/>
  <c r="M197" i="15"/>
  <c r="Q197" i="15"/>
  <c r="N197" i="15" s="1"/>
  <c r="R197" i="15"/>
  <c r="S197" i="15"/>
  <c r="M198" i="15"/>
  <c r="Q198" i="15"/>
  <c r="N198" i="15" s="1"/>
  <c r="R198" i="15"/>
  <c r="S198" i="15"/>
  <c r="M199" i="15"/>
  <c r="Q199" i="15"/>
  <c r="N199" i="15" s="1"/>
  <c r="R199" i="15"/>
  <c r="S199" i="15"/>
  <c r="M200" i="15"/>
  <c r="Q200" i="15"/>
  <c r="N200" i="15" s="1"/>
  <c r="R200" i="15"/>
  <c r="S200" i="15"/>
  <c r="M201" i="15"/>
  <c r="Q201" i="15"/>
  <c r="O201" i="15" s="1"/>
  <c r="R201" i="15"/>
  <c r="S201" i="15"/>
  <c r="M202" i="15"/>
  <c r="Q202" i="15"/>
  <c r="N202" i="15" s="1"/>
  <c r="R202" i="15"/>
  <c r="S202" i="15"/>
  <c r="M203" i="15"/>
  <c r="Q203" i="15"/>
  <c r="N203" i="15" s="1"/>
  <c r="R203" i="15"/>
  <c r="S203" i="15"/>
  <c r="M204" i="15"/>
  <c r="Q204" i="15"/>
  <c r="O204" i="15" s="1"/>
  <c r="R204" i="15"/>
  <c r="S204" i="15"/>
  <c r="M205" i="15"/>
  <c r="Q205" i="15"/>
  <c r="N205" i="15" s="1"/>
  <c r="R205" i="15"/>
  <c r="S205" i="15"/>
  <c r="M206" i="15"/>
  <c r="Q206" i="15"/>
  <c r="O206" i="15" s="1"/>
  <c r="R206" i="15"/>
  <c r="S206" i="15"/>
  <c r="M207" i="15"/>
  <c r="Q207" i="15"/>
  <c r="N207" i="15" s="1"/>
  <c r="R207" i="15"/>
  <c r="S207" i="15"/>
  <c r="M208" i="15"/>
  <c r="Q208" i="15"/>
  <c r="O208" i="15" s="1"/>
  <c r="R208" i="15"/>
  <c r="S208" i="15"/>
  <c r="M209" i="15"/>
  <c r="Q209" i="15"/>
  <c r="R209" i="15"/>
  <c r="S209" i="15"/>
  <c r="M210" i="15"/>
  <c r="Q210" i="15"/>
  <c r="N210" i="15" s="1"/>
  <c r="R210" i="15"/>
  <c r="S210" i="15"/>
  <c r="M211" i="15"/>
  <c r="Q211" i="15"/>
  <c r="R211" i="15"/>
  <c r="S211" i="15"/>
  <c r="M212" i="15"/>
  <c r="Q212" i="15"/>
  <c r="R212" i="15"/>
  <c r="S212" i="15"/>
  <c r="M213" i="15"/>
  <c r="Q213" i="15"/>
  <c r="N213" i="15" s="1"/>
  <c r="R213" i="15"/>
  <c r="S213" i="15"/>
  <c r="M214" i="15"/>
  <c r="Q214" i="15"/>
  <c r="N214" i="15" s="1"/>
  <c r="R214" i="15"/>
  <c r="S214" i="15"/>
  <c r="M215" i="15"/>
  <c r="Q215" i="15"/>
  <c r="N215" i="15" s="1"/>
  <c r="R215" i="15"/>
  <c r="S215" i="15"/>
  <c r="M216" i="15"/>
  <c r="Q216" i="15"/>
  <c r="N216" i="15" s="1"/>
  <c r="R216" i="15"/>
  <c r="S216" i="15"/>
  <c r="M217" i="15"/>
  <c r="Q217" i="15"/>
  <c r="P217" i="15" s="1"/>
  <c r="R217" i="15"/>
  <c r="S217" i="15"/>
  <c r="M218" i="15"/>
  <c r="Q218" i="15"/>
  <c r="N218" i="15" s="1"/>
  <c r="R218" i="15"/>
  <c r="S218" i="15"/>
  <c r="M219" i="15"/>
  <c r="Q219" i="15"/>
  <c r="N219" i="15" s="1"/>
  <c r="R219" i="15"/>
  <c r="S219" i="15"/>
  <c r="M220" i="15"/>
  <c r="Q220" i="15"/>
  <c r="O220" i="15" s="1"/>
  <c r="R220" i="15"/>
  <c r="S220" i="15"/>
  <c r="M221" i="15"/>
  <c r="Q221" i="15"/>
  <c r="R221" i="15"/>
  <c r="S221" i="15"/>
  <c r="M222" i="15"/>
  <c r="Q222" i="15"/>
  <c r="O222" i="15" s="1"/>
  <c r="R222" i="15"/>
  <c r="S222" i="15"/>
  <c r="M226" i="15"/>
  <c r="Q226" i="15"/>
  <c r="N226" i="15" s="1"/>
  <c r="R226" i="15"/>
  <c r="S226" i="15"/>
  <c r="M227" i="15"/>
  <c r="Q227" i="15"/>
  <c r="O227" i="15" s="1"/>
  <c r="R227" i="15"/>
  <c r="S227" i="15"/>
  <c r="M228" i="15"/>
  <c r="Q228" i="15"/>
  <c r="R228" i="15"/>
  <c r="S228" i="15"/>
  <c r="M229" i="15"/>
  <c r="Q229" i="15"/>
  <c r="N229" i="15" s="1"/>
  <c r="R229" i="15"/>
  <c r="S229" i="15"/>
  <c r="M230" i="15"/>
  <c r="Q230" i="15"/>
  <c r="N230" i="15" s="1"/>
  <c r="R230" i="15"/>
  <c r="S230" i="15"/>
  <c r="M231" i="15"/>
  <c r="Q231" i="15"/>
  <c r="N231" i="15" s="1"/>
  <c r="R231" i="15"/>
  <c r="S231" i="15"/>
  <c r="M232" i="15"/>
  <c r="Q232" i="15"/>
  <c r="P232" i="15" s="1"/>
  <c r="R232" i="15"/>
  <c r="S232" i="15"/>
  <c r="M233" i="15"/>
  <c r="Q233" i="15"/>
  <c r="R233" i="15"/>
  <c r="S233" i="15"/>
  <c r="M234" i="15"/>
  <c r="Q234" i="15"/>
  <c r="N234" i="15" s="1"/>
  <c r="R234" i="15"/>
  <c r="S234" i="15"/>
  <c r="M235" i="15"/>
  <c r="Q235" i="15"/>
  <c r="P235" i="15" s="1"/>
  <c r="R235" i="15"/>
  <c r="S235" i="15"/>
  <c r="M236" i="15"/>
  <c r="Q236" i="15"/>
  <c r="R236" i="15"/>
  <c r="S236" i="15"/>
  <c r="M237" i="15"/>
  <c r="Q237" i="15"/>
  <c r="P237" i="15" s="1"/>
  <c r="R237" i="15"/>
  <c r="S237" i="15"/>
  <c r="M238" i="15"/>
  <c r="Q238" i="15"/>
  <c r="O238" i="15" s="1"/>
  <c r="R238" i="15"/>
  <c r="S238" i="15"/>
  <c r="M239" i="15"/>
  <c r="Q239" i="15"/>
  <c r="N239" i="15" s="1"/>
  <c r="R239" i="15"/>
  <c r="S239" i="15"/>
  <c r="M240" i="15"/>
  <c r="Q240" i="15"/>
  <c r="P240" i="15" s="1"/>
  <c r="R240" i="15"/>
  <c r="S240" i="15"/>
  <c r="M241" i="15"/>
  <c r="Q241" i="15"/>
  <c r="R241" i="15"/>
  <c r="S241" i="15"/>
  <c r="M242" i="15"/>
  <c r="Q242" i="15"/>
  <c r="N242" i="15" s="1"/>
  <c r="R242" i="15"/>
  <c r="S242" i="15"/>
  <c r="M243" i="15"/>
  <c r="Q243" i="15"/>
  <c r="O243" i="15" s="1"/>
  <c r="R243" i="15"/>
  <c r="S243" i="15"/>
  <c r="M244" i="15"/>
  <c r="Q244" i="15"/>
  <c r="R244" i="15"/>
  <c r="S244" i="15"/>
  <c r="M245" i="15"/>
  <c r="Q245" i="15"/>
  <c r="N245" i="15" s="1"/>
  <c r="R245" i="15"/>
  <c r="S245" i="15"/>
  <c r="M246" i="15"/>
  <c r="Q246" i="15"/>
  <c r="N246" i="15" s="1"/>
  <c r="R246" i="15"/>
  <c r="S246" i="15"/>
  <c r="M247" i="15"/>
  <c r="Q247" i="15"/>
  <c r="N247" i="15" s="1"/>
  <c r="R247" i="15"/>
  <c r="S247" i="15"/>
  <c r="M248" i="15"/>
  <c r="Q248" i="15"/>
  <c r="R248" i="15"/>
  <c r="S248" i="15"/>
  <c r="M249" i="15"/>
  <c r="Q249" i="15"/>
  <c r="P249" i="15" s="1"/>
  <c r="R249" i="15"/>
  <c r="S249" i="15"/>
  <c r="M250" i="15"/>
  <c r="Q250" i="15"/>
  <c r="N250" i="15" s="1"/>
  <c r="R250" i="15"/>
  <c r="S250" i="15"/>
  <c r="M251" i="15"/>
  <c r="Q251" i="15"/>
  <c r="N251" i="15" s="1"/>
  <c r="R251" i="15"/>
  <c r="S251" i="15"/>
  <c r="M252" i="15"/>
  <c r="Q252" i="15"/>
  <c r="R252" i="15"/>
  <c r="S252" i="15"/>
  <c r="M253" i="15"/>
  <c r="Q253" i="15"/>
  <c r="R253" i="15"/>
  <c r="S253" i="15"/>
  <c r="M254" i="15"/>
  <c r="Q254" i="15"/>
  <c r="R254" i="15"/>
  <c r="S254" i="15"/>
  <c r="M255" i="15"/>
  <c r="Q255" i="15"/>
  <c r="R255" i="15"/>
  <c r="S255" i="15"/>
  <c r="M256" i="15"/>
  <c r="Q256" i="15"/>
  <c r="N256" i="15" s="1"/>
  <c r="R256" i="15"/>
  <c r="S256" i="15"/>
  <c r="M257" i="15"/>
  <c r="Q257" i="15"/>
  <c r="R257" i="15"/>
  <c r="S257" i="15"/>
  <c r="M258" i="15"/>
  <c r="Q258" i="15"/>
  <c r="N258" i="15" s="1"/>
  <c r="R258" i="15"/>
  <c r="S258" i="15"/>
  <c r="M259" i="15"/>
  <c r="Q259" i="15"/>
  <c r="O259" i="15" s="1"/>
  <c r="R259" i="15"/>
  <c r="S259" i="15"/>
  <c r="M260" i="15"/>
  <c r="Q260" i="15"/>
  <c r="R260" i="15"/>
  <c r="S260" i="15"/>
  <c r="M261" i="15"/>
  <c r="Q261" i="15"/>
  <c r="N261" i="15" s="1"/>
  <c r="R261" i="15"/>
  <c r="S261" i="15"/>
  <c r="M262" i="15"/>
  <c r="Q262" i="15"/>
  <c r="P262" i="15" s="1"/>
  <c r="R262" i="15"/>
  <c r="S262" i="15"/>
  <c r="M263" i="15"/>
  <c r="Q263" i="15"/>
  <c r="N263" i="15" s="1"/>
  <c r="R263" i="15"/>
  <c r="S263" i="15"/>
  <c r="M264" i="15"/>
  <c r="Q264" i="15"/>
  <c r="N264" i="15" s="1"/>
  <c r="R264" i="15"/>
  <c r="S264" i="15"/>
  <c r="M265" i="15"/>
  <c r="Q265" i="15"/>
  <c r="R265" i="15"/>
  <c r="S265" i="15"/>
  <c r="M266" i="15"/>
  <c r="Q266" i="15"/>
  <c r="N266" i="15" s="1"/>
  <c r="R266" i="15"/>
  <c r="S266" i="15"/>
  <c r="M267" i="15"/>
  <c r="Q267" i="15"/>
  <c r="P267" i="15" s="1"/>
  <c r="R267" i="15"/>
  <c r="S267" i="15"/>
  <c r="M268" i="15"/>
  <c r="Q268" i="15"/>
  <c r="R268" i="15"/>
  <c r="S268" i="15"/>
  <c r="M269" i="15"/>
  <c r="Q269" i="15"/>
  <c r="N269" i="15" s="1"/>
  <c r="R269" i="15"/>
  <c r="S269" i="15"/>
  <c r="M270" i="15"/>
  <c r="Q270" i="15"/>
  <c r="O270" i="15" s="1"/>
  <c r="R270" i="15"/>
  <c r="S270" i="15"/>
  <c r="M271" i="15"/>
  <c r="Q271" i="15"/>
  <c r="R271" i="15"/>
  <c r="S271" i="15"/>
  <c r="M272" i="15"/>
  <c r="Q272" i="15"/>
  <c r="N272" i="15" s="1"/>
  <c r="R272" i="15"/>
  <c r="S272" i="15"/>
  <c r="M273" i="15"/>
  <c r="Q273" i="15"/>
  <c r="R273" i="15"/>
  <c r="S273" i="15"/>
  <c r="M274" i="15"/>
  <c r="Q274" i="15"/>
  <c r="N274" i="15" s="1"/>
  <c r="R274" i="15"/>
  <c r="S274" i="15"/>
  <c r="M275" i="15"/>
  <c r="Q275" i="15"/>
  <c r="O275" i="15" s="1"/>
  <c r="R275" i="15"/>
  <c r="S275" i="15"/>
  <c r="M276" i="15"/>
  <c r="Q276" i="15"/>
  <c r="R276" i="15"/>
  <c r="S276" i="15"/>
  <c r="M277" i="15"/>
  <c r="Q277" i="15"/>
  <c r="O277" i="15" s="1"/>
  <c r="R277" i="15"/>
  <c r="S277" i="15"/>
  <c r="M278" i="15"/>
  <c r="Q278" i="15"/>
  <c r="O278" i="15" s="1"/>
  <c r="R278" i="15"/>
  <c r="S278" i="15"/>
  <c r="M279" i="15"/>
  <c r="Q279" i="15"/>
  <c r="N279" i="15" s="1"/>
  <c r="R279" i="15"/>
  <c r="S279" i="15"/>
  <c r="M280" i="15"/>
  <c r="Q280" i="15"/>
  <c r="N280" i="15" s="1"/>
  <c r="R280" i="15"/>
  <c r="S280" i="15"/>
  <c r="M281" i="15"/>
  <c r="Q281" i="15"/>
  <c r="P281" i="15" s="1"/>
  <c r="R281" i="15"/>
  <c r="S281" i="15"/>
  <c r="M282" i="15"/>
  <c r="Q282" i="15"/>
  <c r="N282" i="15" s="1"/>
  <c r="R282" i="15"/>
  <c r="S282" i="15"/>
  <c r="M283" i="15"/>
  <c r="Q283" i="15"/>
  <c r="O283" i="15" s="1"/>
  <c r="R283" i="15"/>
  <c r="S283" i="15"/>
  <c r="M284" i="15"/>
  <c r="Q284" i="15"/>
  <c r="R284" i="15"/>
  <c r="S284" i="15"/>
  <c r="M285" i="15"/>
  <c r="Q285" i="15"/>
  <c r="N285" i="15" s="1"/>
  <c r="R285" i="15"/>
  <c r="S285" i="15"/>
  <c r="M286" i="15"/>
  <c r="Q286" i="15"/>
  <c r="O286" i="15" s="1"/>
  <c r="R286" i="15"/>
  <c r="S286" i="15"/>
  <c r="M287" i="15"/>
  <c r="Q287" i="15"/>
  <c r="R287" i="15"/>
  <c r="S287" i="15"/>
  <c r="M288" i="15"/>
  <c r="Q288" i="15"/>
  <c r="O288" i="15" s="1"/>
  <c r="R288" i="15"/>
  <c r="S288" i="15"/>
  <c r="M289" i="15"/>
  <c r="Q289" i="15"/>
  <c r="R289" i="15"/>
  <c r="S289" i="15"/>
  <c r="M290" i="15"/>
  <c r="Q290" i="15"/>
  <c r="N290" i="15" s="1"/>
  <c r="R290" i="15"/>
  <c r="S290" i="15"/>
  <c r="M291" i="15"/>
  <c r="Q291" i="15"/>
  <c r="R291" i="15"/>
  <c r="S291" i="15"/>
  <c r="M292" i="15"/>
  <c r="Q292" i="15"/>
  <c r="P292" i="15" s="1"/>
  <c r="R292" i="15"/>
  <c r="S292" i="15"/>
  <c r="M293" i="15"/>
  <c r="Q293" i="15"/>
  <c r="N293" i="15" s="1"/>
  <c r="R293" i="15"/>
  <c r="S293" i="15"/>
  <c r="M294" i="15"/>
  <c r="Q294" i="15"/>
  <c r="O294" i="15" s="1"/>
  <c r="R294" i="15"/>
  <c r="S294" i="15"/>
  <c r="M295" i="15"/>
  <c r="Q295" i="15"/>
  <c r="N295" i="15" s="1"/>
  <c r="R295" i="15"/>
  <c r="S295" i="15"/>
  <c r="M296" i="15"/>
  <c r="Q296" i="15"/>
  <c r="R296" i="15"/>
  <c r="S296" i="15"/>
  <c r="M297" i="15"/>
  <c r="Q297" i="15"/>
  <c r="P297" i="15" s="1"/>
  <c r="R297" i="15"/>
  <c r="S297" i="15"/>
  <c r="M298" i="15"/>
  <c r="Q298" i="15"/>
  <c r="N298" i="15" s="1"/>
  <c r="R298" i="15"/>
  <c r="S298" i="15"/>
  <c r="M299" i="15"/>
  <c r="Q299" i="15"/>
  <c r="N299" i="15" s="1"/>
  <c r="R299" i="15"/>
  <c r="S299" i="15"/>
  <c r="M300" i="15"/>
  <c r="Q300" i="15"/>
  <c r="N300" i="15" s="1"/>
  <c r="R300" i="15"/>
  <c r="S300" i="15"/>
  <c r="M301" i="15"/>
  <c r="Q301" i="15"/>
  <c r="N301" i="15" s="1"/>
  <c r="R301" i="15"/>
  <c r="S301" i="15"/>
  <c r="M302" i="15"/>
  <c r="Q302" i="15"/>
  <c r="O302" i="15" s="1"/>
  <c r="R302" i="15"/>
  <c r="S302" i="15"/>
  <c r="M303" i="15"/>
  <c r="Q303" i="15"/>
  <c r="R303" i="15"/>
  <c r="S303" i="15"/>
  <c r="M304" i="15"/>
  <c r="Q304" i="15"/>
  <c r="N304" i="15" s="1"/>
  <c r="R304" i="15"/>
  <c r="S304" i="15"/>
  <c r="M305" i="15"/>
  <c r="Q305" i="15"/>
  <c r="R305" i="15"/>
  <c r="S305" i="15"/>
  <c r="M306" i="15"/>
  <c r="Q306" i="15"/>
  <c r="N306" i="15" s="1"/>
  <c r="R306" i="15"/>
  <c r="S306" i="15"/>
  <c r="M307" i="15"/>
  <c r="Q307" i="15"/>
  <c r="R307" i="15"/>
  <c r="S307" i="15"/>
  <c r="M308" i="15"/>
  <c r="Q308" i="15"/>
  <c r="P308" i="15" s="1"/>
  <c r="R308" i="15"/>
  <c r="S308" i="15"/>
  <c r="M309" i="15"/>
  <c r="Q309" i="15"/>
  <c r="N309" i="15" s="1"/>
  <c r="R309" i="15"/>
  <c r="S309" i="15"/>
  <c r="M310" i="15"/>
  <c r="Q310" i="15"/>
  <c r="N310" i="15" s="1"/>
  <c r="R310" i="15"/>
  <c r="S310" i="15"/>
  <c r="M311" i="15"/>
  <c r="Q311" i="15"/>
  <c r="N311" i="15" s="1"/>
  <c r="R311" i="15"/>
  <c r="S311" i="15"/>
  <c r="M312" i="15"/>
  <c r="Q312" i="15"/>
  <c r="N312" i="15" s="1"/>
  <c r="R312" i="15"/>
  <c r="S312" i="15"/>
  <c r="M313" i="15"/>
  <c r="Q313" i="15"/>
  <c r="R313" i="15"/>
  <c r="S313" i="15"/>
  <c r="M314" i="15"/>
  <c r="Q314" i="15"/>
  <c r="N314" i="15" s="1"/>
  <c r="R314" i="15"/>
  <c r="S314" i="15"/>
  <c r="M315" i="15"/>
  <c r="Q315" i="15"/>
  <c r="N315" i="15" s="1"/>
  <c r="R315" i="15"/>
  <c r="S315" i="15"/>
  <c r="M316" i="15"/>
  <c r="Q316" i="15"/>
  <c r="N316" i="15" s="1"/>
  <c r="R316" i="15"/>
  <c r="S316" i="15"/>
  <c r="M317" i="15"/>
  <c r="Q317" i="15"/>
  <c r="O317" i="15" s="1"/>
  <c r="R317" i="15"/>
  <c r="S317" i="15"/>
  <c r="M318" i="15"/>
  <c r="Q318" i="15"/>
  <c r="O318" i="15" s="1"/>
  <c r="R318" i="15"/>
  <c r="S318" i="15"/>
  <c r="M319" i="15"/>
  <c r="Q319" i="15"/>
  <c r="R319" i="15"/>
  <c r="S319" i="15"/>
  <c r="M320" i="15"/>
  <c r="Q320" i="15"/>
  <c r="N320" i="15" s="1"/>
  <c r="R320" i="15"/>
  <c r="S320" i="15"/>
  <c r="M321" i="15"/>
  <c r="Q321" i="15"/>
  <c r="R321" i="15"/>
  <c r="S321" i="15"/>
  <c r="M322" i="15"/>
  <c r="Q322" i="15"/>
  <c r="N322" i="15" s="1"/>
  <c r="R322" i="15"/>
  <c r="S322" i="15"/>
  <c r="M323" i="15"/>
  <c r="Q323" i="15"/>
  <c r="R323" i="15"/>
  <c r="S323" i="15"/>
  <c r="M324" i="15"/>
  <c r="Q324" i="15"/>
  <c r="P324" i="15" s="1"/>
  <c r="R324" i="15"/>
  <c r="S324" i="15"/>
  <c r="M325" i="15"/>
  <c r="Q325" i="15"/>
  <c r="N325" i="15" s="1"/>
  <c r="R325" i="15"/>
  <c r="S325" i="15"/>
  <c r="M326" i="15"/>
  <c r="Q326" i="15"/>
  <c r="O326" i="15" s="1"/>
  <c r="R326" i="15"/>
  <c r="S326" i="15"/>
  <c r="M327" i="15"/>
  <c r="Q327" i="15"/>
  <c r="N327" i="15" s="1"/>
  <c r="R327" i="15"/>
  <c r="S327" i="15"/>
  <c r="M328" i="15"/>
  <c r="Q328" i="15"/>
  <c r="N328" i="15" s="1"/>
  <c r="R328" i="15"/>
  <c r="S328" i="15"/>
  <c r="M329" i="15"/>
  <c r="Q329" i="15"/>
  <c r="P329" i="15" s="1"/>
  <c r="R329" i="15"/>
  <c r="S329" i="15"/>
  <c r="M330" i="15"/>
  <c r="Q330" i="15"/>
  <c r="N330" i="15" s="1"/>
  <c r="R330" i="15"/>
  <c r="S330" i="15"/>
  <c r="M331" i="15"/>
  <c r="Q331" i="15"/>
  <c r="O331" i="15" s="1"/>
  <c r="R331" i="15"/>
  <c r="S331" i="15"/>
  <c r="M332" i="15"/>
  <c r="Q332" i="15"/>
  <c r="R332" i="15"/>
  <c r="S332" i="15"/>
  <c r="M333" i="15"/>
  <c r="Q333" i="15"/>
  <c r="N333" i="15" s="1"/>
  <c r="R333" i="15"/>
  <c r="S333" i="15"/>
  <c r="M334" i="15"/>
  <c r="Q334" i="15"/>
  <c r="O334" i="15" s="1"/>
  <c r="R334" i="15"/>
  <c r="S334" i="15"/>
  <c r="M335" i="15"/>
  <c r="Q335" i="15"/>
  <c r="R335" i="15"/>
  <c r="S335" i="15"/>
  <c r="M336" i="15"/>
  <c r="Q336" i="15"/>
  <c r="N336" i="15" s="1"/>
  <c r="R336" i="15"/>
  <c r="S336" i="15"/>
  <c r="M337" i="15"/>
  <c r="Q337" i="15"/>
  <c r="R337" i="15"/>
  <c r="S337" i="15"/>
  <c r="M338" i="15"/>
  <c r="Q338" i="15"/>
  <c r="N338" i="15" s="1"/>
  <c r="R338" i="15"/>
  <c r="S338" i="15"/>
  <c r="M339" i="15"/>
  <c r="Q339" i="15"/>
  <c r="R339" i="15"/>
  <c r="S339" i="15"/>
  <c r="M340" i="15"/>
  <c r="Q340" i="15"/>
  <c r="P340" i="15" s="1"/>
  <c r="R340" i="15"/>
  <c r="S340" i="15"/>
  <c r="M341" i="15"/>
  <c r="Q341" i="15"/>
  <c r="N341" i="15" s="1"/>
  <c r="R341" i="15"/>
  <c r="S341" i="15"/>
  <c r="M342" i="15"/>
  <c r="Q342" i="15"/>
  <c r="N342" i="15" s="1"/>
  <c r="R342" i="15"/>
  <c r="S342" i="15"/>
  <c r="M343" i="15"/>
  <c r="Q343" i="15"/>
  <c r="N343" i="15" s="1"/>
  <c r="R343" i="15"/>
  <c r="S343" i="15"/>
  <c r="M344" i="15"/>
  <c r="Q344" i="15"/>
  <c r="O344" i="15" s="1"/>
  <c r="R344" i="15"/>
  <c r="S344" i="15"/>
  <c r="M345" i="15"/>
  <c r="Q345" i="15"/>
  <c r="P345" i="15" s="1"/>
  <c r="R345" i="15"/>
  <c r="S345" i="15"/>
  <c r="M346" i="15"/>
  <c r="Q346" i="15"/>
  <c r="N346" i="15" s="1"/>
  <c r="R346" i="15"/>
  <c r="S346" i="15"/>
  <c r="M347" i="15"/>
  <c r="Q347" i="15"/>
  <c r="O347" i="15" s="1"/>
  <c r="R347" i="15"/>
  <c r="S347" i="15"/>
  <c r="M348" i="15"/>
  <c r="Q348" i="15"/>
  <c r="R348" i="15"/>
  <c r="S348" i="15"/>
  <c r="M349" i="15"/>
  <c r="Q349" i="15"/>
  <c r="N349" i="15" s="1"/>
  <c r="R349" i="15"/>
  <c r="S349" i="15"/>
  <c r="M350" i="15"/>
  <c r="Q350" i="15"/>
  <c r="O350" i="15" s="1"/>
  <c r="R350" i="15"/>
  <c r="S350" i="15"/>
  <c r="M351" i="15"/>
  <c r="Q351" i="15"/>
  <c r="P351" i="15" s="1"/>
  <c r="R351" i="15"/>
  <c r="S351" i="15"/>
  <c r="M352" i="15"/>
  <c r="Q352" i="15"/>
  <c r="N352" i="15" s="1"/>
  <c r="R352" i="15"/>
  <c r="S352" i="15"/>
  <c r="M353" i="15"/>
  <c r="Q353" i="15"/>
  <c r="R353" i="15"/>
  <c r="S353" i="15"/>
  <c r="M354" i="15"/>
  <c r="Q354" i="15"/>
  <c r="N354" i="15" s="1"/>
  <c r="R354" i="15"/>
  <c r="S354" i="15"/>
  <c r="M355" i="15"/>
  <c r="Q355" i="15"/>
  <c r="R355" i="15"/>
  <c r="S355" i="15"/>
  <c r="M356" i="15"/>
  <c r="Q356" i="15"/>
  <c r="P356" i="15" s="1"/>
  <c r="R356" i="15"/>
  <c r="S356" i="15"/>
  <c r="M357" i="15"/>
  <c r="Q357" i="15"/>
  <c r="N357" i="15" s="1"/>
  <c r="R357" i="15"/>
  <c r="S357" i="15"/>
  <c r="M358" i="15"/>
  <c r="Q358" i="15"/>
  <c r="P358" i="15" s="1"/>
  <c r="R358" i="15"/>
  <c r="S358" i="15"/>
  <c r="M359" i="15"/>
  <c r="Q359" i="15"/>
  <c r="N359" i="15" s="1"/>
  <c r="R359" i="15"/>
  <c r="S359" i="15"/>
  <c r="M360" i="15"/>
  <c r="Q360" i="15"/>
  <c r="O360" i="15" s="1"/>
  <c r="R360" i="15"/>
  <c r="S360" i="15"/>
  <c r="M361" i="15"/>
  <c r="Q361" i="15"/>
  <c r="P361" i="15" s="1"/>
  <c r="R361" i="15"/>
  <c r="S361" i="15"/>
  <c r="M362" i="15"/>
  <c r="Q362" i="15"/>
  <c r="N362" i="15" s="1"/>
  <c r="R362" i="15"/>
  <c r="S362" i="15"/>
  <c r="M363" i="15"/>
  <c r="Q363" i="15"/>
  <c r="N363" i="15" s="1"/>
  <c r="R363" i="15"/>
  <c r="S363" i="15"/>
  <c r="M364" i="15"/>
  <c r="Q364" i="15"/>
  <c r="R364" i="15"/>
  <c r="S364" i="15"/>
  <c r="M365" i="15"/>
  <c r="Q365" i="15"/>
  <c r="O365" i="15" s="1"/>
  <c r="R365" i="15"/>
  <c r="S365" i="15"/>
  <c r="M366" i="15"/>
  <c r="Q366" i="15"/>
  <c r="O366" i="15" s="1"/>
  <c r="R366" i="15"/>
  <c r="S366" i="15"/>
  <c r="M367" i="15"/>
  <c r="Q367" i="15"/>
  <c r="P367" i="15" s="1"/>
  <c r="R367" i="15"/>
  <c r="S367" i="15"/>
  <c r="M368" i="15"/>
  <c r="Q368" i="15"/>
  <c r="N368" i="15" s="1"/>
  <c r="R368" i="15"/>
  <c r="S368" i="15"/>
  <c r="M369" i="15"/>
  <c r="Q369" i="15"/>
  <c r="R369" i="15"/>
  <c r="S369" i="15"/>
  <c r="M370" i="15"/>
  <c r="Q370" i="15"/>
  <c r="N370" i="15" s="1"/>
  <c r="R370" i="15"/>
  <c r="S370" i="15"/>
  <c r="M371" i="15"/>
  <c r="Q371" i="15"/>
  <c r="P371" i="15" s="1"/>
  <c r="R371" i="15"/>
  <c r="S371" i="15"/>
  <c r="M372" i="15"/>
  <c r="Q372" i="15"/>
  <c r="P372" i="15" s="1"/>
  <c r="R372" i="15"/>
  <c r="S372" i="15"/>
  <c r="M373" i="15"/>
  <c r="Q373" i="15"/>
  <c r="N373" i="15" s="1"/>
  <c r="R373" i="15"/>
  <c r="S373" i="15"/>
  <c r="M374" i="15"/>
  <c r="Q374" i="15"/>
  <c r="N374" i="15" s="1"/>
  <c r="R374" i="15"/>
  <c r="S374" i="15"/>
  <c r="M375" i="15"/>
  <c r="Q375" i="15"/>
  <c r="N375" i="15" s="1"/>
  <c r="R375" i="15"/>
  <c r="S375" i="15"/>
  <c r="M376" i="15"/>
  <c r="Q376" i="15"/>
  <c r="N376" i="15" s="1"/>
  <c r="R376" i="15"/>
  <c r="S376" i="15"/>
  <c r="M377" i="15"/>
  <c r="Q377" i="15"/>
  <c r="P377" i="15" s="1"/>
  <c r="R377" i="15"/>
  <c r="S377" i="15"/>
  <c r="M378" i="15"/>
  <c r="Q378" i="15"/>
  <c r="N378" i="15" s="1"/>
  <c r="R378" i="15"/>
  <c r="S378" i="15"/>
  <c r="M379" i="15"/>
  <c r="Q379" i="15"/>
  <c r="O379" i="15" s="1"/>
  <c r="R379" i="15"/>
  <c r="S379" i="15"/>
  <c r="M380" i="15"/>
  <c r="Q380" i="15"/>
  <c r="N380" i="15" s="1"/>
  <c r="R380" i="15"/>
  <c r="S380" i="15"/>
  <c r="M381" i="15"/>
  <c r="Q381" i="15"/>
  <c r="N381" i="15" s="1"/>
  <c r="R381" i="15"/>
  <c r="S381" i="15"/>
  <c r="M382" i="15"/>
  <c r="Q382" i="15"/>
  <c r="O382" i="15" s="1"/>
  <c r="R382" i="15"/>
  <c r="S382" i="15"/>
  <c r="M383" i="15"/>
  <c r="Q383" i="15"/>
  <c r="P383" i="15" s="1"/>
  <c r="R383" i="15"/>
  <c r="S383" i="15"/>
  <c r="M384" i="15"/>
  <c r="Q384" i="15"/>
  <c r="O384" i="15" s="1"/>
  <c r="R384" i="15"/>
  <c r="S384" i="15"/>
  <c r="M385" i="15"/>
  <c r="Q385" i="15"/>
  <c r="R385" i="15"/>
  <c r="S385" i="15"/>
  <c r="M386" i="15"/>
  <c r="Q386" i="15"/>
  <c r="N386" i="15" s="1"/>
  <c r="R386" i="15"/>
  <c r="S386" i="15"/>
  <c r="P155" i="9" l="1"/>
  <c r="P135" i="9"/>
  <c r="P153" i="9"/>
  <c r="P108" i="9"/>
  <c r="AL407" i="9"/>
  <c r="Q85" i="9"/>
  <c r="P85" i="9" s="1"/>
  <c r="P42" i="9"/>
  <c r="P54" i="9"/>
  <c r="P74" i="9"/>
  <c r="P41" i="9"/>
  <c r="P27" i="9"/>
  <c r="P351" i="9"/>
  <c r="P31" i="9"/>
  <c r="P40" i="9"/>
  <c r="P24" i="9"/>
  <c r="P32" i="9"/>
  <c r="Q399" i="9"/>
  <c r="P231" i="9"/>
  <c r="P38" i="9"/>
  <c r="P34" i="9"/>
  <c r="P33" i="9"/>
  <c r="P35" i="9"/>
  <c r="P39" i="9"/>
  <c r="P37" i="9"/>
  <c r="P353" i="9"/>
  <c r="Q165" i="9"/>
  <c r="P165" i="9" s="1"/>
  <c r="AL406" i="9"/>
  <c r="O62" i="15"/>
  <c r="P4" i="15"/>
  <c r="N208" i="15"/>
  <c r="N365" i="15"/>
  <c r="N294" i="15"/>
  <c r="P139" i="15"/>
  <c r="P192" i="15"/>
  <c r="O119" i="15"/>
  <c r="P71" i="15"/>
  <c r="N347" i="15"/>
  <c r="N331" i="15"/>
  <c r="N240" i="15"/>
  <c r="N94" i="15"/>
  <c r="N152" i="15"/>
  <c r="O246" i="15"/>
  <c r="P203" i="15"/>
  <c r="P135" i="15"/>
  <c r="O135" i="15"/>
  <c r="P72" i="15"/>
  <c r="O123" i="15"/>
  <c r="O301" i="15"/>
  <c r="P199" i="15"/>
  <c r="O73" i="15"/>
  <c r="N73" i="15"/>
  <c r="P66" i="15"/>
  <c r="P194" i="15"/>
  <c r="P264" i="15"/>
  <c r="N10" i="15"/>
  <c r="N72" i="15"/>
  <c r="O333" i="15"/>
  <c r="N78" i="15"/>
  <c r="P312" i="15"/>
  <c r="O297" i="15"/>
  <c r="P278" i="15"/>
  <c r="P160" i="15"/>
  <c r="P50" i="15"/>
  <c r="O122" i="15"/>
  <c r="N30" i="15"/>
  <c r="N384" i="15"/>
  <c r="O361" i="15"/>
  <c r="P171" i="15"/>
  <c r="P349" i="15"/>
  <c r="O281" i="15"/>
  <c r="N227" i="15"/>
  <c r="N186" i="15"/>
  <c r="O171" i="15"/>
  <c r="P208" i="15"/>
  <c r="N151" i="15"/>
  <c r="O110" i="15"/>
  <c r="N14" i="15"/>
  <c r="N329" i="15"/>
  <c r="N318" i="15"/>
  <c r="O78" i="15"/>
  <c r="P226" i="15"/>
  <c r="O185" i="15"/>
  <c r="O310" i="15"/>
  <c r="N185" i="15"/>
  <c r="N283" i="15"/>
  <c r="O264" i="15"/>
  <c r="O214" i="15"/>
  <c r="N120" i="15"/>
  <c r="P210" i="15"/>
  <c r="P143" i="15"/>
  <c r="P20" i="15"/>
  <c r="O377" i="15"/>
  <c r="P328" i="15"/>
  <c r="N123" i="15"/>
  <c r="O328" i="15"/>
  <c r="O240" i="15"/>
  <c r="P100" i="15"/>
  <c r="N12" i="15"/>
  <c r="O23" i="15"/>
  <c r="P347" i="15"/>
  <c r="P344" i="15"/>
  <c r="P317" i="15"/>
  <c r="N278" i="15"/>
  <c r="P219" i="15"/>
  <c r="P152" i="15"/>
  <c r="P138" i="15"/>
  <c r="O11" i="15"/>
  <c r="N344" i="15"/>
  <c r="P330" i="15"/>
  <c r="N317" i="15"/>
  <c r="P310" i="15"/>
  <c r="P246" i="15"/>
  <c r="O219" i="15"/>
  <c r="O138" i="15"/>
  <c r="O39" i="15"/>
  <c r="N11" i="15"/>
  <c r="P295" i="15"/>
  <c r="O261" i="15"/>
  <c r="O235" i="15"/>
  <c r="O232" i="15"/>
  <c r="P182" i="15"/>
  <c r="P102" i="15"/>
  <c r="N42" i="15"/>
  <c r="O28" i="15"/>
  <c r="P379" i="15"/>
  <c r="N379" i="15"/>
  <c r="P376" i="15"/>
  <c r="O373" i="15"/>
  <c r="N366" i="15"/>
  <c r="O363" i="15"/>
  <c r="N270" i="15"/>
  <c r="O267" i="15"/>
  <c r="N235" i="15"/>
  <c r="N232" i="15"/>
  <c r="N190" i="15"/>
  <c r="P176" i="15"/>
  <c r="N169" i="15"/>
  <c r="N166" i="15"/>
  <c r="O105" i="15"/>
  <c r="O102" i="15"/>
  <c r="N76" i="15"/>
  <c r="N70" i="15"/>
  <c r="P56" i="15"/>
  <c r="N28" i="15"/>
  <c r="N360" i="15"/>
  <c r="N382" i="15"/>
  <c r="O376" i="15"/>
  <c r="N277" i="15"/>
  <c r="N267" i="15"/>
  <c r="N238" i="15"/>
  <c r="P130" i="15"/>
  <c r="O56" i="15"/>
  <c r="O24" i="15"/>
  <c r="P343" i="15"/>
  <c r="O329" i="15"/>
  <c r="P214" i="15"/>
  <c r="P147" i="15"/>
  <c r="P112" i="15"/>
  <c r="P59" i="15"/>
  <c r="O38" i="15"/>
  <c r="N24" i="15"/>
  <c r="P373" i="15"/>
  <c r="P327" i="15"/>
  <c r="P352" i="15"/>
  <c r="O349" i="15"/>
  <c r="O312" i="15"/>
  <c r="P119" i="15"/>
  <c r="P98" i="15"/>
  <c r="N38" i="15"/>
  <c r="P6" i="15"/>
  <c r="P363" i="15"/>
  <c r="N288" i="15"/>
  <c r="O229" i="15"/>
  <c r="P359" i="15"/>
  <c r="O352" i="15"/>
  <c r="P326" i="15"/>
  <c r="P301" i="15"/>
  <c r="P294" i="15"/>
  <c r="P283" i="15"/>
  <c r="O256" i="15"/>
  <c r="P378" i="15"/>
  <c r="P368" i="15"/>
  <c r="P365" i="15"/>
  <c r="P362" i="15"/>
  <c r="N326" i="15"/>
  <c r="P269" i="15"/>
  <c r="P234" i="15"/>
  <c r="P231" i="15"/>
  <c r="O203" i="15"/>
  <c r="O180" i="15"/>
  <c r="P168" i="15"/>
  <c r="P165" i="15"/>
  <c r="N122" i="15"/>
  <c r="P101" i="15"/>
  <c r="P69" i="15"/>
  <c r="N62" i="15"/>
  <c r="P16" i="15"/>
  <c r="P384" i="15"/>
  <c r="O378" i="15"/>
  <c r="O368" i="15"/>
  <c r="P272" i="15"/>
  <c r="O269" i="15"/>
  <c r="O234" i="15"/>
  <c r="O231" i="15"/>
  <c r="N180" i="15"/>
  <c r="O168" i="15"/>
  <c r="O165" i="15"/>
  <c r="O69" i="15"/>
  <c r="N345" i="15"/>
  <c r="O342" i="15"/>
  <c r="P331" i="15"/>
  <c r="O272" i="15"/>
  <c r="P43" i="15"/>
  <c r="N40" i="15"/>
  <c r="P37" i="15"/>
  <c r="O358" i="15"/>
  <c r="N334" i="15"/>
  <c r="O262" i="15"/>
  <c r="O199" i="15"/>
  <c r="N188" i="15"/>
  <c r="N174" i="15"/>
  <c r="O150" i="15"/>
  <c r="P114" i="15"/>
  <c r="P103" i="15"/>
  <c r="N89" i="15"/>
  <c r="N74" i="15"/>
  <c r="O43" i="15"/>
  <c r="O37" i="15"/>
  <c r="O374" i="15"/>
  <c r="N358" i="15"/>
  <c r="N262" i="15"/>
  <c r="N150" i="15"/>
  <c r="O103" i="15"/>
  <c r="N57" i="15"/>
  <c r="P265" i="15"/>
  <c r="O265" i="15"/>
  <c r="N265" i="15"/>
  <c r="N184" i="15"/>
  <c r="O184" i="15"/>
  <c r="P184" i="15"/>
  <c r="O291" i="15"/>
  <c r="N291" i="15"/>
  <c r="P313" i="15"/>
  <c r="O313" i="15"/>
  <c r="N313" i="15"/>
  <c r="P296" i="15"/>
  <c r="N296" i="15"/>
  <c r="O296" i="15"/>
  <c r="P233" i="15"/>
  <c r="N233" i="15"/>
  <c r="O233" i="15"/>
  <c r="O371" i="15"/>
  <c r="P304" i="15"/>
  <c r="P299" i="15"/>
  <c r="P258" i="15"/>
  <c r="O248" i="15"/>
  <c r="P248" i="15"/>
  <c r="N155" i="15"/>
  <c r="P155" i="15"/>
  <c r="P374" i="15"/>
  <c r="P342" i="15"/>
  <c r="P333" i="15"/>
  <c r="O304" i="15"/>
  <c r="O299" i="15"/>
  <c r="P277" i="15"/>
  <c r="O258" i="15"/>
  <c r="P256" i="15"/>
  <c r="O254" i="15"/>
  <c r="N254" i="15"/>
  <c r="N248" i="15"/>
  <c r="P201" i="15"/>
  <c r="N201" i="15"/>
  <c r="O155" i="15"/>
  <c r="N21" i="15"/>
  <c r="O21" i="15"/>
  <c r="P21" i="15"/>
  <c r="N132" i="15"/>
  <c r="P132" i="15"/>
  <c r="N377" i="15"/>
  <c r="N350" i="15"/>
  <c r="O345" i="15"/>
  <c r="P311" i="15"/>
  <c r="N302" i="15"/>
  <c r="P285" i="15"/>
  <c r="P280" i="15"/>
  <c r="N275" i="15"/>
  <c r="N243" i="15"/>
  <c r="O285" i="15"/>
  <c r="O280" i="15"/>
  <c r="N221" i="15"/>
  <c r="O221" i="15"/>
  <c r="P221" i="15"/>
  <c r="P198" i="15"/>
  <c r="P336" i="15"/>
  <c r="P314" i="15"/>
  <c r="N297" i="15"/>
  <c r="P230" i="15"/>
  <c r="N206" i="15"/>
  <c r="O198" i="15"/>
  <c r="O336" i="15"/>
  <c r="O236" i="15"/>
  <c r="N236" i="15"/>
  <c r="O230" i="15"/>
  <c r="O211" i="15"/>
  <c r="N211" i="15"/>
  <c r="N164" i="15"/>
  <c r="P164" i="15"/>
  <c r="P375" i="15"/>
  <c r="P360" i="15"/>
  <c r="P288" i="15"/>
  <c r="N259" i="15"/>
  <c r="O375" i="15"/>
  <c r="N86" i="15"/>
  <c r="O86" i="15"/>
  <c r="P86" i="15"/>
  <c r="O253" i="15"/>
  <c r="P253" i="15"/>
  <c r="O172" i="15"/>
  <c r="N172" i="15"/>
  <c r="P346" i="15"/>
  <c r="P320" i="15"/>
  <c r="P315" i="15"/>
  <c r="N286" i="15"/>
  <c r="N281" i="15"/>
  <c r="N253" i="15"/>
  <c r="P251" i="15"/>
  <c r="P106" i="15"/>
  <c r="N106" i="15"/>
  <c r="O106" i="15"/>
  <c r="P381" i="15"/>
  <c r="O320" i="15"/>
  <c r="O315" i="15"/>
  <c r="P298" i="15"/>
  <c r="O251" i="15"/>
  <c r="N220" i="15"/>
  <c r="O213" i="15"/>
  <c r="N181" i="15"/>
  <c r="O181" i="15"/>
  <c r="P181" i="15"/>
  <c r="N96" i="15"/>
  <c r="P96" i="15"/>
  <c r="N361" i="15"/>
  <c r="N237" i="15"/>
  <c r="O237" i="15"/>
  <c r="O94" i="15"/>
  <c r="O89" i="15"/>
  <c r="N60" i="15"/>
  <c r="P52" i="15"/>
  <c r="O7" i="15"/>
  <c r="O144" i="15"/>
  <c r="P128" i="15"/>
  <c r="P118" i="15"/>
  <c r="P187" i="15"/>
  <c r="P167" i="15"/>
  <c r="P162" i="15"/>
  <c r="N144" i="15"/>
  <c r="O126" i="15"/>
  <c r="O121" i="15"/>
  <c r="O118" i="15"/>
  <c r="N92" i="15"/>
  <c r="P75" i="15"/>
  <c r="O55" i="15"/>
  <c r="P48" i="15"/>
  <c r="O41" i="15"/>
  <c r="O27" i="15"/>
  <c r="O187" i="15"/>
  <c r="O170" i="15"/>
  <c r="O167" i="15"/>
  <c r="P146" i="15"/>
  <c r="N126" i="15"/>
  <c r="N121" i="15"/>
  <c r="P104" i="15"/>
  <c r="O75" i="15"/>
  <c r="O46" i="15"/>
  <c r="N41" i="15"/>
  <c r="N27" i="15"/>
  <c r="N170" i="15"/>
  <c r="O158" i="15"/>
  <c r="O153" i="15"/>
  <c r="O146" i="15"/>
  <c r="N124" i="15"/>
  <c r="P107" i="15"/>
  <c r="O104" i="15"/>
  <c r="O101" i="15"/>
  <c r="P84" i="15"/>
  <c r="N58" i="15"/>
  <c r="N46" i="15"/>
  <c r="P22" i="15"/>
  <c r="P216" i="15"/>
  <c r="N204" i="15"/>
  <c r="P196" i="15"/>
  <c r="N158" i="15"/>
  <c r="N153" i="15"/>
  <c r="P148" i="15"/>
  <c r="P133" i="15"/>
  <c r="O107" i="15"/>
  <c r="P87" i="15"/>
  <c r="P82" i="15"/>
  <c r="N44" i="15"/>
  <c r="P36" i="15"/>
  <c r="P25" i="15"/>
  <c r="O22" i="15"/>
  <c r="P8" i="15"/>
  <c r="O216" i="15"/>
  <c r="N156" i="15"/>
  <c r="O148" i="15"/>
  <c r="O133" i="15"/>
  <c r="P116" i="15"/>
  <c r="O90" i="15"/>
  <c r="O87" i="15"/>
  <c r="P80" i="15"/>
  <c r="P70" i="15"/>
  <c r="P53" i="15"/>
  <c r="P32" i="15"/>
  <c r="O25" i="15"/>
  <c r="O8" i="15"/>
  <c r="N90" i="15"/>
  <c r="O53" i="15"/>
  <c r="P205" i="15"/>
  <c r="O154" i="15"/>
  <c r="O139" i="15"/>
  <c r="P149" i="15"/>
  <c r="P134" i="15"/>
  <c r="N110" i="15"/>
  <c r="N105" i="15"/>
  <c r="P88" i="15"/>
  <c r="P85" i="15"/>
  <c r="O59" i="15"/>
  <c r="P18" i="15"/>
  <c r="P9" i="15"/>
  <c r="O6" i="15"/>
  <c r="O249" i="15"/>
  <c r="N222" i="15"/>
  <c r="O217" i="15"/>
  <c r="O205" i="15"/>
  <c r="P200" i="15"/>
  <c r="P197" i="15"/>
  <c r="N154" i="15"/>
  <c r="O145" i="15"/>
  <c r="O140" i="15"/>
  <c r="O134" i="15"/>
  <c r="N108" i="15"/>
  <c r="P91" i="15"/>
  <c r="O88" i="15"/>
  <c r="O85" i="15"/>
  <c r="P68" i="15"/>
  <c r="P54" i="15"/>
  <c r="O9" i="15"/>
  <c r="N249" i="15"/>
  <c r="P242" i="15"/>
  <c r="N217" i="15"/>
  <c r="O200" i="15"/>
  <c r="O197" i="15"/>
  <c r="P183" i="15"/>
  <c r="P178" i="15"/>
  <c r="P166" i="15"/>
  <c r="N145" i="15"/>
  <c r="N140" i="15"/>
  <c r="P120" i="15"/>
  <c r="P117" i="15"/>
  <c r="O91" i="15"/>
  <c r="O54" i="15"/>
  <c r="P40" i="15"/>
  <c r="N26" i="15"/>
  <c r="O186" i="15"/>
  <c r="O183" i="15"/>
  <c r="O169" i="15"/>
  <c r="O117" i="15"/>
  <c r="O74" i="15"/>
  <c r="O71" i="15"/>
  <c r="P64" i="15"/>
  <c r="O57" i="15"/>
  <c r="O12" i="15"/>
  <c r="O348" i="15"/>
  <c r="P348" i="15"/>
  <c r="N321" i="15"/>
  <c r="O321" i="15"/>
  <c r="P321" i="15"/>
  <c r="O316" i="15"/>
  <c r="P316" i="15"/>
  <c r="N305" i="15"/>
  <c r="O305" i="15"/>
  <c r="P305" i="15"/>
  <c r="O300" i="15"/>
  <c r="P300" i="15"/>
  <c r="N289" i="15"/>
  <c r="O289" i="15"/>
  <c r="P289" i="15"/>
  <c r="O284" i="15"/>
  <c r="P284" i="15"/>
  <c r="N284" i="15"/>
  <c r="N255" i="15"/>
  <c r="O255" i="15"/>
  <c r="N244" i="15"/>
  <c r="O244" i="15"/>
  <c r="N271" i="15"/>
  <c r="O271" i="15"/>
  <c r="N260" i="15"/>
  <c r="O260" i="15"/>
  <c r="P255" i="15"/>
  <c r="P250" i="15"/>
  <c r="P247" i="15"/>
  <c r="P244" i="15"/>
  <c r="N369" i="15"/>
  <c r="O369" i="15"/>
  <c r="P369" i="15"/>
  <c r="N337" i="15"/>
  <c r="O337" i="15"/>
  <c r="P337" i="15"/>
  <c r="N372" i="15"/>
  <c r="O372" i="15"/>
  <c r="N367" i="15"/>
  <c r="O367" i="15"/>
  <c r="N351" i="15"/>
  <c r="O351" i="15"/>
  <c r="N335" i="15"/>
  <c r="O335" i="15"/>
  <c r="N319" i="15"/>
  <c r="O319" i="15"/>
  <c r="N303" i="15"/>
  <c r="O303" i="15"/>
  <c r="N287" i="15"/>
  <c r="O287" i="15"/>
  <c r="N276" i="15"/>
  <c r="O276" i="15"/>
  <c r="P271" i="15"/>
  <c r="P266" i="15"/>
  <c r="P263" i="15"/>
  <c r="P260" i="15"/>
  <c r="O250" i="15"/>
  <c r="O247" i="15"/>
  <c r="N383" i="15"/>
  <c r="O383" i="15"/>
  <c r="N356" i="15"/>
  <c r="O356" i="15"/>
  <c r="N340" i="15"/>
  <c r="O340" i="15"/>
  <c r="P335" i="15"/>
  <c r="N324" i="15"/>
  <c r="O324" i="15"/>
  <c r="P319" i="15"/>
  <c r="N308" i="15"/>
  <c r="O308" i="15"/>
  <c r="P303" i="15"/>
  <c r="N292" i="15"/>
  <c r="O292" i="15"/>
  <c r="P287" i="15"/>
  <c r="P282" i="15"/>
  <c r="P279" i="15"/>
  <c r="P276" i="15"/>
  <c r="O266" i="15"/>
  <c r="O263" i="15"/>
  <c r="N209" i="15"/>
  <c r="O209" i="15"/>
  <c r="P209" i="15"/>
  <c r="O282" i="15"/>
  <c r="O279" i="15"/>
  <c r="P386" i="15"/>
  <c r="O381" i="15"/>
  <c r="O362" i="15"/>
  <c r="O359" i="15"/>
  <c r="O346" i="15"/>
  <c r="O343" i="15"/>
  <c r="O330" i="15"/>
  <c r="O327" i="15"/>
  <c r="O314" i="15"/>
  <c r="O311" i="15"/>
  <c r="O298" i="15"/>
  <c r="O295" i="15"/>
  <c r="P274" i="15"/>
  <c r="N353" i="15"/>
  <c r="O353" i="15"/>
  <c r="P353" i="15"/>
  <c r="O332" i="15"/>
  <c r="P332" i="15"/>
  <c r="O386" i="15"/>
  <c r="P370" i="15"/>
  <c r="P354" i="15"/>
  <c r="P338" i="15"/>
  <c r="P322" i="15"/>
  <c r="P306" i="15"/>
  <c r="P290" i="15"/>
  <c r="O274" i="15"/>
  <c r="P245" i="15"/>
  <c r="O370" i="15"/>
  <c r="O354" i="15"/>
  <c r="O338" i="15"/>
  <c r="O322" i="15"/>
  <c r="O306" i="15"/>
  <c r="O290" i="15"/>
  <c r="P261" i="15"/>
  <c r="O245" i="15"/>
  <c r="P202" i="15"/>
  <c r="N212" i="15"/>
  <c r="O212" i="15"/>
  <c r="O202" i="15"/>
  <c r="N332" i="15"/>
  <c r="P357" i="15"/>
  <c r="P341" i="15"/>
  <c r="P325" i="15"/>
  <c r="P309" i="15"/>
  <c r="P293" i="15"/>
  <c r="P212" i="15"/>
  <c r="O357" i="15"/>
  <c r="O341" i="15"/>
  <c r="O325" i="15"/>
  <c r="O309" i="15"/>
  <c r="O293" i="15"/>
  <c r="N241" i="15"/>
  <c r="O241" i="15"/>
  <c r="P241" i="15"/>
  <c r="P218" i="15"/>
  <c r="P215" i="15"/>
  <c r="O364" i="15"/>
  <c r="P364" i="15"/>
  <c r="O355" i="15"/>
  <c r="P355" i="15"/>
  <c r="O339" i="15"/>
  <c r="P339" i="15"/>
  <c r="O323" i="15"/>
  <c r="P323" i="15"/>
  <c r="O307" i="15"/>
  <c r="P307" i="15"/>
  <c r="N228" i="15"/>
  <c r="O228" i="15"/>
  <c r="O218" i="15"/>
  <c r="O215" i="15"/>
  <c r="N371" i="15"/>
  <c r="N355" i="15"/>
  <c r="N339" i="15"/>
  <c r="N323" i="15"/>
  <c r="N307" i="15"/>
  <c r="N257" i="15"/>
  <c r="O257" i="15"/>
  <c r="P257" i="15"/>
  <c r="O252" i="15"/>
  <c r="P252" i="15"/>
  <c r="N252" i="15"/>
  <c r="P228" i="15"/>
  <c r="N364" i="15"/>
  <c r="N348" i="15"/>
  <c r="N385" i="15"/>
  <c r="O385" i="15"/>
  <c r="P385" i="15"/>
  <c r="O380" i="15"/>
  <c r="P380" i="15"/>
  <c r="N273" i="15"/>
  <c r="O273" i="15"/>
  <c r="P273" i="15"/>
  <c r="O268" i="15"/>
  <c r="P268" i="15"/>
  <c r="N268" i="15"/>
  <c r="P291" i="15"/>
  <c r="P275" i="15"/>
  <c r="P259" i="15"/>
  <c r="P243" i="15"/>
  <c r="P227" i="15"/>
  <c r="P211" i="15"/>
  <c r="P195" i="15"/>
  <c r="P179" i="15"/>
  <c r="P163" i="15"/>
  <c r="P142" i="15"/>
  <c r="P131" i="15"/>
  <c r="P115" i="15"/>
  <c r="P99" i="15"/>
  <c r="P83" i="15"/>
  <c r="P67" i="15"/>
  <c r="P51" i="15"/>
  <c r="P35" i="15"/>
  <c r="P19" i="15"/>
  <c r="P3" i="15"/>
  <c r="O195" i="15"/>
  <c r="O179" i="15"/>
  <c r="O163" i="15"/>
  <c r="O142" i="15"/>
  <c r="O131" i="15"/>
  <c r="O115" i="15"/>
  <c r="O99" i="15"/>
  <c r="O83" i="15"/>
  <c r="O67" i="15"/>
  <c r="O51" i="15"/>
  <c r="O35" i="15"/>
  <c r="O19" i="15"/>
  <c r="O3" i="15"/>
  <c r="O192" i="15"/>
  <c r="P189" i="15"/>
  <c r="O176" i="15"/>
  <c r="P173" i="15"/>
  <c r="O160" i="15"/>
  <c r="P157" i="15"/>
  <c r="O149" i="15"/>
  <c r="P136" i="15"/>
  <c r="O128" i="15"/>
  <c r="P125" i="15"/>
  <c r="O112" i="15"/>
  <c r="P109" i="15"/>
  <c r="O96" i="15"/>
  <c r="P93" i="15"/>
  <c r="O80" i="15"/>
  <c r="P77" i="15"/>
  <c r="O64" i="15"/>
  <c r="P61" i="15"/>
  <c r="O48" i="15"/>
  <c r="P45" i="15"/>
  <c r="O32" i="15"/>
  <c r="P29" i="15"/>
  <c r="O16" i="15"/>
  <c r="P13" i="15"/>
  <c r="O189" i="15"/>
  <c r="O173" i="15"/>
  <c r="O157" i="15"/>
  <c r="O136" i="15"/>
  <c r="O125" i="15"/>
  <c r="O109" i="15"/>
  <c r="O93" i="15"/>
  <c r="O77" i="15"/>
  <c r="O61" i="15"/>
  <c r="P58" i="15"/>
  <c r="O45" i="15"/>
  <c r="P42" i="15"/>
  <c r="O29" i="15"/>
  <c r="P26" i="15"/>
  <c r="O13" i="15"/>
  <c r="P10" i="15"/>
  <c r="P55" i="15"/>
  <c r="P39" i="15"/>
  <c r="P23" i="15"/>
  <c r="P7" i="15"/>
  <c r="O196" i="15"/>
  <c r="P193" i="15"/>
  <c r="O182" i="15"/>
  <c r="P177" i="15"/>
  <c r="O164" i="15"/>
  <c r="P161" i="15"/>
  <c r="O147" i="15"/>
  <c r="P137" i="15"/>
  <c r="O132" i="15"/>
  <c r="P129" i="15"/>
  <c r="O116" i="15"/>
  <c r="P113" i="15"/>
  <c r="O100" i="15"/>
  <c r="P97" i="15"/>
  <c r="O84" i="15"/>
  <c r="P81" i="15"/>
  <c r="O68" i="15"/>
  <c r="P65" i="15"/>
  <c r="O52" i="15"/>
  <c r="P49" i="15"/>
  <c r="O36" i="15"/>
  <c r="P33" i="15"/>
  <c r="O20" i="15"/>
  <c r="P17" i="15"/>
  <c r="O4" i="15"/>
  <c r="P382" i="15"/>
  <c r="P366" i="15"/>
  <c r="P350" i="15"/>
  <c r="P334" i="15"/>
  <c r="P318" i="15"/>
  <c r="P302" i="15"/>
  <c r="P286" i="15"/>
  <c r="P270" i="15"/>
  <c r="P254" i="15"/>
  <c r="P238" i="15"/>
  <c r="P222" i="15"/>
  <c r="P206" i="15"/>
  <c r="O193" i="15"/>
  <c r="P190" i="15"/>
  <c r="O177" i="15"/>
  <c r="P174" i="15"/>
  <c r="O161" i="15"/>
  <c r="O137" i="15"/>
  <c r="O129" i="15"/>
  <c r="O113" i="15"/>
  <c r="O97" i="15"/>
  <c r="O81" i="15"/>
  <c r="O65" i="15"/>
  <c r="O49" i="15"/>
  <c r="O33" i="15"/>
  <c r="P30" i="15"/>
  <c r="O17" i="15"/>
  <c r="P14" i="15"/>
  <c r="P229" i="15"/>
  <c r="P213" i="15"/>
  <c r="P5" i="15"/>
  <c r="P34" i="15"/>
  <c r="O5" i="15"/>
  <c r="P2" i="15"/>
  <c r="O242" i="15"/>
  <c r="P239" i="15"/>
  <c r="O226" i="15"/>
  <c r="O210" i="15"/>
  <c r="P207" i="15"/>
  <c r="O194" i="15"/>
  <c r="P191" i="15"/>
  <c r="O178" i="15"/>
  <c r="P175" i="15"/>
  <c r="O162" i="15"/>
  <c r="P159" i="15"/>
  <c r="O143" i="15"/>
  <c r="P141" i="15"/>
  <c r="O130" i="15"/>
  <c r="P127" i="15"/>
  <c r="O114" i="15"/>
  <c r="P111" i="15"/>
  <c r="O98" i="15"/>
  <c r="P95" i="15"/>
  <c r="O82" i="15"/>
  <c r="P79" i="15"/>
  <c r="O66" i="15"/>
  <c r="P63" i="15"/>
  <c r="O50" i="15"/>
  <c r="P47" i="15"/>
  <c r="O34" i="15"/>
  <c r="P31" i="15"/>
  <c r="O18" i="15"/>
  <c r="P15" i="15"/>
  <c r="O2" i="15"/>
  <c r="O239" i="15"/>
  <c r="P236" i="15"/>
  <c r="P220" i="15"/>
  <c r="O207" i="15"/>
  <c r="P204" i="15"/>
  <c r="O191" i="15"/>
  <c r="P188" i="15"/>
  <c r="O175" i="15"/>
  <c r="P172" i="15"/>
  <c r="O159" i="15"/>
  <c r="P156" i="15"/>
  <c r="O141" i="15"/>
  <c r="P151" i="15"/>
  <c r="O127" i="15"/>
  <c r="P124" i="15"/>
  <c r="O111" i="15"/>
  <c r="P108" i="15"/>
  <c r="O95" i="15"/>
  <c r="P92" i="15"/>
  <c r="O79" i="15"/>
  <c r="P76" i="15"/>
  <c r="O63" i="15"/>
  <c r="P60" i="15"/>
  <c r="O47" i="15"/>
  <c r="P44" i="15"/>
  <c r="O31" i="15"/>
  <c r="O15" i="15"/>
  <c r="AJ407" i="9" l="1"/>
  <c r="L3" i="17"/>
  <c r="L4" i="17"/>
  <c r="L5" i="17"/>
  <c r="L6" i="17"/>
  <c r="L7" i="17"/>
  <c r="L8" i="17"/>
  <c r="L9" i="17"/>
  <c r="L10" i="17"/>
  <c r="L11" i="17"/>
  <c r="L12" i="17"/>
  <c r="L13" i="17"/>
  <c r="L14" i="17"/>
  <c r="L15" i="17"/>
  <c r="L16" i="17"/>
  <c r="L17" i="17"/>
  <c r="L18" i="17"/>
  <c r="L19" i="17"/>
  <c r="L20" i="17"/>
  <c r="L21" i="17"/>
  <c r="L22" i="17"/>
  <c r="L23" i="17"/>
  <c r="L24" i="17"/>
  <c r="L25" i="17"/>
  <c r="L26" i="17"/>
  <c r="L27" i="17"/>
  <c r="L28" i="17"/>
  <c r="L29" i="17"/>
  <c r="L30" i="17"/>
  <c r="L31" i="17"/>
  <c r="L32" i="17"/>
  <c r="L33" i="17"/>
  <c r="L34" i="17"/>
  <c r="L35" i="17"/>
  <c r="L36" i="17"/>
  <c r="L37" i="17"/>
  <c r="L38" i="17"/>
  <c r="L39" i="17"/>
  <c r="L40" i="17"/>
  <c r="L41" i="17"/>
  <c r="L42" i="17"/>
  <c r="L43" i="17"/>
  <c r="L44" i="17"/>
  <c r="L45" i="17"/>
  <c r="L46" i="17"/>
  <c r="L47" i="17"/>
  <c r="L48" i="17"/>
  <c r="L49" i="17"/>
  <c r="L50" i="17"/>
  <c r="L51" i="17"/>
  <c r="L52" i="17"/>
  <c r="L53" i="17"/>
  <c r="L54" i="17"/>
  <c r="L55" i="17"/>
  <c r="L56" i="17"/>
  <c r="L57" i="17"/>
  <c r="L58" i="17"/>
  <c r="L59" i="17"/>
  <c r="L60" i="17"/>
  <c r="L61" i="17"/>
  <c r="L62" i="17"/>
  <c r="L63" i="17"/>
  <c r="L64" i="17"/>
  <c r="L65" i="17"/>
  <c r="L66" i="17"/>
  <c r="L67" i="17"/>
  <c r="L68" i="17"/>
  <c r="L69" i="17"/>
  <c r="L70" i="17"/>
  <c r="L71" i="17"/>
  <c r="L72" i="17"/>
  <c r="L73" i="17"/>
  <c r="L74" i="17"/>
  <c r="L75" i="17"/>
  <c r="L76" i="17"/>
  <c r="L77" i="17"/>
  <c r="L78" i="17"/>
  <c r="L79" i="17"/>
  <c r="L80" i="17"/>
  <c r="L81" i="17"/>
  <c r="L82" i="17"/>
  <c r="L83" i="17"/>
  <c r="L84" i="17"/>
  <c r="L85" i="17"/>
  <c r="L86" i="17"/>
  <c r="L87" i="17"/>
  <c r="L88" i="17"/>
  <c r="L89" i="17"/>
  <c r="L90" i="17"/>
  <c r="L91" i="17"/>
  <c r="L92" i="17"/>
  <c r="L93" i="17"/>
  <c r="L94" i="17"/>
  <c r="L95" i="17"/>
  <c r="L96" i="17"/>
  <c r="L97" i="17"/>
  <c r="L98" i="17"/>
  <c r="L99" i="17"/>
  <c r="L100" i="17"/>
  <c r="L101" i="17"/>
  <c r="L102" i="17"/>
  <c r="L103" i="17"/>
  <c r="L104" i="17"/>
  <c r="L105" i="17"/>
  <c r="L106" i="17"/>
  <c r="L107" i="17"/>
  <c r="L108" i="17"/>
  <c r="L109" i="17"/>
  <c r="L110" i="17"/>
  <c r="L111" i="17"/>
  <c r="L112" i="17"/>
  <c r="L113" i="17"/>
  <c r="L114" i="17"/>
  <c r="L115" i="17"/>
  <c r="L116" i="17"/>
  <c r="L117" i="17"/>
  <c r="L118" i="17"/>
  <c r="L119" i="17"/>
  <c r="L120" i="17"/>
  <c r="L121" i="17"/>
  <c r="L122" i="17"/>
  <c r="L123" i="17"/>
  <c r="L124" i="17"/>
  <c r="L125" i="17"/>
  <c r="L126" i="17"/>
  <c r="L127" i="17"/>
  <c r="L128" i="17"/>
  <c r="L129" i="17"/>
  <c r="L130" i="17"/>
  <c r="L131" i="17"/>
  <c r="L132" i="17"/>
  <c r="L133" i="17"/>
  <c r="L134" i="17"/>
  <c r="L135" i="17"/>
  <c r="L136" i="17"/>
  <c r="L137" i="17"/>
  <c r="L138" i="17"/>
  <c r="L139" i="17"/>
  <c r="L140" i="17"/>
  <c r="L141" i="17"/>
  <c r="L142" i="17"/>
  <c r="L143" i="17"/>
  <c r="L144" i="17"/>
  <c r="L145" i="17"/>
  <c r="L146" i="17"/>
  <c r="L147" i="17"/>
  <c r="L148" i="17"/>
  <c r="L149" i="17"/>
  <c r="L150" i="17"/>
  <c r="L151" i="17"/>
  <c r="L152" i="17"/>
  <c r="L153" i="17"/>
  <c r="L154" i="17"/>
  <c r="L155" i="17"/>
  <c r="L156" i="17"/>
  <c r="L157" i="17"/>
  <c r="L158" i="17"/>
  <c r="L159" i="17"/>
  <c r="L160" i="17"/>
  <c r="L161" i="17"/>
  <c r="L162" i="17"/>
  <c r="L163" i="17"/>
  <c r="L164" i="17"/>
  <c r="L165" i="17"/>
  <c r="L166" i="17"/>
  <c r="L167" i="17"/>
  <c r="L168" i="17"/>
  <c r="L169" i="17"/>
  <c r="L170" i="17"/>
  <c r="L171" i="17"/>
  <c r="L172" i="17"/>
  <c r="L173" i="17"/>
  <c r="L174" i="17"/>
  <c r="L175" i="17"/>
  <c r="L176" i="17"/>
  <c r="L177" i="17"/>
  <c r="L178" i="17"/>
  <c r="L179" i="17"/>
  <c r="L180" i="17"/>
  <c r="L181" i="17"/>
  <c r="L182" i="17"/>
  <c r="L183" i="17"/>
  <c r="L184" i="17"/>
  <c r="L185" i="17"/>
  <c r="L186" i="17"/>
  <c r="L187" i="17"/>
  <c r="L188" i="17"/>
  <c r="L189" i="17"/>
  <c r="L190" i="17"/>
  <c r="L191" i="17"/>
  <c r="L192" i="17"/>
  <c r="L193" i="17"/>
  <c r="L194" i="17"/>
  <c r="L195" i="17"/>
  <c r="L196" i="17"/>
  <c r="L197" i="17"/>
  <c r="L198" i="17"/>
  <c r="L199" i="17"/>
  <c r="L200" i="17"/>
  <c r="L201" i="17"/>
  <c r="L202" i="17"/>
  <c r="L203" i="17"/>
  <c r="L204" i="17"/>
  <c r="L205" i="17"/>
  <c r="L206" i="17"/>
  <c r="L207" i="17"/>
  <c r="L208" i="17"/>
  <c r="L209" i="17"/>
  <c r="L210" i="17"/>
  <c r="L211" i="17"/>
  <c r="L212" i="17"/>
  <c r="L213" i="17"/>
  <c r="L214" i="17"/>
  <c r="L215" i="17"/>
  <c r="L216" i="17"/>
  <c r="L217" i="17"/>
  <c r="L218" i="17"/>
  <c r="L219" i="17"/>
  <c r="L220" i="17"/>
  <c r="L221" i="17"/>
  <c r="L222" i="17"/>
  <c r="L223" i="17"/>
  <c r="L224" i="17"/>
  <c r="L225" i="17"/>
  <c r="L226" i="17"/>
  <c r="L227" i="17"/>
  <c r="L228" i="17"/>
  <c r="L229" i="17"/>
  <c r="L230" i="17"/>
  <c r="L231" i="17"/>
  <c r="L232" i="17"/>
  <c r="L233" i="17"/>
  <c r="L234" i="17"/>
  <c r="L235" i="17"/>
  <c r="L236" i="17"/>
  <c r="L237" i="17"/>
  <c r="L238" i="17"/>
  <c r="L239" i="17"/>
  <c r="L240" i="17"/>
  <c r="L241" i="17"/>
  <c r="L242" i="17"/>
  <c r="L243" i="17"/>
  <c r="L244" i="17"/>
  <c r="L245" i="17"/>
  <c r="L246" i="17"/>
  <c r="L247" i="17"/>
  <c r="L248" i="17"/>
  <c r="L249" i="17"/>
  <c r="L250" i="17"/>
  <c r="L251" i="17"/>
  <c r="L252" i="17"/>
  <c r="L253" i="17"/>
  <c r="L254" i="17"/>
  <c r="L255" i="17"/>
  <c r="L256" i="17"/>
  <c r="L257" i="17"/>
  <c r="L258" i="17"/>
  <c r="L259" i="17"/>
  <c r="L260" i="17"/>
  <c r="L261" i="17"/>
  <c r="L262" i="17"/>
  <c r="L263" i="17"/>
  <c r="L264" i="17"/>
  <c r="L265" i="17"/>
  <c r="L266" i="17"/>
  <c r="L267" i="17"/>
  <c r="L268" i="17"/>
  <c r="L269" i="17"/>
  <c r="L270" i="17"/>
  <c r="L271" i="17"/>
  <c r="L272" i="17"/>
  <c r="L273" i="17"/>
  <c r="L274" i="17"/>
  <c r="L275" i="17"/>
  <c r="L276" i="17"/>
  <c r="L277" i="17"/>
  <c r="L278" i="17"/>
  <c r="L279" i="17"/>
  <c r="L280" i="17"/>
  <c r="L281" i="17"/>
  <c r="L282" i="17"/>
  <c r="L283" i="17"/>
  <c r="L284" i="17"/>
  <c r="L285" i="17"/>
  <c r="L286" i="17"/>
  <c r="L287" i="17"/>
  <c r="L288" i="17"/>
  <c r="L289" i="17"/>
  <c r="L290" i="17"/>
  <c r="L291" i="17"/>
  <c r="L292" i="17"/>
  <c r="L293" i="17"/>
  <c r="L294" i="17"/>
  <c r="L295" i="17"/>
  <c r="L296" i="17"/>
  <c r="L297" i="17"/>
  <c r="L298" i="17"/>
  <c r="L299" i="17"/>
  <c r="L300" i="17"/>
  <c r="L301" i="17"/>
  <c r="L302" i="17"/>
  <c r="L303" i="17"/>
  <c r="L304" i="17"/>
  <c r="L305" i="17"/>
  <c r="L306" i="17"/>
  <c r="L307" i="17"/>
  <c r="L308" i="17"/>
  <c r="L309" i="17"/>
  <c r="L310" i="17"/>
  <c r="L311" i="17"/>
  <c r="L312" i="17"/>
  <c r="L313" i="17"/>
  <c r="L314" i="17"/>
  <c r="L315" i="17"/>
  <c r="L316" i="17"/>
  <c r="L317" i="17"/>
  <c r="L318" i="17"/>
  <c r="L319" i="17"/>
  <c r="L320" i="17"/>
  <c r="L321" i="17"/>
  <c r="L322" i="17"/>
  <c r="L323" i="17"/>
  <c r="L324" i="17"/>
  <c r="L325" i="17"/>
  <c r="L326" i="17"/>
  <c r="L327" i="17"/>
  <c r="L328" i="17"/>
  <c r="L329" i="17"/>
  <c r="L330" i="17"/>
  <c r="L331" i="17"/>
  <c r="L332" i="17"/>
  <c r="L333" i="17"/>
  <c r="L334" i="17"/>
  <c r="L335" i="17"/>
  <c r="L336" i="17"/>
  <c r="L337" i="17"/>
  <c r="L338" i="17"/>
  <c r="L339" i="17"/>
  <c r="L340" i="17"/>
  <c r="L341" i="17"/>
  <c r="L342" i="17"/>
  <c r="L343" i="17"/>
  <c r="L344" i="17"/>
  <c r="L345" i="17"/>
  <c r="L346" i="17"/>
  <c r="L347" i="17"/>
  <c r="L348" i="17"/>
  <c r="L349" i="17"/>
  <c r="L350" i="17"/>
  <c r="L351" i="17"/>
  <c r="L352" i="17"/>
  <c r="L353" i="17"/>
  <c r="L354" i="17"/>
  <c r="L355" i="17"/>
  <c r="L356" i="17"/>
  <c r="L357" i="17"/>
  <c r="L358" i="17"/>
  <c r="L359" i="17"/>
  <c r="L360" i="17"/>
  <c r="L361" i="17"/>
  <c r="L362" i="17"/>
  <c r="L363" i="17"/>
  <c r="L364" i="17"/>
  <c r="L365" i="17"/>
  <c r="L366" i="17"/>
  <c r="L367" i="17"/>
  <c r="L368" i="17"/>
  <c r="L369" i="17"/>
  <c r="L370" i="17"/>
  <c r="L371" i="17"/>
  <c r="L372" i="17"/>
  <c r="L373" i="17"/>
  <c r="L374" i="17"/>
  <c r="L375" i="17"/>
  <c r="L376" i="17"/>
  <c r="L377" i="17"/>
  <c r="L378" i="17"/>
  <c r="L379" i="17"/>
  <c r="L380" i="17"/>
  <c r="L381" i="17"/>
  <c r="L382" i="17"/>
  <c r="L383" i="17"/>
  <c r="L384" i="17"/>
  <c r="L385" i="17"/>
  <c r="L386" i="17"/>
  <c r="L387" i="17"/>
  <c r="L388" i="17"/>
  <c r="L389" i="17"/>
  <c r="L390" i="17"/>
  <c r="L391" i="17"/>
  <c r="L392" i="17"/>
  <c r="L393" i="17"/>
  <c r="L394" i="17"/>
  <c r="L395" i="17"/>
  <c r="L396" i="17"/>
  <c r="L397" i="17"/>
  <c r="L398" i="17"/>
  <c r="L399" i="17"/>
  <c r="L400" i="17"/>
  <c r="L401" i="17"/>
  <c r="L402" i="17"/>
  <c r="L403" i="17"/>
  <c r="L404" i="17"/>
  <c r="L405" i="17"/>
  <c r="L406" i="17"/>
  <c r="L407" i="17"/>
  <c r="L408" i="17"/>
  <c r="L409" i="17"/>
  <c r="L410" i="17"/>
  <c r="L411" i="17"/>
  <c r="L412" i="17"/>
  <c r="L413" i="17"/>
  <c r="L414" i="17"/>
  <c r="L415" i="17"/>
  <c r="L416" i="17"/>
  <c r="L417" i="17"/>
  <c r="L418" i="17"/>
  <c r="L419" i="17"/>
  <c r="L420" i="17"/>
  <c r="L421" i="17"/>
  <c r="L422" i="17"/>
  <c r="L423" i="17"/>
  <c r="L424" i="17"/>
  <c r="L425" i="17"/>
  <c r="L426" i="17"/>
  <c r="L427" i="17"/>
  <c r="L428" i="17"/>
  <c r="L429" i="17"/>
  <c r="L430" i="17"/>
  <c r="L431" i="17"/>
  <c r="L432" i="17"/>
  <c r="L433" i="17"/>
  <c r="L434" i="17"/>
  <c r="L435" i="17"/>
  <c r="L436" i="17"/>
  <c r="L437" i="17"/>
  <c r="L438" i="17"/>
  <c r="L439" i="17"/>
  <c r="L440" i="17"/>
  <c r="L441" i="17"/>
  <c r="L442" i="17"/>
  <c r="L443" i="17"/>
  <c r="L444" i="17"/>
  <c r="L445" i="17"/>
  <c r="L446" i="17"/>
  <c r="L447" i="17"/>
  <c r="L448" i="17"/>
  <c r="L449" i="17"/>
  <c r="L450" i="17"/>
  <c r="L451" i="17"/>
  <c r="L452" i="17"/>
  <c r="L453" i="17"/>
  <c r="L454" i="17"/>
  <c r="L455" i="17"/>
  <c r="L456" i="17"/>
  <c r="L457" i="17"/>
  <c r="L458" i="17"/>
  <c r="L459" i="17"/>
  <c r="L460" i="17"/>
  <c r="L461" i="17"/>
  <c r="L462" i="17"/>
  <c r="L463" i="17"/>
  <c r="L464" i="17"/>
  <c r="L465" i="17"/>
  <c r="L466" i="17"/>
  <c r="L467" i="17"/>
  <c r="L468" i="17"/>
  <c r="L469" i="17"/>
  <c r="L470" i="17"/>
  <c r="L471" i="17"/>
  <c r="L472" i="17"/>
  <c r="L473" i="17"/>
  <c r="L474" i="17"/>
  <c r="L475" i="17"/>
  <c r="L476" i="17"/>
  <c r="L477" i="17"/>
  <c r="L478" i="17"/>
  <c r="L479" i="17"/>
  <c r="L480" i="17"/>
  <c r="L481" i="17"/>
  <c r="L482" i="17"/>
  <c r="L483" i="17"/>
  <c r="L484" i="17"/>
  <c r="L485" i="17"/>
  <c r="L486" i="17"/>
  <c r="L487" i="17"/>
  <c r="L488" i="17"/>
  <c r="L489" i="17"/>
  <c r="L490" i="17"/>
  <c r="L491" i="17"/>
  <c r="L492" i="17"/>
  <c r="L493" i="17"/>
  <c r="L494" i="17"/>
  <c r="L495" i="17"/>
  <c r="L496" i="17"/>
  <c r="L497" i="17"/>
  <c r="L498" i="17"/>
  <c r="L499" i="17"/>
  <c r="L500" i="17"/>
  <c r="L501" i="17"/>
  <c r="L502" i="17"/>
  <c r="L503" i="17"/>
  <c r="L504" i="17"/>
  <c r="L505" i="17"/>
  <c r="L506" i="17"/>
  <c r="L507" i="17"/>
  <c r="L508" i="17"/>
  <c r="L509" i="17"/>
  <c r="L510" i="17"/>
  <c r="L511" i="17"/>
  <c r="L512" i="17"/>
  <c r="L513" i="17"/>
  <c r="L514" i="17"/>
  <c r="L515" i="17"/>
  <c r="L516" i="17"/>
  <c r="L517" i="17"/>
  <c r="L518" i="17"/>
  <c r="L519" i="17"/>
  <c r="L520" i="17"/>
  <c r="L521" i="17"/>
  <c r="L522" i="17"/>
  <c r="L523" i="17"/>
  <c r="L524" i="17"/>
  <c r="L525" i="17"/>
  <c r="L526" i="17"/>
  <c r="L527" i="17"/>
  <c r="L528" i="17"/>
  <c r="L529" i="17"/>
  <c r="L530" i="17"/>
  <c r="L531" i="17"/>
  <c r="L532" i="17"/>
  <c r="L533" i="17"/>
  <c r="L534" i="17"/>
  <c r="L535" i="17"/>
  <c r="L536" i="17"/>
  <c r="L537" i="17"/>
  <c r="L538" i="17"/>
  <c r="L539" i="17"/>
  <c r="L540" i="17"/>
  <c r="L541" i="17"/>
  <c r="L542" i="17"/>
  <c r="L543" i="17"/>
  <c r="L544" i="17"/>
  <c r="L545" i="17"/>
  <c r="L546" i="17"/>
  <c r="L547" i="17"/>
  <c r="L548" i="17"/>
  <c r="L549" i="17"/>
  <c r="L550" i="17"/>
  <c r="L551" i="17"/>
  <c r="L552" i="17"/>
  <c r="L553" i="17"/>
  <c r="L554" i="17"/>
  <c r="L555" i="17"/>
  <c r="L556" i="17"/>
  <c r="L557" i="17"/>
  <c r="L558" i="17"/>
  <c r="L559" i="17"/>
  <c r="L560" i="17"/>
  <c r="L561" i="17"/>
  <c r="L562" i="17"/>
  <c r="L563" i="17"/>
  <c r="L564" i="17"/>
  <c r="L565" i="17"/>
  <c r="L566" i="17"/>
  <c r="L567" i="17"/>
  <c r="L568" i="17"/>
  <c r="L569" i="17"/>
  <c r="L570" i="17"/>
  <c r="L571" i="17"/>
  <c r="L572" i="17"/>
  <c r="L573" i="17"/>
  <c r="L574" i="17"/>
  <c r="L575" i="17"/>
  <c r="L576" i="17"/>
  <c r="L577" i="17"/>
  <c r="L578" i="17"/>
  <c r="L579" i="17"/>
  <c r="L580" i="17"/>
  <c r="L581" i="17"/>
  <c r="L582" i="17"/>
  <c r="L583" i="17"/>
  <c r="L584" i="17"/>
  <c r="L585" i="17"/>
  <c r="L586" i="17"/>
  <c r="L587" i="17"/>
  <c r="L588" i="17"/>
  <c r="L589" i="17"/>
  <c r="L590" i="17"/>
  <c r="L591" i="17"/>
  <c r="L592" i="17"/>
  <c r="L593" i="17"/>
  <c r="L594" i="17"/>
  <c r="L595" i="17"/>
  <c r="L596" i="17"/>
  <c r="L597" i="17"/>
  <c r="L598" i="17"/>
  <c r="L599" i="17"/>
  <c r="L600" i="17"/>
  <c r="L601" i="17"/>
  <c r="L602" i="17"/>
  <c r="L603" i="17"/>
  <c r="L604" i="17"/>
  <c r="L605" i="17"/>
  <c r="L606" i="17"/>
  <c r="L607" i="17"/>
  <c r="L608" i="17"/>
  <c r="L609" i="17"/>
  <c r="L610" i="17"/>
  <c r="L611" i="17"/>
  <c r="L612" i="17"/>
  <c r="L613" i="17"/>
  <c r="L614" i="17"/>
  <c r="L615" i="17"/>
  <c r="L616" i="17"/>
  <c r="L617" i="17"/>
  <c r="L618" i="17"/>
  <c r="L619" i="17"/>
  <c r="L620" i="17"/>
  <c r="L621" i="17"/>
  <c r="L622" i="17"/>
  <c r="L623" i="17"/>
  <c r="L624" i="17"/>
  <c r="L625" i="17"/>
  <c r="L626" i="17"/>
  <c r="L627" i="17"/>
  <c r="L628" i="17"/>
  <c r="L629" i="17"/>
  <c r="L630" i="17"/>
  <c r="L631" i="17"/>
  <c r="L632" i="17"/>
  <c r="L633" i="17"/>
  <c r="L634" i="17"/>
  <c r="L635" i="17"/>
  <c r="L636" i="17"/>
  <c r="L637" i="17"/>
  <c r="L638" i="17"/>
  <c r="L639" i="17"/>
  <c r="L640" i="17"/>
  <c r="L641" i="17"/>
  <c r="L642" i="17"/>
  <c r="L643" i="17"/>
  <c r="L644" i="17"/>
  <c r="L645" i="17"/>
  <c r="L646" i="17"/>
  <c r="L647" i="17"/>
  <c r="L648" i="17"/>
  <c r="L649" i="17"/>
  <c r="L650" i="17"/>
  <c r="L651" i="17"/>
  <c r="L652" i="17"/>
  <c r="L653" i="17"/>
  <c r="L654" i="17"/>
  <c r="L655" i="17"/>
  <c r="L656" i="17"/>
  <c r="L657" i="17"/>
  <c r="L658" i="17"/>
  <c r="L659" i="17"/>
  <c r="L660" i="17"/>
  <c r="L661" i="17"/>
  <c r="L662" i="17"/>
  <c r="L663" i="17"/>
  <c r="L664" i="17"/>
  <c r="L665" i="17"/>
  <c r="L666" i="17"/>
  <c r="L667" i="17"/>
  <c r="L668" i="17"/>
  <c r="L669" i="17"/>
  <c r="L670" i="17"/>
  <c r="L671" i="17"/>
  <c r="L672" i="17"/>
  <c r="L673" i="17"/>
  <c r="L674" i="17"/>
  <c r="L675" i="17"/>
  <c r="L676" i="17"/>
  <c r="L677" i="17"/>
  <c r="L678" i="17"/>
  <c r="L679" i="17"/>
  <c r="L680" i="17"/>
  <c r="L681" i="17"/>
  <c r="L682" i="17"/>
  <c r="L683" i="17"/>
  <c r="L684" i="17"/>
  <c r="L685" i="17"/>
  <c r="L686" i="17"/>
  <c r="L687" i="17"/>
  <c r="L688" i="17"/>
  <c r="L689" i="17"/>
  <c r="L690" i="17"/>
  <c r="L691" i="17"/>
  <c r="L692" i="17"/>
  <c r="L693" i="17"/>
  <c r="L694" i="17"/>
  <c r="L695" i="17"/>
  <c r="L696" i="17"/>
  <c r="L697" i="17"/>
  <c r="L698" i="17"/>
  <c r="L699" i="17"/>
  <c r="L700" i="17"/>
  <c r="L701" i="17"/>
  <c r="L702" i="17"/>
  <c r="L703" i="17"/>
  <c r="L704" i="17"/>
  <c r="L705" i="17"/>
  <c r="L706" i="17"/>
  <c r="L707" i="17"/>
  <c r="L708" i="17"/>
  <c r="L709" i="17"/>
  <c r="L710" i="17"/>
  <c r="L711" i="17"/>
  <c r="L712" i="17"/>
  <c r="L713" i="17"/>
  <c r="L714" i="17"/>
  <c r="L715" i="17"/>
  <c r="L716" i="17"/>
  <c r="L717" i="17"/>
  <c r="L718" i="17"/>
  <c r="L719" i="17"/>
  <c r="L720" i="17"/>
  <c r="L721" i="17"/>
  <c r="L722" i="17"/>
  <c r="L723" i="17"/>
  <c r="L724" i="17"/>
  <c r="L725" i="17"/>
  <c r="L726" i="17"/>
  <c r="L727" i="17"/>
  <c r="L728" i="17"/>
  <c r="L729" i="17"/>
  <c r="L730" i="17"/>
  <c r="L731" i="17"/>
  <c r="L732" i="17"/>
  <c r="L733" i="17"/>
  <c r="L734" i="17"/>
  <c r="L735" i="17"/>
  <c r="L736" i="17"/>
  <c r="L737" i="17"/>
  <c r="L738" i="17"/>
  <c r="L739" i="17"/>
  <c r="L740" i="17"/>
  <c r="L741" i="17"/>
  <c r="L742" i="17"/>
  <c r="L743" i="17"/>
  <c r="L744" i="17"/>
  <c r="L745" i="17"/>
  <c r="L746" i="17"/>
  <c r="L747" i="17"/>
  <c r="L748" i="17"/>
  <c r="L749" i="17"/>
  <c r="L750" i="17"/>
  <c r="L751" i="17"/>
  <c r="L752" i="17"/>
  <c r="L753" i="17"/>
  <c r="L754" i="17"/>
  <c r="L755" i="17"/>
  <c r="L756" i="17"/>
  <c r="L757" i="17"/>
  <c r="L758" i="17"/>
  <c r="L759" i="17"/>
  <c r="L760" i="17"/>
  <c r="L761" i="17"/>
  <c r="L762" i="17"/>
  <c r="L763" i="17"/>
  <c r="L764" i="17"/>
  <c r="L765" i="17"/>
  <c r="L766" i="17"/>
  <c r="L767" i="17"/>
  <c r="L768" i="17"/>
  <c r="L769" i="17"/>
  <c r="L770" i="17"/>
  <c r="L771" i="17"/>
  <c r="L772" i="17"/>
  <c r="L773" i="17"/>
  <c r="L774" i="17"/>
  <c r="L775" i="17"/>
  <c r="L776" i="17"/>
  <c r="L777" i="17"/>
  <c r="L778" i="17"/>
  <c r="L779" i="17"/>
  <c r="L780" i="17"/>
  <c r="L781" i="17"/>
  <c r="L782" i="17"/>
  <c r="L783" i="17"/>
  <c r="L784" i="17"/>
  <c r="L785" i="17"/>
  <c r="L786" i="17"/>
  <c r="L787" i="17"/>
  <c r="L788" i="17"/>
  <c r="L789" i="17"/>
  <c r="L790" i="17"/>
  <c r="L791" i="17"/>
  <c r="L792" i="17"/>
  <c r="L793" i="17"/>
  <c r="L794" i="17"/>
  <c r="L795" i="17"/>
  <c r="L796" i="17"/>
  <c r="L797" i="17"/>
  <c r="L798" i="17"/>
  <c r="L799" i="17"/>
  <c r="L800" i="17"/>
  <c r="L801" i="17"/>
  <c r="L802" i="17"/>
  <c r="L803" i="17"/>
  <c r="L804" i="17"/>
  <c r="L805" i="17"/>
  <c r="L806" i="17"/>
  <c r="L807" i="17"/>
  <c r="L808" i="17"/>
  <c r="L809" i="17"/>
  <c r="L810" i="17"/>
  <c r="L811" i="17"/>
  <c r="L812" i="17"/>
  <c r="L813" i="17"/>
  <c r="L814" i="17"/>
  <c r="L815" i="17"/>
  <c r="L816" i="17"/>
  <c r="L817" i="17"/>
  <c r="L818" i="17"/>
  <c r="L819" i="17"/>
  <c r="L820" i="17"/>
  <c r="L821" i="17"/>
  <c r="L822" i="17"/>
  <c r="L823" i="17"/>
  <c r="L824" i="17"/>
  <c r="L825" i="17"/>
  <c r="L826" i="17"/>
  <c r="L827" i="17"/>
  <c r="L828" i="17"/>
  <c r="L829" i="17"/>
  <c r="L830" i="17"/>
  <c r="L831" i="17"/>
  <c r="L832" i="17"/>
  <c r="L833" i="17"/>
  <c r="L834" i="17"/>
  <c r="L835" i="17"/>
  <c r="L836" i="17"/>
  <c r="L837" i="17"/>
  <c r="L838" i="17"/>
  <c r="L839" i="17"/>
  <c r="L840" i="17"/>
  <c r="L841" i="17"/>
  <c r="L842" i="17"/>
  <c r="L843" i="17"/>
  <c r="L844" i="17"/>
  <c r="L845" i="17"/>
  <c r="L846" i="17"/>
  <c r="L847" i="17"/>
  <c r="L848" i="17"/>
  <c r="L849" i="17"/>
  <c r="L850" i="17"/>
  <c r="L851" i="17"/>
  <c r="L852" i="17"/>
  <c r="L853" i="17"/>
  <c r="L854" i="17"/>
  <c r="L855" i="17"/>
  <c r="L856" i="17"/>
  <c r="L857" i="17"/>
  <c r="L858" i="17"/>
  <c r="L859" i="17"/>
  <c r="L860" i="17"/>
  <c r="L861" i="17"/>
  <c r="L862" i="17"/>
  <c r="L863" i="17"/>
  <c r="L864" i="17"/>
  <c r="L865" i="17"/>
  <c r="L866" i="17"/>
  <c r="L867" i="17"/>
  <c r="L868" i="17"/>
  <c r="L869" i="17"/>
  <c r="L870" i="17"/>
  <c r="L871" i="17"/>
  <c r="L872" i="17"/>
  <c r="L873" i="17"/>
  <c r="L874" i="17"/>
  <c r="L875" i="17"/>
  <c r="L876" i="17"/>
  <c r="L877" i="17"/>
  <c r="L878" i="17"/>
  <c r="L879" i="17"/>
  <c r="L880" i="17"/>
  <c r="L881" i="17"/>
  <c r="L882" i="17"/>
  <c r="L883" i="17"/>
  <c r="L884" i="17"/>
  <c r="L885" i="17"/>
  <c r="L886" i="17"/>
  <c r="L887" i="17"/>
  <c r="L888" i="17"/>
  <c r="L889" i="17"/>
  <c r="L890" i="17"/>
  <c r="L891" i="17"/>
  <c r="L892" i="17"/>
  <c r="L893" i="17"/>
  <c r="L894" i="17"/>
  <c r="L895" i="17"/>
  <c r="L896" i="17"/>
  <c r="L897" i="17"/>
  <c r="L898" i="17"/>
  <c r="L899" i="17"/>
  <c r="L900" i="17"/>
  <c r="L901" i="17"/>
  <c r="L902" i="17"/>
  <c r="L903" i="17"/>
  <c r="L904" i="17"/>
  <c r="L905" i="17"/>
  <c r="L906" i="17"/>
  <c r="L907" i="17"/>
  <c r="L908" i="17"/>
  <c r="L909" i="17"/>
  <c r="L910" i="17"/>
  <c r="L911" i="17"/>
  <c r="L912" i="17"/>
  <c r="L913" i="17"/>
  <c r="L914" i="17"/>
  <c r="L915" i="17"/>
  <c r="L916" i="17"/>
  <c r="L917" i="17"/>
  <c r="L918" i="17"/>
  <c r="L919" i="17"/>
  <c r="L920" i="17"/>
  <c r="L921" i="17"/>
  <c r="L922" i="17"/>
  <c r="L923" i="17"/>
  <c r="L924" i="17"/>
  <c r="L925" i="17"/>
  <c r="L926" i="17"/>
  <c r="L927" i="17"/>
  <c r="L928" i="17"/>
  <c r="L929" i="17"/>
  <c r="L930" i="17"/>
  <c r="L931" i="17"/>
  <c r="L932" i="17"/>
  <c r="L933" i="17"/>
  <c r="L934" i="17"/>
  <c r="L935" i="17"/>
  <c r="L936" i="17"/>
  <c r="L937" i="17"/>
  <c r="L938" i="17"/>
  <c r="L939" i="17"/>
  <c r="L940" i="17"/>
  <c r="L941" i="17"/>
  <c r="L942" i="17"/>
  <c r="L943" i="17"/>
  <c r="L944" i="17"/>
  <c r="L945" i="17"/>
  <c r="L946" i="17"/>
  <c r="L947" i="17"/>
  <c r="L948" i="17"/>
  <c r="L949" i="17"/>
  <c r="L950" i="17"/>
  <c r="L951" i="17"/>
  <c r="L952" i="17"/>
  <c r="L953" i="17"/>
  <c r="L954" i="17"/>
  <c r="L955" i="17"/>
  <c r="L956" i="17"/>
  <c r="L957" i="17"/>
  <c r="L958" i="17"/>
  <c r="L959" i="17"/>
  <c r="L960" i="17"/>
  <c r="L961" i="17"/>
  <c r="L962" i="17"/>
  <c r="L963" i="17"/>
  <c r="L964" i="17"/>
  <c r="L965" i="17"/>
  <c r="L966" i="17"/>
  <c r="L967" i="17"/>
  <c r="L968" i="17"/>
  <c r="L969" i="17"/>
  <c r="L970" i="17"/>
  <c r="L971" i="17"/>
  <c r="L972" i="17"/>
  <c r="L973" i="17"/>
  <c r="L974" i="17"/>
  <c r="L975" i="17"/>
  <c r="L976" i="17"/>
  <c r="L977" i="17"/>
  <c r="L978" i="17"/>
  <c r="L979" i="17"/>
  <c r="L980" i="17"/>
  <c r="L981" i="17"/>
  <c r="L982" i="17"/>
  <c r="L983" i="17"/>
  <c r="L984" i="17"/>
  <c r="L985" i="17"/>
  <c r="L986" i="17"/>
  <c r="L987" i="17"/>
  <c r="L988" i="17"/>
  <c r="L989" i="17"/>
  <c r="L990" i="17"/>
  <c r="L991" i="17"/>
  <c r="L992" i="17"/>
  <c r="L993" i="17"/>
  <c r="L994" i="17"/>
  <c r="L995" i="17"/>
  <c r="L996" i="17"/>
  <c r="L997" i="17"/>
  <c r="L998" i="17"/>
  <c r="L999" i="17"/>
  <c r="L1000" i="17"/>
  <c r="L1001" i="17"/>
  <c r="L1002" i="17"/>
  <c r="L1003" i="17"/>
  <c r="L1004" i="17"/>
  <c r="L1005" i="17"/>
  <c r="L1006" i="17"/>
  <c r="L1007" i="17"/>
  <c r="L1008" i="17"/>
  <c r="L1009" i="17"/>
  <c r="L1010" i="17"/>
  <c r="L1011" i="17"/>
  <c r="L1012" i="17"/>
  <c r="L1013" i="17"/>
  <c r="L1014" i="17"/>
  <c r="L1015" i="17"/>
  <c r="L1016" i="17"/>
  <c r="L1017" i="17"/>
  <c r="L1018" i="17"/>
  <c r="L1019" i="17"/>
  <c r="L1020" i="17"/>
  <c r="L1021" i="17"/>
  <c r="L1022" i="17"/>
  <c r="L1023" i="17"/>
  <c r="L1024" i="17"/>
  <c r="L1025" i="17"/>
  <c r="L1026" i="17"/>
  <c r="L1027" i="17"/>
  <c r="L1028" i="17"/>
  <c r="L1029" i="17"/>
  <c r="L1030" i="17"/>
  <c r="L1031" i="17"/>
  <c r="L1032" i="17"/>
  <c r="L1033" i="17"/>
  <c r="L1034" i="17"/>
  <c r="L1035" i="17"/>
  <c r="L1036" i="17"/>
  <c r="L1037" i="17"/>
  <c r="L1038" i="17"/>
  <c r="L1039" i="17"/>
  <c r="L1040" i="17"/>
  <c r="L1041" i="17"/>
  <c r="L1042" i="17"/>
  <c r="L1043" i="17"/>
  <c r="L1044" i="17"/>
  <c r="L1045" i="17"/>
  <c r="L1046" i="17"/>
  <c r="L1047" i="17"/>
  <c r="L1048" i="17"/>
  <c r="L1049" i="17"/>
  <c r="L1050" i="17"/>
  <c r="L1051" i="17"/>
  <c r="L1052" i="17"/>
  <c r="L1053" i="17"/>
  <c r="L1054" i="17"/>
  <c r="L1055" i="17"/>
  <c r="L2" i="17"/>
  <c r="L3" i="15"/>
  <c r="L4" i="15"/>
  <c r="L5" i="15"/>
  <c r="L6" i="15"/>
  <c r="L7" i="15"/>
  <c r="L8" i="15"/>
  <c r="L9" i="15"/>
  <c r="L10" i="15"/>
  <c r="L11" i="15"/>
  <c r="L12" i="15"/>
  <c r="L13" i="15"/>
  <c r="L14" i="15"/>
  <c r="L15" i="15"/>
  <c r="L16" i="15"/>
  <c r="L17" i="15"/>
  <c r="U17" i="15" s="1"/>
  <c r="L18" i="15"/>
  <c r="L19" i="15"/>
  <c r="L20" i="15"/>
  <c r="L21" i="15"/>
  <c r="L22" i="15"/>
  <c r="L23" i="15"/>
  <c r="L24" i="15"/>
  <c r="L25" i="15"/>
  <c r="L26" i="15"/>
  <c r="L27" i="15"/>
  <c r="L28" i="15"/>
  <c r="L29" i="15"/>
  <c r="L30" i="15"/>
  <c r="L31" i="15"/>
  <c r="L32" i="15"/>
  <c r="L33" i="15"/>
  <c r="L34" i="15"/>
  <c r="L35" i="15"/>
  <c r="L36" i="15"/>
  <c r="L37" i="15"/>
  <c r="L38" i="15"/>
  <c r="L39" i="15"/>
  <c r="L40" i="15"/>
  <c r="L41" i="15"/>
  <c r="L42" i="15"/>
  <c r="L43" i="15"/>
  <c r="L44" i="15"/>
  <c r="L45" i="15"/>
  <c r="L46" i="15"/>
  <c r="L47" i="15"/>
  <c r="L48" i="15"/>
  <c r="L49" i="15"/>
  <c r="L50" i="15"/>
  <c r="L51" i="15"/>
  <c r="L52" i="15"/>
  <c r="L53" i="15"/>
  <c r="L54" i="15"/>
  <c r="L55" i="15"/>
  <c r="L56" i="15"/>
  <c r="L57" i="15"/>
  <c r="L58" i="15"/>
  <c r="L59" i="15"/>
  <c r="L60" i="15"/>
  <c r="L61" i="15"/>
  <c r="L62" i="15"/>
  <c r="L63" i="15"/>
  <c r="L64" i="15"/>
  <c r="L65" i="15"/>
  <c r="L66" i="15"/>
  <c r="L67" i="15"/>
  <c r="L68" i="15"/>
  <c r="L69" i="15"/>
  <c r="L70" i="15"/>
  <c r="L71" i="15"/>
  <c r="L72" i="15"/>
  <c r="L73" i="15"/>
  <c r="L74" i="15"/>
  <c r="L75" i="15"/>
  <c r="L76" i="15"/>
  <c r="L77" i="15"/>
  <c r="L78" i="15"/>
  <c r="L79" i="15"/>
  <c r="L80" i="15"/>
  <c r="L81" i="15"/>
  <c r="L82" i="15"/>
  <c r="L83" i="15"/>
  <c r="L84" i="15"/>
  <c r="L85" i="15"/>
  <c r="L86" i="15"/>
  <c r="L87" i="15"/>
  <c r="L88" i="15"/>
  <c r="L89" i="15"/>
  <c r="L90" i="15"/>
  <c r="L91" i="15"/>
  <c r="L92" i="15"/>
  <c r="L93" i="15"/>
  <c r="L94" i="15"/>
  <c r="L95" i="15"/>
  <c r="L96" i="15"/>
  <c r="L97" i="15"/>
  <c r="L98" i="15"/>
  <c r="L99" i="15"/>
  <c r="L100" i="15"/>
  <c r="L101" i="15"/>
  <c r="L102" i="15"/>
  <c r="L103" i="15"/>
  <c r="L104" i="15"/>
  <c r="L105" i="15"/>
  <c r="L106" i="15"/>
  <c r="L107" i="15"/>
  <c r="L108" i="15"/>
  <c r="L109" i="15"/>
  <c r="L110" i="15"/>
  <c r="L111" i="15"/>
  <c r="L112" i="15"/>
  <c r="L113" i="15"/>
  <c r="L114" i="15"/>
  <c r="L115" i="15"/>
  <c r="L116" i="15"/>
  <c r="L117" i="15"/>
  <c r="L118" i="15"/>
  <c r="L119" i="15"/>
  <c r="L120" i="15"/>
  <c r="L121" i="15"/>
  <c r="L122" i="15"/>
  <c r="L123" i="15"/>
  <c r="L124" i="15"/>
  <c r="L125" i="15"/>
  <c r="L126" i="15"/>
  <c r="L127" i="15"/>
  <c r="L128" i="15"/>
  <c r="L129" i="15"/>
  <c r="L130" i="15"/>
  <c r="L131" i="15"/>
  <c r="L132" i="15"/>
  <c r="L133" i="15"/>
  <c r="L134" i="15"/>
  <c r="L135" i="15"/>
  <c r="L148" i="15"/>
  <c r="L140" i="15"/>
  <c r="L144" i="15"/>
  <c r="L150" i="15"/>
  <c r="L151" i="15"/>
  <c r="L136" i="15"/>
  <c r="L145" i="15"/>
  <c r="L141" i="15"/>
  <c r="L149" i="15"/>
  <c r="L137" i="15"/>
  <c r="L143" i="15"/>
  <c r="L142" i="15"/>
  <c r="L147" i="15"/>
  <c r="L138" i="15"/>
  <c r="L146" i="15"/>
  <c r="L139" i="15"/>
  <c r="L152" i="15"/>
  <c r="L153" i="15"/>
  <c r="L154" i="15"/>
  <c r="L155" i="15"/>
  <c r="L156" i="15"/>
  <c r="L157" i="15"/>
  <c r="L158" i="15"/>
  <c r="L159" i="15"/>
  <c r="L160" i="15"/>
  <c r="L161" i="15"/>
  <c r="L162" i="15"/>
  <c r="L163" i="15"/>
  <c r="L164" i="15"/>
  <c r="L165" i="15"/>
  <c r="L166" i="15"/>
  <c r="L167" i="15"/>
  <c r="L168" i="15"/>
  <c r="L169" i="15"/>
  <c r="L170" i="15"/>
  <c r="L171" i="15"/>
  <c r="L172" i="15"/>
  <c r="L173" i="15"/>
  <c r="L174" i="15"/>
  <c r="L175" i="15"/>
  <c r="L176" i="15"/>
  <c r="L177" i="15"/>
  <c r="L178" i="15"/>
  <c r="L179" i="15"/>
  <c r="L182" i="15"/>
  <c r="L181" i="15"/>
  <c r="L180" i="15"/>
  <c r="L183" i="15"/>
  <c r="L184" i="15"/>
  <c r="L185" i="15"/>
  <c r="L186" i="15"/>
  <c r="L187" i="15"/>
  <c r="L188" i="15"/>
  <c r="L189" i="15"/>
  <c r="L190" i="15"/>
  <c r="L191" i="15"/>
  <c r="L192" i="15"/>
  <c r="L193" i="15"/>
  <c r="L194" i="15"/>
  <c r="L195" i="15"/>
  <c r="L196" i="15"/>
  <c r="L197" i="15"/>
  <c r="L198" i="15"/>
  <c r="L199" i="15"/>
  <c r="L200" i="15"/>
  <c r="L201" i="15"/>
  <c r="L202" i="15"/>
  <c r="L203" i="15"/>
  <c r="L204" i="15"/>
  <c r="L205" i="15"/>
  <c r="L206" i="15"/>
  <c r="L207" i="15"/>
  <c r="L208" i="15"/>
  <c r="L209" i="15"/>
  <c r="L210" i="15"/>
  <c r="L211" i="15"/>
  <c r="L212" i="15"/>
  <c r="L213" i="15"/>
  <c r="L214" i="15"/>
  <c r="L215" i="15"/>
  <c r="L216" i="15"/>
  <c r="L217" i="15"/>
  <c r="L218" i="15"/>
  <c r="L219" i="15"/>
  <c r="L220" i="15"/>
  <c r="L221" i="15"/>
  <c r="L222" i="15"/>
  <c r="L226" i="15"/>
  <c r="L227" i="15"/>
  <c r="L228" i="15"/>
  <c r="L229" i="15"/>
  <c r="L230" i="15"/>
  <c r="L231" i="15"/>
  <c r="L232" i="15"/>
  <c r="L233" i="15"/>
  <c r="L234" i="15"/>
  <c r="L235" i="15"/>
  <c r="L236" i="15"/>
  <c r="L237" i="15"/>
  <c r="L238" i="15"/>
  <c r="L239" i="15"/>
  <c r="L240" i="15"/>
  <c r="L241" i="15"/>
  <c r="L242" i="15"/>
  <c r="L243" i="15"/>
  <c r="L244" i="15"/>
  <c r="L245" i="15"/>
  <c r="L246" i="15"/>
  <c r="L247" i="15"/>
  <c r="L248" i="15"/>
  <c r="L249" i="15"/>
  <c r="L250" i="15"/>
  <c r="L251" i="15"/>
  <c r="L252" i="15"/>
  <c r="L253" i="15"/>
  <c r="L254" i="15"/>
  <c r="L255" i="15"/>
  <c r="L256" i="15"/>
  <c r="L257" i="15"/>
  <c r="L258" i="15"/>
  <c r="L259" i="15"/>
  <c r="L260" i="15"/>
  <c r="L261" i="15"/>
  <c r="L262" i="15"/>
  <c r="L263" i="15"/>
  <c r="L264" i="15"/>
  <c r="L265" i="15"/>
  <c r="L266" i="15"/>
  <c r="L267" i="15"/>
  <c r="L268" i="15"/>
  <c r="L269" i="15"/>
  <c r="L270" i="15"/>
  <c r="L271" i="15"/>
  <c r="L272" i="15"/>
  <c r="L273" i="15"/>
  <c r="L274" i="15"/>
  <c r="L275" i="15"/>
  <c r="L276" i="15"/>
  <c r="L277" i="15"/>
  <c r="L278" i="15"/>
  <c r="L279" i="15"/>
  <c r="L280" i="15"/>
  <c r="L281" i="15"/>
  <c r="L282" i="15"/>
  <c r="L283" i="15"/>
  <c r="L284" i="15"/>
  <c r="L285" i="15"/>
  <c r="L286" i="15"/>
  <c r="L287" i="15"/>
  <c r="L288" i="15"/>
  <c r="L289" i="15"/>
  <c r="L290" i="15"/>
  <c r="L291" i="15"/>
  <c r="L292" i="15"/>
  <c r="L293" i="15"/>
  <c r="L294" i="15"/>
  <c r="L295" i="15"/>
  <c r="L296" i="15"/>
  <c r="L297" i="15"/>
  <c r="L298" i="15"/>
  <c r="L299" i="15"/>
  <c r="L300" i="15"/>
  <c r="L301" i="15"/>
  <c r="L302" i="15"/>
  <c r="L303" i="15"/>
  <c r="L304" i="15"/>
  <c r="L305" i="15"/>
  <c r="L306" i="15"/>
  <c r="L307" i="15"/>
  <c r="L308" i="15"/>
  <c r="L309" i="15"/>
  <c r="L310" i="15"/>
  <c r="L311" i="15"/>
  <c r="L312" i="15"/>
  <c r="L313" i="15"/>
  <c r="L314" i="15"/>
  <c r="L315" i="15"/>
  <c r="L316" i="15"/>
  <c r="L317" i="15"/>
  <c r="L318" i="15"/>
  <c r="L319" i="15"/>
  <c r="L320" i="15"/>
  <c r="L321" i="15"/>
  <c r="L322" i="15"/>
  <c r="L323" i="15"/>
  <c r="L324" i="15"/>
  <c r="L325" i="15"/>
  <c r="L326" i="15"/>
  <c r="L327" i="15"/>
  <c r="L328" i="15"/>
  <c r="L329" i="15"/>
  <c r="L330" i="15"/>
  <c r="L331" i="15"/>
  <c r="L332" i="15"/>
  <c r="L333" i="15"/>
  <c r="L334" i="15"/>
  <c r="L335" i="15"/>
  <c r="L336" i="15"/>
  <c r="L337" i="15"/>
  <c r="L338" i="15"/>
  <c r="L339" i="15"/>
  <c r="L340" i="15"/>
  <c r="L341" i="15"/>
  <c r="L342" i="15"/>
  <c r="L343" i="15"/>
  <c r="L344" i="15"/>
  <c r="L345" i="15"/>
  <c r="L346" i="15"/>
  <c r="L347" i="15"/>
  <c r="L348" i="15"/>
  <c r="L349" i="15"/>
  <c r="L350" i="15"/>
  <c r="L351" i="15"/>
  <c r="L352" i="15"/>
  <c r="L353" i="15"/>
  <c r="L354" i="15"/>
  <c r="L355" i="15"/>
  <c r="L356" i="15"/>
  <c r="L357" i="15"/>
  <c r="L358" i="15"/>
  <c r="L359" i="15"/>
  <c r="L360" i="15"/>
  <c r="L361" i="15"/>
  <c r="L362" i="15"/>
  <c r="L363" i="15"/>
  <c r="L364" i="15"/>
  <c r="L365" i="15"/>
  <c r="L366" i="15"/>
  <c r="L367" i="15"/>
  <c r="L368" i="15"/>
  <c r="L369" i="15"/>
  <c r="L370" i="15"/>
  <c r="L371" i="15"/>
  <c r="L372" i="15"/>
  <c r="L373" i="15"/>
  <c r="L374" i="15"/>
  <c r="L375" i="15"/>
  <c r="L376" i="15"/>
  <c r="L377" i="15"/>
  <c r="L378" i="15"/>
  <c r="L379" i="15"/>
  <c r="L380" i="15"/>
  <c r="L381" i="15"/>
  <c r="L382" i="15"/>
  <c r="L383" i="15"/>
  <c r="L384" i="15"/>
  <c r="L385" i="15"/>
  <c r="L386" i="15"/>
  <c r="L2" i="15"/>
  <c r="T287" i="15" l="1"/>
  <c r="V287" i="15"/>
  <c r="W287" i="15"/>
  <c r="U287" i="15"/>
  <c r="W15" i="15"/>
  <c r="T15" i="15"/>
  <c r="U15" i="15"/>
  <c r="V15" i="15"/>
  <c r="T238" i="15"/>
  <c r="U238" i="15"/>
  <c r="V238" i="15"/>
  <c r="W238" i="15"/>
  <c r="T14" i="15"/>
  <c r="U14" i="15"/>
  <c r="V14" i="15"/>
  <c r="W14" i="15"/>
  <c r="T381" i="15"/>
  <c r="U381" i="15"/>
  <c r="V381" i="15"/>
  <c r="W381" i="15"/>
  <c r="T365" i="15"/>
  <c r="U365" i="15"/>
  <c r="V365" i="15"/>
  <c r="W365" i="15"/>
  <c r="T349" i="15"/>
  <c r="U349" i="15"/>
  <c r="V349" i="15"/>
  <c r="W349" i="15"/>
  <c r="U333" i="15"/>
  <c r="V333" i="15"/>
  <c r="W333" i="15"/>
  <c r="T333" i="15"/>
  <c r="T317" i="15"/>
  <c r="U317" i="15"/>
  <c r="V317" i="15"/>
  <c r="W317" i="15"/>
  <c r="T301" i="15"/>
  <c r="U301" i="15"/>
  <c r="V301" i="15"/>
  <c r="W301" i="15"/>
  <c r="U285" i="15"/>
  <c r="W285" i="15"/>
  <c r="T285" i="15"/>
  <c r="V285" i="15"/>
  <c r="T269" i="15"/>
  <c r="U269" i="15"/>
  <c r="V269" i="15"/>
  <c r="W269" i="15"/>
  <c r="T253" i="15"/>
  <c r="U253" i="15"/>
  <c r="V253" i="15"/>
  <c r="W253" i="15"/>
  <c r="T237" i="15"/>
  <c r="U237" i="15"/>
  <c r="V237" i="15"/>
  <c r="W237" i="15"/>
  <c r="W221" i="15"/>
  <c r="T221" i="15"/>
  <c r="U221" i="15"/>
  <c r="V221" i="15"/>
  <c r="T205" i="15"/>
  <c r="U205" i="15"/>
  <c r="V205" i="15"/>
  <c r="W205" i="15"/>
  <c r="T189" i="15"/>
  <c r="U189" i="15"/>
  <c r="V189" i="15"/>
  <c r="W189" i="15"/>
  <c r="T173" i="15"/>
  <c r="U173" i="15"/>
  <c r="V173" i="15"/>
  <c r="W173" i="15"/>
  <c r="T157" i="15"/>
  <c r="U157" i="15"/>
  <c r="V157" i="15"/>
  <c r="W157" i="15"/>
  <c r="T136" i="15"/>
  <c r="U136" i="15"/>
  <c r="V136" i="15"/>
  <c r="W136" i="15"/>
  <c r="T125" i="15"/>
  <c r="U125" i="15"/>
  <c r="V125" i="15"/>
  <c r="W125" i="15"/>
  <c r="V109" i="15"/>
  <c r="W109" i="15"/>
  <c r="T109" i="15"/>
  <c r="U109" i="15"/>
  <c r="T93" i="15"/>
  <c r="U93" i="15"/>
  <c r="V93" i="15"/>
  <c r="W93" i="15"/>
  <c r="T77" i="15"/>
  <c r="U77" i="15"/>
  <c r="V77" i="15"/>
  <c r="W77" i="15"/>
  <c r="T61" i="15"/>
  <c r="U61" i="15"/>
  <c r="V61" i="15"/>
  <c r="W61" i="15"/>
  <c r="T45" i="15"/>
  <c r="U45" i="15"/>
  <c r="V45" i="15"/>
  <c r="W45" i="15"/>
  <c r="T29" i="15"/>
  <c r="U29" i="15"/>
  <c r="V29" i="15"/>
  <c r="W29" i="15"/>
  <c r="T13" i="15"/>
  <c r="U13" i="15"/>
  <c r="V13" i="15"/>
  <c r="W13" i="15"/>
  <c r="T207" i="15"/>
  <c r="U207" i="15"/>
  <c r="W207" i="15"/>
  <c r="V207" i="15"/>
  <c r="U126" i="15"/>
  <c r="V126" i="15"/>
  <c r="W126" i="15"/>
  <c r="T126" i="15"/>
  <c r="V380" i="15"/>
  <c r="T380" i="15"/>
  <c r="U380" i="15"/>
  <c r="W380" i="15"/>
  <c r="U364" i="15"/>
  <c r="V364" i="15"/>
  <c r="W364" i="15"/>
  <c r="T364" i="15"/>
  <c r="T348" i="15"/>
  <c r="U348" i="15"/>
  <c r="V348" i="15"/>
  <c r="W348" i="15"/>
  <c r="T332" i="15"/>
  <c r="U332" i="15"/>
  <c r="V332" i="15"/>
  <c r="W332" i="15"/>
  <c r="U316" i="15"/>
  <c r="V316" i="15"/>
  <c r="W316" i="15"/>
  <c r="T316" i="15"/>
  <c r="T300" i="15"/>
  <c r="U300" i="15"/>
  <c r="V300" i="15"/>
  <c r="W300" i="15"/>
  <c r="T284" i="15"/>
  <c r="U284" i="15"/>
  <c r="V284" i="15"/>
  <c r="W284" i="15"/>
  <c r="U268" i="15"/>
  <c r="W268" i="15"/>
  <c r="T268" i="15"/>
  <c r="V268" i="15"/>
  <c r="T252" i="15"/>
  <c r="U252" i="15"/>
  <c r="W252" i="15"/>
  <c r="V252" i="15"/>
  <c r="W236" i="15"/>
  <c r="T236" i="15"/>
  <c r="U236" i="15"/>
  <c r="V236" i="15"/>
  <c r="T220" i="15"/>
  <c r="U220" i="15"/>
  <c r="V220" i="15"/>
  <c r="W220" i="15"/>
  <c r="U204" i="15"/>
  <c r="W204" i="15"/>
  <c r="T204" i="15"/>
  <c r="V204" i="15"/>
  <c r="T188" i="15"/>
  <c r="U188" i="15"/>
  <c r="V188" i="15"/>
  <c r="W188" i="15"/>
  <c r="T172" i="15"/>
  <c r="U172" i="15"/>
  <c r="V172" i="15"/>
  <c r="W172" i="15"/>
  <c r="T156" i="15"/>
  <c r="U156" i="15"/>
  <c r="W156" i="15"/>
  <c r="V156" i="15"/>
  <c r="T151" i="15"/>
  <c r="U151" i="15"/>
  <c r="V151" i="15"/>
  <c r="W151" i="15"/>
  <c r="W124" i="15"/>
  <c r="T124" i="15"/>
  <c r="U124" i="15"/>
  <c r="V124" i="15"/>
  <c r="T108" i="15"/>
  <c r="U108" i="15"/>
  <c r="V108" i="15"/>
  <c r="W108" i="15"/>
  <c r="U92" i="15"/>
  <c r="V92" i="15"/>
  <c r="W92" i="15"/>
  <c r="T92" i="15"/>
  <c r="T76" i="15"/>
  <c r="U76" i="15"/>
  <c r="V76" i="15"/>
  <c r="W76" i="15"/>
  <c r="T60" i="15"/>
  <c r="U60" i="15"/>
  <c r="V60" i="15"/>
  <c r="W60" i="15"/>
  <c r="T44" i="15"/>
  <c r="U44" i="15"/>
  <c r="V44" i="15"/>
  <c r="W44" i="15"/>
  <c r="T28" i="15"/>
  <c r="U28" i="15"/>
  <c r="V28" i="15"/>
  <c r="W28" i="15"/>
  <c r="T12" i="15"/>
  <c r="U12" i="15"/>
  <c r="V12" i="15"/>
  <c r="W12" i="15"/>
  <c r="W319" i="15"/>
  <c r="T319" i="15"/>
  <c r="U319" i="15"/>
  <c r="V319" i="15"/>
  <c r="V141" i="15"/>
  <c r="W141" i="15"/>
  <c r="T141" i="15"/>
  <c r="U141" i="15"/>
  <c r="V254" i="15"/>
  <c r="W254" i="15"/>
  <c r="T254" i="15"/>
  <c r="U254" i="15"/>
  <c r="T110" i="15"/>
  <c r="U110" i="15"/>
  <c r="V110" i="15"/>
  <c r="W110" i="15"/>
  <c r="T379" i="15"/>
  <c r="U379" i="15"/>
  <c r="V379" i="15"/>
  <c r="W379" i="15"/>
  <c r="T363" i="15"/>
  <c r="U363" i="15"/>
  <c r="V363" i="15"/>
  <c r="W363" i="15"/>
  <c r="T347" i="15"/>
  <c r="U347" i="15"/>
  <c r="V347" i="15"/>
  <c r="W347" i="15"/>
  <c r="V331" i="15"/>
  <c r="T331" i="15"/>
  <c r="U331" i="15"/>
  <c r="W331" i="15"/>
  <c r="T315" i="15"/>
  <c r="U315" i="15"/>
  <c r="V315" i="15"/>
  <c r="W315" i="15"/>
  <c r="T299" i="15"/>
  <c r="U299" i="15"/>
  <c r="V299" i="15"/>
  <c r="W299" i="15"/>
  <c r="T283" i="15"/>
  <c r="U283" i="15"/>
  <c r="V283" i="15"/>
  <c r="W283" i="15"/>
  <c r="T267" i="15"/>
  <c r="U267" i="15"/>
  <c r="V267" i="15"/>
  <c r="W267" i="15"/>
  <c r="T251" i="15"/>
  <c r="U251" i="15"/>
  <c r="V251" i="15"/>
  <c r="W251" i="15"/>
  <c r="V235" i="15"/>
  <c r="W235" i="15"/>
  <c r="T235" i="15"/>
  <c r="U235" i="15"/>
  <c r="T219" i="15"/>
  <c r="V219" i="15"/>
  <c r="U219" i="15"/>
  <c r="W219" i="15"/>
  <c r="T203" i="15"/>
  <c r="U203" i="15"/>
  <c r="V203" i="15"/>
  <c r="W203" i="15"/>
  <c r="U187" i="15"/>
  <c r="V187" i="15"/>
  <c r="W187" i="15"/>
  <c r="T187" i="15"/>
  <c r="T171" i="15"/>
  <c r="U171" i="15"/>
  <c r="V171" i="15"/>
  <c r="W171" i="15"/>
  <c r="T155" i="15"/>
  <c r="U155" i="15"/>
  <c r="V155" i="15"/>
  <c r="W155" i="15"/>
  <c r="T150" i="15"/>
  <c r="U150" i="15"/>
  <c r="V150" i="15"/>
  <c r="W150" i="15"/>
  <c r="T123" i="15"/>
  <c r="U123" i="15"/>
  <c r="V123" i="15"/>
  <c r="W123" i="15"/>
  <c r="W107" i="15"/>
  <c r="T107" i="15"/>
  <c r="U107" i="15"/>
  <c r="V107" i="15"/>
  <c r="T91" i="15"/>
  <c r="U91" i="15"/>
  <c r="V91" i="15"/>
  <c r="W91" i="15"/>
  <c r="U75" i="15"/>
  <c r="V75" i="15"/>
  <c r="W75" i="15"/>
  <c r="T75" i="15"/>
  <c r="T59" i="15"/>
  <c r="U59" i="15"/>
  <c r="V59" i="15"/>
  <c r="W59" i="15"/>
  <c r="T43" i="15"/>
  <c r="U43" i="15"/>
  <c r="V43" i="15"/>
  <c r="W43" i="15"/>
  <c r="U27" i="15"/>
  <c r="V27" i="15"/>
  <c r="W27" i="15"/>
  <c r="T27" i="15"/>
  <c r="T11" i="15"/>
  <c r="U11" i="15"/>
  <c r="V11" i="15"/>
  <c r="W11" i="15"/>
  <c r="T335" i="15"/>
  <c r="U335" i="15"/>
  <c r="V335" i="15"/>
  <c r="W335" i="15"/>
  <c r="T159" i="15"/>
  <c r="U159" i="15"/>
  <c r="V159" i="15"/>
  <c r="W159" i="15"/>
  <c r="T382" i="15"/>
  <c r="V382" i="15"/>
  <c r="W382" i="15"/>
  <c r="U382" i="15"/>
  <c r="T222" i="15"/>
  <c r="U222" i="15"/>
  <c r="V222" i="15"/>
  <c r="W222" i="15"/>
  <c r="T378" i="15"/>
  <c r="U378" i="15"/>
  <c r="V378" i="15"/>
  <c r="W378" i="15"/>
  <c r="V362" i="15"/>
  <c r="T362" i="15"/>
  <c r="U362" i="15"/>
  <c r="W362" i="15"/>
  <c r="T346" i="15"/>
  <c r="U346" i="15"/>
  <c r="V346" i="15"/>
  <c r="W346" i="15"/>
  <c r="T330" i="15"/>
  <c r="U330" i="15"/>
  <c r="V330" i="15"/>
  <c r="W330" i="15"/>
  <c r="W314" i="15"/>
  <c r="T314" i="15"/>
  <c r="U314" i="15"/>
  <c r="V314" i="15"/>
  <c r="T298" i="15"/>
  <c r="U298" i="15"/>
  <c r="V298" i="15"/>
  <c r="W298" i="15"/>
  <c r="U282" i="15"/>
  <c r="V282" i="15"/>
  <c r="W282" i="15"/>
  <c r="T282" i="15"/>
  <c r="T266" i="15"/>
  <c r="U266" i="15"/>
  <c r="V266" i="15"/>
  <c r="W266" i="15"/>
  <c r="V250" i="15"/>
  <c r="W250" i="15"/>
  <c r="U250" i="15"/>
  <c r="T250" i="15"/>
  <c r="T234" i="15"/>
  <c r="U234" i="15"/>
  <c r="V234" i="15"/>
  <c r="W234" i="15"/>
  <c r="V218" i="15"/>
  <c r="W218" i="15"/>
  <c r="T218" i="15"/>
  <c r="U218" i="15"/>
  <c r="T202" i="15"/>
  <c r="U202" i="15"/>
  <c r="V202" i="15"/>
  <c r="W202" i="15"/>
  <c r="T186" i="15"/>
  <c r="U186" i="15"/>
  <c r="V186" i="15"/>
  <c r="W186" i="15"/>
  <c r="V170" i="15"/>
  <c r="W170" i="15"/>
  <c r="T170" i="15"/>
  <c r="U170" i="15"/>
  <c r="T154" i="15"/>
  <c r="U154" i="15"/>
  <c r="V154" i="15"/>
  <c r="W154" i="15"/>
  <c r="T144" i="15"/>
  <c r="U144" i="15"/>
  <c r="V144" i="15"/>
  <c r="W144" i="15"/>
  <c r="T122" i="15"/>
  <c r="U122" i="15"/>
  <c r="V122" i="15"/>
  <c r="W122" i="15"/>
  <c r="T106" i="15"/>
  <c r="U106" i="15"/>
  <c r="V106" i="15"/>
  <c r="W106" i="15"/>
  <c r="T90" i="15"/>
  <c r="U90" i="15"/>
  <c r="V90" i="15"/>
  <c r="W90" i="15"/>
  <c r="T74" i="15"/>
  <c r="U74" i="15"/>
  <c r="V74" i="15"/>
  <c r="W74" i="15"/>
  <c r="W58" i="15"/>
  <c r="T58" i="15"/>
  <c r="U58" i="15"/>
  <c r="V58" i="15"/>
  <c r="T42" i="15"/>
  <c r="U42" i="15"/>
  <c r="V42" i="15"/>
  <c r="W42" i="15"/>
  <c r="T26" i="15"/>
  <c r="U26" i="15"/>
  <c r="V26" i="15"/>
  <c r="W26" i="15"/>
  <c r="T10" i="15"/>
  <c r="U10" i="15"/>
  <c r="V10" i="15"/>
  <c r="W10" i="15"/>
  <c r="T351" i="15"/>
  <c r="U351" i="15"/>
  <c r="V351" i="15"/>
  <c r="W351" i="15"/>
  <c r="T111" i="15"/>
  <c r="U111" i="15"/>
  <c r="V111" i="15"/>
  <c r="W111" i="15"/>
  <c r="U350" i="15"/>
  <c r="W350" i="15"/>
  <c r="T350" i="15"/>
  <c r="V350" i="15"/>
  <c r="T206" i="15"/>
  <c r="U206" i="15"/>
  <c r="V206" i="15"/>
  <c r="W206" i="15"/>
  <c r="T377" i="15"/>
  <c r="V377" i="15"/>
  <c r="W377" i="15"/>
  <c r="U377" i="15"/>
  <c r="T361" i="15"/>
  <c r="U361" i="15"/>
  <c r="V361" i="15"/>
  <c r="W361" i="15"/>
  <c r="U345" i="15"/>
  <c r="W345" i="15"/>
  <c r="T345" i="15"/>
  <c r="V345" i="15"/>
  <c r="T329" i="15"/>
  <c r="U329" i="15"/>
  <c r="V329" i="15"/>
  <c r="W329" i="15"/>
  <c r="T313" i="15"/>
  <c r="U313" i="15"/>
  <c r="V313" i="15"/>
  <c r="W313" i="15"/>
  <c r="V297" i="15"/>
  <c r="T297" i="15"/>
  <c r="U297" i="15"/>
  <c r="W297" i="15"/>
  <c r="T281" i="15"/>
  <c r="U281" i="15"/>
  <c r="V281" i="15"/>
  <c r="W281" i="15"/>
  <c r="T265" i="15"/>
  <c r="U265" i="15"/>
  <c r="V265" i="15"/>
  <c r="W265" i="15"/>
  <c r="U249" i="15"/>
  <c r="V249" i="15"/>
  <c r="T249" i="15"/>
  <c r="W249" i="15"/>
  <c r="V233" i="15"/>
  <c r="W233" i="15"/>
  <c r="T233" i="15"/>
  <c r="U233" i="15"/>
  <c r="T217" i="15"/>
  <c r="U217" i="15"/>
  <c r="V217" i="15"/>
  <c r="W217" i="15"/>
  <c r="T201" i="15"/>
  <c r="U201" i="15"/>
  <c r="V201" i="15"/>
  <c r="W201" i="15"/>
  <c r="T185" i="15"/>
  <c r="U185" i="15"/>
  <c r="V185" i="15"/>
  <c r="W185" i="15"/>
  <c r="T169" i="15"/>
  <c r="U169" i="15"/>
  <c r="V169" i="15"/>
  <c r="W169" i="15"/>
  <c r="W153" i="15"/>
  <c r="U153" i="15"/>
  <c r="T153" i="15"/>
  <c r="V153" i="15"/>
  <c r="T140" i="15"/>
  <c r="U140" i="15"/>
  <c r="V140" i="15"/>
  <c r="W140" i="15"/>
  <c r="U121" i="15"/>
  <c r="V121" i="15"/>
  <c r="W121" i="15"/>
  <c r="T121" i="15"/>
  <c r="T105" i="15"/>
  <c r="U105" i="15"/>
  <c r="V105" i="15"/>
  <c r="W105" i="15"/>
  <c r="T89" i="15"/>
  <c r="U89" i="15"/>
  <c r="V89" i="15"/>
  <c r="W89" i="15"/>
  <c r="T73" i="15"/>
  <c r="U73" i="15"/>
  <c r="V73" i="15"/>
  <c r="W73" i="15"/>
  <c r="T57" i="15"/>
  <c r="U57" i="15"/>
  <c r="V57" i="15"/>
  <c r="W57" i="15"/>
  <c r="U41" i="15"/>
  <c r="V41" i="15"/>
  <c r="W41" i="15"/>
  <c r="T41" i="15"/>
  <c r="T25" i="15"/>
  <c r="U25" i="15"/>
  <c r="V25" i="15"/>
  <c r="W25" i="15"/>
  <c r="T9" i="15"/>
  <c r="U9" i="15"/>
  <c r="V9" i="15"/>
  <c r="W9" i="15"/>
  <c r="T63" i="15"/>
  <c r="U63" i="15"/>
  <c r="V63" i="15"/>
  <c r="W63" i="15"/>
  <c r="T62" i="15"/>
  <c r="U62" i="15"/>
  <c r="V62" i="15"/>
  <c r="W62" i="15"/>
  <c r="T2" i="15"/>
  <c r="U2" i="15"/>
  <c r="V2" i="15"/>
  <c r="W2" i="15"/>
  <c r="T376" i="15"/>
  <c r="U376" i="15"/>
  <c r="V376" i="15"/>
  <c r="W376" i="15"/>
  <c r="T360" i="15"/>
  <c r="U360" i="15"/>
  <c r="V360" i="15"/>
  <c r="W360" i="15"/>
  <c r="T344" i="15"/>
  <c r="U344" i="15"/>
  <c r="V344" i="15"/>
  <c r="W344" i="15"/>
  <c r="T328" i="15"/>
  <c r="V328" i="15"/>
  <c r="W328" i="15"/>
  <c r="U328" i="15"/>
  <c r="T312" i="15"/>
  <c r="U312" i="15"/>
  <c r="V312" i="15"/>
  <c r="W312" i="15"/>
  <c r="T296" i="15"/>
  <c r="U296" i="15"/>
  <c r="V296" i="15"/>
  <c r="W296" i="15"/>
  <c r="U280" i="15"/>
  <c r="W280" i="15"/>
  <c r="T280" i="15"/>
  <c r="V280" i="15"/>
  <c r="T264" i="15"/>
  <c r="U264" i="15"/>
  <c r="V264" i="15"/>
  <c r="W264" i="15"/>
  <c r="U248" i="15"/>
  <c r="V248" i="15"/>
  <c r="W248" i="15"/>
  <c r="T248" i="15"/>
  <c r="V232" i="15"/>
  <c r="W232" i="15"/>
  <c r="T232" i="15"/>
  <c r="U232" i="15"/>
  <c r="T216" i="15"/>
  <c r="U216" i="15"/>
  <c r="V216" i="15"/>
  <c r="W216" i="15"/>
  <c r="T200" i="15"/>
  <c r="U200" i="15"/>
  <c r="V200" i="15"/>
  <c r="W200" i="15"/>
  <c r="T184" i="15"/>
  <c r="U184" i="15"/>
  <c r="V184" i="15"/>
  <c r="W184" i="15"/>
  <c r="T168" i="15"/>
  <c r="U168" i="15"/>
  <c r="V168" i="15"/>
  <c r="W168" i="15"/>
  <c r="T152" i="15"/>
  <c r="U152" i="15"/>
  <c r="V152" i="15"/>
  <c r="W152" i="15"/>
  <c r="T148" i="15"/>
  <c r="U148" i="15"/>
  <c r="V148" i="15"/>
  <c r="W148" i="15"/>
  <c r="T120" i="15"/>
  <c r="U120" i="15"/>
  <c r="V120" i="15"/>
  <c r="W120" i="15"/>
  <c r="V104" i="15"/>
  <c r="W104" i="15"/>
  <c r="T104" i="15"/>
  <c r="U104" i="15"/>
  <c r="T88" i="15"/>
  <c r="U88" i="15"/>
  <c r="V88" i="15"/>
  <c r="W88" i="15"/>
  <c r="T72" i="15"/>
  <c r="U72" i="15"/>
  <c r="V72" i="15"/>
  <c r="W72" i="15"/>
  <c r="T56" i="15"/>
  <c r="U56" i="15"/>
  <c r="V56" i="15"/>
  <c r="W56" i="15"/>
  <c r="T40" i="15"/>
  <c r="U40" i="15"/>
  <c r="V40" i="15"/>
  <c r="W40" i="15"/>
  <c r="T24" i="15"/>
  <c r="U24" i="15"/>
  <c r="V24" i="15"/>
  <c r="W24" i="15"/>
  <c r="T8" i="15"/>
  <c r="U8" i="15"/>
  <c r="V8" i="15"/>
  <c r="W8" i="15"/>
  <c r="T255" i="15"/>
  <c r="U255" i="15"/>
  <c r="V255" i="15"/>
  <c r="W255" i="15"/>
  <c r="T79" i="15"/>
  <c r="U79" i="15"/>
  <c r="V79" i="15"/>
  <c r="W79" i="15"/>
  <c r="T334" i="15"/>
  <c r="U334" i="15"/>
  <c r="V334" i="15"/>
  <c r="W334" i="15"/>
  <c r="T190" i="15"/>
  <c r="U190" i="15"/>
  <c r="V190" i="15"/>
  <c r="W190" i="15"/>
  <c r="T375" i="15"/>
  <c r="U375" i="15"/>
  <c r="V375" i="15"/>
  <c r="W375" i="15"/>
  <c r="T359" i="15"/>
  <c r="V359" i="15"/>
  <c r="W359" i="15"/>
  <c r="U359" i="15"/>
  <c r="T343" i="15"/>
  <c r="U343" i="15"/>
  <c r="V343" i="15"/>
  <c r="W343" i="15"/>
  <c r="T327" i="15"/>
  <c r="U327" i="15"/>
  <c r="V327" i="15"/>
  <c r="W327" i="15"/>
  <c r="U311" i="15"/>
  <c r="W311" i="15"/>
  <c r="T311" i="15"/>
  <c r="V311" i="15"/>
  <c r="T295" i="15"/>
  <c r="U295" i="15"/>
  <c r="V295" i="15"/>
  <c r="W295" i="15"/>
  <c r="T279" i="15"/>
  <c r="U279" i="15"/>
  <c r="V279" i="15"/>
  <c r="W279" i="15"/>
  <c r="U263" i="15"/>
  <c r="W263" i="15"/>
  <c r="T263" i="15"/>
  <c r="V263" i="15"/>
  <c r="T247" i="15"/>
  <c r="U247" i="15"/>
  <c r="V247" i="15"/>
  <c r="W247" i="15"/>
  <c r="T231" i="15"/>
  <c r="U231" i="15"/>
  <c r="V231" i="15"/>
  <c r="W231" i="15"/>
  <c r="T215" i="15"/>
  <c r="U215" i="15"/>
  <c r="V215" i="15"/>
  <c r="W215" i="15"/>
  <c r="T199" i="15"/>
  <c r="U199" i="15"/>
  <c r="V199" i="15"/>
  <c r="W199" i="15"/>
  <c r="T183" i="15"/>
  <c r="U183" i="15"/>
  <c r="V183" i="15"/>
  <c r="W183" i="15"/>
  <c r="U167" i="15"/>
  <c r="V167" i="15"/>
  <c r="W167" i="15"/>
  <c r="T167" i="15"/>
  <c r="T139" i="15"/>
  <c r="U139" i="15"/>
  <c r="V139" i="15"/>
  <c r="W139" i="15"/>
  <c r="T135" i="15"/>
  <c r="U135" i="15"/>
  <c r="V135" i="15"/>
  <c r="W135" i="15"/>
  <c r="T119" i="15"/>
  <c r="U119" i="15"/>
  <c r="V119" i="15"/>
  <c r="W119" i="15"/>
  <c r="T103" i="15"/>
  <c r="U103" i="15"/>
  <c r="V103" i="15"/>
  <c r="W103" i="15"/>
  <c r="T87" i="15"/>
  <c r="U87" i="15"/>
  <c r="V87" i="15"/>
  <c r="W87" i="15"/>
  <c r="T71" i="15"/>
  <c r="U71" i="15"/>
  <c r="V71" i="15"/>
  <c r="W71" i="15"/>
  <c r="U55" i="15"/>
  <c r="V55" i="15"/>
  <c r="W55" i="15"/>
  <c r="T55" i="15"/>
  <c r="T39" i="15"/>
  <c r="U39" i="15"/>
  <c r="V39" i="15"/>
  <c r="W39" i="15"/>
  <c r="T23" i="15"/>
  <c r="U23" i="15"/>
  <c r="V23" i="15"/>
  <c r="W23" i="15"/>
  <c r="T7" i="15"/>
  <c r="U7" i="15"/>
  <c r="V7" i="15"/>
  <c r="W7" i="15"/>
  <c r="T271" i="15"/>
  <c r="U271" i="15"/>
  <c r="V271" i="15"/>
  <c r="W271" i="15"/>
  <c r="T31" i="15"/>
  <c r="U31" i="15"/>
  <c r="V31" i="15"/>
  <c r="W31" i="15"/>
  <c r="T286" i="15"/>
  <c r="U286" i="15"/>
  <c r="V286" i="15"/>
  <c r="W286" i="15"/>
  <c r="T174" i="15"/>
  <c r="U174" i="15"/>
  <c r="V174" i="15"/>
  <c r="W174" i="15"/>
  <c r="U374" i="15"/>
  <c r="V374" i="15"/>
  <c r="W374" i="15"/>
  <c r="T374" i="15"/>
  <c r="T358" i="15"/>
  <c r="U358" i="15"/>
  <c r="V358" i="15"/>
  <c r="W358" i="15"/>
  <c r="U342" i="15"/>
  <c r="V342" i="15"/>
  <c r="W342" i="15"/>
  <c r="T342" i="15"/>
  <c r="T326" i="15"/>
  <c r="U326" i="15"/>
  <c r="V326" i="15"/>
  <c r="W326" i="15"/>
  <c r="T310" i="15"/>
  <c r="U310" i="15"/>
  <c r="V310" i="15"/>
  <c r="W310" i="15"/>
  <c r="T294" i="15"/>
  <c r="V294" i="15"/>
  <c r="W294" i="15"/>
  <c r="U294" i="15"/>
  <c r="T278" i="15"/>
  <c r="U278" i="15"/>
  <c r="V278" i="15"/>
  <c r="W278" i="15"/>
  <c r="T262" i="15"/>
  <c r="U262" i="15"/>
  <c r="V262" i="15"/>
  <c r="W262" i="15"/>
  <c r="T246" i="15"/>
  <c r="U246" i="15"/>
  <c r="V246" i="15"/>
  <c r="W246" i="15"/>
  <c r="U230" i="15"/>
  <c r="V230" i="15"/>
  <c r="W230" i="15"/>
  <c r="T230" i="15"/>
  <c r="T214" i="15"/>
  <c r="V214" i="15"/>
  <c r="U214" i="15"/>
  <c r="W214" i="15"/>
  <c r="T198" i="15"/>
  <c r="U198" i="15"/>
  <c r="V198" i="15"/>
  <c r="W198" i="15"/>
  <c r="T180" i="15"/>
  <c r="U180" i="15"/>
  <c r="W180" i="15"/>
  <c r="V180" i="15"/>
  <c r="T166" i="15"/>
  <c r="U166" i="15"/>
  <c r="V166" i="15"/>
  <c r="W166" i="15"/>
  <c r="V146" i="15"/>
  <c r="W146" i="15"/>
  <c r="T146" i="15"/>
  <c r="U146" i="15"/>
  <c r="T134" i="15"/>
  <c r="U134" i="15"/>
  <c r="V134" i="15"/>
  <c r="W134" i="15"/>
  <c r="T118" i="15"/>
  <c r="U118" i="15"/>
  <c r="V118" i="15"/>
  <c r="W118" i="15"/>
  <c r="T102" i="15"/>
  <c r="U102" i="15"/>
  <c r="V102" i="15"/>
  <c r="W102" i="15"/>
  <c r="T86" i="15"/>
  <c r="U86" i="15"/>
  <c r="V86" i="15"/>
  <c r="W86" i="15"/>
  <c r="T70" i="15"/>
  <c r="U70" i="15"/>
  <c r="V70" i="15"/>
  <c r="W70" i="15"/>
  <c r="T54" i="15"/>
  <c r="U54" i="15"/>
  <c r="V54" i="15"/>
  <c r="W54" i="15"/>
  <c r="T38" i="15"/>
  <c r="U38" i="15"/>
  <c r="V38" i="15"/>
  <c r="W38" i="15"/>
  <c r="W22" i="15"/>
  <c r="T22" i="15"/>
  <c r="U22" i="15"/>
  <c r="V22" i="15"/>
  <c r="T6" i="15"/>
  <c r="U6" i="15"/>
  <c r="V6" i="15"/>
  <c r="W6" i="15"/>
  <c r="U239" i="15"/>
  <c r="W239" i="15"/>
  <c r="T239" i="15"/>
  <c r="V239" i="15"/>
  <c r="T95" i="15"/>
  <c r="U95" i="15"/>
  <c r="V95" i="15"/>
  <c r="W95" i="15"/>
  <c r="U302" i="15"/>
  <c r="W302" i="15"/>
  <c r="T302" i="15"/>
  <c r="V302" i="15"/>
  <c r="T30" i="15"/>
  <c r="U30" i="15"/>
  <c r="V30" i="15"/>
  <c r="W30" i="15"/>
  <c r="T373" i="15"/>
  <c r="U373" i="15"/>
  <c r="V373" i="15"/>
  <c r="W373" i="15"/>
  <c r="T357" i="15"/>
  <c r="U357" i="15"/>
  <c r="V357" i="15"/>
  <c r="W357" i="15"/>
  <c r="T341" i="15"/>
  <c r="U341" i="15"/>
  <c r="V341" i="15"/>
  <c r="W341" i="15"/>
  <c r="U325" i="15"/>
  <c r="V325" i="15"/>
  <c r="W325" i="15"/>
  <c r="T325" i="15"/>
  <c r="T309" i="15"/>
  <c r="U309" i="15"/>
  <c r="V309" i="15"/>
  <c r="W309" i="15"/>
  <c r="T293" i="15"/>
  <c r="U293" i="15"/>
  <c r="V293" i="15"/>
  <c r="W293" i="15"/>
  <c r="U277" i="15"/>
  <c r="V277" i="15"/>
  <c r="W277" i="15"/>
  <c r="T277" i="15"/>
  <c r="T261" i="15"/>
  <c r="U261" i="15"/>
  <c r="V261" i="15"/>
  <c r="W261" i="15"/>
  <c r="V245" i="15"/>
  <c r="W245" i="15"/>
  <c r="T245" i="15"/>
  <c r="U245" i="15"/>
  <c r="V229" i="15"/>
  <c r="W229" i="15"/>
  <c r="T229" i="15"/>
  <c r="U229" i="15"/>
  <c r="V213" i="15"/>
  <c r="W213" i="15"/>
  <c r="T213" i="15"/>
  <c r="U213" i="15"/>
  <c r="T197" i="15"/>
  <c r="U197" i="15"/>
  <c r="V197" i="15"/>
  <c r="W197" i="15"/>
  <c r="T181" i="15"/>
  <c r="U181" i="15"/>
  <c r="V181" i="15"/>
  <c r="W181" i="15"/>
  <c r="T165" i="15"/>
  <c r="U165" i="15"/>
  <c r="V165" i="15"/>
  <c r="W165" i="15"/>
  <c r="T138" i="15"/>
  <c r="U138" i="15"/>
  <c r="V138" i="15"/>
  <c r="W138" i="15"/>
  <c r="T133" i="15"/>
  <c r="U133" i="15"/>
  <c r="V133" i="15"/>
  <c r="W133" i="15"/>
  <c r="T117" i="15"/>
  <c r="U117" i="15"/>
  <c r="V117" i="15"/>
  <c r="W117" i="15"/>
  <c r="V101" i="15"/>
  <c r="W101" i="15"/>
  <c r="T101" i="15"/>
  <c r="U101" i="15"/>
  <c r="T85" i="15"/>
  <c r="U85" i="15"/>
  <c r="V85" i="15"/>
  <c r="W85" i="15"/>
  <c r="T69" i="15"/>
  <c r="U69" i="15"/>
  <c r="V69" i="15"/>
  <c r="W69" i="15"/>
  <c r="T53" i="15"/>
  <c r="U53" i="15"/>
  <c r="V53" i="15"/>
  <c r="W53" i="15"/>
  <c r="T37" i="15"/>
  <c r="U37" i="15"/>
  <c r="V37" i="15"/>
  <c r="W37" i="15"/>
  <c r="T21" i="15"/>
  <c r="U21" i="15"/>
  <c r="V21" i="15"/>
  <c r="W21" i="15"/>
  <c r="W5" i="15"/>
  <c r="T5" i="15"/>
  <c r="U5" i="15"/>
  <c r="V5" i="15"/>
  <c r="T127" i="15"/>
  <c r="U127" i="15"/>
  <c r="V127" i="15"/>
  <c r="W127" i="15"/>
  <c r="T94" i="15"/>
  <c r="U94" i="15"/>
  <c r="V94" i="15"/>
  <c r="W94" i="15"/>
  <c r="T372" i="15"/>
  <c r="U372" i="15"/>
  <c r="V372" i="15"/>
  <c r="W372" i="15"/>
  <c r="T356" i="15"/>
  <c r="U356" i="15"/>
  <c r="V356" i="15"/>
  <c r="W356" i="15"/>
  <c r="V340" i="15"/>
  <c r="T340" i="15"/>
  <c r="U340" i="15"/>
  <c r="W340" i="15"/>
  <c r="T324" i="15"/>
  <c r="U324" i="15"/>
  <c r="V324" i="15"/>
  <c r="W324" i="15"/>
  <c r="T308" i="15"/>
  <c r="U308" i="15"/>
  <c r="V308" i="15"/>
  <c r="W308" i="15"/>
  <c r="W292" i="15"/>
  <c r="T292" i="15"/>
  <c r="U292" i="15"/>
  <c r="V292" i="15"/>
  <c r="T276" i="15"/>
  <c r="U276" i="15"/>
  <c r="V276" i="15"/>
  <c r="W276" i="15"/>
  <c r="T260" i="15"/>
  <c r="U260" i="15"/>
  <c r="V260" i="15"/>
  <c r="W260" i="15"/>
  <c r="U244" i="15"/>
  <c r="V244" i="15"/>
  <c r="T244" i="15"/>
  <c r="W244" i="15"/>
  <c r="T228" i="15"/>
  <c r="U228" i="15"/>
  <c r="V228" i="15"/>
  <c r="W228" i="15"/>
  <c r="T212" i="15"/>
  <c r="U212" i="15"/>
  <c r="V212" i="15"/>
  <c r="W212" i="15"/>
  <c r="T196" i="15"/>
  <c r="V196" i="15"/>
  <c r="W196" i="15"/>
  <c r="U196" i="15"/>
  <c r="T182" i="15"/>
  <c r="U182" i="15"/>
  <c r="V182" i="15"/>
  <c r="W182" i="15"/>
  <c r="T164" i="15"/>
  <c r="U164" i="15"/>
  <c r="V164" i="15"/>
  <c r="W164" i="15"/>
  <c r="T147" i="15"/>
  <c r="U147" i="15"/>
  <c r="V147" i="15"/>
  <c r="W147" i="15"/>
  <c r="T132" i="15"/>
  <c r="U132" i="15"/>
  <c r="V132" i="15"/>
  <c r="W132" i="15"/>
  <c r="T116" i="15"/>
  <c r="U116" i="15"/>
  <c r="V116" i="15"/>
  <c r="W116" i="15"/>
  <c r="T100" i="15"/>
  <c r="U100" i="15"/>
  <c r="V100" i="15"/>
  <c r="W100" i="15"/>
  <c r="W84" i="15"/>
  <c r="T84" i="15"/>
  <c r="U84" i="15"/>
  <c r="V84" i="15"/>
  <c r="T68" i="15"/>
  <c r="U68" i="15"/>
  <c r="V68" i="15"/>
  <c r="W68" i="15"/>
  <c r="T52" i="15"/>
  <c r="U52" i="15"/>
  <c r="V52" i="15"/>
  <c r="W52" i="15"/>
  <c r="T36" i="15"/>
  <c r="U36" i="15"/>
  <c r="V36" i="15"/>
  <c r="W36" i="15"/>
  <c r="T20" i="15"/>
  <c r="U20" i="15"/>
  <c r="V20" i="15"/>
  <c r="W20" i="15"/>
  <c r="T4" i="15"/>
  <c r="U4" i="15"/>
  <c r="V4" i="15"/>
  <c r="W4" i="15"/>
  <c r="T383" i="15"/>
  <c r="U383" i="15"/>
  <c r="V383" i="15"/>
  <c r="W383" i="15"/>
  <c r="T191" i="15"/>
  <c r="U191" i="15"/>
  <c r="V191" i="15"/>
  <c r="W191" i="15"/>
  <c r="T270" i="15"/>
  <c r="U270" i="15"/>
  <c r="V270" i="15"/>
  <c r="W270" i="15"/>
  <c r="T78" i="15"/>
  <c r="U78" i="15"/>
  <c r="V78" i="15"/>
  <c r="W78" i="15"/>
  <c r="T371" i="15"/>
  <c r="U371" i="15"/>
  <c r="V371" i="15"/>
  <c r="W371" i="15"/>
  <c r="T355" i="15"/>
  <c r="U355" i="15"/>
  <c r="V355" i="15"/>
  <c r="W355" i="15"/>
  <c r="T339" i="15"/>
  <c r="U339" i="15"/>
  <c r="V339" i="15"/>
  <c r="W339" i="15"/>
  <c r="T323" i="15"/>
  <c r="V323" i="15"/>
  <c r="W323" i="15"/>
  <c r="U323" i="15"/>
  <c r="T307" i="15"/>
  <c r="U307" i="15"/>
  <c r="V307" i="15"/>
  <c r="W307" i="15"/>
  <c r="T291" i="15"/>
  <c r="U291" i="15"/>
  <c r="V291" i="15"/>
  <c r="W291" i="15"/>
  <c r="U275" i="15"/>
  <c r="W275" i="15"/>
  <c r="T275" i="15"/>
  <c r="V275" i="15"/>
  <c r="T259" i="15"/>
  <c r="U259" i="15"/>
  <c r="V259" i="15"/>
  <c r="W259" i="15"/>
  <c r="V243" i="15"/>
  <c r="W243" i="15"/>
  <c r="U243" i="15"/>
  <c r="T243" i="15"/>
  <c r="T227" i="15"/>
  <c r="W227" i="15"/>
  <c r="U227" i="15"/>
  <c r="V227" i="15"/>
  <c r="W211" i="15"/>
  <c r="T211" i="15"/>
  <c r="U211" i="15"/>
  <c r="V211" i="15"/>
  <c r="T195" i="15"/>
  <c r="U195" i="15"/>
  <c r="V195" i="15"/>
  <c r="W195" i="15"/>
  <c r="W179" i="15"/>
  <c r="U179" i="15"/>
  <c r="T179" i="15"/>
  <c r="V179" i="15"/>
  <c r="T163" i="15"/>
  <c r="U163" i="15"/>
  <c r="V163" i="15"/>
  <c r="W163" i="15"/>
  <c r="T142" i="15"/>
  <c r="U142" i="15"/>
  <c r="V142" i="15"/>
  <c r="W142" i="15"/>
  <c r="T131" i="15"/>
  <c r="U131" i="15"/>
  <c r="V131" i="15"/>
  <c r="W131" i="15"/>
  <c r="T115" i="15"/>
  <c r="U115" i="15"/>
  <c r="V115" i="15"/>
  <c r="W115" i="15"/>
  <c r="T99" i="15"/>
  <c r="U99" i="15"/>
  <c r="V99" i="15"/>
  <c r="W99" i="15"/>
  <c r="T83" i="15"/>
  <c r="U83" i="15"/>
  <c r="V83" i="15"/>
  <c r="W83" i="15"/>
  <c r="W67" i="15"/>
  <c r="T67" i="15"/>
  <c r="U67" i="15"/>
  <c r="V67" i="15"/>
  <c r="T51" i="15"/>
  <c r="U51" i="15"/>
  <c r="V51" i="15"/>
  <c r="W51" i="15"/>
  <c r="T35" i="15"/>
  <c r="U35" i="15"/>
  <c r="V35" i="15"/>
  <c r="W35" i="15"/>
  <c r="U19" i="15"/>
  <c r="V19" i="15"/>
  <c r="W19" i="15"/>
  <c r="T19" i="15"/>
  <c r="T3" i="15"/>
  <c r="U3" i="15"/>
  <c r="V3" i="15"/>
  <c r="W3" i="15"/>
  <c r="V367" i="15"/>
  <c r="T367" i="15"/>
  <c r="U367" i="15"/>
  <c r="W367" i="15"/>
  <c r="T175" i="15"/>
  <c r="U175" i="15"/>
  <c r="W175" i="15"/>
  <c r="V175" i="15"/>
  <c r="T366" i="15"/>
  <c r="U366" i="15"/>
  <c r="V366" i="15"/>
  <c r="W366" i="15"/>
  <c r="W158" i="15"/>
  <c r="U158" i="15"/>
  <c r="T158" i="15"/>
  <c r="V158" i="15"/>
  <c r="T386" i="15"/>
  <c r="U386" i="15"/>
  <c r="V386" i="15"/>
  <c r="W386" i="15"/>
  <c r="T370" i="15"/>
  <c r="U370" i="15"/>
  <c r="V370" i="15"/>
  <c r="W370" i="15"/>
  <c r="T354" i="15"/>
  <c r="U354" i="15"/>
  <c r="V354" i="15"/>
  <c r="W354" i="15"/>
  <c r="W338" i="15"/>
  <c r="T338" i="15"/>
  <c r="U338" i="15"/>
  <c r="V338" i="15"/>
  <c r="T322" i="15"/>
  <c r="U322" i="15"/>
  <c r="V322" i="15"/>
  <c r="W322" i="15"/>
  <c r="T306" i="15"/>
  <c r="U306" i="15"/>
  <c r="V306" i="15"/>
  <c r="W306" i="15"/>
  <c r="T290" i="15"/>
  <c r="U290" i="15"/>
  <c r="V290" i="15"/>
  <c r="W290" i="15"/>
  <c r="T274" i="15"/>
  <c r="U274" i="15"/>
  <c r="V274" i="15"/>
  <c r="W274" i="15"/>
  <c r="T258" i="15"/>
  <c r="U258" i="15"/>
  <c r="V258" i="15"/>
  <c r="W258" i="15"/>
  <c r="V242" i="15"/>
  <c r="W242" i="15"/>
  <c r="T242" i="15"/>
  <c r="U242" i="15"/>
  <c r="W226" i="15"/>
  <c r="T226" i="15"/>
  <c r="U226" i="15"/>
  <c r="V226" i="15"/>
  <c r="U210" i="15"/>
  <c r="V210" i="15"/>
  <c r="W210" i="15"/>
  <c r="T210" i="15"/>
  <c r="T194" i="15"/>
  <c r="U194" i="15"/>
  <c r="V194" i="15"/>
  <c r="W194" i="15"/>
  <c r="T178" i="15"/>
  <c r="U178" i="15"/>
  <c r="V178" i="15"/>
  <c r="W178" i="15"/>
  <c r="U162" i="15"/>
  <c r="V162" i="15"/>
  <c r="W162" i="15"/>
  <c r="T162" i="15"/>
  <c r="T143" i="15"/>
  <c r="U143" i="15"/>
  <c r="V143" i="15"/>
  <c r="W143" i="15"/>
  <c r="T130" i="15"/>
  <c r="U130" i="15"/>
  <c r="V130" i="15"/>
  <c r="W130" i="15"/>
  <c r="T114" i="15"/>
  <c r="U114" i="15"/>
  <c r="V114" i="15"/>
  <c r="W114" i="15"/>
  <c r="T98" i="15"/>
  <c r="U98" i="15"/>
  <c r="V98" i="15"/>
  <c r="W98" i="15"/>
  <c r="T82" i="15"/>
  <c r="U82" i="15"/>
  <c r="V82" i="15"/>
  <c r="W82" i="15"/>
  <c r="T66" i="15"/>
  <c r="U66" i="15"/>
  <c r="V66" i="15"/>
  <c r="W66" i="15"/>
  <c r="T50" i="15"/>
  <c r="U50" i="15"/>
  <c r="V50" i="15"/>
  <c r="W50" i="15"/>
  <c r="T34" i="15"/>
  <c r="U34" i="15"/>
  <c r="V34" i="15"/>
  <c r="W34" i="15"/>
  <c r="T18" i="15"/>
  <c r="U18" i="15"/>
  <c r="V18" i="15"/>
  <c r="W18" i="15"/>
  <c r="T303" i="15"/>
  <c r="U303" i="15"/>
  <c r="V303" i="15"/>
  <c r="W303" i="15"/>
  <c r="T47" i="15"/>
  <c r="U47" i="15"/>
  <c r="V47" i="15"/>
  <c r="W47" i="15"/>
  <c r="T318" i="15"/>
  <c r="U318" i="15"/>
  <c r="V318" i="15"/>
  <c r="W318" i="15"/>
  <c r="T145" i="15"/>
  <c r="U145" i="15"/>
  <c r="V145" i="15"/>
  <c r="W145" i="15"/>
  <c r="T385" i="15"/>
  <c r="U385" i="15"/>
  <c r="V385" i="15"/>
  <c r="W385" i="15"/>
  <c r="U369" i="15"/>
  <c r="V369" i="15"/>
  <c r="W369" i="15"/>
  <c r="T369" i="15"/>
  <c r="T353" i="15"/>
  <c r="U353" i="15"/>
  <c r="V353" i="15"/>
  <c r="W353" i="15"/>
  <c r="T337" i="15"/>
  <c r="U337" i="15"/>
  <c r="V337" i="15"/>
  <c r="W337" i="15"/>
  <c r="T321" i="15"/>
  <c r="V321" i="15"/>
  <c r="W321" i="15"/>
  <c r="U321" i="15"/>
  <c r="T305" i="15"/>
  <c r="U305" i="15"/>
  <c r="V305" i="15"/>
  <c r="W305" i="15"/>
  <c r="T289" i="15"/>
  <c r="U289" i="15"/>
  <c r="V289" i="15"/>
  <c r="W289" i="15"/>
  <c r="V273" i="15"/>
  <c r="T273" i="15"/>
  <c r="U273" i="15"/>
  <c r="W273" i="15"/>
  <c r="T257" i="15"/>
  <c r="U257" i="15"/>
  <c r="V257" i="15"/>
  <c r="W257" i="15"/>
  <c r="T241" i="15"/>
  <c r="V241" i="15"/>
  <c r="W241" i="15"/>
  <c r="U241" i="15"/>
  <c r="T209" i="15"/>
  <c r="W209" i="15"/>
  <c r="U209" i="15"/>
  <c r="V209" i="15"/>
  <c r="T193" i="15"/>
  <c r="U193" i="15"/>
  <c r="V193" i="15"/>
  <c r="W193" i="15"/>
  <c r="T177" i="15"/>
  <c r="V177" i="15"/>
  <c r="U177" i="15"/>
  <c r="W177" i="15"/>
  <c r="T161" i="15"/>
  <c r="U161" i="15"/>
  <c r="V161" i="15"/>
  <c r="W161" i="15"/>
  <c r="U137" i="15"/>
  <c r="V137" i="15"/>
  <c r="W137" i="15"/>
  <c r="T137" i="15"/>
  <c r="T129" i="15"/>
  <c r="U129" i="15"/>
  <c r="V129" i="15"/>
  <c r="W129" i="15"/>
  <c r="T113" i="15"/>
  <c r="U113" i="15"/>
  <c r="V113" i="15"/>
  <c r="W113" i="15"/>
  <c r="T97" i="15"/>
  <c r="U97" i="15"/>
  <c r="V97" i="15"/>
  <c r="W97" i="15"/>
  <c r="T81" i="15"/>
  <c r="U81" i="15"/>
  <c r="V81" i="15"/>
  <c r="W81" i="15"/>
  <c r="T65" i="15"/>
  <c r="U65" i="15"/>
  <c r="V65" i="15"/>
  <c r="W65" i="15"/>
  <c r="T49" i="15"/>
  <c r="U49" i="15"/>
  <c r="V49" i="15"/>
  <c r="W49" i="15"/>
  <c r="T33" i="15"/>
  <c r="U33" i="15"/>
  <c r="V33" i="15"/>
  <c r="W33" i="15"/>
  <c r="V17" i="15"/>
  <c r="W17" i="15"/>
  <c r="T17" i="15"/>
  <c r="V46" i="15"/>
  <c r="W46" i="15"/>
  <c r="T46" i="15"/>
  <c r="U46" i="15"/>
  <c r="T384" i="15"/>
  <c r="U384" i="15"/>
  <c r="V384" i="15"/>
  <c r="W384" i="15"/>
  <c r="T368" i="15"/>
  <c r="U368" i="15"/>
  <c r="V368" i="15"/>
  <c r="W368" i="15"/>
  <c r="T352" i="15"/>
  <c r="U352" i="15"/>
  <c r="V352" i="15"/>
  <c r="W352" i="15"/>
  <c r="W336" i="15"/>
  <c r="T336" i="15"/>
  <c r="U336" i="15"/>
  <c r="V336" i="15"/>
  <c r="T320" i="15"/>
  <c r="U320" i="15"/>
  <c r="V320" i="15"/>
  <c r="W320" i="15"/>
  <c r="T304" i="15"/>
  <c r="U304" i="15"/>
  <c r="V304" i="15"/>
  <c r="W304" i="15"/>
  <c r="T288" i="15"/>
  <c r="U288" i="15"/>
  <c r="V288" i="15"/>
  <c r="W288" i="15"/>
  <c r="T272" i="15"/>
  <c r="U272" i="15"/>
  <c r="V272" i="15"/>
  <c r="W272" i="15"/>
  <c r="T256" i="15"/>
  <c r="V256" i="15"/>
  <c r="W256" i="15"/>
  <c r="U256" i="15"/>
  <c r="W240" i="15"/>
  <c r="T240" i="15"/>
  <c r="U240" i="15"/>
  <c r="V240" i="15"/>
  <c r="T208" i="15"/>
  <c r="V208" i="15"/>
  <c r="W208" i="15"/>
  <c r="U208" i="15"/>
  <c r="T192" i="15"/>
  <c r="U192" i="15"/>
  <c r="V192" i="15"/>
  <c r="W192" i="15"/>
  <c r="T176" i="15"/>
  <c r="U176" i="15"/>
  <c r="V176" i="15"/>
  <c r="W176" i="15"/>
  <c r="V160" i="15"/>
  <c r="W160" i="15"/>
  <c r="T160" i="15"/>
  <c r="U160" i="15"/>
  <c r="T149" i="15"/>
  <c r="U149" i="15"/>
  <c r="V149" i="15"/>
  <c r="W149" i="15"/>
  <c r="T128" i="15"/>
  <c r="U128" i="15"/>
  <c r="V128" i="15"/>
  <c r="W128" i="15"/>
  <c r="T112" i="15"/>
  <c r="U112" i="15"/>
  <c r="V112" i="15"/>
  <c r="W112" i="15"/>
  <c r="T96" i="15"/>
  <c r="U96" i="15"/>
  <c r="V96" i="15"/>
  <c r="W96" i="15"/>
  <c r="T80" i="15"/>
  <c r="U80" i="15"/>
  <c r="V80" i="15"/>
  <c r="W80" i="15"/>
  <c r="T64" i="15"/>
  <c r="U64" i="15"/>
  <c r="V64" i="15"/>
  <c r="W64" i="15"/>
  <c r="U48" i="15"/>
  <c r="V48" i="15"/>
  <c r="W48" i="15"/>
  <c r="T48" i="15"/>
  <c r="T32" i="15"/>
  <c r="U32" i="15"/>
  <c r="V32" i="15"/>
  <c r="W32" i="15"/>
  <c r="T16" i="15"/>
  <c r="U16" i="15"/>
  <c r="V16" i="15"/>
  <c r="W16" i="15"/>
  <c r="AF496" i="9" l="1"/>
  <c r="L112" i="9"/>
  <c r="J15" i="9"/>
  <c r="L31" i="9"/>
  <c r="L241" i="9"/>
  <c r="J14" i="21"/>
  <c r="J11" i="21"/>
  <c r="E14" i="21"/>
  <c r="E11" i="21"/>
  <c r="L96" i="9"/>
  <c r="S96" i="9" s="1"/>
  <c r="L96" i="12"/>
  <c r="E12" i="21"/>
  <c r="J12" i="21"/>
  <c r="J96" i="12"/>
  <c r="J96" i="9"/>
  <c r="J95" i="9"/>
  <c r="J94" i="9"/>
  <c r="L95" i="9"/>
  <c r="L94" i="9"/>
  <c r="L103" i="9"/>
  <c r="L100" i="9"/>
  <c r="J100" i="9"/>
  <c r="L102" i="9"/>
  <c r="L104" i="9"/>
  <c r="L191" i="9"/>
  <c r="L191" i="12"/>
  <c r="J191" i="9"/>
  <c r="L97" i="9" l="1"/>
  <c r="K96" i="12"/>
  <c r="J97" i="9"/>
  <c r="K112" i="9" s="1"/>
  <c r="K96" i="9"/>
  <c r="R96" i="9"/>
  <c r="J9" i="21"/>
  <c r="J15" i="21"/>
  <c r="E9" i="21"/>
  <c r="E15" i="21"/>
  <c r="E24" i="21"/>
  <c r="G11" i="21"/>
  <c r="H11" i="21" s="1"/>
  <c r="E23" i="21"/>
  <c r="G23" i="21" s="1"/>
  <c r="H23" i="21" s="1"/>
  <c r="G30" i="21"/>
  <c r="E25" i="21"/>
  <c r="G25" i="21" s="1"/>
  <c r="H25" i="21" s="1"/>
  <c r="G14" i="21"/>
  <c r="H14" i="21" s="1"/>
  <c r="K100" i="9"/>
  <c r="L105" i="9"/>
  <c r="K94" i="9"/>
  <c r="K95" i="9"/>
  <c r="E22" i="21" l="1"/>
  <c r="E26" i="21"/>
  <c r="K97" i="9"/>
  <c r="L108" i="9"/>
  <c r="K104" i="9"/>
  <c r="R104" i="9" s="1"/>
  <c r="J108" i="9"/>
  <c r="J105" i="9"/>
  <c r="K102" i="9"/>
  <c r="R102" i="9" s="1"/>
  <c r="K103" i="9"/>
  <c r="R103" i="9" s="1"/>
  <c r="K108" i="9" l="1"/>
  <c r="K105" i="9"/>
  <c r="AH467" i="12" l="1"/>
  <c r="AI465" i="12"/>
  <c r="AH465" i="12"/>
  <c r="AI464" i="12"/>
  <c r="AH464" i="12"/>
  <c r="AI463" i="12"/>
  <c r="AH463" i="12"/>
  <c r="N352" i="12"/>
  <c r="N288" i="12"/>
  <c r="N232" i="12"/>
  <c r="M182" i="12"/>
  <c r="AH467" i="9"/>
  <c r="N352" i="9"/>
  <c r="N288" i="9"/>
  <c r="N232" i="9"/>
  <c r="M182" i="9"/>
  <c r="S1" i="12" l="1"/>
  <c r="S1" i="9"/>
  <c r="S89" i="9" s="1"/>
  <c r="K182" i="9"/>
  <c r="I69" i="8"/>
  <c r="I61" i="8"/>
  <c r="I49" i="8"/>
  <c r="I37" i="8"/>
  <c r="G69" i="8"/>
  <c r="G61" i="8"/>
  <c r="G49" i="8"/>
  <c r="G37" i="8"/>
  <c r="E69" i="8"/>
  <c r="E61" i="8"/>
  <c r="E49" i="8"/>
  <c r="E37" i="8"/>
  <c r="I20" i="8"/>
  <c r="G20" i="8"/>
  <c r="E20" i="8"/>
  <c r="S1055" i="17" l="1"/>
  <c r="R1055" i="17"/>
  <c r="Q1055" i="17"/>
  <c r="P1055" i="17" s="1"/>
  <c r="M1055" i="17"/>
  <c r="W1055" i="17"/>
  <c r="S1054" i="17"/>
  <c r="R1054" i="17"/>
  <c r="Q1054" i="17"/>
  <c r="M1054" i="17"/>
  <c r="U1054" i="17"/>
  <c r="S1053" i="17"/>
  <c r="R1053" i="17"/>
  <c r="Q1053" i="17"/>
  <c r="P1053" i="17" s="1"/>
  <c r="M1053" i="17"/>
  <c r="W1053" i="17"/>
  <c r="S1052" i="17"/>
  <c r="R1052" i="17"/>
  <c r="Q1052" i="17"/>
  <c r="M1052" i="17"/>
  <c r="T1052" i="17"/>
  <c r="U1051" i="17"/>
  <c r="S1051" i="17"/>
  <c r="R1051" i="17"/>
  <c r="Q1051" i="17"/>
  <c r="M1051" i="17"/>
  <c r="W1051" i="17"/>
  <c r="S1050" i="17"/>
  <c r="R1050" i="17"/>
  <c r="Q1050" i="17"/>
  <c r="M1050" i="17"/>
  <c r="T1050" i="17"/>
  <c r="S1049" i="17"/>
  <c r="R1049" i="17"/>
  <c r="Q1049" i="17"/>
  <c r="P1049" i="17" s="1"/>
  <c r="M1049" i="17"/>
  <c r="W1049" i="17"/>
  <c r="S1048" i="17"/>
  <c r="R1048" i="17"/>
  <c r="Q1048" i="17"/>
  <c r="M1048" i="17"/>
  <c r="S1047" i="17"/>
  <c r="R1047" i="17"/>
  <c r="Q1047" i="17"/>
  <c r="O1047" i="17" s="1"/>
  <c r="M1047" i="17"/>
  <c r="W1047" i="17"/>
  <c r="S1046" i="17"/>
  <c r="R1046" i="17"/>
  <c r="Q1046" i="17"/>
  <c r="M1046" i="17"/>
  <c r="V1045" i="17"/>
  <c r="S1045" i="17"/>
  <c r="R1045" i="17"/>
  <c r="Q1045" i="17"/>
  <c r="N1045" i="17" s="1"/>
  <c r="M1045" i="17"/>
  <c r="T1045" i="17"/>
  <c r="S1044" i="17"/>
  <c r="R1044" i="17"/>
  <c r="Q1044" i="17"/>
  <c r="M1044" i="17"/>
  <c r="U1044" i="17"/>
  <c r="S1043" i="17"/>
  <c r="R1043" i="17"/>
  <c r="Q1043" i="17"/>
  <c r="M1043" i="17"/>
  <c r="T1043" i="17"/>
  <c r="S1042" i="17"/>
  <c r="R1042" i="17"/>
  <c r="Q1042" i="17"/>
  <c r="M1042" i="17"/>
  <c r="U1042" i="17"/>
  <c r="S1041" i="17"/>
  <c r="R1041" i="17"/>
  <c r="Q1041" i="17"/>
  <c r="P1041" i="17" s="1"/>
  <c r="M1041" i="17"/>
  <c r="T1041" i="17"/>
  <c r="S1040" i="17"/>
  <c r="R1040" i="17"/>
  <c r="Q1040" i="17"/>
  <c r="M1040" i="17"/>
  <c r="U1040" i="17"/>
  <c r="S1039" i="17"/>
  <c r="R1039" i="17"/>
  <c r="Q1039" i="17"/>
  <c r="P1039" i="17" s="1"/>
  <c r="M1039" i="17"/>
  <c r="T1039" i="17"/>
  <c r="S1038" i="17"/>
  <c r="R1038" i="17"/>
  <c r="Q1038" i="17"/>
  <c r="M1038" i="17"/>
  <c r="S1037" i="17"/>
  <c r="R1037" i="17"/>
  <c r="Q1037" i="17"/>
  <c r="N1037" i="17" s="1"/>
  <c r="M1037" i="17"/>
  <c r="T1037" i="17"/>
  <c r="S1036" i="17"/>
  <c r="R1036" i="17"/>
  <c r="Q1036" i="17"/>
  <c r="M1036" i="17"/>
  <c r="U1036" i="17"/>
  <c r="S1035" i="17"/>
  <c r="R1035" i="17"/>
  <c r="Q1035" i="17"/>
  <c r="M1035" i="17"/>
  <c r="T1035" i="17"/>
  <c r="S1034" i="17"/>
  <c r="R1034" i="17"/>
  <c r="Q1034" i="17"/>
  <c r="M1034" i="17"/>
  <c r="U1034" i="17"/>
  <c r="S1033" i="17"/>
  <c r="R1033" i="17"/>
  <c r="Q1033" i="17"/>
  <c r="O1033" i="17" s="1"/>
  <c r="M1033" i="17"/>
  <c r="T1033" i="17"/>
  <c r="S1032" i="17"/>
  <c r="R1032" i="17"/>
  <c r="Q1032" i="17"/>
  <c r="M1032" i="17"/>
  <c r="U1032" i="17"/>
  <c r="V1031" i="17"/>
  <c r="S1031" i="17"/>
  <c r="R1031" i="17"/>
  <c r="Q1031" i="17"/>
  <c r="O1031" i="17" s="1"/>
  <c r="M1031" i="17"/>
  <c r="T1031" i="17"/>
  <c r="S1030" i="17"/>
  <c r="R1030" i="17"/>
  <c r="Q1030" i="17"/>
  <c r="M1030" i="17"/>
  <c r="S1029" i="17"/>
  <c r="R1029" i="17"/>
  <c r="Q1029" i="17"/>
  <c r="N1029" i="17" s="1"/>
  <c r="M1029" i="17"/>
  <c r="T1029" i="17"/>
  <c r="S1028" i="17"/>
  <c r="R1028" i="17"/>
  <c r="Q1028" i="17"/>
  <c r="M1028" i="17"/>
  <c r="U1028" i="17"/>
  <c r="S1027" i="17"/>
  <c r="R1027" i="17"/>
  <c r="Q1027" i="17"/>
  <c r="M1027" i="17"/>
  <c r="T1027" i="17"/>
  <c r="S1026" i="17"/>
  <c r="R1026" i="17"/>
  <c r="Q1026" i="17"/>
  <c r="M1026" i="17"/>
  <c r="T1026" i="17"/>
  <c r="V1025" i="17"/>
  <c r="S1025" i="17"/>
  <c r="R1025" i="17"/>
  <c r="Q1025" i="17"/>
  <c r="O1025" i="17" s="1"/>
  <c r="M1025" i="17"/>
  <c r="T1025" i="17"/>
  <c r="S1024" i="17"/>
  <c r="R1024" i="17"/>
  <c r="Q1024" i="17"/>
  <c r="M1024" i="17"/>
  <c r="S1023" i="17"/>
  <c r="R1023" i="17"/>
  <c r="Q1023" i="17"/>
  <c r="O1023" i="17" s="1"/>
  <c r="M1023" i="17"/>
  <c r="T1023" i="17"/>
  <c r="S1022" i="17"/>
  <c r="R1022" i="17"/>
  <c r="Q1022" i="17"/>
  <c r="M1022" i="17"/>
  <c r="S1021" i="17"/>
  <c r="R1021" i="17"/>
  <c r="Q1021" i="17"/>
  <c r="N1021" i="17" s="1"/>
  <c r="M1021" i="17"/>
  <c r="T1021" i="17"/>
  <c r="S1020" i="17"/>
  <c r="R1020" i="17"/>
  <c r="Q1020" i="17"/>
  <c r="M1020" i="17"/>
  <c r="U1020" i="17"/>
  <c r="S1019" i="17"/>
  <c r="R1019" i="17"/>
  <c r="Q1019" i="17"/>
  <c r="N1019" i="17" s="1"/>
  <c r="M1019" i="17"/>
  <c r="T1019" i="17"/>
  <c r="S1018" i="17"/>
  <c r="R1018" i="17"/>
  <c r="Q1018" i="17"/>
  <c r="M1018" i="17"/>
  <c r="U1018" i="17"/>
  <c r="S1017" i="17"/>
  <c r="R1017" i="17"/>
  <c r="Q1017" i="17"/>
  <c r="N1017" i="17" s="1"/>
  <c r="M1017" i="17"/>
  <c r="T1017" i="17"/>
  <c r="S1016" i="17"/>
  <c r="R1016" i="17"/>
  <c r="Q1016" i="17"/>
  <c r="M1016" i="17"/>
  <c r="U1016" i="17"/>
  <c r="S1015" i="17"/>
  <c r="R1015" i="17"/>
  <c r="Q1015" i="17"/>
  <c r="N1015" i="17" s="1"/>
  <c r="M1015" i="17"/>
  <c r="T1015" i="17"/>
  <c r="S1014" i="17"/>
  <c r="R1014" i="17"/>
  <c r="Q1014" i="17"/>
  <c r="M1014" i="17"/>
  <c r="T1014" i="17"/>
  <c r="S1013" i="17"/>
  <c r="R1013" i="17"/>
  <c r="Q1013" i="17"/>
  <c r="M1013" i="17"/>
  <c r="T1013" i="17"/>
  <c r="S1012" i="17"/>
  <c r="R1012" i="17"/>
  <c r="Q1012" i="17"/>
  <c r="M1012" i="17"/>
  <c r="U1012" i="17"/>
  <c r="S1011" i="17"/>
  <c r="R1011" i="17"/>
  <c r="Q1011" i="17"/>
  <c r="O1011" i="17" s="1"/>
  <c r="M1011" i="17"/>
  <c r="T1011" i="17"/>
  <c r="S1010" i="17"/>
  <c r="R1010" i="17"/>
  <c r="Q1010" i="17"/>
  <c r="M1010" i="17"/>
  <c r="T1010" i="17"/>
  <c r="S1009" i="17"/>
  <c r="R1009" i="17"/>
  <c r="Q1009" i="17"/>
  <c r="P1009" i="17" s="1"/>
  <c r="M1009" i="17"/>
  <c r="T1009" i="17"/>
  <c r="S1008" i="17"/>
  <c r="R1008" i="17"/>
  <c r="Q1008" i="17"/>
  <c r="M1008" i="17"/>
  <c r="T1008" i="17"/>
  <c r="S1007" i="17"/>
  <c r="R1007" i="17"/>
  <c r="Q1007" i="17"/>
  <c r="N1007" i="17" s="1"/>
  <c r="M1007" i="17"/>
  <c r="T1007" i="17"/>
  <c r="S1006" i="17"/>
  <c r="R1006" i="17"/>
  <c r="Q1006" i="17"/>
  <c r="M1006" i="17"/>
  <c r="S1005" i="17"/>
  <c r="R1005" i="17"/>
  <c r="Q1005" i="17"/>
  <c r="P1005" i="17" s="1"/>
  <c r="M1005" i="17"/>
  <c r="T1005" i="17"/>
  <c r="T1004" i="17"/>
  <c r="S1004" i="17"/>
  <c r="R1004" i="17"/>
  <c r="Q1004" i="17"/>
  <c r="M1004" i="17"/>
  <c r="U1004" i="17"/>
  <c r="S1003" i="17"/>
  <c r="R1003" i="17"/>
  <c r="Q1003" i="17"/>
  <c r="N1003" i="17" s="1"/>
  <c r="M1003" i="17"/>
  <c r="T1003" i="17"/>
  <c r="S1002" i="17"/>
  <c r="R1002" i="17"/>
  <c r="Q1002" i="17"/>
  <c r="M1002" i="17"/>
  <c r="U1002" i="17"/>
  <c r="S1001" i="17"/>
  <c r="R1001" i="17"/>
  <c r="Q1001" i="17"/>
  <c r="O1001" i="17" s="1"/>
  <c r="M1001" i="17"/>
  <c r="T1001" i="17"/>
  <c r="S1000" i="17"/>
  <c r="R1000" i="17"/>
  <c r="Q1000" i="17"/>
  <c r="M1000" i="17"/>
  <c r="T1000" i="17"/>
  <c r="V999" i="17"/>
  <c r="S999" i="17"/>
  <c r="R999" i="17"/>
  <c r="Q999" i="17"/>
  <c r="O999" i="17" s="1"/>
  <c r="M999" i="17"/>
  <c r="T999" i="17"/>
  <c r="S998" i="17"/>
  <c r="R998" i="17"/>
  <c r="Q998" i="17"/>
  <c r="M998" i="17"/>
  <c r="T998" i="17"/>
  <c r="S997" i="17"/>
  <c r="R997" i="17"/>
  <c r="Q997" i="17"/>
  <c r="M997" i="17"/>
  <c r="T997" i="17"/>
  <c r="S996" i="17"/>
  <c r="R996" i="17"/>
  <c r="Q996" i="17"/>
  <c r="M996" i="17"/>
  <c r="U996" i="17"/>
  <c r="S995" i="17"/>
  <c r="R995" i="17"/>
  <c r="Q995" i="17"/>
  <c r="O995" i="17" s="1"/>
  <c r="M995" i="17"/>
  <c r="T995" i="17"/>
  <c r="S994" i="17"/>
  <c r="R994" i="17"/>
  <c r="Q994" i="17"/>
  <c r="M994" i="17"/>
  <c r="U994" i="17"/>
  <c r="W993" i="17"/>
  <c r="S993" i="17"/>
  <c r="R993" i="17"/>
  <c r="Q993" i="17"/>
  <c r="O993" i="17" s="1"/>
  <c r="M993" i="17"/>
  <c r="T993" i="17"/>
  <c r="S992" i="17"/>
  <c r="R992" i="17"/>
  <c r="Q992" i="17"/>
  <c r="M992" i="17"/>
  <c r="U992" i="17"/>
  <c r="S991" i="17"/>
  <c r="R991" i="17"/>
  <c r="Q991" i="17"/>
  <c r="P991" i="17" s="1"/>
  <c r="M991" i="17"/>
  <c r="T991" i="17"/>
  <c r="S990" i="17"/>
  <c r="R990" i="17"/>
  <c r="Q990" i="17"/>
  <c r="M990" i="17"/>
  <c r="S989" i="17"/>
  <c r="R989" i="17"/>
  <c r="Q989" i="17"/>
  <c r="P989" i="17" s="1"/>
  <c r="M989" i="17"/>
  <c r="T989" i="17"/>
  <c r="S988" i="17"/>
  <c r="R988" i="17"/>
  <c r="Q988" i="17"/>
  <c r="M988" i="17"/>
  <c r="T988" i="17"/>
  <c r="V987" i="17"/>
  <c r="S987" i="17"/>
  <c r="R987" i="17"/>
  <c r="Q987" i="17"/>
  <c r="P987" i="17" s="1"/>
  <c r="M987" i="17"/>
  <c r="T987" i="17"/>
  <c r="S986" i="17"/>
  <c r="R986" i="17"/>
  <c r="Q986" i="17"/>
  <c r="M986" i="17"/>
  <c r="U986" i="17"/>
  <c r="S985" i="17"/>
  <c r="R985" i="17"/>
  <c r="Q985" i="17"/>
  <c r="N985" i="17" s="1"/>
  <c r="M985" i="17"/>
  <c r="S984" i="17"/>
  <c r="R984" i="17"/>
  <c r="Q984" i="17"/>
  <c r="M984" i="17"/>
  <c r="S983" i="17"/>
  <c r="R983" i="17"/>
  <c r="Q983" i="17"/>
  <c r="P983" i="17" s="1"/>
  <c r="M983" i="17"/>
  <c r="W983" i="17"/>
  <c r="S982" i="17"/>
  <c r="R982" i="17"/>
  <c r="Q982" i="17"/>
  <c r="P982" i="17" s="1"/>
  <c r="M982" i="17"/>
  <c r="U982" i="17"/>
  <c r="S981" i="17"/>
  <c r="R981" i="17"/>
  <c r="Q981" i="17"/>
  <c r="M981" i="17"/>
  <c r="S980" i="17"/>
  <c r="R980" i="17"/>
  <c r="Q980" i="17"/>
  <c r="M980" i="17"/>
  <c r="S979" i="17"/>
  <c r="R979" i="17"/>
  <c r="Q979" i="17"/>
  <c r="P979" i="17" s="1"/>
  <c r="M979" i="17"/>
  <c r="T979" i="17"/>
  <c r="S978" i="17"/>
  <c r="R978" i="17"/>
  <c r="Q978" i="17"/>
  <c r="O978" i="17" s="1"/>
  <c r="M978" i="17"/>
  <c r="U978" i="17"/>
  <c r="S977" i="17"/>
  <c r="R977" i="17"/>
  <c r="Q977" i="17"/>
  <c r="P977" i="17" s="1"/>
  <c r="M977" i="17"/>
  <c r="S976" i="17"/>
  <c r="R976" i="17"/>
  <c r="Q976" i="17"/>
  <c r="M976" i="17"/>
  <c r="W976" i="17"/>
  <c r="S975" i="17"/>
  <c r="R975" i="17"/>
  <c r="Q975" i="17"/>
  <c r="M975" i="17"/>
  <c r="T975" i="17"/>
  <c r="S974" i="17"/>
  <c r="R974" i="17"/>
  <c r="Q974" i="17"/>
  <c r="O974" i="17" s="1"/>
  <c r="M974" i="17"/>
  <c r="U974" i="17"/>
  <c r="S973" i="17"/>
  <c r="R973" i="17"/>
  <c r="Q973" i="17"/>
  <c r="P973" i="17" s="1"/>
  <c r="M973" i="17"/>
  <c r="T973" i="17"/>
  <c r="S972" i="17"/>
  <c r="R972" i="17"/>
  <c r="Q972" i="17"/>
  <c r="N972" i="17" s="1"/>
  <c r="M972" i="17"/>
  <c r="T972" i="17"/>
  <c r="S971" i="17"/>
  <c r="R971" i="17"/>
  <c r="Q971" i="17"/>
  <c r="N971" i="17" s="1"/>
  <c r="M971" i="17"/>
  <c r="V971" i="17"/>
  <c r="S970" i="17"/>
  <c r="R970" i="17"/>
  <c r="Q970" i="17"/>
  <c r="M970" i="17"/>
  <c r="T970" i="17"/>
  <c r="S969" i="17"/>
  <c r="R969" i="17"/>
  <c r="Q969" i="17"/>
  <c r="N969" i="17" s="1"/>
  <c r="M969" i="17"/>
  <c r="V969" i="17"/>
  <c r="S968" i="17"/>
  <c r="R968" i="17"/>
  <c r="Q968" i="17"/>
  <c r="M968" i="17"/>
  <c r="W968" i="17"/>
  <c r="S967" i="17"/>
  <c r="R967" i="17"/>
  <c r="Q967" i="17"/>
  <c r="M967" i="17"/>
  <c r="S966" i="17"/>
  <c r="R966" i="17"/>
  <c r="Q966" i="17"/>
  <c r="P966" i="17" s="1"/>
  <c r="M966" i="17"/>
  <c r="U966" i="17"/>
  <c r="S965" i="17"/>
  <c r="R965" i="17"/>
  <c r="Q965" i="17"/>
  <c r="P965" i="17" s="1"/>
  <c r="M965" i="17"/>
  <c r="W965" i="17"/>
  <c r="S964" i="17"/>
  <c r="R964" i="17"/>
  <c r="Q964" i="17"/>
  <c r="P964" i="17" s="1"/>
  <c r="M964" i="17"/>
  <c r="S963" i="17"/>
  <c r="R963" i="17"/>
  <c r="Q963" i="17"/>
  <c r="N963" i="17" s="1"/>
  <c r="M963" i="17"/>
  <c r="W963" i="17"/>
  <c r="S962" i="17"/>
  <c r="R962" i="17"/>
  <c r="Q962" i="17"/>
  <c r="P962" i="17" s="1"/>
  <c r="M962" i="17"/>
  <c r="S961" i="17"/>
  <c r="R961" i="17"/>
  <c r="Q961" i="17"/>
  <c r="N961" i="17" s="1"/>
  <c r="M961" i="17"/>
  <c r="S960" i="17"/>
  <c r="R960" i="17"/>
  <c r="Q960" i="17"/>
  <c r="M960" i="17"/>
  <c r="W960" i="17"/>
  <c r="S959" i="17"/>
  <c r="R959" i="17"/>
  <c r="Q959" i="17"/>
  <c r="M959" i="17"/>
  <c r="V959" i="17"/>
  <c r="S958" i="17"/>
  <c r="R958" i="17"/>
  <c r="Q958" i="17"/>
  <c r="M958" i="17"/>
  <c r="W958" i="17"/>
  <c r="S957" i="17"/>
  <c r="R957" i="17"/>
  <c r="Q957" i="17"/>
  <c r="N957" i="17" s="1"/>
  <c r="M957" i="17"/>
  <c r="S956" i="17"/>
  <c r="R956" i="17"/>
  <c r="Q956" i="17"/>
  <c r="O956" i="17" s="1"/>
  <c r="M956" i="17"/>
  <c r="V956" i="17"/>
  <c r="S955" i="17"/>
  <c r="R955" i="17"/>
  <c r="Q955" i="17"/>
  <c r="P955" i="17" s="1"/>
  <c r="M955" i="17"/>
  <c r="U955" i="17"/>
  <c r="S954" i="17"/>
  <c r="R954" i="17"/>
  <c r="Q954" i="17"/>
  <c r="O954" i="17" s="1"/>
  <c r="M954" i="17"/>
  <c r="T954" i="17"/>
  <c r="S953" i="17"/>
  <c r="R953" i="17"/>
  <c r="Q953" i="17"/>
  <c r="O953" i="17" s="1"/>
  <c r="M953" i="17"/>
  <c r="V953" i="17"/>
  <c r="S952" i="17"/>
  <c r="R952" i="17"/>
  <c r="Q952" i="17"/>
  <c r="P952" i="17" s="1"/>
  <c r="M952" i="17"/>
  <c r="T952" i="17"/>
  <c r="T951" i="17"/>
  <c r="S951" i="17"/>
  <c r="R951" i="17"/>
  <c r="Q951" i="17"/>
  <c r="P951" i="17" s="1"/>
  <c r="M951" i="17"/>
  <c r="V951" i="17"/>
  <c r="S950" i="17"/>
  <c r="R950" i="17"/>
  <c r="Q950" i="17"/>
  <c r="P950" i="17" s="1"/>
  <c r="M950" i="17"/>
  <c r="U950" i="17"/>
  <c r="S949" i="17"/>
  <c r="R949" i="17"/>
  <c r="Q949" i="17"/>
  <c r="N949" i="17" s="1"/>
  <c r="M949" i="17"/>
  <c r="V949" i="17"/>
  <c r="S948" i="17"/>
  <c r="R948" i="17"/>
  <c r="Q948" i="17"/>
  <c r="M948" i="17"/>
  <c r="S947" i="17"/>
  <c r="R947" i="17"/>
  <c r="Q947" i="17"/>
  <c r="P947" i="17" s="1"/>
  <c r="M947" i="17"/>
  <c r="S946" i="17"/>
  <c r="R946" i="17"/>
  <c r="Q946" i="17"/>
  <c r="O946" i="17" s="1"/>
  <c r="M946" i="17"/>
  <c r="T946" i="17"/>
  <c r="S945" i="17"/>
  <c r="R945" i="17"/>
  <c r="Q945" i="17"/>
  <c r="O945" i="17" s="1"/>
  <c r="M945" i="17"/>
  <c r="U945" i="17"/>
  <c r="S944" i="17"/>
  <c r="R944" i="17"/>
  <c r="Q944" i="17"/>
  <c r="M944" i="17"/>
  <c r="S943" i="17"/>
  <c r="R943" i="17"/>
  <c r="Q943" i="17"/>
  <c r="M943" i="17"/>
  <c r="S942" i="17"/>
  <c r="R942" i="17"/>
  <c r="Q942" i="17"/>
  <c r="N942" i="17" s="1"/>
  <c r="M942" i="17"/>
  <c r="U942" i="17"/>
  <c r="S941" i="17"/>
  <c r="R941" i="17"/>
  <c r="Q941" i="17"/>
  <c r="M941" i="17"/>
  <c r="V941" i="17"/>
  <c r="S940" i="17"/>
  <c r="R940" i="17"/>
  <c r="Q940" i="17"/>
  <c r="N940" i="17" s="1"/>
  <c r="M940" i="17"/>
  <c r="S939" i="17"/>
  <c r="R939" i="17"/>
  <c r="Q939" i="17"/>
  <c r="N939" i="17" s="1"/>
  <c r="M939" i="17"/>
  <c r="S938" i="17"/>
  <c r="R938" i="17"/>
  <c r="Q938" i="17"/>
  <c r="M938" i="17"/>
  <c r="T938" i="17"/>
  <c r="S937" i="17"/>
  <c r="R937" i="17"/>
  <c r="Q937" i="17"/>
  <c r="P937" i="17" s="1"/>
  <c r="M937" i="17"/>
  <c r="W937" i="17"/>
  <c r="S936" i="17"/>
  <c r="R936" i="17"/>
  <c r="Q936" i="17"/>
  <c r="O936" i="17" s="1"/>
  <c r="M936" i="17"/>
  <c r="S935" i="17"/>
  <c r="R935" i="17"/>
  <c r="Q935" i="17"/>
  <c r="M935" i="17"/>
  <c r="S934" i="17"/>
  <c r="R934" i="17"/>
  <c r="Q934" i="17"/>
  <c r="N934" i="17" s="1"/>
  <c r="M934" i="17"/>
  <c r="S933" i="17"/>
  <c r="R933" i="17"/>
  <c r="Q933" i="17"/>
  <c r="O933" i="17" s="1"/>
  <c r="M933" i="17"/>
  <c r="V933" i="17"/>
  <c r="S932" i="17"/>
  <c r="R932" i="17"/>
  <c r="Q932" i="17"/>
  <c r="M932" i="17"/>
  <c r="S931" i="17"/>
  <c r="R931" i="17"/>
  <c r="Q931" i="17"/>
  <c r="M931" i="17"/>
  <c r="S930" i="17"/>
  <c r="R930" i="17"/>
  <c r="Q930" i="17"/>
  <c r="P930" i="17" s="1"/>
  <c r="M930" i="17"/>
  <c r="T930" i="17"/>
  <c r="S929" i="17"/>
  <c r="R929" i="17"/>
  <c r="Q929" i="17"/>
  <c r="P929" i="17" s="1"/>
  <c r="M929" i="17"/>
  <c r="S928" i="17"/>
  <c r="R928" i="17"/>
  <c r="Q928" i="17"/>
  <c r="M928" i="17"/>
  <c r="W928" i="17"/>
  <c r="S927" i="17"/>
  <c r="R927" i="17"/>
  <c r="Q927" i="17"/>
  <c r="O927" i="17" s="1"/>
  <c r="M927" i="17"/>
  <c r="W927" i="17"/>
  <c r="W926" i="17"/>
  <c r="S926" i="17"/>
  <c r="R926" i="17"/>
  <c r="Q926" i="17"/>
  <c r="O926" i="17" s="1"/>
  <c r="M926" i="17"/>
  <c r="S925" i="17"/>
  <c r="R925" i="17"/>
  <c r="Q925" i="17"/>
  <c r="P925" i="17" s="1"/>
  <c r="M925" i="17"/>
  <c r="S924" i="17"/>
  <c r="R924" i="17"/>
  <c r="Q924" i="17"/>
  <c r="N924" i="17" s="1"/>
  <c r="M924" i="17"/>
  <c r="V924" i="17"/>
  <c r="S923" i="17"/>
  <c r="R923" i="17"/>
  <c r="Q923" i="17"/>
  <c r="O923" i="17" s="1"/>
  <c r="M923" i="17"/>
  <c r="S922" i="17"/>
  <c r="R922" i="17"/>
  <c r="Q922" i="17"/>
  <c r="P922" i="17" s="1"/>
  <c r="M922" i="17"/>
  <c r="S921" i="17"/>
  <c r="R921" i="17"/>
  <c r="Q921" i="17"/>
  <c r="M921" i="17"/>
  <c r="S920" i="17"/>
  <c r="R920" i="17"/>
  <c r="Q920" i="17"/>
  <c r="M920" i="17"/>
  <c r="S919" i="17"/>
  <c r="R919" i="17"/>
  <c r="Q919" i="17"/>
  <c r="N919" i="17" s="1"/>
  <c r="M919" i="17"/>
  <c r="V919" i="17"/>
  <c r="S918" i="17"/>
  <c r="R918" i="17"/>
  <c r="Q918" i="17"/>
  <c r="O918" i="17" s="1"/>
  <c r="M918" i="17"/>
  <c r="S917" i="17"/>
  <c r="R917" i="17"/>
  <c r="Q917" i="17"/>
  <c r="N917" i="17" s="1"/>
  <c r="M917" i="17"/>
  <c r="T917" i="17"/>
  <c r="S916" i="17"/>
  <c r="R916" i="17"/>
  <c r="Q916" i="17"/>
  <c r="P916" i="17" s="1"/>
  <c r="M916" i="17"/>
  <c r="S915" i="17"/>
  <c r="R915" i="17"/>
  <c r="Q915" i="17"/>
  <c r="P915" i="17" s="1"/>
  <c r="M915" i="17"/>
  <c r="S914" i="17"/>
  <c r="R914" i="17"/>
  <c r="Q914" i="17"/>
  <c r="M914" i="17"/>
  <c r="S913" i="17"/>
  <c r="R913" i="17"/>
  <c r="Q913" i="17"/>
  <c r="N913" i="17" s="1"/>
  <c r="M913" i="17"/>
  <c r="S912" i="17"/>
  <c r="R912" i="17"/>
  <c r="Q912" i="17"/>
  <c r="M912" i="17"/>
  <c r="W912" i="17"/>
  <c r="S911" i="17"/>
  <c r="R911" i="17"/>
  <c r="Q911" i="17"/>
  <c r="M911" i="17"/>
  <c r="V911" i="17"/>
  <c r="S910" i="17"/>
  <c r="R910" i="17"/>
  <c r="Q910" i="17"/>
  <c r="O910" i="17" s="1"/>
  <c r="M910" i="17"/>
  <c r="S909" i="17"/>
  <c r="R909" i="17"/>
  <c r="Q909" i="17"/>
  <c r="O909" i="17" s="1"/>
  <c r="M909" i="17"/>
  <c r="S908" i="17"/>
  <c r="R908" i="17"/>
  <c r="Q908" i="17"/>
  <c r="N908" i="17" s="1"/>
  <c r="M908" i="17"/>
  <c r="W908" i="17"/>
  <c r="S907" i="17"/>
  <c r="R907" i="17"/>
  <c r="Q907" i="17"/>
  <c r="M907" i="17"/>
  <c r="V907" i="17"/>
  <c r="S906" i="17"/>
  <c r="R906" i="17"/>
  <c r="Q906" i="17"/>
  <c r="O906" i="17" s="1"/>
  <c r="M906" i="17"/>
  <c r="W906" i="17"/>
  <c r="S905" i="17"/>
  <c r="R905" i="17"/>
  <c r="Q905" i="17"/>
  <c r="P905" i="17" s="1"/>
  <c r="M905" i="17"/>
  <c r="U905" i="17"/>
  <c r="S904" i="17"/>
  <c r="R904" i="17"/>
  <c r="Q904" i="17"/>
  <c r="O904" i="17" s="1"/>
  <c r="M904" i="17"/>
  <c r="W904" i="17"/>
  <c r="W903" i="17"/>
  <c r="S903" i="17"/>
  <c r="R903" i="17"/>
  <c r="Q903" i="17"/>
  <c r="M903" i="17"/>
  <c r="T903" i="17"/>
  <c r="S902" i="17"/>
  <c r="R902" i="17"/>
  <c r="Q902" i="17"/>
  <c r="O902" i="17" s="1"/>
  <c r="M902" i="17"/>
  <c r="S901" i="17"/>
  <c r="R901" i="17"/>
  <c r="Q901" i="17"/>
  <c r="O901" i="17" s="1"/>
  <c r="M901" i="17"/>
  <c r="T901" i="17"/>
  <c r="S900" i="17"/>
  <c r="R900" i="17"/>
  <c r="Q900" i="17"/>
  <c r="N900" i="17" s="1"/>
  <c r="M900" i="17"/>
  <c r="V900" i="17"/>
  <c r="S899" i="17"/>
  <c r="R899" i="17"/>
  <c r="Q899" i="17"/>
  <c r="P899" i="17" s="1"/>
  <c r="M899" i="17"/>
  <c r="S898" i="17"/>
  <c r="R898" i="17"/>
  <c r="Q898" i="17"/>
  <c r="M898" i="17"/>
  <c r="W898" i="17"/>
  <c r="S897" i="17"/>
  <c r="R897" i="17"/>
  <c r="Q897" i="17"/>
  <c r="M897" i="17"/>
  <c r="V897" i="17"/>
  <c r="S896" i="17"/>
  <c r="R896" i="17"/>
  <c r="Q896" i="17"/>
  <c r="M896" i="17"/>
  <c r="W896" i="17"/>
  <c r="S895" i="17"/>
  <c r="R895" i="17"/>
  <c r="Q895" i="17"/>
  <c r="M895" i="17"/>
  <c r="T895" i="17"/>
  <c r="S894" i="17"/>
  <c r="R894" i="17"/>
  <c r="Q894" i="17"/>
  <c r="M894" i="17"/>
  <c r="V894" i="17"/>
  <c r="S893" i="17"/>
  <c r="R893" i="17"/>
  <c r="Q893" i="17"/>
  <c r="N893" i="17" s="1"/>
  <c r="M893" i="17"/>
  <c r="S892" i="17"/>
  <c r="R892" i="17"/>
  <c r="Q892" i="17"/>
  <c r="P892" i="17" s="1"/>
  <c r="M892" i="17"/>
  <c r="U892" i="17"/>
  <c r="S891" i="17"/>
  <c r="R891" i="17"/>
  <c r="Q891" i="17"/>
  <c r="P891" i="17" s="1"/>
  <c r="M891" i="17"/>
  <c r="V891" i="17"/>
  <c r="S890" i="17"/>
  <c r="R890" i="17"/>
  <c r="Q890" i="17"/>
  <c r="M890" i="17"/>
  <c r="W890" i="17"/>
  <c r="S889" i="17"/>
  <c r="R889" i="17"/>
  <c r="Q889" i="17"/>
  <c r="M889" i="17"/>
  <c r="T889" i="17"/>
  <c r="S888" i="17"/>
  <c r="R888" i="17"/>
  <c r="Q888" i="17"/>
  <c r="P888" i="17" s="1"/>
  <c r="M888" i="17"/>
  <c r="V888" i="17"/>
  <c r="S887" i="17"/>
  <c r="R887" i="17"/>
  <c r="Q887" i="17"/>
  <c r="N887" i="17" s="1"/>
  <c r="M887" i="17"/>
  <c r="S886" i="17"/>
  <c r="R886" i="17"/>
  <c r="Q886" i="17"/>
  <c r="O886" i="17" s="1"/>
  <c r="M886" i="17"/>
  <c r="W886" i="17"/>
  <c r="W885" i="17"/>
  <c r="S885" i="17"/>
  <c r="R885" i="17"/>
  <c r="Q885" i="17"/>
  <c r="M885" i="17"/>
  <c r="T885" i="17"/>
  <c r="S884" i="17"/>
  <c r="R884" i="17"/>
  <c r="Q884" i="17"/>
  <c r="P884" i="17" s="1"/>
  <c r="M884" i="17"/>
  <c r="U884" i="17"/>
  <c r="S883" i="17"/>
  <c r="R883" i="17"/>
  <c r="Q883" i="17"/>
  <c r="P883" i="17" s="1"/>
  <c r="M883" i="17"/>
  <c r="W883" i="17"/>
  <c r="S882" i="17"/>
  <c r="R882" i="17"/>
  <c r="Q882" i="17"/>
  <c r="P882" i="17" s="1"/>
  <c r="M882" i="17"/>
  <c r="S881" i="17"/>
  <c r="R881" i="17"/>
  <c r="Q881" i="17"/>
  <c r="N881" i="17" s="1"/>
  <c r="M881" i="17"/>
  <c r="U881" i="17"/>
  <c r="S880" i="17"/>
  <c r="R880" i="17"/>
  <c r="Q880" i="17"/>
  <c r="M880" i="17"/>
  <c r="W880" i="17"/>
  <c r="S879" i="17"/>
  <c r="R879" i="17"/>
  <c r="Q879" i="17"/>
  <c r="N879" i="17" s="1"/>
  <c r="M879" i="17"/>
  <c r="S878" i="17"/>
  <c r="R878" i="17"/>
  <c r="Q878" i="17"/>
  <c r="O878" i="17" s="1"/>
  <c r="M878" i="17"/>
  <c r="V878" i="17"/>
  <c r="S877" i="17"/>
  <c r="R877" i="17"/>
  <c r="Q877" i="17"/>
  <c r="M877" i="17"/>
  <c r="S876" i="17"/>
  <c r="R876" i="17"/>
  <c r="Q876" i="17"/>
  <c r="N876" i="17" s="1"/>
  <c r="M876" i="17"/>
  <c r="S875" i="17"/>
  <c r="R875" i="17"/>
  <c r="Q875" i="17"/>
  <c r="P875" i="17" s="1"/>
  <c r="M875" i="17"/>
  <c r="S874" i="17"/>
  <c r="R874" i="17"/>
  <c r="Q874" i="17"/>
  <c r="N874" i="17" s="1"/>
  <c r="M874" i="17"/>
  <c r="W874" i="17"/>
  <c r="S873" i="17"/>
  <c r="R873" i="17"/>
  <c r="Q873" i="17"/>
  <c r="N873" i="17" s="1"/>
  <c r="M873" i="17"/>
  <c r="U873" i="17"/>
  <c r="S872" i="17"/>
  <c r="R872" i="17"/>
  <c r="Q872" i="17"/>
  <c r="M872" i="17"/>
  <c r="S871" i="17"/>
  <c r="R871" i="17"/>
  <c r="Q871" i="17"/>
  <c r="N871" i="17" s="1"/>
  <c r="M871" i="17"/>
  <c r="U871" i="17"/>
  <c r="S870" i="17"/>
  <c r="R870" i="17"/>
  <c r="Q870" i="17"/>
  <c r="O870" i="17" s="1"/>
  <c r="M870" i="17"/>
  <c r="S869" i="17"/>
  <c r="R869" i="17"/>
  <c r="Q869" i="17"/>
  <c r="O869" i="17" s="1"/>
  <c r="M869" i="17"/>
  <c r="T869" i="17"/>
  <c r="S868" i="17"/>
  <c r="R868" i="17"/>
  <c r="Q868" i="17"/>
  <c r="M868" i="17"/>
  <c r="V868" i="17"/>
  <c r="S867" i="17"/>
  <c r="R867" i="17"/>
  <c r="Q867" i="17"/>
  <c r="P867" i="17" s="1"/>
  <c r="M867" i="17"/>
  <c r="U866" i="17"/>
  <c r="S866" i="17"/>
  <c r="R866" i="17"/>
  <c r="Q866" i="17"/>
  <c r="M866" i="17"/>
  <c r="S865" i="17"/>
  <c r="R865" i="17"/>
  <c r="Q865" i="17"/>
  <c r="P865" i="17" s="1"/>
  <c r="M865" i="17"/>
  <c r="S864" i="17"/>
  <c r="R864" i="17"/>
  <c r="Q864" i="17"/>
  <c r="O864" i="17" s="1"/>
  <c r="M864" i="17"/>
  <c r="W864" i="17"/>
  <c r="V863" i="17"/>
  <c r="S863" i="17"/>
  <c r="R863" i="17"/>
  <c r="Q863" i="17"/>
  <c r="M863" i="17"/>
  <c r="T863" i="17"/>
  <c r="S862" i="17"/>
  <c r="R862" i="17"/>
  <c r="Q862" i="17"/>
  <c r="O862" i="17" s="1"/>
  <c r="M862" i="17"/>
  <c r="S861" i="17"/>
  <c r="R861" i="17"/>
  <c r="Q861" i="17"/>
  <c r="O861" i="17" s="1"/>
  <c r="M861" i="17"/>
  <c r="W861" i="17"/>
  <c r="T860" i="17"/>
  <c r="S860" i="17"/>
  <c r="R860" i="17"/>
  <c r="Q860" i="17"/>
  <c r="M860" i="17"/>
  <c r="U860" i="17"/>
  <c r="S859" i="17"/>
  <c r="R859" i="17"/>
  <c r="Q859" i="17"/>
  <c r="O859" i="17" s="1"/>
  <c r="M859" i="17"/>
  <c r="S858" i="17"/>
  <c r="R858" i="17"/>
  <c r="Q858" i="17"/>
  <c r="N858" i="17" s="1"/>
  <c r="M858" i="17"/>
  <c r="U858" i="17"/>
  <c r="S857" i="17"/>
  <c r="R857" i="17"/>
  <c r="Q857" i="17"/>
  <c r="M857" i="17"/>
  <c r="T857" i="17"/>
  <c r="S856" i="17"/>
  <c r="R856" i="17"/>
  <c r="Q856" i="17"/>
  <c r="P856" i="17" s="1"/>
  <c r="M856" i="17"/>
  <c r="V856" i="17"/>
  <c r="S855" i="17"/>
  <c r="R855" i="17"/>
  <c r="Q855" i="17"/>
  <c r="P855" i="17" s="1"/>
  <c r="M855" i="17"/>
  <c r="S854" i="17"/>
  <c r="R854" i="17"/>
  <c r="Q854" i="17"/>
  <c r="O854" i="17" s="1"/>
  <c r="M854" i="17"/>
  <c r="S853" i="17"/>
  <c r="R853" i="17"/>
  <c r="Q853" i="17"/>
  <c r="O853" i="17" s="1"/>
  <c r="M853" i="17"/>
  <c r="W852" i="17"/>
  <c r="S852" i="17"/>
  <c r="R852" i="17"/>
  <c r="Q852" i="17"/>
  <c r="P852" i="17" s="1"/>
  <c r="M852" i="17"/>
  <c r="V852" i="17"/>
  <c r="S851" i="17"/>
  <c r="R851" i="17"/>
  <c r="Q851" i="17"/>
  <c r="M851" i="17"/>
  <c r="W851" i="17"/>
  <c r="S850" i="17"/>
  <c r="R850" i="17"/>
  <c r="Q850" i="17"/>
  <c r="N850" i="17" s="1"/>
  <c r="M850" i="17"/>
  <c r="U850" i="17"/>
  <c r="W849" i="17"/>
  <c r="S849" i="17"/>
  <c r="R849" i="17"/>
  <c r="Q849" i="17"/>
  <c r="M849" i="17"/>
  <c r="T849" i="17"/>
  <c r="S848" i="17"/>
  <c r="R848" i="17"/>
  <c r="Q848" i="17"/>
  <c r="P848" i="17" s="1"/>
  <c r="M848" i="17"/>
  <c r="U848" i="17"/>
  <c r="S847" i="17"/>
  <c r="R847" i="17"/>
  <c r="Q847" i="17"/>
  <c r="N847" i="17" s="1"/>
  <c r="M847" i="17"/>
  <c r="V847" i="17"/>
  <c r="S846" i="17"/>
  <c r="R846" i="17"/>
  <c r="Q846" i="17"/>
  <c r="M846" i="17"/>
  <c r="S845" i="17"/>
  <c r="R845" i="17"/>
  <c r="Q845" i="17"/>
  <c r="P845" i="17" s="1"/>
  <c r="M845" i="17"/>
  <c r="S844" i="17"/>
  <c r="R844" i="17"/>
  <c r="Q844" i="17"/>
  <c r="O844" i="17" s="1"/>
  <c r="M844" i="17"/>
  <c r="U844" i="17"/>
  <c r="W843" i="17"/>
  <c r="S843" i="17"/>
  <c r="R843" i="17"/>
  <c r="Q843" i="17"/>
  <c r="M843" i="17"/>
  <c r="T843" i="17"/>
  <c r="S842" i="17"/>
  <c r="R842" i="17"/>
  <c r="Q842" i="17"/>
  <c r="O842" i="17" s="1"/>
  <c r="M842" i="17"/>
  <c r="W842" i="17"/>
  <c r="S841" i="17"/>
  <c r="R841" i="17"/>
  <c r="Q841" i="17"/>
  <c r="M841" i="17"/>
  <c r="U841" i="17"/>
  <c r="S840" i="17"/>
  <c r="R840" i="17"/>
  <c r="Q840" i="17"/>
  <c r="M840" i="17"/>
  <c r="W840" i="17"/>
  <c r="S839" i="17"/>
  <c r="R839" i="17"/>
  <c r="Q839" i="17"/>
  <c r="P839" i="17" s="1"/>
  <c r="M839" i="17"/>
  <c r="T839" i="17"/>
  <c r="S838" i="17"/>
  <c r="R838" i="17"/>
  <c r="Q838" i="17"/>
  <c r="O838" i="17" s="1"/>
  <c r="M838" i="17"/>
  <c r="W838" i="17"/>
  <c r="S837" i="17"/>
  <c r="R837" i="17"/>
  <c r="Q837" i="17"/>
  <c r="M837" i="17"/>
  <c r="S836" i="17"/>
  <c r="R836" i="17"/>
  <c r="Q836" i="17"/>
  <c r="P836" i="17" s="1"/>
  <c r="M836" i="17"/>
  <c r="U836" i="17"/>
  <c r="S835" i="17"/>
  <c r="R835" i="17"/>
  <c r="Q835" i="17"/>
  <c r="M835" i="17"/>
  <c r="S834" i="17"/>
  <c r="R834" i="17"/>
  <c r="Q834" i="17"/>
  <c r="O834" i="17" s="1"/>
  <c r="M834" i="17"/>
  <c r="T834" i="17"/>
  <c r="S833" i="17"/>
  <c r="R833" i="17"/>
  <c r="Q833" i="17"/>
  <c r="P833" i="17" s="1"/>
  <c r="M833" i="17"/>
  <c r="U833" i="17"/>
  <c r="S832" i="17"/>
  <c r="R832" i="17"/>
  <c r="Q832" i="17"/>
  <c r="M832" i="17"/>
  <c r="W832" i="17"/>
  <c r="S831" i="17"/>
  <c r="R831" i="17"/>
  <c r="Q831" i="17"/>
  <c r="P831" i="17" s="1"/>
  <c r="M831" i="17"/>
  <c r="T831" i="17"/>
  <c r="V830" i="17"/>
  <c r="T830" i="17"/>
  <c r="S830" i="17"/>
  <c r="R830" i="17"/>
  <c r="Q830" i="17"/>
  <c r="O830" i="17" s="1"/>
  <c r="M830" i="17"/>
  <c r="W830" i="17"/>
  <c r="S829" i="17"/>
  <c r="R829" i="17"/>
  <c r="Q829" i="17"/>
  <c r="M829" i="17"/>
  <c r="S828" i="17"/>
  <c r="R828" i="17"/>
  <c r="Q828" i="17"/>
  <c r="O828" i="17" s="1"/>
  <c r="M828" i="17"/>
  <c r="U828" i="17"/>
  <c r="S827" i="17"/>
  <c r="R827" i="17"/>
  <c r="Q827" i="17"/>
  <c r="O827" i="17" s="1"/>
  <c r="M827" i="17"/>
  <c r="T827" i="17"/>
  <c r="S826" i="17"/>
  <c r="R826" i="17"/>
  <c r="Q826" i="17"/>
  <c r="N826" i="17" s="1"/>
  <c r="M826" i="17"/>
  <c r="V826" i="17"/>
  <c r="S825" i="17"/>
  <c r="R825" i="17"/>
  <c r="Q825" i="17"/>
  <c r="P825" i="17" s="1"/>
  <c r="M825" i="17"/>
  <c r="V825" i="17"/>
  <c r="S824" i="17"/>
  <c r="R824" i="17"/>
  <c r="Q824" i="17"/>
  <c r="N824" i="17" s="1"/>
  <c r="M824" i="17"/>
  <c r="S823" i="17"/>
  <c r="R823" i="17"/>
  <c r="Q823" i="17"/>
  <c r="O823" i="17" s="1"/>
  <c r="M823" i="17"/>
  <c r="S822" i="17"/>
  <c r="R822" i="17"/>
  <c r="Q822" i="17"/>
  <c r="O822" i="17" s="1"/>
  <c r="M822" i="17"/>
  <c r="V822" i="17"/>
  <c r="S821" i="17"/>
  <c r="R821" i="17"/>
  <c r="Q821" i="17"/>
  <c r="P821" i="17" s="1"/>
  <c r="M821" i="17"/>
  <c r="S820" i="17"/>
  <c r="R820" i="17"/>
  <c r="Q820" i="17"/>
  <c r="P820" i="17" s="1"/>
  <c r="M820" i="17"/>
  <c r="T820" i="17"/>
  <c r="S819" i="17"/>
  <c r="R819" i="17"/>
  <c r="Q819" i="17"/>
  <c r="N819" i="17" s="1"/>
  <c r="M819" i="17"/>
  <c r="V819" i="17"/>
  <c r="S818" i="17"/>
  <c r="R818" i="17"/>
  <c r="Q818" i="17"/>
  <c r="P818" i="17" s="1"/>
  <c r="M818" i="17"/>
  <c r="U818" i="17"/>
  <c r="S817" i="17"/>
  <c r="R817" i="17"/>
  <c r="Q817" i="17"/>
  <c r="M817" i="17"/>
  <c r="T817" i="17"/>
  <c r="S816" i="17"/>
  <c r="R816" i="17"/>
  <c r="Q816" i="17"/>
  <c r="P816" i="17" s="1"/>
  <c r="M816" i="17"/>
  <c r="T816" i="17"/>
  <c r="S815" i="17"/>
  <c r="R815" i="17"/>
  <c r="Q815" i="17"/>
  <c r="N815" i="17" s="1"/>
  <c r="M815" i="17"/>
  <c r="S814" i="17"/>
  <c r="R814" i="17"/>
  <c r="Q814" i="17"/>
  <c r="O814" i="17" s="1"/>
  <c r="M814" i="17"/>
  <c r="W814" i="17"/>
  <c r="W813" i="17"/>
  <c r="S813" i="17"/>
  <c r="R813" i="17"/>
  <c r="Q813" i="17"/>
  <c r="N813" i="17" s="1"/>
  <c r="M813" i="17"/>
  <c r="T813" i="17"/>
  <c r="S812" i="17"/>
  <c r="R812" i="17"/>
  <c r="Q812" i="17"/>
  <c r="M812" i="17"/>
  <c r="S811" i="17"/>
  <c r="R811" i="17"/>
  <c r="Q811" i="17"/>
  <c r="P811" i="17" s="1"/>
  <c r="M811" i="17"/>
  <c r="S810" i="17"/>
  <c r="R810" i="17"/>
  <c r="Q810" i="17"/>
  <c r="P810" i="17" s="1"/>
  <c r="M810" i="17"/>
  <c r="T810" i="17"/>
  <c r="S809" i="17"/>
  <c r="R809" i="17"/>
  <c r="Q809" i="17"/>
  <c r="M809" i="17"/>
  <c r="T809" i="17"/>
  <c r="S808" i="17"/>
  <c r="R808" i="17"/>
  <c r="Q808" i="17"/>
  <c r="P808" i="17" s="1"/>
  <c r="M808" i="17"/>
  <c r="W808" i="17"/>
  <c r="S807" i="17"/>
  <c r="R807" i="17"/>
  <c r="Q807" i="17"/>
  <c r="M807" i="17"/>
  <c r="T807" i="17"/>
  <c r="S806" i="17"/>
  <c r="R806" i="17"/>
  <c r="Q806" i="17"/>
  <c r="O806" i="17" s="1"/>
  <c r="M806" i="17"/>
  <c r="V806" i="17"/>
  <c r="S805" i="17"/>
  <c r="R805" i="17"/>
  <c r="Q805" i="17"/>
  <c r="M805" i="17"/>
  <c r="T805" i="17"/>
  <c r="S804" i="17"/>
  <c r="R804" i="17"/>
  <c r="Q804" i="17"/>
  <c r="N804" i="17" s="1"/>
  <c r="M804" i="17"/>
  <c r="S803" i="17"/>
  <c r="R803" i="17"/>
  <c r="Q803" i="17"/>
  <c r="P803" i="17" s="1"/>
  <c r="M803" i="17"/>
  <c r="S802" i="17"/>
  <c r="R802" i="17"/>
  <c r="Q802" i="17"/>
  <c r="M802" i="17"/>
  <c r="W802" i="17"/>
  <c r="S801" i="17"/>
  <c r="R801" i="17"/>
  <c r="Q801" i="17"/>
  <c r="M801" i="17"/>
  <c r="T801" i="17"/>
  <c r="S800" i="17"/>
  <c r="R800" i="17"/>
  <c r="Q800" i="17"/>
  <c r="P800" i="17" s="1"/>
  <c r="M800" i="17"/>
  <c r="S799" i="17"/>
  <c r="R799" i="17"/>
  <c r="Q799" i="17"/>
  <c r="M799" i="17"/>
  <c r="S798" i="17"/>
  <c r="R798" i="17"/>
  <c r="Q798" i="17"/>
  <c r="P798" i="17" s="1"/>
  <c r="M798" i="17"/>
  <c r="S797" i="17"/>
  <c r="R797" i="17"/>
  <c r="Q797" i="17"/>
  <c r="N797" i="17" s="1"/>
  <c r="M797" i="17"/>
  <c r="W797" i="17"/>
  <c r="S796" i="17"/>
  <c r="R796" i="17"/>
  <c r="Q796" i="17"/>
  <c r="N796" i="17" s="1"/>
  <c r="M796" i="17"/>
  <c r="T796" i="17"/>
  <c r="S795" i="17"/>
  <c r="R795" i="17"/>
  <c r="Q795" i="17"/>
  <c r="P795" i="17" s="1"/>
  <c r="M795" i="17"/>
  <c r="V795" i="17"/>
  <c r="S794" i="17"/>
  <c r="R794" i="17"/>
  <c r="Q794" i="17"/>
  <c r="M794" i="17"/>
  <c r="W794" i="17"/>
  <c r="S793" i="17"/>
  <c r="R793" i="17"/>
  <c r="Q793" i="17"/>
  <c r="N793" i="17" s="1"/>
  <c r="M793" i="17"/>
  <c r="S792" i="17"/>
  <c r="R792" i="17"/>
  <c r="Q792" i="17"/>
  <c r="P792" i="17" s="1"/>
  <c r="M792" i="17"/>
  <c r="S791" i="17"/>
  <c r="R791" i="17"/>
  <c r="Q791" i="17"/>
  <c r="M791" i="17"/>
  <c r="V791" i="17"/>
  <c r="S790" i="17"/>
  <c r="R790" i="17"/>
  <c r="Q790" i="17"/>
  <c r="P790" i="17" s="1"/>
  <c r="M790" i="17"/>
  <c r="T790" i="17"/>
  <c r="S789" i="17"/>
  <c r="R789" i="17"/>
  <c r="Q789" i="17"/>
  <c r="P789" i="17" s="1"/>
  <c r="M789" i="17"/>
  <c r="W789" i="17"/>
  <c r="S788" i="17"/>
  <c r="R788" i="17"/>
  <c r="Q788" i="17"/>
  <c r="N788" i="17" s="1"/>
  <c r="M788" i="17"/>
  <c r="W788" i="17"/>
  <c r="S787" i="17"/>
  <c r="R787" i="17"/>
  <c r="Q787" i="17"/>
  <c r="P787" i="17" s="1"/>
  <c r="M787" i="17"/>
  <c r="W787" i="17"/>
  <c r="S786" i="17"/>
  <c r="R786" i="17"/>
  <c r="Q786" i="17"/>
  <c r="N786" i="17" s="1"/>
  <c r="M786" i="17"/>
  <c r="S785" i="17"/>
  <c r="R785" i="17"/>
  <c r="Q785" i="17"/>
  <c r="P785" i="17" s="1"/>
  <c r="M785" i="17"/>
  <c r="W785" i="17"/>
  <c r="S784" i="17"/>
  <c r="R784" i="17"/>
  <c r="Q784" i="17"/>
  <c r="N784" i="17" s="1"/>
  <c r="M784" i="17"/>
  <c r="W784" i="17"/>
  <c r="S783" i="17"/>
  <c r="R783" i="17"/>
  <c r="Q783" i="17"/>
  <c r="P783" i="17" s="1"/>
  <c r="M783" i="17"/>
  <c r="W783" i="17"/>
  <c r="S782" i="17"/>
  <c r="R782" i="17"/>
  <c r="Q782" i="17"/>
  <c r="P782" i="17" s="1"/>
  <c r="M782" i="17"/>
  <c r="S781" i="17"/>
  <c r="R781" i="17"/>
  <c r="Q781" i="17"/>
  <c r="P781" i="17" s="1"/>
  <c r="M781" i="17"/>
  <c r="W781" i="17"/>
  <c r="S780" i="17"/>
  <c r="R780" i="17"/>
  <c r="Q780" i="17"/>
  <c r="P780" i="17" s="1"/>
  <c r="M780" i="17"/>
  <c r="W780" i="17"/>
  <c r="S779" i="17"/>
  <c r="R779" i="17"/>
  <c r="Q779" i="17"/>
  <c r="P779" i="17" s="1"/>
  <c r="M779" i="17"/>
  <c r="W779" i="17"/>
  <c r="S778" i="17"/>
  <c r="R778" i="17"/>
  <c r="Q778" i="17"/>
  <c r="N778" i="17" s="1"/>
  <c r="M778" i="17"/>
  <c r="W778" i="17"/>
  <c r="S777" i="17"/>
  <c r="R777" i="17"/>
  <c r="Q777" i="17"/>
  <c r="P777" i="17" s="1"/>
  <c r="M777" i="17"/>
  <c r="W777" i="17"/>
  <c r="S776" i="17"/>
  <c r="R776" i="17"/>
  <c r="Q776" i="17"/>
  <c r="M776" i="17"/>
  <c r="W776" i="17"/>
  <c r="S775" i="17"/>
  <c r="R775" i="17"/>
  <c r="Q775" i="17"/>
  <c r="M775" i="17"/>
  <c r="W775" i="17"/>
  <c r="S774" i="17"/>
  <c r="R774" i="17"/>
  <c r="Q774" i="17"/>
  <c r="M774" i="17"/>
  <c r="W774" i="17"/>
  <c r="S773" i="17"/>
  <c r="R773" i="17"/>
  <c r="Q773" i="17"/>
  <c r="P773" i="17" s="1"/>
  <c r="M773" i="17"/>
  <c r="W773" i="17"/>
  <c r="S772" i="17"/>
  <c r="R772" i="17"/>
  <c r="Q772" i="17"/>
  <c r="O772" i="17" s="1"/>
  <c r="M772" i="17"/>
  <c r="W772" i="17"/>
  <c r="S771" i="17"/>
  <c r="R771" i="17"/>
  <c r="Q771" i="17"/>
  <c r="P771" i="17" s="1"/>
  <c r="M771" i="17"/>
  <c r="W771" i="17"/>
  <c r="S770" i="17"/>
  <c r="R770" i="17"/>
  <c r="Q770" i="17"/>
  <c r="N770" i="17" s="1"/>
  <c r="M770" i="17"/>
  <c r="W770" i="17"/>
  <c r="S769" i="17"/>
  <c r="R769" i="17"/>
  <c r="Q769" i="17"/>
  <c r="P769" i="17" s="1"/>
  <c r="M769" i="17"/>
  <c r="W769" i="17"/>
  <c r="S768" i="17"/>
  <c r="R768" i="17"/>
  <c r="Q768" i="17"/>
  <c r="O768" i="17" s="1"/>
  <c r="M768" i="17"/>
  <c r="V768" i="17"/>
  <c r="S767" i="17"/>
  <c r="R767" i="17"/>
  <c r="Q767" i="17"/>
  <c r="P767" i="17" s="1"/>
  <c r="M767" i="17"/>
  <c r="W767" i="17"/>
  <c r="S766" i="17"/>
  <c r="R766" i="17"/>
  <c r="Q766" i="17"/>
  <c r="M766" i="17"/>
  <c r="S765" i="17"/>
  <c r="R765" i="17"/>
  <c r="Q765" i="17"/>
  <c r="P765" i="17" s="1"/>
  <c r="M765" i="17"/>
  <c r="T765" i="17"/>
  <c r="S764" i="17"/>
  <c r="R764" i="17"/>
  <c r="Q764" i="17"/>
  <c r="O764" i="17" s="1"/>
  <c r="M764" i="17"/>
  <c r="S763" i="17"/>
  <c r="R763" i="17"/>
  <c r="Q763" i="17"/>
  <c r="P763" i="17" s="1"/>
  <c r="M763" i="17"/>
  <c r="T763" i="17"/>
  <c r="S762" i="17"/>
  <c r="R762" i="17"/>
  <c r="Q762" i="17"/>
  <c r="O762" i="17" s="1"/>
  <c r="M762" i="17"/>
  <c r="S761" i="17"/>
  <c r="R761" i="17"/>
  <c r="Q761" i="17"/>
  <c r="P761" i="17" s="1"/>
  <c r="M761" i="17"/>
  <c r="S760" i="17"/>
  <c r="R760" i="17"/>
  <c r="Q760" i="17"/>
  <c r="M760" i="17"/>
  <c r="S759" i="17"/>
  <c r="R759" i="17"/>
  <c r="Q759" i="17"/>
  <c r="P759" i="17" s="1"/>
  <c r="M759" i="17"/>
  <c r="S758" i="17"/>
  <c r="R758" i="17"/>
  <c r="Q758" i="17"/>
  <c r="M758" i="17"/>
  <c r="W758" i="17"/>
  <c r="S757" i="17"/>
  <c r="R757" i="17"/>
  <c r="Q757" i="17"/>
  <c r="P757" i="17" s="1"/>
  <c r="M757" i="17"/>
  <c r="T757" i="17"/>
  <c r="S756" i="17"/>
  <c r="R756" i="17"/>
  <c r="Q756" i="17"/>
  <c r="N756" i="17" s="1"/>
  <c r="M756" i="17"/>
  <c r="W756" i="17"/>
  <c r="S755" i="17"/>
  <c r="R755" i="17"/>
  <c r="Q755" i="17"/>
  <c r="M755" i="17"/>
  <c r="T755" i="17"/>
  <c r="S754" i="17"/>
  <c r="R754" i="17"/>
  <c r="Q754" i="17"/>
  <c r="O754" i="17" s="1"/>
  <c r="M754" i="17"/>
  <c r="V754" i="17"/>
  <c r="S753" i="17"/>
  <c r="R753" i="17"/>
  <c r="Q753" i="17"/>
  <c r="P753" i="17" s="1"/>
  <c r="M753" i="17"/>
  <c r="U753" i="17"/>
  <c r="S752" i="17"/>
  <c r="R752" i="17"/>
  <c r="Q752" i="17"/>
  <c r="O752" i="17" s="1"/>
  <c r="M752" i="17"/>
  <c r="T752" i="17"/>
  <c r="S751" i="17"/>
  <c r="R751" i="17"/>
  <c r="Q751" i="17"/>
  <c r="P751" i="17" s="1"/>
  <c r="M751" i="17"/>
  <c r="U751" i="17"/>
  <c r="S750" i="17"/>
  <c r="R750" i="17"/>
  <c r="Q750" i="17"/>
  <c r="O750" i="17" s="1"/>
  <c r="M750" i="17"/>
  <c r="S749" i="17"/>
  <c r="R749" i="17"/>
  <c r="Q749" i="17"/>
  <c r="P749" i="17" s="1"/>
  <c r="M749" i="17"/>
  <c r="U749" i="17"/>
  <c r="S748" i="17"/>
  <c r="R748" i="17"/>
  <c r="Q748" i="17"/>
  <c r="N748" i="17" s="1"/>
  <c r="M748" i="17"/>
  <c r="W748" i="17"/>
  <c r="S747" i="17"/>
  <c r="R747" i="17"/>
  <c r="Q747" i="17"/>
  <c r="M747" i="17"/>
  <c r="S746" i="17"/>
  <c r="R746" i="17"/>
  <c r="Q746" i="17"/>
  <c r="O746" i="17" s="1"/>
  <c r="M746" i="17"/>
  <c r="T746" i="17"/>
  <c r="S745" i="17"/>
  <c r="R745" i="17"/>
  <c r="Q745" i="17"/>
  <c r="P745" i="17" s="1"/>
  <c r="M745" i="17"/>
  <c r="S744" i="17"/>
  <c r="R744" i="17"/>
  <c r="Q744" i="17"/>
  <c r="O744" i="17" s="1"/>
  <c r="M744" i="17"/>
  <c r="V744" i="17"/>
  <c r="S743" i="17"/>
  <c r="R743" i="17"/>
  <c r="Q743" i="17"/>
  <c r="P743" i="17" s="1"/>
  <c r="M743" i="17"/>
  <c r="T743" i="17"/>
  <c r="S742" i="17"/>
  <c r="R742" i="17"/>
  <c r="Q742" i="17"/>
  <c r="M742" i="17"/>
  <c r="S741" i="17"/>
  <c r="R741" i="17"/>
  <c r="Q741" i="17"/>
  <c r="P741" i="17" s="1"/>
  <c r="M741" i="17"/>
  <c r="U741" i="17"/>
  <c r="S740" i="17"/>
  <c r="R740" i="17"/>
  <c r="Q740" i="17"/>
  <c r="M740" i="17"/>
  <c r="W740" i="17"/>
  <c r="S739" i="17"/>
  <c r="R739" i="17"/>
  <c r="Q739" i="17"/>
  <c r="M739" i="17"/>
  <c r="T739" i="17"/>
  <c r="S738" i="17"/>
  <c r="R738" i="17"/>
  <c r="Q738" i="17"/>
  <c r="O738" i="17" s="1"/>
  <c r="M738" i="17"/>
  <c r="S737" i="17"/>
  <c r="R737" i="17"/>
  <c r="Q737" i="17"/>
  <c r="P737" i="17" s="1"/>
  <c r="M737" i="17"/>
  <c r="T737" i="17"/>
  <c r="S736" i="17"/>
  <c r="R736" i="17"/>
  <c r="Q736" i="17"/>
  <c r="O736" i="17" s="1"/>
  <c r="M736" i="17"/>
  <c r="V736" i="17"/>
  <c r="S735" i="17"/>
  <c r="R735" i="17"/>
  <c r="Q735" i="17"/>
  <c r="P735" i="17" s="1"/>
  <c r="M735" i="17"/>
  <c r="S734" i="17"/>
  <c r="R734" i="17"/>
  <c r="Q734" i="17"/>
  <c r="P734" i="17" s="1"/>
  <c r="M734" i="17"/>
  <c r="W734" i="17"/>
  <c r="S733" i="17"/>
  <c r="R733" i="17"/>
  <c r="Q733" i="17"/>
  <c r="P733" i="17" s="1"/>
  <c r="M733" i="17"/>
  <c r="U733" i="17"/>
  <c r="S732" i="17"/>
  <c r="R732" i="17"/>
  <c r="Q732" i="17"/>
  <c r="P732" i="17" s="1"/>
  <c r="M732" i="17"/>
  <c r="S731" i="17"/>
  <c r="R731" i="17"/>
  <c r="Q731" i="17"/>
  <c r="M731" i="17"/>
  <c r="S730" i="17"/>
  <c r="R730" i="17"/>
  <c r="Q730" i="17"/>
  <c r="O730" i="17" s="1"/>
  <c r="M730" i="17"/>
  <c r="T730" i="17"/>
  <c r="S729" i="17"/>
  <c r="R729" i="17"/>
  <c r="Q729" i="17"/>
  <c r="P729" i="17" s="1"/>
  <c r="M729" i="17"/>
  <c r="S728" i="17"/>
  <c r="R728" i="17"/>
  <c r="Q728" i="17"/>
  <c r="M728" i="17"/>
  <c r="S727" i="17"/>
  <c r="R727" i="17"/>
  <c r="Q727" i="17"/>
  <c r="P727" i="17" s="1"/>
  <c r="M727" i="17"/>
  <c r="S726" i="17"/>
  <c r="R726" i="17"/>
  <c r="Q726" i="17"/>
  <c r="O726" i="17" s="1"/>
  <c r="M726" i="17"/>
  <c r="U726" i="17"/>
  <c r="S725" i="17"/>
  <c r="R725" i="17"/>
  <c r="Q725" i="17"/>
  <c r="P725" i="17" s="1"/>
  <c r="M725" i="17"/>
  <c r="S724" i="17"/>
  <c r="R724" i="17"/>
  <c r="Q724" i="17"/>
  <c r="M724" i="17"/>
  <c r="W724" i="17"/>
  <c r="S723" i="17"/>
  <c r="R723" i="17"/>
  <c r="Q723" i="17"/>
  <c r="M723" i="17"/>
  <c r="T723" i="17"/>
  <c r="S722" i="17"/>
  <c r="R722" i="17"/>
  <c r="Q722" i="17"/>
  <c r="M722" i="17"/>
  <c r="S721" i="17"/>
  <c r="R721" i="17"/>
  <c r="Q721" i="17"/>
  <c r="P721" i="17" s="1"/>
  <c r="M721" i="17"/>
  <c r="T721" i="17"/>
  <c r="S720" i="17"/>
  <c r="R720" i="17"/>
  <c r="Q720" i="17"/>
  <c r="M720" i="17"/>
  <c r="U720" i="17"/>
  <c r="S719" i="17"/>
  <c r="R719" i="17"/>
  <c r="Q719" i="17"/>
  <c r="P719" i="17" s="1"/>
  <c r="M719" i="17"/>
  <c r="S718" i="17"/>
  <c r="R718" i="17"/>
  <c r="Q718" i="17"/>
  <c r="M718" i="17"/>
  <c r="S717" i="17"/>
  <c r="R717" i="17"/>
  <c r="Q717" i="17"/>
  <c r="P717" i="17" s="1"/>
  <c r="M717" i="17"/>
  <c r="T717" i="17"/>
  <c r="S716" i="17"/>
  <c r="R716" i="17"/>
  <c r="Q716" i="17"/>
  <c r="M716" i="17"/>
  <c r="S715" i="17"/>
  <c r="R715" i="17"/>
  <c r="Q715" i="17"/>
  <c r="P715" i="17" s="1"/>
  <c r="M715" i="17"/>
  <c r="T715" i="17"/>
  <c r="S714" i="17"/>
  <c r="R714" i="17"/>
  <c r="Q714" i="17"/>
  <c r="M714" i="17"/>
  <c r="S713" i="17"/>
  <c r="R713" i="17"/>
  <c r="Q713" i="17"/>
  <c r="P713" i="17" s="1"/>
  <c r="M713" i="17"/>
  <c r="S712" i="17"/>
  <c r="R712" i="17"/>
  <c r="Q712" i="17"/>
  <c r="P712" i="17" s="1"/>
  <c r="M712" i="17"/>
  <c r="U712" i="17"/>
  <c r="S711" i="17"/>
  <c r="R711" i="17"/>
  <c r="Q711" i="17"/>
  <c r="M711" i="17"/>
  <c r="T711" i="17"/>
  <c r="S710" i="17"/>
  <c r="R710" i="17"/>
  <c r="Q710" i="17"/>
  <c r="M710" i="17"/>
  <c r="S709" i="17"/>
  <c r="R709" i="17"/>
  <c r="Q709" i="17"/>
  <c r="P709" i="17" s="1"/>
  <c r="M709" i="17"/>
  <c r="U709" i="17"/>
  <c r="W708" i="17"/>
  <c r="V708" i="17"/>
  <c r="S708" i="17"/>
  <c r="R708" i="17"/>
  <c r="Q708" i="17"/>
  <c r="O708" i="17" s="1"/>
  <c r="M708" i="17"/>
  <c r="T708" i="17"/>
  <c r="S707" i="17"/>
  <c r="R707" i="17"/>
  <c r="Q707" i="17"/>
  <c r="P707" i="17" s="1"/>
  <c r="M707" i="17"/>
  <c r="S706" i="17"/>
  <c r="R706" i="17"/>
  <c r="Q706" i="17"/>
  <c r="M706" i="17"/>
  <c r="S705" i="17"/>
  <c r="R705" i="17"/>
  <c r="Q705" i="17"/>
  <c r="P705" i="17" s="1"/>
  <c r="M705" i="17"/>
  <c r="T705" i="17"/>
  <c r="S704" i="17"/>
  <c r="R704" i="17"/>
  <c r="Q704" i="17"/>
  <c r="O704" i="17" s="1"/>
  <c r="M704" i="17"/>
  <c r="W704" i="17"/>
  <c r="S703" i="17"/>
  <c r="R703" i="17"/>
  <c r="Q703" i="17"/>
  <c r="M703" i="17"/>
  <c r="T703" i="17"/>
  <c r="S702" i="17"/>
  <c r="R702" i="17"/>
  <c r="Q702" i="17"/>
  <c r="M702" i="17"/>
  <c r="T702" i="17"/>
  <c r="S701" i="17"/>
  <c r="R701" i="17"/>
  <c r="Q701" i="17"/>
  <c r="P701" i="17" s="1"/>
  <c r="M701" i="17"/>
  <c r="T701" i="17"/>
  <c r="S700" i="17"/>
  <c r="R700" i="17"/>
  <c r="Q700" i="17"/>
  <c r="N700" i="17" s="1"/>
  <c r="M700" i="17"/>
  <c r="T700" i="17"/>
  <c r="S699" i="17"/>
  <c r="R699" i="17"/>
  <c r="Q699" i="17"/>
  <c r="P699" i="17" s="1"/>
  <c r="M699" i="17"/>
  <c r="U699" i="17"/>
  <c r="S698" i="17"/>
  <c r="R698" i="17"/>
  <c r="Q698" i="17"/>
  <c r="M698" i="17"/>
  <c r="T698" i="17"/>
  <c r="S697" i="17"/>
  <c r="R697" i="17"/>
  <c r="Q697" i="17"/>
  <c r="P697" i="17" s="1"/>
  <c r="M697" i="17"/>
  <c r="U697" i="17"/>
  <c r="S696" i="17"/>
  <c r="R696" i="17"/>
  <c r="Q696" i="17"/>
  <c r="P696" i="17" s="1"/>
  <c r="M696" i="17"/>
  <c r="V696" i="17"/>
  <c r="S695" i="17"/>
  <c r="R695" i="17"/>
  <c r="Q695" i="17"/>
  <c r="M695" i="17"/>
  <c r="S694" i="17"/>
  <c r="R694" i="17"/>
  <c r="Q694" i="17"/>
  <c r="N694" i="17" s="1"/>
  <c r="M694" i="17"/>
  <c r="T694" i="17"/>
  <c r="S693" i="17"/>
  <c r="R693" i="17"/>
  <c r="Q693" i="17"/>
  <c r="M693" i="17"/>
  <c r="W693" i="17"/>
  <c r="S692" i="17"/>
  <c r="R692" i="17"/>
  <c r="Q692" i="17"/>
  <c r="N692" i="17" s="1"/>
  <c r="M692" i="17"/>
  <c r="S691" i="17"/>
  <c r="R691" i="17"/>
  <c r="Q691" i="17"/>
  <c r="P691" i="17" s="1"/>
  <c r="M691" i="17"/>
  <c r="U691" i="17"/>
  <c r="S690" i="17"/>
  <c r="R690" i="17"/>
  <c r="Q690" i="17"/>
  <c r="O690" i="17" s="1"/>
  <c r="M690" i="17"/>
  <c r="S689" i="17"/>
  <c r="R689" i="17"/>
  <c r="Q689" i="17"/>
  <c r="M689" i="17"/>
  <c r="S688" i="17"/>
  <c r="R688" i="17"/>
  <c r="Q688" i="17"/>
  <c r="O688" i="17" s="1"/>
  <c r="M688" i="17"/>
  <c r="S687" i="17"/>
  <c r="R687" i="17"/>
  <c r="Q687" i="17"/>
  <c r="P687" i="17" s="1"/>
  <c r="M687" i="17"/>
  <c r="W687" i="17"/>
  <c r="W686" i="17"/>
  <c r="S686" i="17"/>
  <c r="R686" i="17"/>
  <c r="Q686" i="17"/>
  <c r="O686" i="17" s="1"/>
  <c r="M686" i="17"/>
  <c r="T686" i="17"/>
  <c r="S685" i="17"/>
  <c r="R685" i="17"/>
  <c r="Q685" i="17"/>
  <c r="O685" i="17" s="1"/>
  <c r="M685" i="17"/>
  <c r="V685" i="17"/>
  <c r="S684" i="17"/>
  <c r="R684" i="17"/>
  <c r="Q684" i="17"/>
  <c r="M684" i="17"/>
  <c r="S683" i="17"/>
  <c r="R683" i="17"/>
  <c r="Q683" i="17"/>
  <c r="O683" i="17" s="1"/>
  <c r="M683" i="17"/>
  <c r="T683" i="17"/>
  <c r="S682" i="17"/>
  <c r="R682" i="17"/>
  <c r="Q682" i="17"/>
  <c r="P682" i="17" s="1"/>
  <c r="M682" i="17"/>
  <c r="V682" i="17"/>
  <c r="S681" i="17"/>
  <c r="R681" i="17"/>
  <c r="Q681" i="17"/>
  <c r="P681" i="17" s="1"/>
  <c r="M681" i="17"/>
  <c r="U681" i="17"/>
  <c r="U680" i="17"/>
  <c r="S680" i="17"/>
  <c r="R680" i="17"/>
  <c r="Q680" i="17"/>
  <c r="N680" i="17" s="1"/>
  <c r="M680" i="17"/>
  <c r="T680" i="17"/>
  <c r="S679" i="17"/>
  <c r="R679" i="17"/>
  <c r="Q679" i="17"/>
  <c r="N679" i="17" s="1"/>
  <c r="M679" i="17"/>
  <c r="S678" i="17"/>
  <c r="R678" i="17"/>
  <c r="Q678" i="17"/>
  <c r="N678" i="17" s="1"/>
  <c r="M678" i="17"/>
  <c r="W678" i="17"/>
  <c r="S677" i="17"/>
  <c r="R677" i="17"/>
  <c r="Q677" i="17"/>
  <c r="P677" i="17" s="1"/>
  <c r="M677" i="17"/>
  <c r="W677" i="17"/>
  <c r="S676" i="17"/>
  <c r="R676" i="17"/>
  <c r="Q676" i="17"/>
  <c r="M676" i="17"/>
  <c r="U676" i="17"/>
  <c r="S675" i="17"/>
  <c r="R675" i="17"/>
  <c r="Q675" i="17"/>
  <c r="P675" i="17" s="1"/>
  <c r="M675" i="17"/>
  <c r="U675" i="17"/>
  <c r="S674" i="17"/>
  <c r="R674" i="17"/>
  <c r="Q674" i="17"/>
  <c r="O674" i="17" s="1"/>
  <c r="M674" i="17"/>
  <c r="V674" i="17"/>
  <c r="S673" i="17"/>
  <c r="R673" i="17"/>
  <c r="Q673" i="17"/>
  <c r="P673" i="17" s="1"/>
  <c r="M673" i="17"/>
  <c r="X673" i="17"/>
  <c r="S672" i="17"/>
  <c r="R672" i="17"/>
  <c r="Q672" i="17"/>
  <c r="N672" i="17" s="1"/>
  <c r="M672" i="17"/>
  <c r="X672" i="17"/>
  <c r="S671" i="17"/>
  <c r="R671" i="17"/>
  <c r="Q671" i="17"/>
  <c r="M671" i="17"/>
  <c r="S670" i="17"/>
  <c r="R670" i="17"/>
  <c r="Q670" i="17"/>
  <c r="M670" i="17"/>
  <c r="T670" i="17"/>
  <c r="S669" i="17"/>
  <c r="R669" i="17"/>
  <c r="Q669" i="17"/>
  <c r="N669" i="17" s="1"/>
  <c r="M669" i="17"/>
  <c r="V669" i="17"/>
  <c r="S668" i="17"/>
  <c r="R668" i="17"/>
  <c r="Q668" i="17"/>
  <c r="N668" i="17" s="1"/>
  <c r="M668" i="17"/>
  <c r="V668" i="17"/>
  <c r="S667" i="17"/>
  <c r="R667" i="17"/>
  <c r="Q667" i="17"/>
  <c r="N667" i="17" s="1"/>
  <c r="M667" i="17"/>
  <c r="X667" i="17"/>
  <c r="S666" i="17"/>
  <c r="R666" i="17"/>
  <c r="Q666" i="17"/>
  <c r="P666" i="17" s="1"/>
  <c r="M666" i="17"/>
  <c r="X666" i="17"/>
  <c r="S665" i="17"/>
  <c r="R665" i="17"/>
  <c r="Q665" i="17"/>
  <c r="P665" i="17" s="1"/>
  <c r="M665" i="17"/>
  <c r="V665" i="17"/>
  <c r="S664" i="17"/>
  <c r="R664" i="17"/>
  <c r="Q664" i="17"/>
  <c r="M664" i="17"/>
  <c r="T664" i="17"/>
  <c r="S663" i="17"/>
  <c r="R663" i="17"/>
  <c r="Q663" i="17"/>
  <c r="P663" i="17" s="1"/>
  <c r="M663" i="17"/>
  <c r="T663" i="17"/>
  <c r="S662" i="17"/>
  <c r="R662" i="17"/>
  <c r="Q662" i="17"/>
  <c r="O662" i="17" s="1"/>
  <c r="M662" i="17"/>
  <c r="S661" i="17"/>
  <c r="R661" i="17"/>
  <c r="Q661" i="17"/>
  <c r="M661" i="17"/>
  <c r="T661" i="17"/>
  <c r="S660" i="17"/>
  <c r="R660" i="17"/>
  <c r="Q660" i="17"/>
  <c r="N660" i="17" s="1"/>
  <c r="M660" i="17"/>
  <c r="S659" i="17"/>
  <c r="R659" i="17"/>
  <c r="Q659" i="17"/>
  <c r="N659" i="17" s="1"/>
  <c r="M659" i="17"/>
  <c r="S658" i="17"/>
  <c r="R658" i="17"/>
  <c r="Q658" i="17"/>
  <c r="M658" i="17"/>
  <c r="S657" i="17"/>
  <c r="R657" i="17"/>
  <c r="Q657" i="17"/>
  <c r="M657" i="17"/>
  <c r="U657" i="17"/>
  <c r="S656" i="17"/>
  <c r="R656" i="17"/>
  <c r="Q656" i="17"/>
  <c r="P656" i="17" s="1"/>
  <c r="M656" i="17"/>
  <c r="S655" i="17"/>
  <c r="R655" i="17"/>
  <c r="Q655" i="17"/>
  <c r="P655" i="17" s="1"/>
  <c r="M655" i="17"/>
  <c r="W655" i="17"/>
  <c r="S654" i="17"/>
  <c r="R654" i="17"/>
  <c r="Q654" i="17"/>
  <c r="P654" i="17" s="1"/>
  <c r="M654" i="17"/>
  <c r="S653" i="17"/>
  <c r="R653" i="17"/>
  <c r="Q653" i="17"/>
  <c r="P653" i="17" s="1"/>
  <c r="M653" i="17"/>
  <c r="T653" i="17"/>
  <c r="S652" i="17"/>
  <c r="R652" i="17"/>
  <c r="Q652" i="17"/>
  <c r="O652" i="17" s="1"/>
  <c r="M652" i="17"/>
  <c r="U652" i="17"/>
  <c r="S651" i="17"/>
  <c r="R651" i="17"/>
  <c r="Q651" i="17"/>
  <c r="O651" i="17" s="1"/>
  <c r="M651" i="17"/>
  <c r="W651" i="17"/>
  <c r="S650" i="17"/>
  <c r="R650" i="17"/>
  <c r="Q650" i="17"/>
  <c r="O650" i="17" s="1"/>
  <c r="M650" i="17"/>
  <c r="V650" i="17"/>
  <c r="S649" i="17"/>
  <c r="R649" i="17"/>
  <c r="Q649" i="17"/>
  <c r="P649" i="17" s="1"/>
  <c r="M649" i="17"/>
  <c r="T649" i="17"/>
  <c r="S648" i="17"/>
  <c r="R648" i="17"/>
  <c r="Q648" i="17"/>
  <c r="M648" i="17"/>
  <c r="U648" i="17"/>
  <c r="S647" i="17"/>
  <c r="R647" i="17"/>
  <c r="Q647" i="17"/>
  <c r="N647" i="17" s="1"/>
  <c r="M647" i="17"/>
  <c r="S646" i="17"/>
  <c r="R646" i="17"/>
  <c r="Q646" i="17"/>
  <c r="P646" i="17" s="1"/>
  <c r="M646" i="17"/>
  <c r="X646" i="17"/>
  <c r="S645" i="17"/>
  <c r="R645" i="17"/>
  <c r="Q645" i="17"/>
  <c r="M645" i="17"/>
  <c r="S644" i="17"/>
  <c r="R644" i="17"/>
  <c r="Q644" i="17"/>
  <c r="P644" i="17" s="1"/>
  <c r="M644" i="17"/>
  <c r="X644" i="17"/>
  <c r="S643" i="17"/>
  <c r="R643" i="17"/>
  <c r="Q643" i="17"/>
  <c r="O643" i="17" s="1"/>
  <c r="M643" i="17"/>
  <c r="W643" i="17"/>
  <c r="S642" i="17"/>
  <c r="R642" i="17"/>
  <c r="Q642" i="17"/>
  <c r="P642" i="17" s="1"/>
  <c r="M642" i="17"/>
  <c r="T642" i="17"/>
  <c r="S641" i="17"/>
  <c r="R641" i="17"/>
  <c r="Q641" i="17"/>
  <c r="M641" i="17"/>
  <c r="T641" i="17"/>
  <c r="S640" i="17"/>
  <c r="R640" i="17"/>
  <c r="Q640" i="17"/>
  <c r="N640" i="17" s="1"/>
  <c r="M640" i="17"/>
  <c r="V640" i="17"/>
  <c r="S639" i="17"/>
  <c r="R639" i="17"/>
  <c r="Q639" i="17"/>
  <c r="O639" i="17" s="1"/>
  <c r="M639" i="17"/>
  <c r="X639" i="17"/>
  <c r="S638" i="17"/>
  <c r="R638" i="17"/>
  <c r="Q638" i="17"/>
  <c r="M638" i="17"/>
  <c r="W638" i="17"/>
  <c r="S637" i="17"/>
  <c r="R637" i="17"/>
  <c r="Q637" i="17"/>
  <c r="P637" i="17" s="1"/>
  <c r="M637" i="17"/>
  <c r="T637" i="17"/>
  <c r="S636" i="17"/>
  <c r="R636" i="17"/>
  <c r="Q636" i="17"/>
  <c r="O636" i="17" s="1"/>
  <c r="M636" i="17"/>
  <c r="S635" i="17"/>
  <c r="R635" i="17"/>
  <c r="Q635" i="17"/>
  <c r="M635" i="17"/>
  <c r="U635" i="17"/>
  <c r="S634" i="17"/>
  <c r="R634" i="17"/>
  <c r="Q634" i="17"/>
  <c r="M634" i="17"/>
  <c r="T634" i="17"/>
  <c r="S633" i="17"/>
  <c r="R633" i="17"/>
  <c r="Q633" i="17"/>
  <c r="O633" i="17" s="1"/>
  <c r="M633" i="17"/>
  <c r="S632" i="17"/>
  <c r="R632" i="17"/>
  <c r="Q632" i="17"/>
  <c r="O632" i="17" s="1"/>
  <c r="M632" i="17"/>
  <c r="X632" i="17"/>
  <c r="S631" i="17"/>
  <c r="R631" i="17"/>
  <c r="Q631" i="17"/>
  <c r="M631" i="17"/>
  <c r="U631" i="17"/>
  <c r="S630" i="17"/>
  <c r="R630" i="17"/>
  <c r="Q630" i="17"/>
  <c r="N630" i="17" s="1"/>
  <c r="M630" i="17"/>
  <c r="W630" i="17"/>
  <c r="S629" i="17"/>
  <c r="R629" i="17"/>
  <c r="Q629" i="17"/>
  <c r="P629" i="17" s="1"/>
  <c r="M629" i="17"/>
  <c r="T629" i="17"/>
  <c r="S628" i="17"/>
  <c r="R628" i="17"/>
  <c r="Q628" i="17"/>
  <c r="M628" i="17"/>
  <c r="X628" i="17"/>
  <c r="S627" i="17"/>
  <c r="R627" i="17"/>
  <c r="Q627" i="17"/>
  <c r="M627" i="17"/>
  <c r="U627" i="17"/>
  <c r="S626" i="17"/>
  <c r="R626" i="17"/>
  <c r="Q626" i="17"/>
  <c r="M626" i="17"/>
  <c r="U626" i="17"/>
  <c r="S625" i="17"/>
  <c r="R625" i="17"/>
  <c r="Q625" i="17"/>
  <c r="P625" i="17" s="1"/>
  <c r="M625" i="17"/>
  <c r="X625" i="17"/>
  <c r="S624" i="17"/>
  <c r="R624" i="17"/>
  <c r="Q624" i="17"/>
  <c r="O624" i="17" s="1"/>
  <c r="M624" i="17"/>
  <c r="S623" i="17"/>
  <c r="R623" i="17"/>
  <c r="Q623" i="17"/>
  <c r="P623" i="17" s="1"/>
  <c r="M623" i="17"/>
  <c r="U623" i="17"/>
  <c r="S622" i="17"/>
  <c r="R622" i="17"/>
  <c r="Q622" i="17"/>
  <c r="N622" i="17" s="1"/>
  <c r="M622" i="17"/>
  <c r="S621" i="17"/>
  <c r="R621" i="17"/>
  <c r="Q621" i="17"/>
  <c r="M621" i="17"/>
  <c r="W621" i="17"/>
  <c r="S620" i="17"/>
  <c r="R620" i="17"/>
  <c r="Q620" i="17"/>
  <c r="N620" i="17" s="1"/>
  <c r="M620" i="17"/>
  <c r="S619" i="17"/>
  <c r="R619" i="17"/>
  <c r="Q619" i="17"/>
  <c r="N619" i="17" s="1"/>
  <c r="M619" i="17"/>
  <c r="S618" i="17"/>
  <c r="R618" i="17"/>
  <c r="Q618" i="17"/>
  <c r="N618" i="17" s="1"/>
  <c r="M618" i="17"/>
  <c r="T618" i="17"/>
  <c r="S617" i="17"/>
  <c r="R617" i="17"/>
  <c r="Q617" i="17"/>
  <c r="P617" i="17" s="1"/>
  <c r="M617" i="17"/>
  <c r="X617" i="17"/>
  <c r="S616" i="17"/>
  <c r="R616" i="17"/>
  <c r="Q616" i="17"/>
  <c r="O616" i="17" s="1"/>
  <c r="M616" i="17"/>
  <c r="U616" i="17"/>
  <c r="S615" i="17"/>
  <c r="R615" i="17"/>
  <c r="Q615" i="17"/>
  <c r="M615" i="17"/>
  <c r="U615" i="17"/>
  <c r="S614" i="17"/>
  <c r="R614" i="17"/>
  <c r="Q614" i="17"/>
  <c r="O614" i="17" s="1"/>
  <c r="M614" i="17"/>
  <c r="W614" i="17"/>
  <c r="S613" i="17"/>
  <c r="R613" i="17"/>
  <c r="Q613" i="17"/>
  <c r="P613" i="17" s="1"/>
  <c r="M613" i="17"/>
  <c r="T613" i="17"/>
  <c r="S612" i="17"/>
  <c r="R612" i="17"/>
  <c r="Q612" i="17"/>
  <c r="P612" i="17" s="1"/>
  <c r="M612" i="17"/>
  <c r="X612" i="17"/>
  <c r="S611" i="17"/>
  <c r="R611" i="17"/>
  <c r="Q611" i="17"/>
  <c r="N611" i="17" s="1"/>
  <c r="M611" i="17"/>
  <c r="S610" i="17"/>
  <c r="R610" i="17"/>
  <c r="Q610" i="17"/>
  <c r="O610" i="17" s="1"/>
  <c r="M610" i="17"/>
  <c r="W610" i="17"/>
  <c r="S609" i="17"/>
  <c r="R609" i="17"/>
  <c r="Q609" i="17"/>
  <c r="P609" i="17" s="1"/>
  <c r="M609" i="17"/>
  <c r="V609" i="17"/>
  <c r="S608" i="17"/>
  <c r="R608" i="17"/>
  <c r="Q608" i="17"/>
  <c r="M608" i="17"/>
  <c r="U608" i="17"/>
  <c r="S607" i="17"/>
  <c r="R607" i="17"/>
  <c r="Q607" i="17"/>
  <c r="M607" i="17"/>
  <c r="V607" i="17"/>
  <c r="S606" i="17"/>
  <c r="R606" i="17"/>
  <c r="Q606" i="17"/>
  <c r="O606" i="17" s="1"/>
  <c r="M606" i="17"/>
  <c r="W606" i="17"/>
  <c r="S605" i="17"/>
  <c r="R605" i="17"/>
  <c r="Q605" i="17"/>
  <c r="M605" i="17"/>
  <c r="S604" i="17"/>
  <c r="R604" i="17"/>
  <c r="Q604" i="17"/>
  <c r="M604" i="17"/>
  <c r="S603" i="17"/>
  <c r="R603" i="17"/>
  <c r="Q603" i="17"/>
  <c r="N603" i="17" s="1"/>
  <c r="M603" i="17"/>
  <c r="T603" i="17"/>
  <c r="S602" i="17"/>
  <c r="R602" i="17"/>
  <c r="Q602" i="17"/>
  <c r="O602" i="17" s="1"/>
  <c r="M602" i="17"/>
  <c r="V602" i="17"/>
  <c r="S601" i="17"/>
  <c r="R601" i="17"/>
  <c r="Q601" i="17"/>
  <c r="M601" i="17"/>
  <c r="V601" i="17"/>
  <c r="S600" i="17"/>
  <c r="R600" i="17"/>
  <c r="Q600" i="17"/>
  <c r="N600" i="17" s="1"/>
  <c r="M600" i="17"/>
  <c r="S599" i="17"/>
  <c r="R599" i="17"/>
  <c r="Q599" i="17"/>
  <c r="P599" i="17" s="1"/>
  <c r="M599" i="17"/>
  <c r="S598" i="17"/>
  <c r="R598" i="17"/>
  <c r="Q598" i="17"/>
  <c r="O598" i="17" s="1"/>
  <c r="M598" i="17"/>
  <c r="W598" i="17"/>
  <c r="W597" i="17"/>
  <c r="S597" i="17"/>
  <c r="R597" i="17"/>
  <c r="Q597" i="17"/>
  <c r="P597" i="17" s="1"/>
  <c r="M597" i="17"/>
  <c r="T597" i="17"/>
  <c r="S596" i="17"/>
  <c r="R596" i="17"/>
  <c r="Q596" i="17"/>
  <c r="O596" i="17" s="1"/>
  <c r="M596" i="17"/>
  <c r="U596" i="17"/>
  <c r="S595" i="17"/>
  <c r="R595" i="17"/>
  <c r="Q595" i="17"/>
  <c r="O595" i="17" s="1"/>
  <c r="M595" i="17"/>
  <c r="U595" i="17"/>
  <c r="S594" i="17"/>
  <c r="R594" i="17"/>
  <c r="Q594" i="17"/>
  <c r="P594" i="17" s="1"/>
  <c r="M594" i="17"/>
  <c r="W594" i="17"/>
  <c r="S593" i="17"/>
  <c r="R593" i="17"/>
  <c r="Q593" i="17"/>
  <c r="P593" i="17" s="1"/>
  <c r="M593" i="17"/>
  <c r="W593" i="17"/>
  <c r="S592" i="17"/>
  <c r="R592" i="17"/>
  <c r="Q592" i="17"/>
  <c r="P592" i="17" s="1"/>
  <c r="M592" i="17"/>
  <c r="U592" i="17"/>
  <c r="S591" i="17"/>
  <c r="R591" i="17"/>
  <c r="Q591" i="17"/>
  <c r="M591" i="17"/>
  <c r="T591" i="17"/>
  <c r="S590" i="17"/>
  <c r="R590" i="17"/>
  <c r="Q590" i="17"/>
  <c r="O590" i="17" s="1"/>
  <c r="M590" i="17"/>
  <c r="S589" i="17"/>
  <c r="R589" i="17"/>
  <c r="Q589" i="17"/>
  <c r="M589" i="17"/>
  <c r="W589" i="17"/>
  <c r="S588" i="17"/>
  <c r="R588" i="17"/>
  <c r="Q588" i="17"/>
  <c r="N588" i="17" s="1"/>
  <c r="M588" i="17"/>
  <c r="U588" i="17"/>
  <c r="S587" i="17"/>
  <c r="R587" i="17"/>
  <c r="Q587" i="17"/>
  <c r="N587" i="17" s="1"/>
  <c r="M587" i="17"/>
  <c r="S586" i="17"/>
  <c r="R586" i="17"/>
  <c r="Q586" i="17"/>
  <c r="M586" i="17"/>
  <c r="X586" i="17"/>
  <c r="S585" i="17"/>
  <c r="R585" i="17"/>
  <c r="Q585" i="17"/>
  <c r="P585" i="17" s="1"/>
  <c r="M585" i="17"/>
  <c r="W585" i="17"/>
  <c r="S584" i="17"/>
  <c r="R584" i="17"/>
  <c r="Q584" i="17"/>
  <c r="N584" i="17" s="1"/>
  <c r="M584" i="17"/>
  <c r="U584" i="17"/>
  <c r="S583" i="17"/>
  <c r="R583" i="17"/>
  <c r="Q583" i="17"/>
  <c r="N583" i="17" s="1"/>
  <c r="M583" i="17"/>
  <c r="V583" i="17"/>
  <c r="S582" i="17"/>
  <c r="R582" i="17"/>
  <c r="Q582" i="17"/>
  <c r="O582" i="17" s="1"/>
  <c r="M582" i="17"/>
  <c r="U582" i="17"/>
  <c r="S581" i="17"/>
  <c r="R581" i="17"/>
  <c r="Q581" i="17"/>
  <c r="M581" i="17"/>
  <c r="V581" i="17"/>
  <c r="S580" i="17"/>
  <c r="R580" i="17"/>
  <c r="Q580" i="17"/>
  <c r="M580" i="17"/>
  <c r="U580" i="17"/>
  <c r="S579" i="17"/>
  <c r="R579" i="17"/>
  <c r="Q579" i="17"/>
  <c r="N579" i="17" s="1"/>
  <c r="M579" i="17"/>
  <c r="S578" i="17"/>
  <c r="R578" i="17"/>
  <c r="Q578" i="17"/>
  <c r="M578" i="17"/>
  <c r="W578" i="17"/>
  <c r="S577" i="17"/>
  <c r="R577" i="17"/>
  <c r="Q577" i="17"/>
  <c r="M577" i="17"/>
  <c r="W577" i="17"/>
  <c r="S576" i="17"/>
  <c r="R576" i="17"/>
  <c r="Q576" i="17"/>
  <c r="P576" i="17" s="1"/>
  <c r="M576" i="17"/>
  <c r="S575" i="17"/>
  <c r="R575" i="17"/>
  <c r="Q575" i="17"/>
  <c r="P575" i="17" s="1"/>
  <c r="M575" i="17"/>
  <c r="U575" i="17"/>
  <c r="S574" i="17"/>
  <c r="R574" i="17"/>
  <c r="Q574" i="17"/>
  <c r="M574" i="17"/>
  <c r="U574" i="17"/>
  <c r="S573" i="17"/>
  <c r="R573" i="17"/>
  <c r="Q573" i="17"/>
  <c r="M573" i="17"/>
  <c r="V573" i="17"/>
  <c r="S572" i="17"/>
  <c r="R572" i="17"/>
  <c r="Q572" i="17"/>
  <c r="M572" i="17"/>
  <c r="U572" i="17"/>
  <c r="S571" i="17"/>
  <c r="R571" i="17"/>
  <c r="Q571" i="17"/>
  <c r="O571" i="17" s="1"/>
  <c r="M571" i="17"/>
  <c r="V571" i="17"/>
  <c r="S570" i="17"/>
  <c r="R570" i="17"/>
  <c r="Q570" i="17"/>
  <c r="N570" i="17" s="1"/>
  <c r="M570" i="17"/>
  <c r="S569" i="17"/>
  <c r="R569" i="17"/>
  <c r="Q569" i="17"/>
  <c r="M569" i="17"/>
  <c r="W569" i="17"/>
  <c r="S568" i="17"/>
  <c r="R568" i="17"/>
  <c r="Q568" i="17"/>
  <c r="P568" i="17" s="1"/>
  <c r="M568" i="17"/>
  <c r="X568" i="17"/>
  <c r="S567" i="17"/>
  <c r="R567" i="17"/>
  <c r="Q567" i="17"/>
  <c r="P567" i="17" s="1"/>
  <c r="M567" i="17"/>
  <c r="W567" i="17"/>
  <c r="S566" i="17"/>
  <c r="R566" i="17"/>
  <c r="Q566" i="17"/>
  <c r="P566" i="17" s="1"/>
  <c r="M566" i="17"/>
  <c r="T566" i="17"/>
  <c r="S565" i="17"/>
  <c r="R565" i="17"/>
  <c r="Q565" i="17"/>
  <c r="P565" i="17" s="1"/>
  <c r="M565" i="17"/>
  <c r="W565" i="17"/>
  <c r="S564" i="17"/>
  <c r="R564" i="17"/>
  <c r="Q564" i="17"/>
  <c r="O564" i="17" s="1"/>
  <c r="M564" i="17"/>
  <c r="S563" i="17"/>
  <c r="R563" i="17"/>
  <c r="Q563" i="17"/>
  <c r="O563" i="17" s="1"/>
  <c r="M563" i="17"/>
  <c r="T563" i="17"/>
  <c r="S562" i="17"/>
  <c r="R562" i="17"/>
  <c r="Q562" i="17"/>
  <c r="M562" i="17"/>
  <c r="T562" i="17"/>
  <c r="S561" i="17"/>
  <c r="R561" i="17"/>
  <c r="Q561" i="17"/>
  <c r="M561" i="17"/>
  <c r="T561" i="17"/>
  <c r="S560" i="17"/>
  <c r="R560" i="17"/>
  <c r="Q560" i="17"/>
  <c r="N560" i="17" s="1"/>
  <c r="M560" i="17"/>
  <c r="X560" i="17"/>
  <c r="S559" i="17"/>
  <c r="R559" i="17"/>
  <c r="Q559" i="17"/>
  <c r="P559" i="17" s="1"/>
  <c r="M559" i="17"/>
  <c r="V559" i="17"/>
  <c r="S558" i="17"/>
  <c r="R558" i="17"/>
  <c r="Q558" i="17"/>
  <c r="N558" i="17" s="1"/>
  <c r="M558" i="17"/>
  <c r="U558" i="17"/>
  <c r="U557" i="17"/>
  <c r="S557" i="17"/>
  <c r="R557" i="17"/>
  <c r="Q557" i="17"/>
  <c r="P557" i="17" s="1"/>
  <c r="M557" i="17"/>
  <c r="W557" i="17"/>
  <c r="S556" i="17"/>
  <c r="R556" i="17"/>
  <c r="Q556" i="17"/>
  <c r="N556" i="17" s="1"/>
  <c r="M556" i="17"/>
  <c r="U556" i="17"/>
  <c r="S555" i="17"/>
  <c r="R555" i="17"/>
  <c r="Q555" i="17"/>
  <c r="O555" i="17" s="1"/>
  <c r="M555" i="17"/>
  <c r="W555" i="17"/>
  <c r="S554" i="17"/>
  <c r="R554" i="17"/>
  <c r="Q554" i="17"/>
  <c r="M554" i="17"/>
  <c r="W554" i="17"/>
  <c r="S553" i="17"/>
  <c r="R553" i="17"/>
  <c r="Q553" i="17"/>
  <c r="M553" i="17"/>
  <c r="T553" i="17"/>
  <c r="S552" i="17"/>
  <c r="R552" i="17"/>
  <c r="Q552" i="17"/>
  <c r="N552" i="17" s="1"/>
  <c r="M552" i="17"/>
  <c r="X552" i="17"/>
  <c r="S551" i="17"/>
  <c r="R551" i="17"/>
  <c r="Q551" i="17"/>
  <c r="M551" i="17"/>
  <c r="W551" i="17"/>
  <c r="S550" i="17"/>
  <c r="R550" i="17"/>
  <c r="Q550" i="17"/>
  <c r="P550" i="17" s="1"/>
  <c r="M550" i="17"/>
  <c r="X550" i="17"/>
  <c r="S549" i="17"/>
  <c r="R549" i="17"/>
  <c r="Q549" i="17"/>
  <c r="O549" i="17" s="1"/>
  <c r="M549" i="17"/>
  <c r="S548" i="17"/>
  <c r="R548" i="17"/>
  <c r="Q548" i="17"/>
  <c r="M548" i="17"/>
  <c r="V548" i="17"/>
  <c r="S547" i="17"/>
  <c r="R547" i="17"/>
  <c r="Q547" i="17"/>
  <c r="M547" i="17"/>
  <c r="T547" i="17"/>
  <c r="S546" i="17"/>
  <c r="R546" i="17"/>
  <c r="Q546" i="17"/>
  <c r="P546" i="17" s="1"/>
  <c r="M546" i="17"/>
  <c r="W546" i="17"/>
  <c r="S545" i="17"/>
  <c r="R545" i="17"/>
  <c r="Q545" i="17"/>
  <c r="M545" i="17"/>
  <c r="S544" i="17"/>
  <c r="R544" i="17"/>
  <c r="Q544" i="17"/>
  <c r="N544" i="17" s="1"/>
  <c r="M544" i="17"/>
  <c r="S543" i="17"/>
  <c r="R543" i="17"/>
  <c r="Q543" i="17"/>
  <c r="M543" i="17"/>
  <c r="X543" i="17"/>
  <c r="S542" i="17"/>
  <c r="R542" i="17"/>
  <c r="Q542" i="17"/>
  <c r="O542" i="17" s="1"/>
  <c r="M542" i="17"/>
  <c r="U542" i="17"/>
  <c r="S541" i="17"/>
  <c r="R541" i="17"/>
  <c r="Q541" i="17"/>
  <c r="N541" i="17" s="1"/>
  <c r="M541" i="17"/>
  <c r="S540" i="17"/>
  <c r="R540" i="17"/>
  <c r="Q540" i="17"/>
  <c r="O540" i="17" s="1"/>
  <c r="M540" i="17"/>
  <c r="U540" i="17"/>
  <c r="S539" i="17"/>
  <c r="R539" i="17"/>
  <c r="Q539" i="17"/>
  <c r="O539" i="17" s="1"/>
  <c r="M539" i="17"/>
  <c r="W539" i="17"/>
  <c r="S538" i="17"/>
  <c r="R538" i="17"/>
  <c r="Q538" i="17"/>
  <c r="P538" i="17" s="1"/>
  <c r="M538" i="17"/>
  <c r="W538" i="17"/>
  <c r="S537" i="17"/>
  <c r="R537" i="17"/>
  <c r="Q537" i="17"/>
  <c r="M537" i="17"/>
  <c r="T537" i="17"/>
  <c r="S536" i="17"/>
  <c r="R536" i="17"/>
  <c r="Q536" i="17"/>
  <c r="N536" i="17" s="1"/>
  <c r="M536" i="17"/>
  <c r="X536" i="17"/>
  <c r="S535" i="17"/>
  <c r="R535" i="17"/>
  <c r="Q535" i="17"/>
  <c r="M535" i="17"/>
  <c r="W535" i="17"/>
  <c r="S534" i="17"/>
  <c r="R534" i="17"/>
  <c r="Q534" i="17"/>
  <c r="P534" i="17" s="1"/>
  <c r="M534" i="17"/>
  <c r="X534" i="17"/>
  <c r="S533" i="17"/>
  <c r="R533" i="17"/>
  <c r="Q533" i="17"/>
  <c r="P533" i="17" s="1"/>
  <c r="M533" i="17"/>
  <c r="X533" i="17"/>
  <c r="S532" i="17"/>
  <c r="R532" i="17"/>
  <c r="Q532" i="17"/>
  <c r="N532" i="17" s="1"/>
  <c r="M532" i="17"/>
  <c r="U532" i="17"/>
  <c r="S531" i="17"/>
  <c r="R531" i="17"/>
  <c r="Q531" i="17"/>
  <c r="O531" i="17" s="1"/>
  <c r="M531" i="17"/>
  <c r="U531" i="17"/>
  <c r="S530" i="17"/>
  <c r="R530" i="17"/>
  <c r="Q530" i="17"/>
  <c r="M530" i="17"/>
  <c r="W530" i="17"/>
  <c r="S529" i="17"/>
  <c r="R529" i="17"/>
  <c r="Q529" i="17"/>
  <c r="M529" i="17"/>
  <c r="T529" i="17"/>
  <c r="S528" i="17"/>
  <c r="R528" i="17"/>
  <c r="Q528" i="17"/>
  <c r="N528" i="17" s="1"/>
  <c r="M528" i="17"/>
  <c r="X528" i="17"/>
  <c r="S527" i="17"/>
  <c r="R527" i="17"/>
  <c r="Q527" i="17"/>
  <c r="P527" i="17" s="1"/>
  <c r="M527" i="17"/>
  <c r="U527" i="17"/>
  <c r="S526" i="17"/>
  <c r="R526" i="17"/>
  <c r="Q526" i="17"/>
  <c r="O526" i="17" s="1"/>
  <c r="M526" i="17"/>
  <c r="U526" i="17"/>
  <c r="S525" i="17"/>
  <c r="R525" i="17"/>
  <c r="Q525" i="17"/>
  <c r="O525" i="17" s="1"/>
  <c r="M525" i="17"/>
  <c r="S524" i="17"/>
  <c r="R524" i="17"/>
  <c r="Q524" i="17"/>
  <c r="N524" i="17" s="1"/>
  <c r="M524" i="17"/>
  <c r="V524" i="17"/>
  <c r="S523" i="17"/>
  <c r="R523" i="17"/>
  <c r="Q523" i="17"/>
  <c r="P523" i="17" s="1"/>
  <c r="M523" i="17"/>
  <c r="T523" i="17"/>
  <c r="S522" i="17"/>
  <c r="R522" i="17"/>
  <c r="Q522" i="17"/>
  <c r="P522" i="17" s="1"/>
  <c r="M522" i="17"/>
  <c r="W522" i="17"/>
  <c r="S521" i="17"/>
  <c r="R521" i="17"/>
  <c r="Q521" i="17"/>
  <c r="M521" i="17"/>
  <c r="T521" i="17"/>
  <c r="S520" i="17"/>
  <c r="R520" i="17"/>
  <c r="Q520" i="17"/>
  <c r="M520" i="17"/>
  <c r="X520" i="17"/>
  <c r="S519" i="17"/>
  <c r="R519" i="17"/>
  <c r="Q519" i="17"/>
  <c r="P519" i="17" s="1"/>
  <c r="M519" i="17"/>
  <c r="W519" i="17"/>
  <c r="S518" i="17"/>
  <c r="R518" i="17"/>
  <c r="Q518" i="17"/>
  <c r="M518" i="17"/>
  <c r="T518" i="17"/>
  <c r="S517" i="17"/>
  <c r="R517" i="17"/>
  <c r="Q517" i="17"/>
  <c r="O517" i="17" s="1"/>
  <c r="M517" i="17"/>
  <c r="W517" i="17"/>
  <c r="S516" i="17"/>
  <c r="R516" i="17"/>
  <c r="Q516" i="17"/>
  <c r="N516" i="17" s="1"/>
  <c r="M516" i="17"/>
  <c r="V516" i="17"/>
  <c r="S515" i="17"/>
  <c r="R515" i="17"/>
  <c r="Q515" i="17"/>
  <c r="P515" i="17" s="1"/>
  <c r="M515" i="17"/>
  <c r="S514" i="17"/>
  <c r="R514" i="17"/>
  <c r="Q514" i="17"/>
  <c r="P514" i="17" s="1"/>
  <c r="M514" i="17"/>
  <c r="T514" i="17"/>
  <c r="S513" i="17"/>
  <c r="R513" i="17"/>
  <c r="Q513" i="17"/>
  <c r="O513" i="17" s="1"/>
  <c r="M513" i="17"/>
  <c r="T513" i="17"/>
  <c r="S512" i="17"/>
  <c r="R512" i="17"/>
  <c r="Q512" i="17"/>
  <c r="N512" i="17" s="1"/>
  <c r="M512" i="17"/>
  <c r="S511" i="17"/>
  <c r="R511" i="17"/>
  <c r="Q511" i="17"/>
  <c r="O511" i="17" s="1"/>
  <c r="M511" i="17"/>
  <c r="W511" i="17"/>
  <c r="S510" i="17"/>
  <c r="R510" i="17"/>
  <c r="Q510" i="17"/>
  <c r="O510" i="17" s="1"/>
  <c r="M510" i="17"/>
  <c r="X510" i="17"/>
  <c r="S509" i="17"/>
  <c r="R509" i="17"/>
  <c r="Q509" i="17"/>
  <c r="N509" i="17" s="1"/>
  <c r="M509" i="17"/>
  <c r="W509" i="17"/>
  <c r="S508" i="17"/>
  <c r="R508" i="17"/>
  <c r="Q508" i="17"/>
  <c r="N508" i="17" s="1"/>
  <c r="M508" i="17"/>
  <c r="V508" i="17"/>
  <c r="S507" i="17"/>
  <c r="R507" i="17"/>
  <c r="Q507" i="17"/>
  <c r="P507" i="17" s="1"/>
  <c r="M507" i="17"/>
  <c r="T507" i="17"/>
  <c r="S506" i="17"/>
  <c r="R506" i="17"/>
  <c r="Q506" i="17"/>
  <c r="O506" i="17" s="1"/>
  <c r="M506" i="17"/>
  <c r="W506" i="17"/>
  <c r="S505" i="17"/>
  <c r="R505" i="17"/>
  <c r="Q505" i="17"/>
  <c r="O505" i="17" s="1"/>
  <c r="M505" i="17"/>
  <c r="T505" i="17"/>
  <c r="S504" i="17"/>
  <c r="R504" i="17"/>
  <c r="Q504" i="17"/>
  <c r="M504" i="17"/>
  <c r="V504" i="17"/>
  <c r="S503" i="17"/>
  <c r="R503" i="17"/>
  <c r="Q503" i="17"/>
  <c r="O503" i="17" s="1"/>
  <c r="M503" i="17"/>
  <c r="W503" i="17"/>
  <c r="S502" i="17"/>
  <c r="R502" i="17"/>
  <c r="Q502" i="17"/>
  <c r="O502" i="17" s="1"/>
  <c r="M502" i="17"/>
  <c r="T502" i="17"/>
  <c r="S501" i="17"/>
  <c r="R501" i="17"/>
  <c r="Q501" i="17"/>
  <c r="P501" i="17" s="1"/>
  <c r="M501" i="17"/>
  <c r="W501" i="17"/>
  <c r="S500" i="17"/>
  <c r="R500" i="17"/>
  <c r="Q500" i="17"/>
  <c r="N500" i="17" s="1"/>
  <c r="M500" i="17"/>
  <c r="V500" i="17"/>
  <c r="S499" i="17"/>
  <c r="R499" i="17"/>
  <c r="Q499" i="17"/>
  <c r="P499" i="17" s="1"/>
  <c r="M499" i="17"/>
  <c r="T499" i="17"/>
  <c r="S498" i="17"/>
  <c r="R498" i="17"/>
  <c r="Q498" i="17"/>
  <c r="O498" i="17" s="1"/>
  <c r="M498" i="17"/>
  <c r="S497" i="17"/>
  <c r="R497" i="17"/>
  <c r="Q497" i="17"/>
  <c r="O497" i="17" s="1"/>
  <c r="M497" i="17"/>
  <c r="U497" i="17"/>
  <c r="S496" i="17"/>
  <c r="R496" i="17"/>
  <c r="Q496" i="17"/>
  <c r="M496" i="17"/>
  <c r="U496" i="17"/>
  <c r="S495" i="17"/>
  <c r="R495" i="17"/>
  <c r="Q495" i="17"/>
  <c r="O495" i="17" s="1"/>
  <c r="M495" i="17"/>
  <c r="W495" i="17"/>
  <c r="S494" i="17"/>
  <c r="R494" i="17"/>
  <c r="Q494" i="17"/>
  <c r="N494" i="17" s="1"/>
  <c r="M494" i="17"/>
  <c r="T494" i="17"/>
  <c r="S493" i="17"/>
  <c r="R493" i="17"/>
  <c r="Q493" i="17"/>
  <c r="N493" i="17" s="1"/>
  <c r="M493" i="17"/>
  <c r="T493" i="17"/>
  <c r="S492" i="17"/>
  <c r="R492" i="17"/>
  <c r="Q492" i="17"/>
  <c r="N492" i="17" s="1"/>
  <c r="M492" i="17"/>
  <c r="V492" i="17"/>
  <c r="S491" i="17"/>
  <c r="R491" i="17"/>
  <c r="Q491" i="17"/>
  <c r="P491" i="17" s="1"/>
  <c r="M491" i="17"/>
  <c r="U491" i="17"/>
  <c r="S490" i="17"/>
  <c r="R490" i="17"/>
  <c r="Q490" i="17"/>
  <c r="O490" i="17" s="1"/>
  <c r="M490" i="17"/>
  <c r="S489" i="17"/>
  <c r="R489" i="17"/>
  <c r="Q489" i="17"/>
  <c r="N489" i="17" s="1"/>
  <c r="M489" i="17"/>
  <c r="U489" i="17"/>
  <c r="S488" i="17"/>
  <c r="R488" i="17"/>
  <c r="Q488" i="17"/>
  <c r="N488" i="17" s="1"/>
  <c r="M488" i="17"/>
  <c r="T488" i="17"/>
  <c r="S487" i="17"/>
  <c r="R487" i="17"/>
  <c r="Q487" i="17"/>
  <c r="M487" i="17"/>
  <c r="T487" i="17"/>
  <c r="S486" i="17"/>
  <c r="R486" i="17"/>
  <c r="Q486" i="17"/>
  <c r="P486" i="17" s="1"/>
  <c r="M486" i="17"/>
  <c r="T486" i="17"/>
  <c r="S485" i="17"/>
  <c r="R485" i="17"/>
  <c r="Q485" i="17"/>
  <c r="N485" i="17" s="1"/>
  <c r="M485" i="17"/>
  <c r="T485" i="17"/>
  <c r="S484" i="17"/>
  <c r="R484" i="17"/>
  <c r="Q484" i="17"/>
  <c r="N484" i="17" s="1"/>
  <c r="M484" i="17"/>
  <c r="V484" i="17"/>
  <c r="S483" i="17"/>
  <c r="R483" i="17"/>
  <c r="Q483" i="17"/>
  <c r="P483" i="17" s="1"/>
  <c r="M483" i="17"/>
  <c r="X483" i="17"/>
  <c r="S482" i="17"/>
  <c r="R482" i="17"/>
  <c r="Q482" i="17"/>
  <c r="M482" i="17"/>
  <c r="T482" i="17"/>
  <c r="S481" i="17"/>
  <c r="R481" i="17"/>
  <c r="Q481" i="17"/>
  <c r="P481" i="17" s="1"/>
  <c r="M481" i="17"/>
  <c r="V481" i="17"/>
  <c r="S480" i="17"/>
  <c r="R480" i="17"/>
  <c r="Q480" i="17"/>
  <c r="M480" i="17"/>
  <c r="W480" i="17"/>
  <c r="S479" i="17"/>
  <c r="R479" i="17"/>
  <c r="Q479" i="17"/>
  <c r="O479" i="17" s="1"/>
  <c r="M479" i="17"/>
  <c r="T479" i="17"/>
  <c r="S478" i="17"/>
  <c r="R478" i="17"/>
  <c r="Q478" i="17"/>
  <c r="O478" i="17" s="1"/>
  <c r="M478" i="17"/>
  <c r="T478" i="17"/>
  <c r="S477" i="17"/>
  <c r="R477" i="17"/>
  <c r="Q477" i="17"/>
  <c r="N477" i="17" s="1"/>
  <c r="M477" i="17"/>
  <c r="V477" i="17"/>
  <c r="S476" i="17"/>
  <c r="R476" i="17"/>
  <c r="Q476" i="17"/>
  <c r="N476" i="17" s="1"/>
  <c r="M476" i="17"/>
  <c r="S475" i="17"/>
  <c r="R475" i="17"/>
  <c r="Q475" i="17"/>
  <c r="O475" i="17" s="1"/>
  <c r="M475" i="17"/>
  <c r="X475" i="17"/>
  <c r="S474" i="17"/>
  <c r="R474" i="17"/>
  <c r="Q474" i="17"/>
  <c r="P474" i="17" s="1"/>
  <c r="M474" i="17"/>
  <c r="T474" i="17"/>
  <c r="S473" i="17"/>
  <c r="R473" i="17"/>
  <c r="Q473" i="17"/>
  <c r="O473" i="17" s="1"/>
  <c r="M473" i="17"/>
  <c r="U473" i="17"/>
  <c r="S472" i="17"/>
  <c r="R472" i="17"/>
  <c r="Q472" i="17"/>
  <c r="M472" i="17"/>
  <c r="W472" i="17"/>
  <c r="S471" i="17"/>
  <c r="R471" i="17"/>
  <c r="Q471" i="17"/>
  <c r="O471" i="17" s="1"/>
  <c r="M471" i="17"/>
  <c r="S470" i="17"/>
  <c r="R470" i="17"/>
  <c r="Q470" i="17"/>
  <c r="M470" i="17"/>
  <c r="V470" i="17"/>
  <c r="S469" i="17"/>
  <c r="R469" i="17"/>
  <c r="Q469" i="17"/>
  <c r="N469" i="17" s="1"/>
  <c r="M469" i="17"/>
  <c r="V469" i="17"/>
  <c r="S468" i="17"/>
  <c r="R468" i="17"/>
  <c r="Q468" i="17"/>
  <c r="N468" i="17" s="1"/>
  <c r="M468" i="17"/>
  <c r="S467" i="17"/>
  <c r="R467" i="17"/>
  <c r="Q467" i="17"/>
  <c r="O467" i="17" s="1"/>
  <c r="M467" i="17"/>
  <c r="T467" i="17"/>
  <c r="S466" i="17"/>
  <c r="R466" i="17"/>
  <c r="Q466" i="17"/>
  <c r="P466" i="17" s="1"/>
  <c r="M466" i="17"/>
  <c r="T466" i="17"/>
  <c r="S465" i="17"/>
  <c r="R465" i="17"/>
  <c r="Q465" i="17"/>
  <c r="P465" i="17" s="1"/>
  <c r="M465" i="17"/>
  <c r="U465" i="17"/>
  <c r="S464" i="17"/>
  <c r="R464" i="17"/>
  <c r="Q464" i="17"/>
  <c r="P464" i="17" s="1"/>
  <c r="M464" i="17"/>
  <c r="S463" i="17"/>
  <c r="R463" i="17"/>
  <c r="Q463" i="17"/>
  <c r="O463" i="17" s="1"/>
  <c r="M463" i="17"/>
  <c r="S462" i="17"/>
  <c r="R462" i="17"/>
  <c r="Q462" i="17"/>
  <c r="N462" i="17" s="1"/>
  <c r="M462" i="17"/>
  <c r="T462" i="17"/>
  <c r="S461" i="17"/>
  <c r="R461" i="17"/>
  <c r="Q461" i="17"/>
  <c r="N461" i="17" s="1"/>
  <c r="M461" i="17"/>
  <c r="U461" i="17"/>
  <c r="S460" i="17"/>
  <c r="R460" i="17"/>
  <c r="Q460" i="17"/>
  <c r="N460" i="17" s="1"/>
  <c r="M460" i="17"/>
  <c r="X460" i="17"/>
  <c r="S459" i="17"/>
  <c r="R459" i="17"/>
  <c r="Q459" i="17"/>
  <c r="O459" i="17" s="1"/>
  <c r="M459" i="17"/>
  <c r="V459" i="17"/>
  <c r="S458" i="17"/>
  <c r="R458" i="17"/>
  <c r="Q458" i="17"/>
  <c r="P458" i="17" s="1"/>
  <c r="M458" i="17"/>
  <c r="T458" i="17"/>
  <c r="S457" i="17"/>
  <c r="R457" i="17"/>
  <c r="Q457" i="17"/>
  <c r="M457" i="17"/>
  <c r="U457" i="17"/>
  <c r="S456" i="17"/>
  <c r="R456" i="17"/>
  <c r="Q456" i="17"/>
  <c r="N456" i="17" s="1"/>
  <c r="M456" i="17"/>
  <c r="W456" i="17"/>
  <c r="S455" i="17"/>
  <c r="R455" i="17"/>
  <c r="Q455" i="17"/>
  <c r="N455" i="17" s="1"/>
  <c r="M455" i="17"/>
  <c r="W455" i="17"/>
  <c r="S454" i="17"/>
  <c r="R454" i="17"/>
  <c r="Q454" i="17"/>
  <c r="O454" i="17" s="1"/>
  <c r="M454" i="17"/>
  <c r="T454" i="17"/>
  <c r="S453" i="17"/>
  <c r="R453" i="17"/>
  <c r="Q453" i="17"/>
  <c r="M453" i="17"/>
  <c r="T453" i="17"/>
  <c r="T452" i="17"/>
  <c r="S452" i="17"/>
  <c r="R452" i="17"/>
  <c r="Q452" i="17"/>
  <c r="N452" i="17" s="1"/>
  <c r="M452" i="17"/>
  <c r="V452" i="17"/>
  <c r="S451" i="17"/>
  <c r="R451" i="17"/>
  <c r="Q451" i="17"/>
  <c r="N451" i="17" s="1"/>
  <c r="M451" i="17"/>
  <c r="X451" i="17"/>
  <c r="S450" i="17"/>
  <c r="R450" i="17"/>
  <c r="Q450" i="17"/>
  <c r="M450" i="17"/>
  <c r="V450" i="17"/>
  <c r="S449" i="17"/>
  <c r="R449" i="17"/>
  <c r="Q449" i="17"/>
  <c r="O449" i="17" s="1"/>
  <c r="M449" i="17"/>
  <c r="S448" i="17"/>
  <c r="R448" i="17"/>
  <c r="Q448" i="17"/>
  <c r="O448" i="17" s="1"/>
  <c r="M448" i="17"/>
  <c r="U448" i="17"/>
  <c r="S447" i="17"/>
  <c r="R447" i="17"/>
  <c r="Q447" i="17"/>
  <c r="O447" i="17" s="1"/>
  <c r="M447" i="17"/>
  <c r="T447" i="17"/>
  <c r="S446" i="17"/>
  <c r="R446" i="17"/>
  <c r="Q446" i="17"/>
  <c r="P446" i="17" s="1"/>
  <c r="M446" i="17"/>
  <c r="T446" i="17"/>
  <c r="S445" i="17"/>
  <c r="R445" i="17"/>
  <c r="Q445" i="17"/>
  <c r="O445" i="17" s="1"/>
  <c r="M445" i="17"/>
  <c r="V445" i="17"/>
  <c r="S444" i="17"/>
  <c r="R444" i="17"/>
  <c r="Q444" i="17"/>
  <c r="M444" i="17"/>
  <c r="S443" i="17"/>
  <c r="R443" i="17"/>
  <c r="Q443" i="17"/>
  <c r="P443" i="17" s="1"/>
  <c r="M443" i="17"/>
  <c r="T443" i="17"/>
  <c r="S442" i="17"/>
  <c r="R442" i="17"/>
  <c r="Q442" i="17"/>
  <c r="N442" i="17" s="1"/>
  <c r="M442" i="17"/>
  <c r="S441" i="17"/>
  <c r="R441" i="17"/>
  <c r="Q441" i="17"/>
  <c r="N441" i="17" s="1"/>
  <c r="M441" i="17"/>
  <c r="S440" i="17"/>
  <c r="R440" i="17"/>
  <c r="Q440" i="17"/>
  <c r="P440" i="17" s="1"/>
  <c r="M440" i="17"/>
  <c r="U440" i="17"/>
  <c r="S439" i="17"/>
  <c r="R439" i="17"/>
  <c r="Q439" i="17"/>
  <c r="O439" i="17" s="1"/>
  <c r="M439" i="17"/>
  <c r="X439" i="17"/>
  <c r="S438" i="17"/>
  <c r="R438" i="17"/>
  <c r="Q438" i="17"/>
  <c r="N438" i="17" s="1"/>
  <c r="M438" i="17"/>
  <c r="W438" i="17"/>
  <c r="S437" i="17"/>
  <c r="R437" i="17"/>
  <c r="Q437" i="17"/>
  <c r="M437" i="17"/>
  <c r="T437" i="17"/>
  <c r="S436" i="17"/>
  <c r="R436" i="17"/>
  <c r="Q436" i="17"/>
  <c r="O436" i="17" s="1"/>
  <c r="M436" i="17"/>
  <c r="S435" i="17"/>
  <c r="R435" i="17"/>
  <c r="Q435" i="17"/>
  <c r="P435" i="17" s="1"/>
  <c r="M435" i="17"/>
  <c r="S434" i="17"/>
  <c r="R434" i="17"/>
  <c r="Q434" i="17"/>
  <c r="N434" i="17" s="1"/>
  <c r="M434" i="17"/>
  <c r="T434" i="17"/>
  <c r="S433" i="17"/>
  <c r="R433" i="17"/>
  <c r="Q433" i="17"/>
  <c r="N433" i="17" s="1"/>
  <c r="M433" i="17"/>
  <c r="V433" i="17"/>
  <c r="S432" i="17"/>
  <c r="R432" i="17"/>
  <c r="Q432" i="17"/>
  <c r="P432" i="17" s="1"/>
  <c r="M432" i="17"/>
  <c r="T432" i="17"/>
  <c r="S431" i="17"/>
  <c r="R431" i="17"/>
  <c r="Q431" i="17"/>
  <c r="P431" i="17" s="1"/>
  <c r="M431" i="17"/>
  <c r="T431" i="17"/>
  <c r="S430" i="17"/>
  <c r="R430" i="17"/>
  <c r="Q430" i="17"/>
  <c r="P430" i="17" s="1"/>
  <c r="M430" i="17"/>
  <c r="W430" i="17"/>
  <c r="S429" i="17"/>
  <c r="R429" i="17"/>
  <c r="Q429" i="17"/>
  <c r="P429" i="17" s="1"/>
  <c r="M429" i="17"/>
  <c r="T429" i="17"/>
  <c r="V428" i="17"/>
  <c r="S428" i="17"/>
  <c r="R428" i="17"/>
  <c r="Q428" i="17"/>
  <c r="M428" i="17"/>
  <c r="W428" i="17"/>
  <c r="S427" i="17"/>
  <c r="R427" i="17"/>
  <c r="Q427" i="17"/>
  <c r="P427" i="17" s="1"/>
  <c r="M427" i="17"/>
  <c r="T427" i="17"/>
  <c r="S426" i="17"/>
  <c r="R426" i="17"/>
  <c r="Q426" i="17"/>
  <c r="N426" i="17" s="1"/>
  <c r="M426" i="17"/>
  <c r="V426" i="17"/>
  <c r="S425" i="17"/>
  <c r="R425" i="17"/>
  <c r="Q425" i="17"/>
  <c r="M425" i="17"/>
  <c r="V425" i="17"/>
  <c r="S424" i="17"/>
  <c r="R424" i="17"/>
  <c r="Q424" i="17"/>
  <c r="P424" i="17" s="1"/>
  <c r="M424" i="17"/>
  <c r="T424" i="17"/>
  <c r="S423" i="17"/>
  <c r="R423" i="17"/>
  <c r="Q423" i="17"/>
  <c r="N423" i="17" s="1"/>
  <c r="M423" i="17"/>
  <c r="T422" i="17"/>
  <c r="S422" i="17"/>
  <c r="R422" i="17"/>
  <c r="Q422" i="17"/>
  <c r="M422" i="17"/>
  <c r="X422" i="17"/>
  <c r="S421" i="17"/>
  <c r="R421" i="17"/>
  <c r="Q421" i="17"/>
  <c r="M421" i="17"/>
  <c r="W421" i="17"/>
  <c r="S420" i="17"/>
  <c r="R420" i="17"/>
  <c r="Q420" i="17"/>
  <c r="P420" i="17" s="1"/>
  <c r="M420" i="17"/>
  <c r="T420" i="17"/>
  <c r="S419" i="17"/>
  <c r="R419" i="17"/>
  <c r="Q419" i="17"/>
  <c r="O419" i="17" s="1"/>
  <c r="M419" i="17"/>
  <c r="W419" i="17"/>
  <c r="X418" i="17"/>
  <c r="S418" i="17"/>
  <c r="R418" i="17"/>
  <c r="Q418" i="17"/>
  <c r="O418" i="17" s="1"/>
  <c r="M418" i="17"/>
  <c r="T418" i="17"/>
  <c r="S417" i="17"/>
  <c r="R417" i="17"/>
  <c r="Q417" i="17"/>
  <c r="M417" i="17"/>
  <c r="S416" i="17"/>
  <c r="R416" i="17"/>
  <c r="Q416" i="17"/>
  <c r="N416" i="17" s="1"/>
  <c r="M416" i="17"/>
  <c r="V416" i="17"/>
  <c r="S415" i="17"/>
  <c r="R415" i="17"/>
  <c r="Q415" i="17"/>
  <c r="N415" i="17" s="1"/>
  <c r="M415" i="17"/>
  <c r="U415" i="17"/>
  <c r="S414" i="17"/>
  <c r="R414" i="17"/>
  <c r="Q414" i="17"/>
  <c r="P414" i="17" s="1"/>
  <c r="M414" i="17"/>
  <c r="X414" i="17"/>
  <c r="S413" i="17"/>
  <c r="R413" i="17"/>
  <c r="Q413" i="17"/>
  <c r="P413" i="17" s="1"/>
  <c r="M413" i="17"/>
  <c r="T413" i="17"/>
  <c r="S412" i="17"/>
  <c r="R412" i="17"/>
  <c r="Q412" i="17"/>
  <c r="M412" i="17"/>
  <c r="S411" i="17"/>
  <c r="R411" i="17"/>
  <c r="Q411" i="17"/>
  <c r="M411" i="17"/>
  <c r="T411" i="17"/>
  <c r="V410" i="17"/>
  <c r="S410" i="17"/>
  <c r="R410" i="17"/>
  <c r="Q410" i="17"/>
  <c r="P410" i="17" s="1"/>
  <c r="M410" i="17"/>
  <c r="U410" i="17"/>
  <c r="S409" i="17"/>
  <c r="R409" i="17"/>
  <c r="Q409" i="17"/>
  <c r="P409" i="17" s="1"/>
  <c r="M409" i="17"/>
  <c r="W409" i="17"/>
  <c r="S408" i="17"/>
  <c r="R408" i="17"/>
  <c r="Q408" i="17"/>
  <c r="P408" i="17" s="1"/>
  <c r="M408" i="17"/>
  <c r="X407" i="17"/>
  <c r="S407" i="17"/>
  <c r="R407" i="17"/>
  <c r="Q407" i="17"/>
  <c r="M407" i="17"/>
  <c r="S406" i="17"/>
  <c r="R406" i="17"/>
  <c r="Q406" i="17"/>
  <c r="P406" i="17" s="1"/>
  <c r="M406" i="17"/>
  <c r="S405" i="17"/>
  <c r="R405" i="17"/>
  <c r="Q405" i="17"/>
  <c r="M405" i="17"/>
  <c r="W405" i="17"/>
  <c r="S404" i="17"/>
  <c r="R404" i="17"/>
  <c r="Q404" i="17"/>
  <c r="N404" i="17" s="1"/>
  <c r="M404" i="17"/>
  <c r="X404" i="17"/>
  <c r="X403" i="17"/>
  <c r="T403" i="17"/>
  <c r="S403" i="17"/>
  <c r="R403" i="17"/>
  <c r="Q403" i="17"/>
  <c r="M403" i="17"/>
  <c r="W403" i="17"/>
  <c r="S402" i="17"/>
  <c r="R402" i="17"/>
  <c r="Q402" i="17"/>
  <c r="P402" i="17" s="1"/>
  <c r="M402" i="17"/>
  <c r="T402" i="17"/>
  <c r="S401" i="17"/>
  <c r="R401" i="17"/>
  <c r="Q401" i="17"/>
  <c r="N401" i="17" s="1"/>
  <c r="M401" i="17"/>
  <c r="S400" i="17"/>
  <c r="R400" i="17"/>
  <c r="Q400" i="17"/>
  <c r="O400" i="17" s="1"/>
  <c r="M400" i="17"/>
  <c r="U400" i="17"/>
  <c r="S399" i="17"/>
  <c r="R399" i="17"/>
  <c r="Q399" i="17"/>
  <c r="M399" i="17"/>
  <c r="V399" i="17"/>
  <c r="S398" i="17"/>
  <c r="R398" i="17"/>
  <c r="Q398" i="17"/>
  <c r="P398" i="17" s="1"/>
  <c r="M398" i="17"/>
  <c r="U398" i="17"/>
  <c r="S397" i="17"/>
  <c r="R397" i="17"/>
  <c r="Q397" i="17"/>
  <c r="P397" i="17" s="1"/>
  <c r="M397" i="17"/>
  <c r="W397" i="17"/>
  <c r="S396" i="17"/>
  <c r="R396" i="17"/>
  <c r="Q396" i="17"/>
  <c r="O396" i="17" s="1"/>
  <c r="M396" i="17"/>
  <c r="X396" i="17"/>
  <c r="X395" i="17"/>
  <c r="S395" i="17"/>
  <c r="R395" i="17"/>
  <c r="Q395" i="17"/>
  <c r="M395" i="17"/>
  <c r="S394" i="17"/>
  <c r="R394" i="17"/>
  <c r="Q394" i="17"/>
  <c r="P394" i="17" s="1"/>
  <c r="M394" i="17"/>
  <c r="S393" i="17"/>
  <c r="R393" i="17"/>
  <c r="Q393" i="17"/>
  <c r="M393" i="17"/>
  <c r="S392" i="17"/>
  <c r="R392" i="17"/>
  <c r="Q392" i="17"/>
  <c r="O392" i="17" s="1"/>
  <c r="M392" i="17"/>
  <c r="W392" i="17"/>
  <c r="S391" i="17"/>
  <c r="R391" i="17"/>
  <c r="Q391" i="17"/>
  <c r="O391" i="17" s="1"/>
  <c r="M391" i="17"/>
  <c r="S390" i="17"/>
  <c r="R390" i="17"/>
  <c r="Q390" i="17"/>
  <c r="P390" i="17" s="1"/>
  <c r="M390" i="17"/>
  <c r="U390" i="17"/>
  <c r="S389" i="17"/>
  <c r="R389" i="17"/>
  <c r="Q389" i="17"/>
  <c r="O389" i="17" s="1"/>
  <c r="M389" i="17"/>
  <c r="X389" i="17"/>
  <c r="S388" i="17"/>
  <c r="R388" i="17"/>
  <c r="Q388" i="17"/>
  <c r="M388" i="17"/>
  <c r="S387" i="17"/>
  <c r="R387" i="17"/>
  <c r="Q387" i="17"/>
  <c r="P387" i="17" s="1"/>
  <c r="M387" i="17"/>
  <c r="S386" i="17"/>
  <c r="R386" i="17"/>
  <c r="Q386" i="17"/>
  <c r="P386" i="17" s="1"/>
  <c r="M386" i="17"/>
  <c r="T386" i="17"/>
  <c r="V385" i="17"/>
  <c r="S385" i="17"/>
  <c r="R385" i="17"/>
  <c r="Q385" i="17"/>
  <c r="M385" i="17"/>
  <c r="U385" i="17"/>
  <c r="S384" i="17"/>
  <c r="R384" i="17"/>
  <c r="Q384" i="17"/>
  <c r="N384" i="17" s="1"/>
  <c r="M384" i="17"/>
  <c r="W384" i="17"/>
  <c r="S383" i="17"/>
  <c r="R383" i="17"/>
  <c r="Q383" i="17"/>
  <c r="O383" i="17" s="1"/>
  <c r="M383" i="17"/>
  <c r="U383" i="17"/>
  <c r="S382" i="17"/>
  <c r="R382" i="17"/>
  <c r="Q382" i="17"/>
  <c r="O382" i="17" s="1"/>
  <c r="M382" i="17"/>
  <c r="S381" i="17"/>
  <c r="R381" i="17"/>
  <c r="Q381" i="17"/>
  <c r="O381" i="17" s="1"/>
  <c r="M381" i="17"/>
  <c r="S380" i="17"/>
  <c r="R380" i="17"/>
  <c r="Q380" i="17"/>
  <c r="N380" i="17" s="1"/>
  <c r="M380" i="17"/>
  <c r="S379" i="17"/>
  <c r="R379" i="17"/>
  <c r="Q379" i="17"/>
  <c r="P379" i="17" s="1"/>
  <c r="M379" i="17"/>
  <c r="T379" i="17"/>
  <c r="S378" i="17"/>
  <c r="R378" i="17"/>
  <c r="Q378" i="17"/>
  <c r="P378" i="17" s="1"/>
  <c r="M378" i="17"/>
  <c r="S377" i="17"/>
  <c r="R377" i="17"/>
  <c r="Q377" i="17"/>
  <c r="N377" i="17" s="1"/>
  <c r="M377" i="17"/>
  <c r="T377" i="17"/>
  <c r="S376" i="17"/>
  <c r="R376" i="17"/>
  <c r="Q376" i="17"/>
  <c r="N376" i="17" s="1"/>
  <c r="M376" i="17"/>
  <c r="T376" i="17"/>
  <c r="S375" i="17"/>
  <c r="R375" i="17"/>
  <c r="Q375" i="17"/>
  <c r="O375" i="17" s="1"/>
  <c r="M375" i="17"/>
  <c r="W375" i="17"/>
  <c r="S374" i="17"/>
  <c r="R374" i="17"/>
  <c r="Q374" i="17"/>
  <c r="N374" i="17" s="1"/>
  <c r="M374" i="17"/>
  <c r="T374" i="17"/>
  <c r="S373" i="17"/>
  <c r="R373" i="17"/>
  <c r="Q373" i="17"/>
  <c r="M373" i="17"/>
  <c r="X373" i="17"/>
  <c r="S372" i="17"/>
  <c r="R372" i="17"/>
  <c r="Q372" i="17"/>
  <c r="N372" i="17" s="1"/>
  <c r="M372" i="17"/>
  <c r="V372" i="17"/>
  <c r="S371" i="17"/>
  <c r="R371" i="17"/>
  <c r="Q371" i="17"/>
  <c r="M371" i="17"/>
  <c r="T371" i="17"/>
  <c r="S370" i="17"/>
  <c r="R370" i="17"/>
  <c r="Q370" i="17"/>
  <c r="M370" i="17"/>
  <c r="T370" i="17"/>
  <c r="S369" i="17"/>
  <c r="R369" i="17"/>
  <c r="Q369" i="17"/>
  <c r="N369" i="17" s="1"/>
  <c r="M369" i="17"/>
  <c r="S368" i="17"/>
  <c r="R368" i="17"/>
  <c r="Q368" i="17"/>
  <c r="P368" i="17" s="1"/>
  <c r="M368" i="17"/>
  <c r="S367" i="17"/>
  <c r="R367" i="17"/>
  <c r="Q367" i="17"/>
  <c r="O367" i="17" s="1"/>
  <c r="M367" i="17"/>
  <c r="W367" i="17"/>
  <c r="S366" i="17"/>
  <c r="R366" i="17"/>
  <c r="Q366" i="17"/>
  <c r="N366" i="17" s="1"/>
  <c r="M366" i="17"/>
  <c r="T366" i="17"/>
  <c r="S365" i="17"/>
  <c r="R365" i="17"/>
  <c r="Q365" i="17"/>
  <c r="P365" i="17" s="1"/>
  <c r="M365" i="17"/>
  <c r="X365" i="17"/>
  <c r="S364" i="17"/>
  <c r="R364" i="17"/>
  <c r="Q364" i="17"/>
  <c r="N364" i="17" s="1"/>
  <c r="M364" i="17"/>
  <c r="V364" i="17"/>
  <c r="S363" i="17"/>
  <c r="R363" i="17"/>
  <c r="Q363" i="17"/>
  <c r="P363" i="17" s="1"/>
  <c r="M363" i="17"/>
  <c r="S362" i="17"/>
  <c r="R362" i="17"/>
  <c r="Q362" i="17"/>
  <c r="M362" i="17"/>
  <c r="S361" i="17"/>
  <c r="R361" i="17"/>
  <c r="Q361" i="17"/>
  <c r="N361" i="17" s="1"/>
  <c r="M361" i="17"/>
  <c r="T361" i="17"/>
  <c r="S360" i="17"/>
  <c r="R360" i="17"/>
  <c r="Q360" i="17"/>
  <c r="P360" i="17" s="1"/>
  <c r="M360" i="17"/>
  <c r="S359" i="17"/>
  <c r="R359" i="17"/>
  <c r="Q359" i="17"/>
  <c r="O359" i="17" s="1"/>
  <c r="M359" i="17"/>
  <c r="W359" i="17"/>
  <c r="S358" i="17"/>
  <c r="R358" i="17"/>
  <c r="Q358" i="17"/>
  <c r="N358" i="17" s="1"/>
  <c r="M358" i="17"/>
  <c r="T358" i="17"/>
  <c r="S357" i="17"/>
  <c r="R357" i="17"/>
  <c r="Q357" i="17"/>
  <c r="P357" i="17" s="1"/>
  <c r="M357" i="17"/>
  <c r="X357" i="17"/>
  <c r="S356" i="17"/>
  <c r="R356" i="17"/>
  <c r="Q356" i="17"/>
  <c r="N356" i="17" s="1"/>
  <c r="M356" i="17"/>
  <c r="V356" i="17"/>
  <c r="T355" i="17"/>
  <c r="S355" i="17"/>
  <c r="R355" i="17"/>
  <c r="Q355" i="17"/>
  <c r="N355" i="17" s="1"/>
  <c r="M355" i="17"/>
  <c r="S354" i="17"/>
  <c r="R354" i="17"/>
  <c r="Q354" i="17"/>
  <c r="M354" i="17"/>
  <c r="T354" i="17"/>
  <c r="X353" i="17"/>
  <c r="S353" i="17"/>
  <c r="R353" i="17"/>
  <c r="Q353" i="17"/>
  <c r="N353" i="17" s="1"/>
  <c r="M353" i="17"/>
  <c r="T353" i="17"/>
  <c r="S352" i="17"/>
  <c r="R352" i="17"/>
  <c r="Q352" i="17"/>
  <c r="P352" i="17" s="1"/>
  <c r="M352" i="17"/>
  <c r="X352" i="17"/>
  <c r="S351" i="17"/>
  <c r="R351" i="17"/>
  <c r="Q351" i="17"/>
  <c r="O351" i="17" s="1"/>
  <c r="M351" i="17"/>
  <c r="X351" i="17"/>
  <c r="S350" i="17"/>
  <c r="R350" i="17"/>
  <c r="Q350" i="17"/>
  <c r="O350" i="17" s="1"/>
  <c r="M350" i="17"/>
  <c r="T350" i="17"/>
  <c r="S349" i="17"/>
  <c r="R349" i="17"/>
  <c r="Q349" i="17"/>
  <c r="P349" i="17" s="1"/>
  <c r="M349" i="17"/>
  <c r="T349" i="17"/>
  <c r="S348" i="17"/>
  <c r="R348" i="17"/>
  <c r="Q348" i="17"/>
  <c r="O348" i="17" s="1"/>
  <c r="M348" i="17"/>
  <c r="V348" i="17"/>
  <c r="S347" i="17"/>
  <c r="R347" i="17"/>
  <c r="Q347" i="17"/>
  <c r="P347" i="17" s="1"/>
  <c r="M347" i="17"/>
  <c r="V347" i="17"/>
  <c r="S346" i="17"/>
  <c r="R346" i="17"/>
  <c r="Q346" i="17"/>
  <c r="M346" i="17"/>
  <c r="S345" i="17"/>
  <c r="R345" i="17"/>
  <c r="Q345" i="17"/>
  <c r="O345" i="17" s="1"/>
  <c r="M345" i="17"/>
  <c r="T345" i="17"/>
  <c r="S344" i="17"/>
  <c r="R344" i="17"/>
  <c r="Q344" i="17"/>
  <c r="P344" i="17" s="1"/>
  <c r="M344" i="17"/>
  <c r="T344" i="17"/>
  <c r="S343" i="17"/>
  <c r="R343" i="17"/>
  <c r="Q343" i="17"/>
  <c r="O343" i="17" s="1"/>
  <c r="M343" i="17"/>
  <c r="W343" i="17"/>
  <c r="S342" i="17"/>
  <c r="R342" i="17"/>
  <c r="Q342" i="17"/>
  <c r="M342" i="17"/>
  <c r="W342" i="17"/>
  <c r="S341" i="17"/>
  <c r="R341" i="17"/>
  <c r="Q341" i="17"/>
  <c r="P341" i="17" s="1"/>
  <c r="M341" i="17"/>
  <c r="T341" i="17"/>
  <c r="S340" i="17"/>
  <c r="R340" i="17"/>
  <c r="Q340" i="17"/>
  <c r="O340" i="17" s="1"/>
  <c r="M340" i="17"/>
  <c r="W340" i="17"/>
  <c r="W339" i="17"/>
  <c r="S339" i="17"/>
  <c r="R339" i="17"/>
  <c r="Q339" i="17"/>
  <c r="M339" i="17"/>
  <c r="T339" i="17"/>
  <c r="V338" i="17"/>
  <c r="S338" i="17"/>
  <c r="R338" i="17"/>
  <c r="Q338" i="17"/>
  <c r="N338" i="17" s="1"/>
  <c r="M338" i="17"/>
  <c r="T338" i="17"/>
  <c r="S337" i="17"/>
  <c r="R337" i="17"/>
  <c r="Q337" i="17"/>
  <c r="O337" i="17" s="1"/>
  <c r="M337" i="17"/>
  <c r="T337" i="17"/>
  <c r="S336" i="17"/>
  <c r="R336" i="17"/>
  <c r="Q336" i="17"/>
  <c r="P336" i="17" s="1"/>
  <c r="M336" i="17"/>
  <c r="S335" i="17"/>
  <c r="R335" i="17"/>
  <c r="Q335" i="17"/>
  <c r="O335" i="17" s="1"/>
  <c r="M335" i="17"/>
  <c r="W335" i="17"/>
  <c r="S334" i="17"/>
  <c r="R334" i="17"/>
  <c r="Q334" i="17"/>
  <c r="N334" i="17" s="1"/>
  <c r="M334" i="17"/>
  <c r="T334" i="17"/>
  <c r="S333" i="17"/>
  <c r="R333" i="17"/>
  <c r="Q333" i="17"/>
  <c r="P333" i="17" s="1"/>
  <c r="M333" i="17"/>
  <c r="U333" i="17"/>
  <c r="S332" i="17"/>
  <c r="R332" i="17"/>
  <c r="Q332" i="17"/>
  <c r="O332" i="17" s="1"/>
  <c r="M332" i="17"/>
  <c r="S331" i="17"/>
  <c r="R331" i="17"/>
  <c r="Q331" i="17"/>
  <c r="P331" i="17" s="1"/>
  <c r="M331" i="17"/>
  <c r="T331" i="17"/>
  <c r="S330" i="17"/>
  <c r="R330" i="17"/>
  <c r="Q330" i="17"/>
  <c r="N330" i="17" s="1"/>
  <c r="M330" i="17"/>
  <c r="V330" i="17"/>
  <c r="S329" i="17"/>
  <c r="R329" i="17"/>
  <c r="Q329" i="17"/>
  <c r="O329" i="17" s="1"/>
  <c r="M329" i="17"/>
  <c r="T329" i="17"/>
  <c r="S328" i="17"/>
  <c r="R328" i="17"/>
  <c r="Q328" i="17"/>
  <c r="P328" i="17" s="1"/>
  <c r="M328" i="17"/>
  <c r="T328" i="17"/>
  <c r="S327" i="17"/>
  <c r="R327" i="17"/>
  <c r="Q327" i="17"/>
  <c r="O327" i="17" s="1"/>
  <c r="M327" i="17"/>
  <c r="W327" i="17"/>
  <c r="S326" i="17"/>
  <c r="R326" i="17"/>
  <c r="Q326" i="17"/>
  <c r="N326" i="17" s="1"/>
  <c r="M326" i="17"/>
  <c r="T326" i="17"/>
  <c r="S325" i="17"/>
  <c r="R325" i="17"/>
  <c r="Q325" i="17"/>
  <c r="P325" i="17" s="1"/>
  <c r="M325" i="17"/>
  <c r="T325" i="17"/>
  <c r="T324" i="17"/>
  <c r="S324" i="17"/>
  <c r="R324" i="17"/>
  <c r="Q324" i="17"/>
  <c r="O324" i="17" s="1"/>
  <c r="M324" i="17"/>
  <c r="W324" i="17"/>
  <c r="S323" i="17"/>
  <c r="R323" i="17"/>
  <c r="Q323" i="17"/>
  <c r="P323" i="17" s="1"/>
  <c r="M323" i="17"/>
  <c r="V323" i="17"/>
  <c r="S322" i="17"/>
  <c r="R322" i="17"/>
  <c r="Q322" i="17"/>
  <c r="N322" i="17" s="1"/>
  <c r="M322" i="17"/>
  <c r="S321" i="17"/>
  <c r="R321" i="17"/>
  <c r="Q321" i="17"/>
  <c r="O321" i="17" s="1"/>
  <c r="M321" i="17"/>
  <c r="T321" i="17"/>
  <c r="S320" i="17"/>
  <c r="R320" i="17"/>
  <c r="Q320" i="17"/>
  <c r="P320" i="17" s="1"/>
  <c r="M320" i="17"/>
  <c r="S319" i="17"/>
  <c r="R319" i="17"/>
  <c r="Q319" i="17"/>
  <c r="O319" i="17" s="1"/>
  <c r="M319" i="17"/>
  <c r="W319" i="17"/>
  <c r="S318" i="17"/>
  <c r="R318" i="17"/>
  <c r="Q318" i="17"/>
  <c r="N318" i="17" s="1"/>
  <c r="M318" i="17"/>
  <c r="T318" i="17"/>
  <c r="S317" i="17"/>
  <c r="R317" i="17"/>
  <c r="Q317" i="17"/>
  <c r="P317" i="17" s="1"/>
  <c r="M317" i="17"/>
  <c r="W317" i="17"/>
  <c r="S316" i="17"/>
  <c r="R316" i="17"/>
  <c r="Q316" i="17"/>
  <c r="O316" i="17" s="1"/>
  <c r="M316" i="17"/>
  <c r="W316" i="17"/>
  <c r="S315" i="17"/>
  <c r="R315" i="17"/>
  <c r="Q315" i="17"/>
  <c r="M315" i="17"/>
  <c r="T315" i="17"/>
  <c r="S314" i="17"/>
  <c r="R314" i="17"/>
  <c r="Q314" i="17"/>
  <c r="N314" i="17" s="1"/>
  <c r="M314" i="17"/>
  <c r="V314" i="17"/>
  <c r="S313" i="17"/>
  <c r="R313" i="17"/>
  <c r="Q313" i="17"/>
  <c r="O313" i="17" s="1"/>
  <c r="M313" i="17"/>
  <c r="T313" i="17"/>
  <c r="S312" i="17"/>
  <c r="R312" i="17"/>
  <c r="Q312" i="17"/>
  <c r="O312" i="17" s="1"/>
  <c r="M312" i="17"/>
  <c r="T312" i="17"/>
  <c r="S311" i="17"/>
  <c r="R311" i="17"/>
  <c r="Q311" i="17"/>
  <c r="O311" i="17" s="1"/>
  <c r="M311" i="17"/>
  <c r="U311" i="17"/>
  <c r="S310" i="17"/>
  <c r="R310" i="17"/>
  <c r="Q310" i="17"/>
  <c r="N310" i="17" s="1"/>
  <c r="M310" i="17"/>
  <c r="T310" i="17"/>
  <c r="S309" i="17"/>
  <c r="R309" i="17"/>
  <c r="Q309" i="17"/>
  <c r="P309" i="17" s="1"/>
  <c r="M309" i="17"/>
  <c r="X309" i="17"/>
  <c r="S308" i="17"/>
  <c r="R308" i="17"/>
  <c r="Q308" i="17"/>
  <c r="O308" i="17" s="1"/>
  <c r="M308" i="17"/>
  <c r="T308" i="17"/>
  <c r="S307" i="17"/>
  <c r="R307" i="17"/>
  <c r="Q307" i="17"/>
  <c r="P307" i="17" s="1"/>
  <c r="M307" i="17"/>
  <c r="T307" i="17"/>
  <c r="S306" i="17"/>
  <c r="R306" i="17"/>
  <c r="Q306" i="17"/>
  <c r="N306" i="17" s="1"/>
  <c r="M306" i="17"/>
  <c r="T306" i="17"/>
  <c r="S305" i="17"/>
  <c r="R305" i="17"/>
  <c r="Q305" i="17"/>
  <c r="M305" i="17"/>
  <c r="T305" i="17"/>
  <c r="W304" i="17"/>
  <c r="S304" i="17"/>
  <c r="R304" i="17"/>
  <c r="Q304" i="17"/>
  <c r="M304" i="17"/>
  <c r="T304" i="17"/>
  <c r="S303" i="17"/>
  <c r="R303" i="17"/>
  <c r="Q303" i="17"/>
  <c r="O303" i="17" s="1"/>
  <c r="M303" i="17"/>
  <c r="U303" i="17"/>
  <c r="S302" i="17"/>
  <c r="R302" i="17"/>
  <c r="Q302" i="17"/>
  <c r="M302" i="17"/>
  <c r="T302" i="17"/>
  <c r="S301" i="17"/>
  <c r="R301" i="17"/>
  <c r="Q301" i="17"/>
  <c r="P301" i="17" s="1"/>
  <c r="M301" i="17"/>
  <c r="X301" i="17"/>
  <c r="S300" i="17"/>
  <c r="R300" i="17"/>
  <c r="Q300" i="17"/>
  <c r="N300" i="17" s="1"/>
  <c r="M300" i="17"/>
  <c r="X300" i="17"/>
  <c r="S299" i="17"/>
  <c r="R299" i="17"/>
  <c r="Q299" i="17"/>
  <c r="P299" i="17" s="1"/>
  <c r="M299" i="17"/>
  <c r="X299" i="17"/>
  <c r="S298" i="17"/>
  <c r="R298" i="17"/>
  <c r="Q298" i="17"/>
  <c r="N298" i="17" s="1"/>
  <c r="M298" i="17"/>
  <c r="U298" i="17"/>
  <c r="S297" i="17"/>
  <c r="R297" i="17"/>
  <c r="Q297" i="17"/>
  <c r="N297" i="17" s="1"/>
  <c r="M297" i="17"/>
  <c r="T297" i="17"/>
  <c r="S296" i="17"/>
  <c r="R296" i="17"/>
  <c r="Q296" i="17"/>
  <c r="P296" i="17" s="1"/>
  <c r="M296" i="17"/>
  <c r="S295" i="17"/>
  <c r="R295" i="17"/>
  <c r="Q295" i="17"/>
  <c r="P295" i="17" s="1"/>
  <c r="M295" i="17"/>
  <c r="T295" i="17"/>
  <c r="S294" i="17"/>
  <c r="R294" i="17"/>
  <c r="Q294" i="17"/>
  <c r="M294" i="17"/>
  <c r="T294" i="17"/>
  <c r="S293" i="17"/>
  <c r="R293" i="17"/>
  <c r="Q293" i="17"/>
  <c r="P293" i="17" s="1"/>
  <c r="M293" i="17"/>
  <c r="U293" i="17"/>
  <c r="S292" i="17"/>
  <c r="R292" i="17"/>
  <c r="Q292" i="17"/>
  <c r="N292" i="17" s="1"/>
  <c r="M292" i="17"/>
  <c r="T292" i="17"/>
  <c r="S291" i="17"/>
  <c r="R291" i="17"/>
  <c r="Q291" i="17"/>
  <c r="P291" i="17" s="1"/>
  <c r="M291" i="17"/>
  <c r="T291" i="17"/>
  <c r="S290" i="17"/>
  <c r="R290" i="17"/>
  <c r="Q290" i="17"/>
  <c r="N290" i="17" s="1"/>
  <c r="M290" i="17"/>
  <c r="V290" i="17"/>
  <c r="S289" i="17"/>
  <c r="R289" i="17"/>
  <c r="Q289" i="17"/>
  <c r="O289" i="17" s="1"/>
  <c r="M289" i="17"/>
  <c r="T289" i="17"/>
  <c r="S288" i="17"/>
  <c r="R288" i="17"/>
  <c r="Q288" i="17"/>
  <c r="P288" i="17" s="1"/>
  <c r="M288" i="17"/>
  <c r="T288" i="17"/>
  <c r="S287" i="17"/>
  <c r="R287" i="17"/>
  <c r="Q287" i="17"/>
  <c r="P287" i="17" s="1"/>
  <c r="M287" i="17"/>
  <c r="U287" i="17"/>
  <c r="S286" i="17"/>
  <c r="R286" i="17"/>
  <c r="Q286" i="17"/>
  <c r="P286" i="17" s="1"/>
  <c r="M286" i="17"/>
  <c r="T286" i="17"/>
  <c r="S285" i="17"/>
  <c r="R285" i="17"/>
  <c r="Q285" i="17"/>
  <c r="P285" i="17" s="1"/>
  <c r="M285" i="17"/>
  <c r="X285" i="17"/>
  <c r="S284" i="17"/>
  <c r="R284" i="17"/>
  <c r="Q284" i="17"/>
  <c r="N284" i="17" s="1"/>
  <c r="M284" i="17"/>
  <c r="T284" i="17"/>
  <c r="S283" i="17"/>
  <c r="R283" i="17"/>
  <c r="Q283" i="17"/>
  <c r="M283" i="17"/>
  <c r="T283" i="17"/>
  <c r="S282" i="17"/>
  <c r="R282" i="17"/>
  <c r="Q282" i="17"/>
  <c r="N282" i="17" s="1"/>
  <c r="M282" i="17"/>
  <c r="T282" i="17"/>
  <c r="S281" i="17"/>
  <c r="R281" i="17"/>
  <c r="Q281" i="17"/>
  <c r="M281" i="17"/>
  <c r="T281" i="17"/>
  <c r="S280" i="17"/>
  <c r="R280" i="17"/>
  <c r="Q280" i="17"/>
  <c r="P280" i="17" s="1"/>
  <c r="M280" i="17"/>
  <c r="U280" i="17"/>
  <c r="S279" i="17"/>
  <c r="R279" i="17"/>
  <c r="Q279" i="17"/>
  <c r="M279" i="17"/>
  <c r="U279" i="17"/>
  <c r="S278" i="17"/>
  <c r="R278" i="17"/>
  <c r="Q278" i="17"/>
  <c r="P278" i="17" s="1"/>
  <c r="M278" i="17"/>
  <c r="T278" i="17"/>
  <c r="S277" i="17"/>
  <c r="R277" i="17"/>
  <c r="Q277" i="17"/>
  <c r="P277" i="17" s="1"/>
  <c r="M277" i="17"/>
  <c r="X277" i="17"/>
  <c r="S276" i="17"/>
  <c r="R276" i="17"/>
  <c r="Q276" i="17"/>
  <c r="M276" i="17"/>
  <c r="S275" i="17"/>
  <c r="R275" i="17"/>
  <c r="Q275" i="17"/>
  <c r="O275" i="17" s="1"/>
  <c r="M275" i="17"/>
  <c r="U275" i="17"/>
  <c r="T274" i="17"/>
  <c r="S274" i="17"/>
  <c r="R274" i="17"/>
  <c r="Q274" i="17"/>
  <c r="O274" i="17" s="1"/>
  <c r="M274" i="17"/>
  <c r="W274" i="17"/>
  <c r="S273" i="17"/>
  <c r="R273" i="17"/>
  <c r="Q273" i="17"/>
  <c r="P273" i="17" s="1"/>
  <c r="M273" i="17"/>
  <c r="S272" i="17"/>
  <c r="R272" i="17"/>
  <c r="Q272" i="17"/>
  <c r="P272" i="17" s="1"/>
  <c r="M272" i="17"/>
  <c r="X272" i="17"/>
  <c r="S271" i="17"/>
  <c r="R271" i="17"/>
  <c r="Q271" i="17"/>
  <c r="N271" i="17" s="1"/>
  <c r="M271" i="17"/>
  <c r="V271" i="17"/>
  <c r="S270" i="17"/>
  <c r="R270" i="17"/>
  <c r="Q270" i="17"/>
  <c r="P270" i="17" s="1"/>
  <c r="M270" i="17"/>
  <c r="X270" i="17"/>
  <c r="S269" i="17"/>
  <c r="R269" i="17"/>
  <c r="Q269" i="17"/>
  <c r="P269" i="17" s="1"/>
  <c r="M269" i="17"/>
  <c r="X269" i="17"/>
  <c r="S268" i="17"/>
  <c r="R268" i="17"/>
  <c r="Q268" i="17"/>
  <c r="M268" i="17"/>
  <c r="U268" i="17"/>
  <c r="S267" i="17"/>
  <c r="R267" i="17"/>
  <c r="Q267" i="17"/>
  <c r="M267" i="17"/>
  <c r="U267" i="17"/>
  <c r="S266" i="17"/>
  <c r="R266" i="17"/>
  <c r="Q266" i="17"/>
  <c r="O266" i="17" s="1"/>
  <c r="M266" i="17"/>
  <c r="W266" i="17"/>
  <c r="S265" i="17"/>
  <c r="R265" i="17"/>
  <c r="Q265" i="17"/>
  <c r="N265" i="17" s="1"/>
  <c r="M265" i="17"/>
  <c r="T265" i="17"/>
  <c r="S264" i="17"/>
  <c r="R264" i="17"/>
  <c r="Q264" i="17"/>
  <c r="N264" i="17" s="1"/>
  <c r="M264" i="17"/>
  <c r="X264" i="17"/>
  <c r="S263" i="17"/>
  <c r="R263" i="17"/>
  <c r="Q263" i="17"/>
  <c r="N263" i="17" s="1"/>
  <c r="M263" i="17"/>
  <c r="V263" i="17"/>
  <c r="S262" i="17"/>
  <c r="R262" i="17"/>
  <c r="Q262" i="17"/>
  <c r="M262" i="17"/>
  <c r="X262" i="17"/>
  <c r="S261" i="17"/>
  <c r="R261" i="17"/>
  <c r="Q261" i="17"/>
  <c r="P261" i="17" s="1"/>
  <c r="M261" i="17"/>
  <c r="X261" i="17"/>
  <c r="S260" i="17"/>
  <c r="R260" i="17"/>
  <c r="Q260" i="17"/>
  <c r="M260" i="17"/>
  <c r="U260" i="17"/>
  <c r="S259" i="17"/>
  <c r="R259" i="17"/>
  <c r="Q259" i="17"/>
  <c r="O259" i="17" s="1"/>
  <c r="M259" i="17"/>
  <c r="U259" i="17"/>
  <c r="S258" i="17"/>
  <c r="R258" i="17"/>
  <c r="Q258" i="17"/>
  <c r="O258" i="17" s="1"/>
  <c r="M258" i="17"/>
  <c r="W258" i="17"/>
  <c r="S257" i="17"/>
  <c r="R257" i="17"/>
  <c r="Q257" i="17"/>
  <c r="P257" i="17" s="1"/>
  <c r="M257" i="17"/>
  <c r="T257" i="17"/>
  <c r="S256" i="17"/>
  <c r="R256" i="17"/>
  <c r="Q256" i="17"/>
  <c r="P256" i="17" s="1"/>
  <c r="M256" i="17"/>
  <c r="X256" i="17"/>
  <c r="S255" i="17"/>
  <c r="R255" i="17"/>
  <c r="Q255" i="17"/>
  <c r="N255" i="17" s="1"/>
  <c r="M255" i="17"/>
  <c r="V255" i="17"/>
  <c r="S254" i="17"/>
  <c r="R254" i="17"/>
  <c r="Q254" i="17"/>
  <c r="N254" i="17" s="1"/>
  <c r="M254" i="17"/>
  <c r="X254" i="17"/>
  <c r="V253" i="17"/>
  <c r="S253" i="17"/>
  <c r="R253" i="17"/>
  <c r="Q253" i="17"/>
  <c r="P253" i="17" s="1"/>
  <c r="M253" i="17"/>
  <c r="X253" i="17"/>
  <c r="S252" i="17"/>
  <c r="R252" i="17"/>
  <c r="Q252" i="17"/>
  <c r="M252" i="17"/>
  <c r="U252" i="17"/>
  <c r="S251" i="17"/>
  <c r="R251" i="17"/>
  <c r="Q251" i="17"/>
  <c r="O251" i="17" s="1"/>
  <c r="M251" i="17"/>
  <c r="U251" i="17"/>
  <c r="S250" i="17"/>
  <c r="R250" i="17"/>
  <c r="Q250" i="17"/>
  <c r="P250" i="17" s="1"/>
  <c r="M250" i="17"/>
  <c r="S249" i="17"/>
  <c r="R249" i="17"/>
  <c r="Q249" i="17"/>
  <c r="O249" i="17" s="1"/>
  <c r="M249" i="17"/>
  <c r="V249" i="17"/>
  <c r="S248" i="17"/>
  <c r="R248" i="17"/>
  <c r="Q248" i="17"/>
  <c r="N248" i="17" s="1"/>
  <c r="M248" i="17"/>
  <c r="S247" i="17"/>
  <c r="R247" i="17"/>
  <c r="Q247" i="17"/>
  <c r="M247" i="17"/>
  <c r="X247" i="17"/>
  <c r="S246" i="17"/>
  <c r="R246" i="17"/>
  <c r="Q246" i="17"/>
  <c r="O246" i="17" s="1"/>
  <c r="M246" i="17"/>
  <c r="V245" i="17"/>
  <c r="S245" i="17"/>
  <c r="R245" i="17"/>
  <c r="Q245" i="17"/>
  <c r="P245" i="17" s="1"/>
  <c r="M245" i="17"/>
  <c r="S244" i="17"/>
  <c r="R244" i="17"/>
  <c r="Q244" i="17"/>
  <c r="O244" i="17" s="1"/>
  <c r="M244" i="17"/>
  <c r="W244" i="17"/>
  <c r="S243" i="17"/>
  <c r="R243" i="17"/>
  <c r="Q243" i="17"/>
  <c r="N243" i="17" s="1"/>
  <c r="M243" i="17"/>
  <c r="T243" i="17"/>
  <c r="S242" i="17"/>
  <c r="R242" i="17"/>
  <c r="Q242" i="17"/>
  <c r="M242" i="17"/>
  <c r="S241" i="17"/>
  <c r="R241" i="17"/>
  <c r="Q241" i="17"/>
  <c r="O241" i="17" s="1"/>
  <c r="M241" i="17"/>
  <c r="V241" i="17"/>
  <c r="V240" i="17"/>
  <c r="S240" i="17"/>
  <c r="R240" i="17"/>
  <c r="Q240" i="17"/>
  <c r="O240" i="17" s="1"/>
  <c r="M240" i="17"/>
  <c r="S239" i="17"/>
  <c r="R239" i="17"/>
  <c r="Q239" i="17"/>
  <c r="M239" i="17"/>
  <c r="X239" i="17"/>
  <c r="S238" i="17"/>
  <c r="R238" i="17"/>
  <c r="Q238" i="17"/>
  <c r="O238" i="17" s="1"/>
  <c r="M238" i="17"/>
  <c r="U238" i="17"/>
  <c r="S237" i="17"/>
  <c r="R237" i="17"/>
  <c r="Q237" i="17"/>
  <c r="P237" i="17" s="1"/>
  <c r="M237" i="17"/>
  <c r="X237" i="17"/>
  <c r="S236" i="17"/>
  <c r="R236" i="17"/>
  <c r="Q236" i="17"/>
  <c r="O236" i="17" s="1"/>
  <c r="M236" i="17"/>
  <c r="W236" i="17"/>
  <c r="S235" i="17"/>
  <c r="R235" i="17"/>
  <c r="Q235" i="17"/>
  <c r="P235" i="17" s="1"/>
  <c r="M235" i="17"/>
  <c r="T235" i="17"/>
  <c r="S234" i="17"/>
  <c r="R234" i="17"/>
  <c r="Q234" i="17"/>
  <c r="P234" i="17" s="1"/>
  <c r="M234" i="17"/>
  <c r="S233" i="17"/>
  <c r="R233" i="17"/>
  <c r="Q233" i="17"/>
  <c r="M233" i="17"/>
  <c r="V233" i="17"/>
  <c r="S232" i="17"/>
  <c r="R232" i="17"/>
  <c r="Q232" i="17"/>
  <c r="M232" i="17"/>
  <c r="S231" i="17"/>
  <c r="R231" i="17"/>
  <c r="Q231" i="17"/>
  <c r="M231" i="17"/>
  <c r="X231" i="17"/>
  <c r="S230" i="17"/>
  <c r="R230" i="17"/>
  <c r="Q230" i="17"/>
  <c r="O230" i="17" s="1"/>
  <c r="M230" i="17"/>
  <c r="U230" i="17"/>
  <c r="S229" i="17"/>
  <c r="R229" i="17"/>
  <c r="Q229" i="17"/>
  <c r="P229" i="17" s="1"/>
  <c r="M229" i="17"/>
  <c r="X229" i="17"/>
  <c r="V228" i="17"/>
  <c r="S228" i="17"/>
  <c r="R228" i="17"/>
  <c r="Q228" i="17"/>
  <c r="M228" i="17"/>
  <c r="W228" i="17"/>
  <c r="S227" i="17"/>
  <c r="R227" i="17"/>
  <c r="Q227" i="17"/>
  <c r="P227" i="17" s="1"/>
  <c r="M227" i="17"/>
  <c r="T227" i="17"/>
  <c r="S226" i="17"/>
  <c r="R226" i="17"/>
  <c r="Q226" i="17"/>
  <c r="N226" i="17" s="1"/>
  <c r="M226" i="17"/>
  <c r="U226" i="17"/>
  <c r="S225" i="17"/>
  <c r="R225" i="17"/>
  <c r="Q225" i="17"/>
  <c r="M225" i="17"/>
  <c r="V225" i="17"/>
  <c r="S224" i="17"/>
  <c r="R224" i="17"/>
  <c r="Q224" i="17"/>
  <c r="M224" i="17"/>
  <c r="V224" i="17"/>
  <c r="S223" i="17"/>
  <c r="R223" i="17"/>
  <c r="Q223" i="17"/>
  <c r="M223" i="17"/>
  <c r="T223" i="17"/>
  <c r="S222" i="17"/>
  <c r="R222" i="17"/>
  <c r="Q222" i="17"/>
  <c r="O222" i="17" s="1"/>
  <c r="M222" i="17"/>
  <c r="U222" i="17"/>
  <c r="U221" i="17"/>
  <c r="S221" i="17"/>
  <c r="R221" i="17"/>
  <c r="Q221" i="17"/>
  <c r="P221" i="17" s="1"/>
  <c r="M221" i="17"/>
  <c r="X221" i="17"/>
  <c r="S220" i="17"/>
  <c r="R220" i="17"/>
  <c r="Q220" i="17"/>
  <c r="O220" i="17" s="1"/>
  <c r="M220" i="17"/>
  <c r="W220" i="17"/>
  <c r="S219" i="17"/>
  <c r="R219" i="17"/>
  <c r="Q219" i="17"/>
  <c r="P219" i="17" s="1"/>
  <c r="M219" i="17"/>
  <c r="S218" i="17"/>
  <c r="R218" i="17"/>
  <c r="Q218" i="17"/>
  <c r="O218" i="17" s="1"/>
  <c r="M218" i="17"/>
  <c r="U218" i="17"/>
  <c r="S217" i="17"/>
  <c r="R217" i="17"/>
  <c r="Q217" i="17"/>
  <c r="O217" i="17" s="1"/>
  <c r="M217" i="17"/>
  <c r="V217" i="17"/>
  <c r="S216" i="17"/>
  <c r="R216" i="17"/>
  <c r="Q216" i="17"/>
  <c r="M216" i="17"/>
  <c r="S215" i="17"/>
  <c r="R215" i="17"/>
  <c r="Q215" i="17"/>
  <c r="M215" i="17"/>
  <c r="T215" i="17"/>
  <c r="S214" i="17"/>
  <c r="R214" i="17"/>
  <c r="Q214" i="17"/>
  <c r="P214" i="17" s="1"/>
  <c r="M214" i="17"/>
  <c r="U214" i="17"/>
  <c r="S213" i="17"/>
  <c r="R213" i="17"/>
  <c r="Q213" i="17"/>
  <c r="P213" i="17" s="1"/>
  <c r="M213" i="17"/>
  <c r="U213" i="17"/>
  <c r="S212" i="17"/>
  <c r="R212" i="17"/>
  <c r="Q212" i="17"/>
  <c r="O212" i="17" s="1"/>
  <c r="M212" i="17"/>
  <c r="W212" i="17"/>
  <c r="S211" i="17"/>
  <c r="R211" i="17"/>
  <c r="Q211" i="17"/>
  <c r="P211" i="17" s="1"/>
  <c r="M211" i="17"/>
  <c r="T211" i="17"/>
  <c r="S210" i="17"/>
  <c r="R210" i="17"/>
  <c r="Q210" i="17"/>
  <c r="O210" i="17" s="1"/>
  <c r="M210" i="17"/>
  <c r="X210" i="17"/>
  <c r="S209" i="17"/>
  <c r="R209" i="17"/>
  <c r="Q209" i="17"/>
  <c r="M209" i="17"/>
  <c r="S208" i="17"/>
  <c r="R208" i="17"/>
  <c r="Q208" i="17"/>
  <c r="O208" i="17" s="1"/>
  <c r="M208" i="17"/>
  <c r="S207" i="17"/>
  <c r="R207" i="17"/>
  <c r="Q207" i="17"/>
  <c r="O207" i="17" s="1"/>
  <c r="M207" i="17"/>
  <c r="S206" i="17"/>
  <c r="R206" i="17"/>
  <c r="Q206" i="17"/>
  <c r="O206" i="17" s="1"/>
  <c r="M206" i="17"/>
  <c r="S205" i="17"/>
  <c r="R205" i="17"/>
  <c r="Q205" i="17"/>
  <c r="N205" i="17" s="1"/>
  <c r="M205" i="17"/>
  <c r="U205" i="17"/>
  <c r="V204" i="17"/>
  <c r="S204" i="17"/>
  <c r="R204" i="17"/>
  <c r="Q204" i="17"/>
  <c r="O204" i="17" s="1"/>
  <c r="M204" i="17"/>
  <c r="W204" i="17"/>
  <c r="S203" i="17"/>
  <c r="R203" i="17"/>
  <c r="Q203" i="17"/>
  <c r="N203" i="17" s="1"/>
  <c r="M203" i="17"/>
  <c r="T203" i="17"/>
  <c r="S202" i="17"/>
  <c r="R202" i="17"/>
  <c r="Q202" i="17"/>
  <c r="M202" i="17"/>
  <c r="T202" i="17"/>
  <c r="S201" i="17"/>
  <c r="R201" i="17"/>
  <c r="Q201" i="17"/>
  <c r="P201" i="17" s="1"/>
  <c r="M201" i="17"/>
  <c r="V201" i="17"/>
  <c r="S200" i="17"/>
  <c r="R200" i="17"/>
  <c r="Q200" i="17"/>
  <c r="P200" i="17" s="1"/>
  <c r="M200" i="17"/>
  <c r="U200" i="17"/>
  <c r="S199" i="17"/>
  <c r="R199" i="17"/>
  <c r="Q199" i="17"/>
  <c r="O199" i="17" s="1"/>
  <c r="M199" i="17"/>
  <c r="W199" i="17"/>
  <c r="S198" i="17"/>
  <c r="R198" i="17"/>
  <c r="Q198" i="17"/>
  <c r="P198" i="17" s="1"/>
  <c r="M198" i="17"/>
  <c r="W198" i="17"/>
  <c r="S197" i="17"/>
  <c r="R197" i="17"/>
  <c r="Q197" i="17"/>
  <c r="N197" i="17" s="1"/>
  <c r="M197" i="17"/>
  <c r="S196" i="17"/>
  <c r="R196" i="17"/>
  <c r="Q196" i="17"/>
  <c r="O196" i="17" s="1"/>
  <c r="M196" i="17"/>
  <c r="V196" i="17"/>
  <c r="S195" i="17"/>
  <c r="R195" i="17"/>
  <c r="Q195" i="17"/>
  <c r="N195" i="17" s="1"/>
  <c r="M195" i="17"/>
  <c r="S194" i="17"/>
  <c r="R194" i="17"/>
  <c r="Q194" i="17"/>
  <c r="M194" i="17"/>
  <c r="X194" i="17"/>
  <c r="S193" i="17"/>
  <c r="R193" i="17"/>
  <c r="Q193" i="17"/>
  <c r="N193" i="17" s="1"/>
  <c r="M193" i="17"/>
  <c r="X193" i="17"/>
  <c r="S192" i="17"/>
  <c r="R192" i="17"/>
  <c r="Q192" i="17"/>
  <c r="O192" i="17" s="1"/>
  <c r="M192" i="17"/>
  <c r="X192" i="17"/>
  <c r="S191" i="17"/>
  <c r="R191" i="17"/>
  <c r="Q191" i="17"/>
  <c r="O191" i="17" s="1"/>
  <c r="M191" i="17"/>
  <c r="W191" i="17"/>
  <c r="S190" i="17"/>
  <c r="R190" i="17"/>
  <c r="Q190" i="17"/>
  <c r="P190" i="17" s="1"/>
  <c r="M190" i="17"/>
  <c r="T190" i="17"/>
  <c r="T189" i="17"/>
  <c r="S189" i="17"/>
  <c r="R189" i="17"/>
  <c r="Q189" i="17"/>
  <c r="N189" i="17" s="1"/>
  <c r="M189" i="17"/>
  <c r="U189" i="17"/>
  <c r="S188" i="17"/>
  <c r="R188" i="17"/>
  <c r="Q188" i="17"/>
  <c r="O188" i="17" s="1"/>
  <c r="M188" i="17"/>
  <c r="S187" i="17"/>
  <c r="R187" i="17"/>
  <c r="Q187" i="17"/>
  <c r="N187" i="17" s="1"/>
  <c r="M187" i="17"/>
  <c r="V187" i="17"/>
  <c r="U186" i="17"/>
  <c r="S186" i="17"/>
  <c r="R186" i="17"/>
  <c r="Q186" i="17"/>
  <c r="P186" i="17" s="1"/>
  <c r="M186" i="17"/>
  <c r="S185" i="17"/>
  <c r="R185" i="17"/>
  <c r="Q185" i="17"/>
  <c r="N185" i="17" s="1"/>
  <c r="M185" i="17"/>
  <c r="W185" i="17"/>
  <c r="S184" i="17"/>
  <c r="R184" i="17"/>
  <c r="Q184" i="17"/>
  <c r="N184" i="17" s="1"/>
  <c r="M184" i="17"/>
  <c r="U184" i="17"/>
  <c r="S183" i="17"/>
  <c r="R183" i="17"/>
  <c r="Q183" i="17"/>
  <c r="O183" i="17" s="1"/>
  <c r="M183" i="17"/>
  <c r="W183" i="17"/>
  <c r="V182" i="17"/>
  <c r="S182" i="17"/>
  <c r="R182" i="17"/>
  <c r="Q182" i="17"/>
  <c r="N182" i="17" s="1"/>
  <c r="M182" i="17"/>
  <c r="U182" i="17"/>
  <c r="S181" i="17"/>
  <c r="R181" i="17"/>
  <c r="Q181" i="17"/>
  <c r="M181" i="17"/>
  <c r="U181" i="17"/>
  <c r="S180" i="17"/>
  <c r="R180" i="17"/>
  <c r="Q180" i="17"/>
  <c r="M180" i="17"/>
  <c r="W180" i="17"/>
  <c r="S179" i="17"/>
  <c r="R179" i="17"/>
  <c r="Q179" i="17"/>
  <c r="O179" i="17" s="1"/>
  <c r="M179" i="17"/>
  <c r="T179" i="17"/>
  <c r="S178" i="17"/>
  <c r="R178" i="17"/>
  <c r="Q178" i="17"/>
  <c r="O178" i="17" s="1"/>
  <c r="M178" i="17"/>
  <c r="X178" i="17"/>
  <c r="S177" i="17"/>
  <c r="R177" i="17"/>
  <c r="Q177" i="17"/>
  <c r="N177" i="17" s="1"/>
  <c r="M177" i="17"/>
  <c r="V177" i="17"/>
  <c r="S176" i="17"/>
  <c r="R176" i="17"/>
  <c r="Q176" i="17"/>
  <c r="P176" i="17" s="1"/>
  <c r="M176" i="17"/>
  <c r="X176" i="17"/>
  <c r="S175" i="17"/>
  <c r="R175" i="17"/>
  <c r="Q175" i="17"/>
  <c r="O175" i="17" s="1"/>
  <c r="M175" i="17"/>
  <c r="W175" i="17"/>
  <c r="S174" i="17"/>
  <c r="R174" i="17"/>
  <c r="Q174" i="17"/>
  <c r="M174" i="17"/>
  <c r="U174" i="17"/>
  <c r="S173" i="17"/>
  <c r="R173" i="17"/>
  <c r="Q173" i="17"/>
  <c r="P173" i="17" s="1"/>
  <c r="M173" i="17"/>
  <c r="U173" i="17"/>
  <c r="S172" i="17"/>
  <c r="R172" i="17"/>
  <c r="Q172" i="17"/>
  <c r="O172" i="17" s="1"/>
  <c r="M172" i="17"/>
  <c r="X172" i="17"/>
  <c r="S171" i="17"/>
  <c r="R171" i="17"/>
  <c r="Q171" i="17"/>
  <c r="P171" i="17" s="1"/>
  <c r="M171" i="17"/>
  <c r="T171" i="17"/>
  <c r="S170" i="17"/>
  <c r="R170" i="17"/>
  <c r="Q170" i="17"/>
  <c r="O170" i="17" s="1"/>
  <c r="M170" i="17"/>
  <c r="W170" i="17"/>
  <c r="S169" i="17"/>
  <c r="R169" i="17"/>
  <c r="Q169" i="17"/>
  <c r="N169" i="17" s="1"/>
  <c r="M169" i="17"/>
  <c r="X169" i="17"/>
  <c r="S168" i="17"/>
  <c r="R168" i="17"/>
  <c r="Q168" i="17"/>
  <c r="P168" i="17" s="1"/>
  <c r="M168" i="17"/>
  <c r="S167" i="17"/>
  <c r="R167" i="17"/>
  <c r="Q167" i="17"/>
  <c r="O167" i="17" s="1"/>
  <c r="M167" i="17"/>
  <c r="U167" i="17"/>
  <c r="S166" i="17"/>
  <c r="R166" i="17"/>
  <c r="Q166" i="17"/>
  <c r="M166" i="17"/>
  <c r="U166" i="17"/>
  <c r="S165" i="17"/>
  <c r="R165" i="17"/>
  <c r="Q165" i="17"/>
  <c r="P165" i="17" s="1"/>
  <c r="M165" i="17"/>
  <c r="S164" i="17"/>
  <c r="R164" i="17"/>
  <c r="Q164" i="17"/>
  <c r="P164" i="17" s="1"/>
  <c r="M164" i="17"/>
  <c r="X164" i="17"/>
  <c r="S163" i="17"/>
  <c r="R163" i="17"/>
  <c r="Q163" i="17"/>
  <c r="P163" i="17" s="1"/>
  <c r="M163" i="17"/>
  <c r="T163" i="17"/>
  <c r="S162" i="17"/>
  <c r="R162" i="17"/>
  <c r="Q162" i="17"/>
  <c r="O162" i="17" s="1"/>
  <c r="M162" i="17"/>
  <c r="W162" i="17"/>
  <c r="S161" i="17"/>
  <c r="R161" i="17"/>
  <c r="Q161" i="17"/>
  <c r="M161" i="17"/>
  <c r="V161" i="17"/>
  <c r="S160" i="17"/>
  <c r="R160" i="17"/>
  <c r="Q160" i="17"/>
  <c r="O160" i="17" s="1"/>
  <c r="M160" i="17"/>
  <c r="W160" i="17"/>
  <c r="S159" i="17"/>
  <c r="R159" i="17"/>
  <c r="Q159" i="17"/>
  <c r="O159" i="17" s="1"/>
  <c r="M159" i="17"/>
  <c r="T159" i="17"/>
  <c r="S158" i="17"/>
  <c r="R158" i="17"/>
  <c r="Q158" i="17"/>
  <c r="P158" i="17" s="1"/>
  <c r="M158" i="17"/>
  <c r="U158" i="17"/>
  <c r="S157" i="17"/>
  <c r="R157" i="17"/>
  <c r="Q157" i="17"/>
  <c r="P157" i="17" s="1"/>
  <c r="M157" i="17"/>
  <c r="X157" i="17"/>
  <c r="S156" i="17"/>
  <c r="R156" i="17"/>
  <c r="Q156" i="17"/>
  <c r="O156" i="17" s="1"/>
  <c r="M156" i="17"/>
  <c r="T156" i="17"/>
  <c r="X155" i="17"/>
  <c r="S155" i="17"/>
  <c r="R155" i="17"/>
  <c r="Q155" i="17"/>
  <c r="N155" i="17" s="1"/>
  <c r="M155" i="17"/>
  <c r="T155" i="17"/>
  <c r="S154" i="17"/>
  <c r="R154" i="17"/>
  <c r="Q154" i="17"/>
  <c r="O154" i="17" s="1"/>
  <c r="M154" i="17"/>
  <c r="W154" i="17"/>
  <c r="S153" i="17"/>
  <c r="R153" i="17"/>
  <c r="Q153" i="17"/>
  <c r="N153" i="17" s="1"/>
  <c r="M153" i="17"/>
  <c r="T153" i="17"/>
  <c r="S152" i="17"/>
  <c r="R152" i="17"/>
  <c r="Q152" i="17"/>
  <c r="N152" i="17" s="1"/>
  <c r="M152" i="17"/>
  <c r="T152" i="17"/>
  <c r="S151" i="17"/>
  <c r="R151" i="17"/>
  <c r="Q151" i="17"/>
  <c r="M151" i="17"/>
  <c r="W151" i="17"/>
  <c r="S150" i="17"/>
  <c r="R150" i="17"/>
  <c r="Q150" i="17"/>
  <c r="O150" i="17" s="1"/>
  <c r="M150" i="17"/>
  <c r="U150" i="17"/>
  <c r="S149" i="17"/>
  <c r="R149" i="17"/>
  <c r="Q149" i="17"/>
  <c r="P149" i="17" s="1"/>
  <c r="M149" i="17"/>
  <c r="X149" i="17"/>
  <c r="S148" i="17"/>
  <c r="R148" i="17"/>
  <c r="Q148" i="17"/>
  <c r="M148" i="17"/>
  <c r="T148" i="17"/>
  <c r="S147" i="17"/>
  <c r="R147" i="17"/>
  <c r="Q147" i="17"/>
  <c r="M147" i="17"/>
  <c r="T147" i="17"/>
  <c r="S146" i="17"/>
  <c r="R146" i="17"/>
  <c r="Q146" i="17"/>
  <c r="O146" i="17" s="1"/>
  <c r="M146" i="17"/>
  <c r="U146" i="17"/>
  <c r="S145" i="17"/>
  <c r="R145" i="17"/>
  <c r="Q145" i="17"/>
  <c r="N145" i="17" s="1"/>
  <c r="M145" i="17"/>
  <c r="T145" i="17"/>
  <c r="S144" i="17"/>
  <c r="R144" i="17"/>
  <c r="Q144" i="17"/>
  <c r="P144" i="17" s="1"/>
  <c r="M144" i="17"/>
  <c r="W144" i="17"/>
  <c r="S143" i="17"/>
  <c r="R143" i="17"/>
  <c r="Q143" i="17"/>
  <c r="O143" i="17" s="1"/>
  <c r="M143" i="17"/>
  <c r="U143" i="17"/>
  <c r="S142" i="17"/>
  <c r="R142" i="17"/>
  <c r="Q142" i="17"/>
  <c r="M142" i="17"/>
  <c r="T142" i="17"/>
  <c r="S141" i="17"/>
  <c r="R141" i="17"/>
  <c r="Q141" i="17"/>
  <c r="P141" i="17" s="1"/>
  <c r="M141" i="17"/>
  <c r="U141" i="17"/>
  <c r="S140" i="17"/>
  <c r="R140" i="17"/>
  <c r="Q140" i="17"/>
  <c r="O140" i="17" s="1"/>
  <c r="M140" i="17"/>
  <c r="T140" i="17"/>
  <c r="S139" i="17"/>
  <c r="R139" i="17"/>
  <c r="Q139" i="17"/>
  <c r="P139" i="17" s="1"/>
  <c r="M139" i="17"/>
  <c r="T139" i="17"/>
  <c r="S138" i="17"/>
  <c r="R138" i="17"/>
  <c r="Q138" i="17"/>
  <c r="O138" i="17" s="1"/>
  <c r="M138" i="17"/>
  <c r="W138" i="17"/>
  <c r="U137" i="17"/>
  <c r="S137" i="17"/>
  <c r="R137" i="17"/>
  <c r="Q137" i="17"/>
  <c r="M137" i="17"/>
  <c r="T137" i="17"/>
  <c r="S136" i="17"/>
  <c r="R136" i="17"/>
  <c r="Q136" i="17"/>
  <c r="P136" i="17" s="1"/>
  <c r="M136" i="17"/>
  <c r="T136" i="17"/>
  <c r="S135" i="17"/>
  <c r="R135" i="17"/>
  <c r="Q135" i="17"/>
  <c r="O135" i="17" s="1"/>
  <c r="M135" i="17"/>
  <c r="U135" i="17"/>
  <c r="V134" i="17"/>
  <c r="S134" i="17"/>
  <c r="R134" i="17"/>
  <c r="Q134" i="17"/>
  <c r="P134" i="17" s="1"/>
  <c r="M134" i="17"/>
  <c r="U134" i="17"/>
  <c r="V133" i="17"/>
  <c r="S133" i="17"/>
  <c r="R133" i="17"/>
  <c r="Q133" i="17"/>
  <c r="M133" i="17"/>
  <c r="X133" i="17"/>
  <c r="S132" i="17"/>
  <c r="R132" i="17"/>
  <c r="Q132" i="17"/>
  <c r="O132" i="17" s="1"/>
  <c r="M132" i="17"/>
  <c r="T132" i="17"/>
  <c r="S131" i="17"/>
  <c r="R131" i="17"/>
  <c r="Q131" i="17"/>
  <c r="N131" i="17" s="1"/>
  <c r="M131" i="17"/>
  <c r="T131" i="17"/>
  <c r="S130" i="17"/>
  <c r="R130" i="17"/>
  <c r="Q130" i="17"/>
  <c r="O130" i="17" s="1"/>
  <c r="M130" i="17"/>
  <c r="W130" i="17"/>
  <c r="S129" i="17"/>
  <c r="R129" i="17"/>
  <c r="Q129" i="17"/>
  <c r="N129" i="17" s="1"/>
  <c r="M129" i="17"/>
  <c r="T129" i="17"/>
  <c r="S128" i="17"/>
  <c r="R128" i="17"/>
  <c r="Q128" i="17"/>
  <c r="P128" i="17" s="1"/>
  <c r="M128" i="17"/>
  <c r="T128" i="17"/>
  <c r="S127" i="17"/>
  <c r="R127" i="17"/>
  <c r="Q127" i="17"/>
  <c r="N127" i="17" s="1"/>
  <c r="M127" i="17"/>
  <c r="U127" i="17"/>
  <c r="S126" i="17"/>
  <c r="R126" i="17"/>
  <c r="Q126" i="17"/>
  <c r="N126" i="17" s="1"/>
  <c r="M126" i="17"/>
  <c r="T126" i="17"/>
  <c r="S125" i="17"/>
  <c r="R125" i="17"/>
  <c r="Q125" i="17"/>
  <c r="P125" i="17" s="1"/>
  <c r="M125" i="17"/>
  <c r="U125" i="17"/>
  <c r="S124" i="17"/>
  <c r="R124" i="17"/>
  <c r="Q124" i="17"/>
  <c r="O124" i="17" s="1"/>
  <c r="M124" i="17"/>
  <c r="U124" i="17"/>
  <c r="S123" i="17"/>
  <c r="R123" i="17"/>
  <c r="Q123" i="17"/>
  <c r="P123" i="17" s="1"/>
  <c r="M123" i="17"/>
  <c r="T123" i="17"/>
  <c r="S122" i="17"/>
  <c r="R122" i="17"/>
  <c r="Q122" i="17"/>
  <c r="P122" i="17" s="1"/>
  <c r="M122" i="17"/>
  <c r="U122" i="17"/>
  <c r="S121" i="17"/>
  <c r="R121" i="17"/>
  <c r="Q121" i="17"/>
  <c r="N121" i="17" s="1"/>
  <c r="M121" i="17"/>
  <c r="T121" i="17"/>
  <c r="S120" i="17"/>
  <c r="R120" i="17"/>
  <c r="Q120" i="17"/>
  <c r="M120" i="17"/>
  <c r="T120" i="17"/>
  <c r="S119" i="17"/>
  <c r="R119" i="17"/>
  <c r="Q119" i="17"/>
  <c r="M119" i="17"/>
  <c r="T119" i="17"/>
  <c r="S118" i="17"/>
  <c r="R118" i="17"/>
  <c r="Q118" i="17"/>
  <c r="N118" i="17" s="1"/>
  <c r="M118" i="17"/>
  <c r="T118" i="17"/>
  <c r="S117" i="17"/>
  <c r="R117" i="17"/>
  <c r="Q117" i="17"/>
  <c r="O117" i="17" s="1"/>
  <c r="M117" i="17"/>
  <c r="V117" i="17"/>
  <c r="S116" i="17"/>
  <c r="R116" i="17"/>
  <c r="Q116" i="17"/>
  <c r="O116" i="17" s="1"/>
  <c r="M116" i="17"/>
  <c r="T116" i="17"/>
  <c r="S115" i="17"/>
  <c r="R115" i="17"/>
  <c r="Q115" i="17"/>
  <c r="P115" i="17" s="1"/>
  <c r="M115" i="17"/>
  <c r="T115" i="17"/>
  <c r="S114" i="17"/>
  <c r="R114" i="17"/>
  <c r="Q114" i="17"/>
  <c r="P114" i="17" s="1"/>
  <c r="M114" i="17"/>
  <c r="U114" i="17"/>
  <c r="S113" i="17"/>
  <c r="R113" i="17"/>
  <c r="Q113" i="17"/>
  <c r="N113" i="17" s="1"/>
  <c r="M113" i="17"/>
  <c r="T113" i="17"/>
  <c r="S112" i="17"/>
  <c r="R112" i="17"/>
  <c r="Q112" i="17"/>
  <c r="M112" i="17"/>
  <c r="T112" i="17"/>
  <c r="S111" i="17"/>
  <c r="R111" i="17"/>
  <c r="Q111" i="17"/>
  <c r="N111" i="17" s="1"/>
  <c r="M111" i="17"/>
  <c r="T111" i="17"/>
  <c r="S110" i="17"/>
  <c r="R110" i="17"/>
  <c r="Q110" i="17"/>
  <c r="P110" i="17" s="1"/>
  <c r="M110" i="17"/>
  <c r="T110" i="17"/>
  <c r="S109" i="17"/>
  <c r="R109" i="17"/>
  <c r="Q109" i="17"/>
  <c r="N109" i="17" s="1"/>
  <c r="M109" i="17"/>
  <c r="V109" i="17"/>
  <c r="S108" i="17"/>
  <c r="R108" i="17"/>
  <c r="Q108" i="17"/>
  <c r="O108" i="17" s="1"/>
  <c r="M108" i="17"/>
  <c r="U108" i="17"/>
  <c r="S107" i="17"/>
  <c r="R107" i="17"/>
  <c r="Q107" i="17"/>
  <c r="M107" i="17"/>
  <c r="T107" i="17"/>
  <c r="S106" i="17"/>
  <c r="R106" i="17"/>
  <c r="Q106" i="17"/>
  <c r="P106" i="17" s="1"/>
  <c r="M106" i="17"/>
  <c r="U106" i="17"/>
  <c r="S105" i="17"/>
  <c r="R105" i="17"/>
  <c r="Q105" i="17"/>
  <c r="N105" i="17" s="1"/>
  <c r="M105" i="17"/>
  <c r="T105" i="17"/>
  <c r="S104" i="17"/>
  <c r="R104" i="17"/>
  <c r="Q104" i="17"/>
  <c r="P104" i="17" s="1"/>
  <c r="M104" i="17"/>
  <c r="T104" i="17"/>
  <c r="S103" i="17"/>
  <c r="R103" i="17"/>
  <c r="Q103" i="17"/>
  <c r="N103" i="17" s="1"/>
  <c r="M103" i="17"/>
  <c r="T103" i="17"/>
  <c r="S102" i="17"/>
  <c r="R102" i="17"/>
  <c r="Q102" i="17"/>
  <c r="P102" i="17" s="1"/>
  <c r="M102" i="17"/>
  <c r="T102" i="17"/>
  <c r="S101" i="17"/>
  <c r="R101" i="17"/>
  <c r="Q101" i="17"/>
  <c r="P101" i="17" s="1"/>
  <c r="M101" i="17"/>
  <c r="X101" i="17"/>
  <c r="S100" i="17"/>
  <c r="R100" i="17"/>
  <c r="Q100" i="17"/>
  <c r="P100" i="17" s="1"/>
  <c r="M100" i="17"/>
  <c r="U100" i="17"/>
  <c r="S99" i="17"/>
  <c r="R99" i="17"/>
  <c r="Q99" i="17"/>
  <c r="N99" i="17" s="1"/>
  <c r="M99" i="17"/>
  <c r="T99" i="17"/>
  <c r="S98" i="17"/>
  <c r="R98" i="17"/>
  <c r="Q98" i="17"/>
  <c r="P98" i="17" s="1"/>
  <c r="M98" i="17"/>
  <c r="U98" i="17"/>
  <c r="S97" i="17"/>
  <c r="R97" i="17"/>
  <c r="Q97" i="17"/>
  <c r="N97" i="17" s="1"/>
  <c r="M97" i="17"/>
  <c r="X97" i="17"/>
  <c r="S96" i="17"/>
  <c r="R96" i="17"/>
  <c r="Q96" i="17"/>
  <c r="P96" i="17" s="1"/>
  <c r="M96" i="17"/>
  <c r="U96" i="17"/>
  <c r="S95" i="17"/>
  <c r="R95" i="17"/>
  <c r="Q95" i="17"/>
  <c r="N95" i="17" s="1"/>
  <c r="M95" i="17"/>
  <c r="T95" i="17"/>
  <c r="S94" i="17"/>
  <c r="R94" i="17"/>
  <c r="Q94" i="17"/>
  <c r="P94" i="17" s="1"/>
  <c r="M94" i="17"/>
  <c r="T94" i="17"/>
  <c r="S93" i="17"/>
  <c r="R93" i="17"/>
  <c r="Q93" i="17"/>
  <c r="P93" i="17" s="1"/>
  <c r="M93" i="17"/>
  <c r="W93" i="17"/>
  <c r="S92" i="17"/>
  <c r="R92" i="17"/>
  <c r="Q92" i="17"/>
  <c r="P92" i="17" s="1"/>
  <c r="M92" i="17"/>
  <c r="U92" i="17"/>
  <c r="S91" i="17"/>
  <c r="R91" i="17"/>
  <c r="Q91" i="17"/>
  <c r="N91" i="17" s="1"/>
  <c r="M91" i="17"/>
  <c r="T91" i="17"/>
  <c r="S90" i="17"/>
  <c r="R90" i="17"/>
  <c r="Q90" i="17"/>
  <c r="P90" i="17" s="1"/>
  <c r="M90" i="17"/>
  <c r="U90" i="17"/>
  <c r="S89" i="17"/>
  <c r="R89" i="17"/>
  <c r="Q89" i="17"/>
  <c r="N89" i="17" s="1"/>
  <c r="M89" i="17"/>
  <c r="X89" i="17"/>
  <c r="S88" i="17"/>
  <c r="R88" i="17"/>
  <c r="Q88" i="17"/>
  <c r="P88" i="17" s="1"/>
  <c r="M88" i="17"/>
  <c r="S87" i="17"/>
  <c r="R87" i="17"/>
  <c r="Q87" i="17"/>
  <c r="N87" i="17" s="1"/>
  <c r="M87" i="17"/>
  <c r="T87" i="17"/>
  <c r="S86" i="17"/>
  <c r="R86" i="17"/>
  <c r="Q86" i="17"/>
  <c r="P86" i="17" s="1"/>
  <c r="M86" i="17"/>
  <c r="T86" i="17"/>
  <c r="S85" i="17"/>
  <c r="R85" i="17"/>
  <c r="Q85" i="17"/>
  <c r="P85" i="17" s="1"/>
  <c r="M85" i="17"/>
  <c r="X85" i="17"/>
  <c r="S84" i="17"/>
  <c r="R84" i="17"/>
  <c r="Q84" i="17"/>
  <c r="P84" i="17" s="1"/>
  <c r="M84" i="17"/>
  <c r="X84" i="17"/>
  <c r="S83" i="17"/>
  <c r="R83" i="17"/>
  <c r="Q83" i="17"/>
  <c r="P83" i="17" s="1"/>
  <c r="M83" i="17"/>
  <c r="T83" i="17"/>
  <c r="S82" i="17"/>
  <c r="R82" i="17"/>
  <c r="Q82" i="17"/>
  <c r="P82" i="17" s="1"/>
  <c r="M82" i="17"/>
  <c r="T82" i="17"/>
  <c r="S81" i="17"/>
  <c r="R81" i="17"/>
  <c r="Q81" i="17"/>
  <c r="N81" i="17" s="1"/>
  <c r="M81" i="17"/>
  <c r="X81" i="17"/>
  <c r="S80" i="17"/>
  <c r="R80" i="17"/>
  <c r="Q80" i="17"/>
  <c r="O80" i="17" s="1"/>
  <c r="M80" i="17"/>
  <c r="W80" i="17"/>
  <c r="S79" i="17"/>
  <c r="R79" i="17"/>
  <c r="Q79" i="17"/>
  <c r="N79" i="17" s="1"/>
  <c r="M79" i="17"/>
  <c r="T79" i="17"/>
  <c r="S78" i="17"/>
  <c r="R78" i="17"/>
  <c r="Q78" i="17"/>
  <c r="P78" i="17" s="1"/>
  <c r="M78" i="17"/>
  <c r="T78" i="17"/>
  <c r="S77" i="17"/>
  <c r="R77" i="17"/>
  <c r="Q77" i="17"/>
  <c r="P77" i="17" s="1"/>
  <c r="M77" i="17"/>
  <c r="V77" i="17"/>
  <c r="S76" i="17"/>
  <c r="R76" i="17"/>
  <c r="Q76" i="17"/>
  <c r="M76" i="17"/>
  <c r="U76" i="17"/>
  <c r="S75" i="17"/>
  <c r="R75" i="17"/>
  <c r="Q75" i="17"/>
  <c r="P75" i="17" s="1"/>
  <c r="M75" i="17"/>
  <c r="T75" i="17"/>
  <c r="S74" i="17"/>
  <c r="R74" i="17"/>
  <c r="Q74" i="17"/>
  <c r="P74" i="17" s="1"/>
  <c r="M74" i="17"/>
  <c r="V74" i="17"/>
  <c r="S73" i="17"/>
  <c r="R73" i="17"/>
  <c r="Q73" i="17"/>
  <c r="N73" i="17" s="1"/>
  <c r="M73" i="17"/>
  <c r="T73" i="17"/>
  <c r="S72" i="17"/>
  <c r="R72" i="17"/>
  <c r="Q72" i="17"/>
  <c r="O72" i="17" s="1"/>
  <c r="M72" i="17"/>
  <c r="W72" i="17"/>
  <c r="S71" i="17"/>
  <c r="R71" i="17"/>
  <c r="Q71" i="17"/>
  <c r="N71" i="17" s="1"/>
  <c r="M71" i="17"/>
  <c r="T71" i="17"/>
  <c r="S70" i="17"/>
  <c r="R70" i="17"/>
  <c r="Q70" i="17"/>
  <c r="O70" i="17" s="1"/>
  <c r="M70" i="17"/>
  <c r="T70" i="17"/>
  <c r="S69" i="17"/>
  <c r="R69" i="17"/>
  <c r="Q69" i="17"/>
  <c r="N69" i="17" s="1"/>
  <c r="M69" i="17"/>
  <c r="V69" i="17"/>
  <c r="S68" i="17"/>
  <c r="R68" i="17"/>
  <c r="Q68" i="17"/>
  <c r="P68" i="17" s="1"/>
  <c r="M68" i="17"/>
  <c r="U68" i="17"/>
  <c r="S67" i="17"/>
  <c r="R67" i="17"/>
  <c r="Q67" i="17"/>
  <c r="P67" i="17" s="1"/>
  <c r="M67" i="17"/>
  <c r="T67" i="17"/>
  <c r="S66" i="17"/>
  <c r="R66" i="17"/>
  <c r="Q66" i="17"/>
  <c r="P66" i="17" s="1"/>
  <c r="M66" i="17"/>
  <c r="X66" i="17"/>
  <c r="S65" i="17"/>
  <c r="R65" i="17"/>
  <c r="Q65" i="17"/>
  <c r="N65" i="17" s="1"/>
  <c r="M65" i="17"/>
  <c r="T65" i="17"/>
  <c r="W64" i="17"/>
  <c r="S64" i="17"/>
  <c r="R64" i="17"/>
  <c r="Q64" i="17"/>
  <c r="O64" i="17" s="1"/>
  <c r="M64" i="17"/>
  <c r="T64" i="17"/>
  <c r="S63" i="17"/>
  <c r="R63" i="17"/>
  <c r="Q63" i="17"/>
  <c r="N63" i="17" s="1"/>
  <c r="M63" i="17"/>
  <c r="U63" i="17"/>
  <c r="S62" i="17"/>
  <c r="R62" i="17"/>
  <c r="Q62" i="17"/>
  <c r="P62" i="17" s="1"/>
  <c r="M62" i="17"/>
  <c r="T62" i="17"/>
  <c r="S61" i="17"/>
  <c r="R61" i="17"/>
  <c r="Q61" i="17"/>
  <c r="O61" i="17" s="1"/>
  <c r="M61" i="17"/>
  <c r="V61" i="17"/>
  <c r="S60" i="17"/>
  <c r="R60" i="17"/>
  <c r="Q60" i="17"/>
  <c r="P60" i="17" s="1"/>
  <c r="M60" i="17"/>
  <c r="T60" i="17"/>
  <c r="S59" i="17"/>
  <c r="R59" i="17"/>
  <c r="Q59" i="17"/>
  <c r="P59" i="17" s="1"/>
  <c r="M59" i="17"/>
  <c r="T59" i="17"/>
  <c r="S58" i="17"/>
  <c r="R58" i="17"/>
  <c r="Q58" i="17"/>
  <c r="P58" i="17" s="1"/>
  <c r="M58" i="17"/>
  <c r="X58" i="17"/>
  <c r="S57" i="17"/>
  <c r="R57" i="17"/>
  <c r="Q57" i="17"/>
  <c r="N57" i="17" s="1"/>
  <c r="M57" i="17"/>
  <c r="W57" i="17"/>
  <c r="S56" i="17"/>
  <c r="R56" i="17"/>
  <c r="Q56" i="17"/>
  <c r="M56" i="17"/>
  <c r="U56" i="17"/>
  <c r="S55" i="17"/>
  <c r="R55" i="17"/>
  <c r="Q55" i="17"/>
  <c r="N55" i="17" s="1"/>
  <c r="M55" i="17"/>
  <c r="U55" i="17"/>
  <c r="V54" i="17"/>
  <c r="S54" i="17"/>
  <c r="R54" i="17"/>
  <c r="Q54" i="17"/>
  <c r="P54" i="17" s="1"/>
  <c r="M54" i="17"/>
  <c r="T54" i="17"/>
  <c r="V53" i="17"/>
  <c r="S53" i="17"/>
  <c r="R53" i="17"/>
  <c r="Q53" i="17"/>
  <c r="N53" i="17" s="1"/>
  <c r="M53" i="17"/>
  <c r="W53" i="17"/>
  <c r="S52" i="17"/>
  <c r="R52" i="17"/>
  <c r="Q52" i="17"/>
  <c r="N52" i="17" s="1"/>
  <c r="M52" i="17"/>
  <c r="V52" i="17"/>
  <c r="S51" i="17"/>
  <c r="R51" i="17"/>
  <c r="Q51" i="17"/>
  <c r="O51" i="17" s="1"/>
  <c r="M51" i="17"/>
  <c r="W51" i="17"/>
  <c r="S50" i="17"/>
  <c r="R50" i="17"/>
  <c r="Q50" i="17"/>
  <c r="P50" i="17" s="1"/>
  <c r="M50" i="17"/>
  <c r="X50" i="17"/>
  <c r="S49" i="17"/>
  <c r="R49" i="17"/>
  <c r="Q49" i="17"/>
  <c r="N49" i="17" s="1"/>
  <c r="M49" i="17"/>
  <c r="U49" i="17"/>
  <c r="S48" i="17"/>
  <c r="R48" i="17"/>
  <c r="Q48" i="17"/>
  <c r="P48" i="17" s="1"/>
  <c r="M48" i="17"/>
  <c r="T48" i="17"/>
  <c r="S47" i="17"/>
  <c r="R47" i="17"/>
  <c r="Q47" i="17"/>
  <c r="O47" i="17" s="1"/>
  <c r="M47" i="17"/>
  <c r="W47" i="17"/>
  <c r="S46" i="17"/>
  <c r="R46" i="17"/>
  <c r="Q46" i="17"/>
  <c r="P46" i="17" s="1"/>
  <c r="M46" i="17"/>
  <c r="T46" i="17"/>
  <c r="S45" i="17"/>
  <c r="R45" i="17"/>
  <c r="Q45" i="17"/>
  <c r="P45" i="17" s="1"/>
  <c r="M45" i="17"/>
  <c r="W45" i="17"/>
  <c r="S44" i="17"/>
  <c r="R44" i="17"/>
  <c r="Q44" i="17"/>
  <c r="N44" i="17" s="1"/>
  <c r="M44" i="17"/>
  <c r="V44" i="17"/>
  <c r="S43" i="17"/>
  <c r="R43" i="17"/>
  <c r="Q43" i="17"/>
  <c r="O43" i="17" s="1"/>
  <c r="M43" i="17"/>
  <c r="W43" i="17"/>
  <c r="S42" i="17"/>
  <c r="R42" i="17"/>
  <c r="Q42" i="17"/>
  <c r="M42" i="17"/>
  <c r="X42" i="17"/>
  <c r="S41" i="17"/>
  <c r="R41" i="17"/>
  <c r="Q41" i="17"/>
  <c r="N41" i="17" s="1"/>
  <c r="M41" i="17"/>
  <c r="U41" i="17"/>
  <c r="S40" i="17"/>
  <c r="R40" i="17"/>
  <c r="Q40" i="17"/>
  <c r="P40" i="17" s="1"/>
  <c r="M40" i="17"/>
  <c r="S39" i="17"/>
  <c r="R39" i="17"/>
  <c r="Q39" i="17"/>
  <c r="O39" i="17" s="1"/>
  <c r="M39" i="17"/>
  <c r="W39" i="17"/>
  <c r="S38" i="17"/>
  <c r="R38" i="17"/>
  <c r="Q38" i="17"/>
  <c r="P38" i="17" s="1"/>
  <c r="M38" i="17"/>
  <c r="T38" i="17"/>
  <c r="S37" i="17"/>
  <c r="R37" i="17"/>
  <c r="Q37" i="17"/>
  <c r="P37" i="17" s="1"/>
  <c r="M37" i="17"/>
  <c r="W37" i="17"/>
  <c r="S36" i="17"/>
  <c r="R36" i="17"/>
  <c r="Q36" i="17"/>
  <c r="N36" i="17" s="1"/>
  <c r="M36" i="17"/>
  <c r="V36" i="17"/>
  <c r="S35" i="17"/>
  <c r="R35" i="17"/>
  <c r="Q35" i="17"/>
  <c r="O35" i="17" s="1"/>
  <c r="M35" i="17"/>
  <c r="W35" i="17"/>
  <c r="S34" i="17"/>
  <c r="R34" i="17"/>
  <c r="Q34" i="17"/>
  <c r="P34" i="17" s="1"/>
  <c r="M34" i="17"/>
  <c r="X34" i="17"/>
  <c r="S33" i="17"/>
  <c r="R33" i="17"/>
  <c r="Q33" i="17"/>
  <c r="N33" i="17" s="1"/>
  <c r="M33" i="17"/>
  <c r="U33" i="17"/>
  <c r="S32" i="17"/>
  <c r="R32" i="17"/>
  <c r="Q32" i="17"/>
  <c r="P32" i="17" s="1"/>
  <c r="M32" i="17"/>
  <c r="T32" i="17"/>
  <c r="S31" i="17"/>
  <c r="R31" i="17"/>
  <c r="Q31" i="17"/>
  <c r="M31" i="17"/>
  <c r="W31" i="17"/>
  <c r="S30" i="17"/>
  <c r="R30" i="17"/>
  <c r="Q30" i="17"/>
  <c r="M30" i="17"/>
  <c r="T30" i="17"/>
  <c r="S29" i="17"/>
  <c r="R29" i="17"/>
  <c r="Q29" i="17"/>
  <c r="O29" i="17" s="1"/>
  <c r="M29" i="17"/>
  <c r="W29" i="17"/>
  <c r="S28" i="17"/>
  <c r="R28" i="17"/>
  <c r="Q28" i="17"/>
  <c r="N28" i="17" s="1"/>
  <c r="M28" i="17"/>
  <c r="S27" i="17"/>
  <c r="R27" i="17"/>
  <c r="Q27" i="17"/>
  <c r="O27" i="17" s="1"/>
  <c r="M27" i="17"/>
  <c r="W27" i="17"/>
  <c r="S26" i="17"/>
  <c r="R26" i="17"/>
  <c r="Q26" i="17"/>
  <c r="P26" i="17" s="1"/>
  <c r="M26" i="17"/>
  <c r="S25" i="17"/>
  <c r="R25" i="17"/>
  <c r="Q25" i="17"/>
  <c r="N25" i="17" s="1"/>
  <c r="M25" i="17"/>
  <c r="U25" i="17"/>
  <c r="S24" i="17"/>
  <c r="R24" i="17"/>
  <c r="Q24" i="17"/>
  <c r="P24" i="17" s="1"/>
  <c r="M24" i="17"/>
  <c r="S23" i="17"/>
  <c r="R23" i="17"/>
  <c r="Q23" i="17"/>
  <c r="O23" i="17" s="1"/>
  <c r="M23" i="17"/>
  <c r="W23" i="17"/>
  <c r="V22" i="17"/>
  <c r="S22" i="17"/>
  <c r="R22" i="17"/>
  <c r="Q22" i="17"/>
  <c r="P22" i="17" s="1"/>
  <c r="M22" i="17"/>
  <c r="T22" i="17"/>
  <c r="S21" i="17"/>
  <c r="R21" i="17"/>
  <c r="Q21" i="17"/>
  <c r="P21" i="17" s="1"/>
  <c r="M21" i="17"/>
  <c r="W21" i="17"/>
  <c r="S20" i="17"/>
  <c r="R20" i="17"/>
  <c r="Q20" i="17"/>
  <c r="N20" i="17" s="1"/>
  <c r="M20" i="17"/>
  <c r="V20" i="17"/>
  <c r="S19" i="17"/>
  <c r="R19" i="17"/>
  <c r="Q19" i="17"/>
  <c r="O19" i="17" s="1"/>
  <c r="M19" i="17"/>
  <c r="S18" i="17"/>
  <c r="R18" i="17"/>
  <c r="Q18" i="17"/>
  <c r="P18" i="17" s="1"/>
  <c r="M18" i="17"/>
  <c r="S17" i="17"/>
  <c r="R17" i="17"/>
  <c r="Q17" i="17"/>
  <c r="N17" i="17" s="1"/>
  <c r="M17" i="17"/>
  <c r="U17" i="17"/>
  <c r="S16" i="17"/>
  <c r="R16" i="17"/>
  <c r="Q16" i="17"/>
  <c r="P16" i="17" s="1"/>
  <c r="M16" i="17"/>
  <c r="T16" i="17"/>
  <c r="S15" i="17"/>
  <c r="R15" i="17"/>
  <c r="Q15" i="17"/>
  <c r="O15" i="17" s="1"/>
  <c r="M15" i="17"/>
  <c r="W15" i="17"/>
  <c r="S14" i="17"/>
  <c r="R14" i="17"/>
  <c r="Q14" i="17"/>
  <c r="P14" i="17" s="1"/>
  <c r="M14" i="17"/>
  <c r="T14" i="17"/>
  <c r="X13" i="17"/>
  <c r="S13" i="17"/>
  <c r="R13" i="17"/>
  <c r="Q13" i="17"/>
  <c r="O13" i="17" s="1"/>
  <c r="M13" i="17"/>
  <c r="S12" i="17"/>
  <c r="R12" i="17"/>
  <c r="Q12" i="17"/>
  <c r="P12" i="17" s="1"/>
  <c r="M12" i="17"/>
  <c r="T12" i="17"/>
  <c r="S11" i="17"/>
  <c r="R11" i="17"/>
  <c r="Q11" i="17"/>
  <c r="O11" i="17" s="1"/>
  <c r="M11" i="17"/>
  <c r="V11" i="17"/>
  <c r="S10" i="17"/>
  <c r="R10" i="17"/>
  <c r="Q10" i="17"/>
  <c r="N10" i="17" s="1"/>
  <c r="M10" i="17"/>
  <c r="V10" i="17"/>
  <c r="S9" i="17"/>
  <c r="R9" i="17"/>
  <c r="Q9" i="17"/>
  <c r="P9" i="17" s="1"/>
  <c r="M9" i="17"/>
  <c r="T9" i="17"/>
  <c r="S8" i="17"/>
  <c r="R8" i="17"/>
  <c r="Q8" i="17"/>
  <c r="M8" i="17"/>
  <c r="T8" i="17"/>
  <c r="S7" i="17"/>
  <c r="R7" i="17"/>
  <c r="Q7" i="17"/>
  <c r="N7" i="17" s="1"/>
  <c r="M7" i="17"/>
  <c r="U7" i="17"/>
  <c r="S6" i="17"/>
  <c r="R6" i="17"/>
  <c r="Q6" i="17"/>
  <c r="P6" i="17" s="1"/>
  <c r="M6" i="17"/>
  <c r="W6" i="17"/>
  <c r="S5" i="17"/>
  <c r="R5" i="17"/>
  <c r="Q5" i="17"/>
  <c r="O5" i="17" s="1"/>
  <c r="M5" i="17"/>
  <c r="S4" i="17"/>
  <c r="R4" i="17"/>
  <c r="Q4" i="17"/>
  <c r="M4" i="17"/>
  <c r="S3" i="17"/>
  <c r="R3" i="17"/>
  <c r="Q3" i="17"/>
  <c r="P3" i="17" s="1"/>
  <c r="M3" i="17"/>
  <c r="V3" i="17"/>
  <c r="S2" i="17"/>
  <c r="R2" i="17"/>
  <c r="Q2" i="17"/>
  <c r="N2" i="17" s="1"/>
  <c r="M2" i="17"/>
  <c r="V2" i="17"/>
  <c r="K159" i="16"/>
  <c r="K157" i="16"/>
  <c r="K155" i="16"/>
  <c r="K153" i="16"/>
  <c r="K150" i="16"/>
  <c r="K148" i="16"/>
  <c r="K143" i="16"/>
  <c r="K141" i="16"/>
  <c r="K140" i="16"/>
  <c r="K139" i="16"/>
  <c r="K138" i="16"/>
  <c r="K137" i="16"/>
  <c r="K136" i="16"/>
  <c r="K135" i="16"/>
  <c r="K134" i="16"/>
  <c r="K133" i="16"/>
  <c r="K132" i="16"/>
  <c r="K130" i="16"/>
  <c r="K129" i="16"/>
  <c r="K128" i="16"/>
  <c r="K127" i="16"/>
  <c r="K126" i="16"/>
  <c r="K124" i="16"/>
  <c r="K114" i="16"/>
  <c r="K111" i="16"/>
  <c r="K110" i="16"/>
  <c r="K107" i="16"/>
  <c r="K105" i="16"/>
  <c r="K104" i="16"/>
  <c r="K103" i="16"/>
  <c r="K102" i="16"/>
  <c r="K100" i="16"/>
  <c r="K96" i="16"/>
  <c r="K95" i="16"/>
  <c r="K94" i="16"/>
  <c r="K93" i="16"/>
  <c r="K92" i="16"/>
  <c r="K91" i="16"/>
  <c r="K90" i="16"/>
  <c r="K89" i="16"/>
  <c r="K85" i="16"/>
  <c r="K83" i="16"/>
  <c r="K79" i="16"/>
  <c r="K75" i="16"/>
  <c r="K74" i="16"/>
  <c r="K73" i="16"/>
  <c r="K71" i="16"/>
  <c r="K69" i="16"/>
  <c r="K66" i="16"/>
  <c r="K65" i="16"/>
  <c r="K64" i="16"/>
  <c r="K61" i="16"/>
  <c r="K59" i="16"/>
  <c r="K58" i="16"/>
  <c r="K56" i="16"/>
  <c r="K55" i="16"/>
  <c r="K54" i="16"/>
  <c r="K49" i="16"/>
  <c r="K42" i="16"/>
  <c r="K39" i="16"/>
  <c r="K37" i="16"/>
  <c r="K33" i="16"/>
  <c r="K32" i="16"/>
  <c r="K31" i="16"/>
  <c r="K30" i="16"/>
  <c r="K24" i="16"/>
  <c r="K15" i="16"/>
  <c r="K13" i="16"/>
  <c r="K9" i="16"/>
  <c r="I8" i="16"/>
  <c r="K7" i="16"/>
  <c r="I7" i="16"/>
  <c r="I6" i="16"/>
  <c r="I5" i="16"/>
  <c r="K4" i="16"/>
  <c r="I4" i="16"/>
  <c r="I3" i="16"/>
  <c r="K2" i="16"/>
  <c r="X377" i="15"/>
  <c r="X369" i="15"/>
  <c r="X360" i="15"/>
  <c r="X351" i="15"/>
  <c r="X336" i="15"/>
  <c r="X325" i="15"/>
  <c r="X302" i="15"/>
  <c r="X279" i="15"/>
  <c r="X278" i="15"/>
  <c r="X276" i="15"/>
  <c r="X270" i="15"/>
  <c r="X258" i="15"/>
  <c r="X257" i="15"/>
  <c r="X254" i="15"/>
  <c r="X248" i="15"/>
  <c r="X246" i="15"/>
  <c r="X244" i="15"/>
  <c r="X238" i="15"/>
  <c r="X222" i="15"/>
  <c r="X211" i="15"/>
  <c r="X203" i="15"/>
  <c r="X168" i="15"/>
  <c r="X165" i="15"/>
  <c r="X149" i="15"/>
  <c r="X126" i="15"/>
  <c r="X118" i="15"/>
  <c r="X117" i="15"/>
  <c r="X114" i="15"/>
  <c r="X109" i="15"/>
  <c r="X101" i="15"/>
  <c r="X100" i="15"/>
  <c r="X92" i="15"/>
  <c r="X86" i="15"/>
  <c r="X84" i="15"/>
  <c r="X76" i="15"/>
  <c r="X68" i="15"/>
  <c r="X60" i="15"/>
  <c r="X52" i="15"/>
  <c r="X44" i="15"/>
  <c r="X36" i="15"/>
  <c r="X28" i="15"/>
  <c r="X20" i="15"/>
  <c r="X12" i="15"/>
  <c r="X4" i="15"/>
  <c r="L11" i="14"/>
  <c r="J11" i="14"/>
  <c r="A499" i="12"/>
  <c r="A498" i="12"/>
  <c r="A497" i="12"/>
  <c r="A496" i="12"/>
  <c r="A495" i="12"/>
  <c r="A494" i="12"/>
  <c r="A493" i="12"/>
  <c r="A492" i="12"/>
  <c r="A491" i="12"/>
  <c r="A490" i="12"/>
  <c r="A489" i="12"/>
  <c r="A488" i="12"/>
  <c r="A487" i="12"/>
  <c r="A486" i="12"/>
  <c r="A484" i="12"/>
  <c r="A483" i="12"/>
  <c r="AO482" i="12"/>
  <c r="AN482" i="12"/>
  <c r="A482" i="12"/>
  <c r="A481" i="12"/>
  <c r="A480" i="12"/>
  <c r="A479" i="12"/>
  <c r="A478" i="12"/>
  <c r="A477" i="12"/>
  <c r="A476" i="12"/>
  <c r="A475" i="12"/>
  <c r="A474" i="12"/>
  <c r="A473" i="12"/>
  <c r="A472" i="12"/>
  <c r="A471" i="12"/>
  <c r="A470" i="12"/>
  <c r="A469" i="12"/>
  <c r="A468" i="12"/>
  <c r="AO467" i="12"/>
  <c r="AN467" i="12"/>
  <c r="A467" i="12"/>
  <c r="A466" i="12"/>
  <c r="AR465" i="12"/>
  <c r="A465" i="12"/>
  <c r="AR464" i="12"/>
  <c r="A464" i="12"/>
  <c r="AR463" i="12"/>
  <c r="A463" i="12"/>
  <c r="A462" i="12"/>
  <c r="A461" i="12"/>
  <c r="A460" i="12"/>
  <c r="A459" i="12"/>
  <c r="A458" i="12"/>
  <c r="A457" i="12"/>
  <c r="A456" i="12"/>
  <c r="A455" i="12"/>
  <c r="A454" i="12"/>
  <c r="A453" i="12"/>
  <c r="A452" i="12"/>
  <c r="A451" i="12"/>
  <c r="A450" i="12"/>
  <c r="A449" i="12"/>
  <c r="A448" i="12"/>
  <c r="A447" i="12"/>
  <c r="A446" i="12"/>
  <c r="A445" i="12"/>
  <c r="A444" i="12"/>
  <c r="A443" i="12"/>
  <c r="A442" i="12"/>
  <c r="A441" i="12"/>
  <c r="A439" i="12"/>
  <c r="A438" i="12"/>
  <c r="A437" i="12"/>
  <c r="A436" i="12"/>
  <c r="A435" i="12"/>
  <c r="A434" i="12"/>
  <c r="A433" i="12"/>
  <c r="A432" i="12"/>
  <c r="A431" i="12"/>
  <c r="A430" i="12"/>
  <c r="A429" i="12"/>
  <c r="A428" i="12"/>
  <c r="A427" i="12"/>
  <c r="A426" i="12"/>
  <c r="A425" i="12"/>
  <c r="A424" i="12"/>
  <c r="A423" i="12"/>
  <c r="A422" i="12"/>
  <c r="A421" i="12"/>
  <c r="A420" i="12"/>
  <c r="A419" i="12"/>
  <c r="A418" i="12"/>
  <c r="A417" i="12"/>
  <c r="A416" i="12"/>
  <c r="A415" i="12"/>
  <c r="A414" i="12"/>
  <c r="A413" i="12"/>
  <c r="A412" i="12"/>
  <c r="A411" i="12"/>
  <c r="A410" i="12"/>
  <c r="A409" i="12"/>
  <c r="A408" i="12"/>
  <c r="A407" i="12"/>
  <c r="A406" i="12"/>
  <c r="A405" i="12"/>
  <c r="A404" i="12"/>
  <c r="A394" i="12"/>
  <c r="A393" i="12"/>
  <c r="A392" i="12"/>
  <c r="A391" i="12"/>
  <c r="A390" i="12"/>
  <c r="A389" i="12"/>
  <c r="A388" i="12"/>
  <c r="A387" i="12"/>
  <c r="A386" i="12"/>
  <c r="A385" i="12"/>
  <c r="A384" i="12"/>
  <c r="A383" i="12"/>
  <c r="A382" i="12"/>
  <c r="A381" i="12"/>
  <c r="A380" i="12"/>
  <c r="A379" i="12"/>
  <c r="A378" i="12"/>
  <c r="A377" i="12"/>
  <c r="A376" i="12"/>
  <c r="A375" i="12"/>
  <c r="A374" i="12"/>
  <c r="A373" i="12"/>
  <c r="A372" i="12"/>
  <c r="A371" i="12"/>
  <c r="A370" i="12"/>
  <c r="A369" i="12"/>
  <c r="A368" i="12"/>
  <c r="A367" i="12"/>
  <c r="A366" i="12"/>
  <c r="A365" i="12"/>
  <c r="A364" i="12"/>
  <c r="A363" i="12"/>
  <c r="A362" i="12"/>
  <c r="A361" i="12"/>
  <c r="A360" i="12"/>
  <c r="A359" i="12"/>
  <c r="A348" i="12"/>
  <c r="A347" i="12"/>
  <c r="A346" i="12"/>
  <c r="A345" i="12"/>
  <c r="A344" i="12"/>
  <c r="A343" i="12"/>
  <c r="A342" i="12"/>
  <c r="A341" i="12"/>
  <c r="A340" i="12"/>
  <c r="A339" i="12"/>
  <c r="A338" i="12"/>
  <c r="A337" i="12"/>
  <c r="A336" i="12"/>
  <c r="A335" i="12"/>
  <c r="A334" i="12"/>
  <c r="A333" i="12"/>
  <c r="A332" i="12"/>
  <c r="A331" i="12"/>
  <c r="A330" i="12"/>
  <c r="A329" i="12"/>
  <c r="A328" i="12"/>
  <c r="A327" i="12"/>
  <c r="A326" i="12"/>
  <c r="A325" i="12"/>
  <c r="A324" i="12"/>
  <c r="A323" i="12"/>
  <c r="A322" i="12"/>
  <c r="A321" i="12"/>
  <c r="A320" i="12"/>
  <c r="A319" i="12"/>
  <c r="A318" i="12"/>
  <c r="A317" i="12"/>
  <c r="A316" i="12"/>
  <c r="A315" i="12"/>
  <c r="A314" i="12"/>
  <c r="A313" i="12"/>
  <c r="A312" i="12"/>
  <c r="A311" i="12"/>
  <c r="A310" i="12"/>
  <c r="A309" i="12"/>
  <c r="A308" i="12"/>
  <c r="A307" i="12"/>
  <c r="A306" i="12"/>
  <c r="A305" i="12"/>
  <c r="A304" i="12"/>
  <c r="A303" i="12"/>
  <c r="A302" i="12"/>
  <c r="A301" i="12"/>
  <c r="A300" i="12"/>
  <c r="A299" i="12"/>
  <c r="A298" i="12"/>
  <c r="A297" i="12"/>
  <c r="A296" i="12"/>
  <c r="A295" i="12"/>
  <c r="A294" i="12"/>
  <c r="A284" i="12"/>
  <c r="A283" i="12"/>
  <c r="A282" i="12"/>
  <c r="A281" i="12"/>
  <c r="A280" i="12"/>
  <c r="A279" i="12"/>
  <c r="A278" i="12"/>
  <c r="A277" i="12"/>
  <c r="A276" i="12"/>
  <c r="A275" i="12"/>
  <c r="A274" i="12"/>
  <c r="A273" i="12"/>
  <c r="A272" i="12"/>
  <c r="A271" i="12"/>
  <c r="A270" i="12"/>
  <c r="A269" i="12"/>
  <c r="A268" i="12"/>
  <c r="A267" i="12"/>
  <c r="A266" i="12"/>
  <c r="A265" i="12"/>
  <c r="Q265" i="12" s="1" a="1"/>
  <c r="Q265" i="12" s="1"/>
  <c r="A264" i="12"/>
  <c r="A263" i="12"/>
  <c r="A262" i="12"/>
  <c r="A261" i="12"/>
  <c r="A260" i="12"/>
  <c r="A259" i="12"/>
  <c r="A258" i="12"/>
  <c r="A257" i="12"/>
  <c r="A256" i="12"/>
  <c r="A255" i="12"/>
  <c r="A254" i="12"/>
  <c r="A253" i="12"/>
  <c r="A252" i="12"/>
  <c r="A251" i="12"/>
  <c r="A250" i="12"/>
  <c r="A249" i="12"/>
  <c r="A248" i="12"/>
  <c r="A247" i="12"/>
  <c r="A246" i="12"/>
  <c r="A245" i="12"/>
  <c r="A244" i="12"/>
  <c r="A243" i="12"/>
  <c r="A242" i="12"/>
  <c r="A241" i="12"/>
  <c r="A240" i="12"/>
  <c r="A239" i="12"/>
  <c r="A228" i="12"/>
  <c r="A227" i="12"/>
  <c r="A226" i="12"/>
  <c r="A225" i="12"/>
  <c r="A224" i="12"/>
  <c r="A223" i="12"/>
  <c r="A222" i="12"/>
  <c r="A221" i="12"/>
  <c r="A220" i="12"/>
  <c r="A219" i="12"/>
  <c r="A218" i="12"/>
  <c r="A217" i="12"/>
  <c r="A216" i="12"/>
  <c r="A215" i="12"/>
  <c r="A214" i="12"/>
  <c r="A213" i="12"/>
  <c r="A212" i="12"/>
  <c r="A211" i="12"/>
  <c r="A210" i="12"/>
  <c r="A209" i="12"/>
  <c r="A208" i="12"/>
  <c r="A207" i="12"/>
  <c r="A206" i="12"/>
  <c r="A205" i="12"/>
  <c r="A204" i="12"/>
  <c r="A203" i="12"/>
  <c r="A202" i="12"/>
  <c r="A201" i="12"/>
  <c r="A200" i="12"/>
  <c r="A199" i="12"/>
  <c r="A198" i="12"/>
  <c r="A197" i="12"/>
  <c r="A196" i="12"/>
  <c r="A195" i="12"/>
  <c r="A194" i="12"/>
  <c r="A193" i="12"/>
  <c r="A192" i="12"/>
  <c r="A191" i="12"/>
  <c r="A190" i="12"/>
  <c r="A189" i="12"/>
  <c r="R188" i="12"/>
  <c r="A188" i="12"/>
  <c r="A187" i="12"/>
  <c r="A186" i="12"/>
  <c r="A185" i="12"/>
  <c r="A184" i="12"/>
  <c r="A183" i="12"/>
  <c r="K182" i="12"/>
  <c r="A182" i="12"/>
  <c r="A181" i="12"/>
  <c r="A180" i="12"/>
  <c r="R179" i="12"/>
  <c r="A179" i="12"/>
  <c r="A178" i="12"/>
  <c r="A177" i="12"/>
  <c r="A176" i="12"/>
  <c r="A175" i="12"/>
  <c r="A174" i="12"/>
  <c r="A173" i="12"/>
  <c r="A172" i="12"/>
  <c r="A171" i="12"/>
  <c r="A162" i="12"/>
  <c r="A161" i="12"/>
  <c r="A160" i="12"/>
  <c r="A159" i="12"/>
  <c r="A158" i="12"/>
  <c r="A157" i="12"/>
  <c r="A156" i="12"/>
  <c r="A155" i="12"/>
  <c r="A154" i="12"/>
  <c r="A153" i="12"/>
  <c r="A152" i="12"/>
  <c r="A151" i="12"/>
  <c r="A150" i="12"/>
  <c r="A149" i="12"/>
  <c r="A148" i="12"/>
  <c r="A147" i="12"/>
  <c r="A146" i="12"/>
  <c r="A145" i="12"/>
  <c r="A144" i="12"/>
  <c r="A143" i="12"/>
  <c r="A142" i="12"/>
  <c r="A141" i="12"/>
  <c r="A140" i="12"/>
  <c r="A139" i="12"/>
  <c r="A138" i="12"/>
  <c r="A137" i="12"/>
  <c r="A136" i="12"/>
  <c r="A135" i="12"/>
  <c r="A134" i="12"/>
  <c r="A133" i="12"/>
  <c r="A132" i="12"/>
  <c r="A131" i="12"/>
  <c r="A130" i="12"/>
  <c r="A129" i="12"/>
  <c r="A128" i="12"/>
  <c r="A127" i="12"/>
  <c r="A126" i="12"/>
  <c r="A125" i="12"/>
  <c r="A124" i="12"/>
  <c r="A123" i="12"/>
  <c r="A122" i="12"/>
  <c r="A121" i="12"/>
  <c r="A120" i="12"/>
  <c r="A119" i="12"/>
  <c r="A118" i="12"/>
  <c r="A117" i="12"/>
  <c r="A116" i="12"/>
  <c r="A115" i="12"/>
  <c r="A114" i="12"/>
  <c r="A113" i="12"/>
  <c r="A112" i="12"/>
  <c r="A111" i="12"/>
  <c r="A110" i="12"/>
  <c r="A109" i="12"/>
  <c r="A108" i="12"/>
  <c r="A107" i="12"/>
  <c r="A106" i="12"/>
  <c r="A105" i="12"/>
  <c r="A104" i="12"/>
  <c r="A103" i="12"/>
  <c r="A102" i="12"/>
  <c r="A101" i="12"/>
  <c r="A100" i="12"/>
  <c r="A99" i="12"/>
  <c r="A98" i="12"/>
  <c r="A97" i="12"/>
  <c r="A95" i="12"/>
  <c r="A94" i="12"/>
  <c r="A93" i="12"/>
  <c r="B85" i="12"/>
  <c r="A85" i="12" s="1"/>
  <c r="B84" i="12"/>
  <c r="A84" i="12" s="1"/>
  <c r="B83" i="12"/>
  <c r="A83" i="12" s="1"/>
  <c r="B82" i="12"/>
  <c r="A82" i="12" s="1"/>
  <c r="B81" i="12"/>
  <c r="A81" i="12" s="1"/>
  <c r="B80" i="12"/>
  <c r="B79" i="12"/>
  <c r="A79" i="12" s="1"/>
  <c r="B78" i="12"/>
  <c r="A78" i="12" s="1"/>
  <c r="B77" i="12"/>
  <c r="A77" i="12" s="1"/>
  <c r="B76" i="12"/>
  <c r="B75" i="12"/>
  <c r="A75" i="12" s="1"/>
  <c r="B74" i="12"/>
  <c r="A74" i="12" s="1"/>
  <c r="B73" i="12"/>
  <c r="A73" i="12" s="1"/>
  <c r="B72" i="12"/>
  <c r="A72" i="12" s="1"/>
  <c r="B71" i="12"/>
  <c r="B70" i="12"/>
  <c r="A70" i="12" s="1"/>
  <c r="B69" i="12"/>
  <c r="A69" i="12" s="1"/>
  <c r="B68" i="12"/>
  <c r="A68" i="12" s="1"/>
  <c r="B67" i="12"/>
  <c r="B66" i="12"/>
  <c r="B65" i="12"/>
  <c r="A65" i="12" s="1"/>
  <c r="B64" i="12"/>
  <c r="A64" i="12" s="1"/>
  <c r="B63" i="12"/>
  <c r="A63" i="12" s="1"/>
  <c r="B62" i="12"/>
  <c r="B61" i="12"/>
  <c r="A61" i="12" s="1"/>
  <c r="B60" i="12"/>
  <c r="A60" i="12" s="1"/>
  <c r="B59" i="12"/>
  <c r="A59" i="12"/>
  <c r="B58" i="12"/>
  <c r="B57" i="12"/>
  <c r="A57" i="12" s="1"/>
  <c r="B56" i="12"/>
  <c r="A56" i="12" s="1"/>
  <c r="B55" i="12"/>
  <c r="A55" i="12" s="1"/>
  <c r="B54" i="12"/>
  <c r="A54" i="12" s="1"/>
  <c r="B53" i="12"/>
  <c r="A53" i="12" s="1"/>
  <c r="B52" i="12"/>
  <c r="A52" i="12" s="1"/>
  <c r="B51" i="12"/>
  <c r="B50" i="12"/>
  <c r="A50" i="12" s="1"/>
  <c r="B49" i="12"/>
  <c r="A49" i="12" s="1"/>
  <c r="B48" i="12"/>
  <c r="B47" i="12"/>
  <c r="B46" i="12"/>
  <c r="B45" i="12"/>
  <c r="A45" i="12" s="1"/>
  <c r="B44" i="12"/>
  <c r="B43" i="12"/>
  <c r="A43" i="12" s="1"/>
  <c r="B42" i="12"/>
  <c r="A42" i="12" s="1"/>
  <c r="B41" i="12"/>
  <c r="A41" i="12" s="1"/>
  <c r="B40" i="12"/>
  <c r="B39" i="12"/>
  <c r="B38" i="12"/>
  <c r="A38" i="12" s="1"/>
  <c r="B37" i="12"/>
  <c r="B36" i="12"/>
  <c r="A36" i="12" s="1"/>
  <c r="B35" i="12"/>
  <c r="B34" i="12"/>
  <c r="A34" i="12" s="1"/>
  <c r="B33" i="12"/>
  <c r="A33" i="12" s="1"/>
  <c r="B32" i="12"/>
  <c r="L32" i="12" s="1"/>
  <c r="B31" i="12"/>
  <c r="A31" i="12" s="1"/>
  <c r="B30" i="12"/>
  <c r="A30" i="12" s="1"/>
  <c r="B29" i="12"/>
  <c r="A29" i="12" s="1"/>
  <c r="B28" i="12"/>
  <c r="A28" i="12" s="1"/>
  <c r="B27" i="12"/>
  <c r="A27" i="12" s="1"/>
  <c r="B26" i="12"/>
  <c r="A26" i="12" s="1"/>
  <c r="B25" i="12"/>
  <c r="A25" i="12" s="1"/>
  <c r="B24" i="12"/>
  <c r="A24" i="12" s="1"/>
  <c r="B23" i="12"/>
  <c r="B22" i="12"/>
  <c r="B21" i="12"/>
  <c r="A21" i="12" s="1"/>
  <c r="B20" i="12"/>
  <c r="A20" i="12" s="1"/>
  <c r="B19" i="12"/>
  <c r="A19" i="12" s="1"/>
  <c r="B18" i="12"/>
  <c r="A18" i="12" s="1"/>
  <c r="B17" i="12"/>
  <c r="A17" i="12" s="1"/>
  <c r="B16" i="12"/>
  <c r="A16" i="12" s="1"/>
  <c r="B15" i="12"/>
  <c r="A15" i="12" s="1"/>
  <c r="B14" i="12"/>
  <c r="A14" i="12" s="1"/>
  <c r="B13" i="12"/>
  <c r="A13" i="12" s="1"/>
  <c r="B12" i="12"/>
  <c r="A12" i="12" s="1"/>
  <c r="B11" i="12"/>
  <c r="A11" i="12" s="1"/>
  <c r="B10" i="12"/>
  <c r="A10" i="12" s="1"/>
  <c r="B9" i="12"/>
  <c r="A9" i="12" s="1"/>
  <c r="W8" i="12"/>
  <c r="B8" i="12"/>
  <c r="A8" i="12" s="1"/>
  <c r="B7" i="12"/>
  <c r="A7" i="12" s="1"/>
  <c r="B6" i="12"/>
  <c r="B5" i="12"/>
  <c r="A5" i="12" s="1"/>
  <c r="S291" i="12"/>
  <c r="C1" i="12"/>
  <c r="C168" i="12" s="1"/>
  <c r="L11" i="11"/>
  <c r="J11" i="11"/>
  <c r="AO482" i="9"/>
  <c r="AN482" i="9"/>
  <c r="AO467" i="9"/>
  <c r="AN467" i="9"/>
  <c r="R188" i="9"/>
  <c r="R179" i="9"/>
  <c r="R19" i="9"/>
  <c r="AF14" i="9"/>
  <c r="AF15" i="9" s="1"/>
  <c r="AE15" i="9" s="1"/>
  <c r="W8" i="9"/>
  <c r="S168" i="9"/>
  <c r="C1" i="9"/>
  <c r="B89" i="8"/>
  <c r="B88" i="8"/>
  <c r="B87" i="8"/>
  <c r="C86" i="8"/>
  <c r="B86" i="8"/>
  <c r="G63" i="8"/>
  <c r="I63" i="8" s="1"/>
  <c r="F63" i="8"/>
  <c r="H63" i="8" s="1"/>
  <c r="B1" i="8"/>
  <c r="C34" i="8"/>
  <c r="F34" i="8" s="1"/>
  <c r="H34" i="8" s="1"/>
  <c r="C35" i="8"/>
  <c r="F35" i="8" s="1"/>
  <c r="H35" i="8" s="1"/>
  <c r="L3" i="6"/>
  <c r="C17" i="8" s="1"/>
  <c r="G17" i="8" s="1"/>
  <c r="I17" i="8" s="1"/>
  <c r="M2" i="6"/>
  <c r="L2" i="6"/>
  <c r="E20" i="5"/>
  <c r="G20" i="5" s="1"/>
  <c r="A20" i="5"/>
  <c r="E19" i="5"/>
  <c r="G19" i="5" s="1"/>
  <c r="A19" i="5"/>
  <c r="E18" i="5"/>
  <c r="G18" i="5" s="1"/>
  <c r="A18" i="5"/>
  <c r="E17" i="5"/>
  <c r="G17" i="5" s="1"/>
  <c r="A17" i="5"/>
  <c r="E16" i="5"/>
  <c r="G16" i="5" s="1"/>
  <c r="A16" i="5"/>
  <c r="A15" i="5"/>
  <c r="E14" i="5"/>
  <c r="G14" i="5" s="1"/>
  <c r="A14" i="5"/>
  <c r="E13" i="5"/>
  <c r="G13" i="5" s="1"/>
  <c r="A13" i="5"/>
  <c r="E12" i="5"/>
  <c r="G12" i="5" s="1"/>
  <c r="A12" i="5"/>
  <c r="E11" i="5"/>
  <c r="G11" i="5" s="1"/>
  <c r="A11" i="5"/>
  <c r="E10" i="5"/>
  <c r="G10" i="5" s="1"/>
  <c r="A10" i="5"/>
  <c r="E9" i="5"/>
  <c r="G9" i="5" s="1"/>
  <c r="A9" i="5"/>
  <c r="E8" i="5"/>
  <c r="G8" i="5" s="1"/>
  <c r="A8" i="5"/>
  <c r="E7" i="5"/>
  <c r="A7" i="5"/>
  <c r="E6" i="5"/>
  <c r="G6" i="5" s="1"/>
  <c r="A6" i="5"/>
  <c r="R5" i="5"/>
  <c r="Q5" i="5"/>
  <c r="P5" i="5"/>
  <c r="O5" i="5"/>
  <c r="N5" i="5"/>
  <c r="L5" i="5"/>
  <c r="K5" i="5"/>
  <c r="J5" i="5"/>
  <c r="I5" i="5"/>
  <c r="H5" i="5"/>
  <c r="F5" i="5"/>
  <c r="A500" i="3"/>
  <c r="A499" i="3"/>
  <c r="A498" i="3"/>
  <c r="A497" i="3"/>
  <c r="A496" i="3"/>
  <c r="A495" i="3"/>
  <c r="A494"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56" i="3"/>
  <c r="A355" i="3"/>
  <c r="A354" i="3"/>
  <c r="A353" i="3"/>
  <c r="A352" i="3"/>
  <c r="A351" i="3"/>
  <c r="A350" i="3"/>
  <c r="A349" i="3"/>
  <c r="A348" i="3"/>
  <c r="A347" i="3"/>
  <c r="A346" i="3"/>
  <c r="A345" i="3"/>
  <c r="A344" i="3"/>
  <c r="A343" i="3"/>
  <c r="A342" i="3"/>
  <c r="A341"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2" i="3"/>
  <c r="A291" i="3"/>
  <c r="A290" i="3"/>
  <c r="A289" i="3"/>
  <c r="A288" i="3"/>
  <c r="A287" i="3"/>
  <c r="A286" i="3"/>
  <c r="A285" i="3"/>
  <c r="A284" i="3"/>
  <c r="A283" i="3"/>
  <c r="A282" i="3"/>
  <c r="A281" i="3"/>
  <c r="A280" i="3"/>
  <c r="A279" i="3"/>
  <c r="A278" i="3"/>
  <c r="A277"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36" i="3"/>
  <c r="A235" i="3"/>
  <c r="A234" i="3"/>
  <c r="A233" i="3"/>
  <c r="A232" i="3"/>
  <c r="A231" i="3"/>
  <c r="A230" i="3"/>
  <c r="A229" i="3"/>
  <c r="A228" i="3"/>
  <c r="A227" i="3"/>
  <c r="A226" i="3"/>
  <c r="A225" i="3"/>
  <c r="A224" i="3"/>
  <c r="A223" i="3"/>
  <c r="A222" i="3"/>
  <c r="A221"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8" i="3"/>
  <c r="A97" i="3"/>
  <c r="A96"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O2" i="3"/>
  <c r="AN2" i="3"/>
  <c r="AM2" i="3"/>
  <c r="AL2" i="3"/>
  <c r="AK2" i="3"/>
  <c r="AJ2" i="3"/>
  <c r="AI2" i="3"/>
  <c r="AH2" i="3"/>
  <c r="AG2" i="3"/>
  <c r="AF2" i="3"/>
  <c r="AE2" i="3"/>
  <c r="AD2" i="3"/>
  <c r="AC2" i="3"/>
  <c r="AB2" i="3"/>
  <c r="AA2" i="3"/>
  <c r="Z2" i="3"/>
  <c r="Y2" i="3"/>
  <c r="X2" i="3"/>
  <c r="W2" i="3"/>
  <c r="V2" i="3"/>
  <c r="U2" i="3"/>
  <c r="T2" i="3"/>
  <c r="S2" i="3"/>
  <c r="R2" i="3"/>
  <c r="Q2" i="3"/>
  <c r="P2" i="3"/>
  <c r="O2" i="3"/>
  <c r="N2" i="3"/>
  <c r="M2" i="3"/>
  <c r="L2" i="3"/>
  <c r="K2" i="3"/>
  <c r="J2" i="3"/>
  <c r="I2" i="3"/>
  <c r="H2" i="3"/>
  <c r="G2" i="3"/>
  <c r="F2" i="3"/>
  <c r="Z496" i="9" s="1"/>
  <c r="A3" i="2"/>
  <c r="A2" i="2"/>
  <c r="M14" i="1"/>
  <c r="M13" i="1"/>
  <c r="M12" i="1"/>
  <c r="M11" i="1"/>
  <c r="M10" i="1"/>
  <c r="M9" i="1"/>
  <c r="M8" i="1"/>
  <c r="M7" i="1"/>
  <c r="M6" i="1"/>
  <c r="M5" i="1"/>
  <c r="M4" i="1"/>
  <c r="M3" i="1"/>
  <c r="C3" i="1"/>
  <c r="N6" i="1" s="1"/>
  <c r="B40" i="21" s="1"/>
  <c r="V402" i="9" l="1"/>
  <c r="F7" i="21"/>
  <c r="F20" i="21" s="1"/>
  <c r="F12" i="21"/>
  <c r="Q3" i="20"/>
  <c r="P3" i="20"/>
  <c r="O3" i="20"/>
  <c r="F75" i="9"/>
  <c r="F265" i="12" a="1"/>
  <c r="F265" i="12" s="1"/>
  <c r="Z453" i="9"/>
  <c r="D99" i="9"/>
  <c r="E99" i="9" s="1"/>
  <c r="F96" i="9"/>
  <c r="N96" i="9" s="1"/>
  <c r="Z457" i="9"/>
  <c r="Z455" i="9"/>
  <c r="Z494" i="9"/>
  <c r="AI494" i="9" s="1"/>
  <c r="Z460" i="9"/>
  <c r="Z493" i="9"/>
  <c r="Z491" i="9"/>
  <c r="Z458" i="9"/>
  <c r="Z469" i="9"/>
  <c r="Z461" i="9"/>
  <c r="Z477" i="9"/>
  <c r="Z420" i="9"/>
  <c r="Z492" i="9"/>
  <c r="AI492" i="9" s="1"/>
  <c r="Z456" i="9"/>
  <c r="AI456" i="9" s="1"/>
  <c r="Z454" i="9"/>
  <c r="Z459" i="9"/>
  <c r="Z497" i="12" a="1"/>
  <c r="Z497" i="12" s="1"/>
  <c r="AI497" i="12" s="1"/>
  <c r="F78" i="9"/>
  <c r="F69" i="9"/>
  <c r="N69" i="9" s="1"/>
  <c r="F59" i="9"/>
  <c r="F52" i="9"/>
  <c r="F42" i="9"/>
  <c r="F35" i="9"/>
  <c r="F22" i="9"/>
  <c r="D19" i="9"/>
  <c r="E19" i="9" s="1"/>
  <c r="F12" i="9"/>
  <c r="F6" i="9"/>
  <c r="F77" i="9"/>
  <c r="F58" i="9"/>
  <c r="F15" i="9"/>
  <c r="F53" i="9"/>
  <c r="F39" i="9"/>
  <c r="F8" i="9"/>
  <c r="F56" i="9"/>
  <c r="F38" i="9"/>
  <c r="D22" i="9"/>
  <c r="E22" i="9" s="1"/>
  <c r="D12" i="9"/>
  <c r="E12" i="9" s="1"/>
  <c r="F9" i="9"/>
  <c r="D6" i="9"/>
  <c r="F71" i="9"/>
  <c r="F40" i="9"/>
  <c r="F37" i="9"/>
  <c r="D23" i="9"/>
  <c r="E23" i="9" s="1"/>
  <c r="F81" i="9"/>
  <c r="F68" i="9"/>
  <c r="F65" i="9"/>
  <c r="F62" i="9"/>
  <c r="F51" i="9"/>
  <c r="F48" i="9"/>
  <c r="F45" i="9"/>
  <c r="F34" i="9"/>
  <c r="F31" i="9"/>
  <c r="D9" i="9"/>
  <c r="E9" i="9" s="1"/>
  <c r="F55" i="9"/>
  <c r="F10" i="9"/>
  <c r="F7" i="9"/>
  <c r="F70" i="9"/>
  <c r="F43" i="9"/>
  <c r="D11" i="9"/>
  <c r="E11" i="9" s="1"/>
  <c r="F80" i="9"/>
  <c r="F67" i="9"/>
  <c r="F61" i="9"/>
  <c r="F50" i="9"/>
  <c r="F44" i="9"/>
  <c r="F33" i="9"/>
  <c r="F21" i="9"/>
  <c r="D15" i="9"/>
  <c r="D10" i="9"/>
  <c r="D7" i="9"/>
  <c r="F5" i="9"/>
  <c r="F57" i="9"/>
  <c r="D17" i="9"/>
  <c r="F64" i="9"/>
  <c r="F47" i="9"/>
  <c r="F23" i="9"/>
  <c r="D21" i="9"/>
  <c r="E21" i="9" s="1"/>
  <c r="F17" i="9"/>
  <c r="F11" i="9"/>
  <c r="F79" i="9"/>
  <c r="F60" i="9"/>
  <c r="F36" i="9"/>
  <c r="D8" i="9"/>
  <c r="E8" i="9" s="1"/>
  <c r="F66" i="9"/>
  <c r="F46" i="9"/>
  <c r="F49" i="9"/>
  <c r="F19" i="9"/>
  <c r="F63" i="9"/>
  <c r="F82" i="9"/>
  <c r="F32" i="9"/>
  <c r="F394" i="9"/>
  <c r="F381" i="9"/>
  <c r="F378" i="9"/>
  <c r="F360" i="9"/>
  <c r="F339" i="9"/>
  <c r="F324" i="9"/>
  <c r="D308" i="9"/>
  <c r="F303" i="9"/>
  <c r="D298" i="9"/>
  <c r="D296" i="9"/>
  <c r="F280" i="9"/>
  <c r="F274" i="9"/>
  <c r="F270" i="9"/>
  <c r="F267" i="9"/>
  <c r="F263" i="9"/>
  <c r="F228" i="9"/>
  <c r="F218" i="9"/>
  <c r="F211" i="9"/>
  <c r="F191" i="9"/>
  <c r="N191" i="9" s="1"/>
  <c r="F184" i="9"/>
  <c r="D42" i="8" s="1"/>
  <c r="E181" i="9"/>
  <c r="F156" i="9"/>
  <c r="N156" i="9" s="1"/>
  <c r="F150" i="9"/>
  <c r="F147" i="9"/>
  <c r="F137" i="9"/>
  <c r="F133" i="9"/>
  <c r="F130" i="9"/>
  <c r="F119" i="9"/>
  <c r="F116" i="9"/>
  <c r="F113" i="9"/>
  <c r="F103" i="9"/>
  <c r="D96" i="9"/>
  <c r="M96" i="9" s="1"/>
  <c r="F348" i="9"/>
  <c r="F329" i="9"/>
  <c r="D299" i="9"/>
  <c r="F279" i="9"/>
  <c r="F241" i="9"/>
  <c r="F199" i="9"/>
  <c r="F115" i="9"/>
  <c r="D172" i="9"/>
  <c r="F127" i="9"/>
  <c r="F390" i="9"/>
  <c r="F387" i="9"/>
  <c r="F373" i="9"/>
  <c r="F370" i="9"/>
  <c r="F366" i="9"/>
  <c r="D360" i="9"/>
  <c r="D362" i="9" s="1"/>
  <c r="E362" i="9" s="1"/>
  <c r="F345" i="9"/>
  <c r="F342" i="9"/>
  <c r="F335" i="9"/>
  <c r="F331" i="9"/>
  <c r="F327" i="9"/>
  <c r="F320" i="9"/>
  <c r="D59" i="8" s="1"/>
  <c r="D303" i="9"/>
  <c r="E303" i="9" s="1"/>
  <c r="F301" i="9"/>
  <c r="F277" i="9"/>
  <c r="F259" i="9"/>
  <c r="F256" i="9"/>
  <c r="F224" i="9"/>
  <c r="F221" i="9"/>
  <c r="F206" i="9"/>
  <c r="F203" i="9"/>
  <c r="F200" i="9"/>
  <c r="E191" i="9"/>
  <c r="D181" i="9"/>
  <c r="F162" i="9"/>
  <c r="F159" i="9"/>
  <c r="F143" i="9"/>
  <c r="F140" i="9"/>
  <c r="F126" i="9"/>
  <c r="F123" i="9"/>
  <c r="D103" i="9"/>
  <c r="E103" i="9" s="1"/>
  <c r="F100" i="9"/>
  <c r="N100" i="9" s="1"/>
  <c r="F94" i="9"/>
  <c r="F380" i="9"/>
  <c r="F344" i="9"/>
  <c r="F307" i="9"/>
  <c r="F276" i="9"/>
  <c r="F216" i="9"/>
  <c r="F149" i="9"/>
  <c r="F102" i="9"/>
  <c r="F144" i="9"/>
  <c r="F76" i="9"/>
  <c r="F393" i="9"/>
  <c r="F383" i="9"/>
  <c r="F376" i="9"/>
  <c r="F338" i="9"/>
  <c r="F323" i="9"/>
  <c r="D301" i="9"/>
  <c r="E301" i="9" s="1"/>
  <c r="F299" i="9"/>
  <c r="F283" i="9"/>
  <c r="F269" i="9"/>
  <c r="F262" i="9"/>
  <c r="F227" i="9"/>
  <c r="F213" i="9"/>
  <c r="D47" i="8" s="1"/>
  <c r="F209" i="9"/>
  <c r="F152" i="9"/>
  <c r="F146" i="9"/>
  <c r="F136" i="9"/>
  <c r="F129" i="9"/>
  <c r="F118" i="9"/>
  <c r="F112" i="9"/>
  <c r="D100" i="9"/>
  <c r="D94" i="9"/>
  <c r="F386" i="9"/>
  <c r="F369" i="9"/>
  <c r="F334" i="9"/>
  <c r="F312" i="9"/>
  <c r="M312" i="9" s="1"/>
  <c r="F297" i="9"/>
  <c r="F265" i="9"/>
  <c r="F205" i="9"/>
  <c r="F132" i="9"/>
  <c r="F99" i="9"/>
  <c r="E175" i="9"/>
  <c r="F392" i="9"/>
  <c r="F389" i="9"/>
  <c r="F375" i="9"/>
  <c r="F372" i="9"/>
  <c r="F365" i="9"/>
  <c r="F341" i="9"/>
  <c r="F326" i="9"/>
  <c r="F322" i="9"/>
  <c r="F319" i="9"/>
  <c r="D312" i="9"/>
  <c r="E312" i="9" s="1"/>
  <c r="D307" i="9"/>
  <c r="E307" i="9" s="1"/>
  <c r="D297" i="9"/>
  <c r="F295" i="9"/>
  <c r="F282" i="9"/>
  <c r="F272" i="9"/>
  <c r="F261" i="9"/>
  <c r="F258" i="9"/>
  <c r="F255" i="9"/>
  <c r="F244" i="9"/>
  <c r="E241" i="9"/>
  <c r="F226" i="9"/>
  <c r="F223" i="9"/>
  <c r="F220" i="9"/>
  <c r="F202" i="9"/>
  <c r="F172" i="9"/>
  <c r="F161" i="9"/>
  <c r="F158" i="9"/>
  <c r="F145" i="9"/>
  <c r="F142" i="9"/>
  <c r="F139" i="9"/>
  <c r="F128" i="9"/>
  <c r="F125" i="9"/>
  <c r="F121" i="9"/>
  <c r="F104" i="9"/>
  <c r="N104" i="9" s="1"/>
  <c r="D102" i="9"/>
  <c r="E102" i="9" s="1"/>
  <c r="F95" i="9"/>
  <c r="N95" i="9" s="1"/>
  <c r="F391" i="9"/>
  <c r="F374" i="9"/>
  <c r="F340" i="9"/>
  <c r="F328" i="9"/>
  <c r="F321" i="9"/>
  <c r="D300" i="9"/>
  <c r="F278" i="9"/>
  <c r="F271" i="9"/>
  <c r="F254" i="9"/>
  <c r="F225" i="9"/>
  <c r="F204" i="9"/>
  <c r="E188" i="9"/>
  <c r="F157" i="9"/>
  <c r="F120" i="9"/>
  <c r="F385" i="9"/>
  <c r="F382" i="9"/>
  <c r="F368" i="9"/>
  <c r="F347" i="9"/>
  <c r="F333" i="9"/>
  <c r="F302" i="9"/>
  <c r="F300" i="9"/>
  <c r="D295" i="9"/>
  <c r="F268" i="9"/>
  <c r="F264" i="9"/>
  <c r="E244" i="9"/>
  <c r="D241" i="9"/>
  <c r="F215" i="9"/>
  <c r="F212" i="9"/>
  <c r="F208" i="9"/>
  <c r="F198" i="9"/>
  <c r="F188" i="9"/>
  <c r="F178" i="9"/>
  <c r="F175" i="9"/>
  <c r="E172" i="9"/>
  <c r="F151" i="9"/>
  <c r="F148" i="9"/>
  <c r="F134" i="9"/>
  <c r="F131" i="9"/>
  <c r="F117" i="9"/>
  <c r="F114" i="9"/>
  <c r="D104" i="9"/>
  <c r="E104" i="9" s="1"/>
  <c r="D95" i="9"/>
  <c r="F93" i="9"/>
  <c r="F379" i="9"/>
  <c r="F343" i="9"/>
  <c r="F336" i="9"/>
  <c r="F325" i="9"/>
  <c r="D302" i="9"/>
  <c r="E302" i="9" s="1"/>
  <c r="F281" i="9"/>
  <c r="F275" i="9"/>
  <c r="F260" i="9"/>
  <c r="D244" i="9"/>
  <c r="F219" i="9"/>
  <c r="F201" i="9"/>
  <c r="E178" i="9"/>
  <c r="F138" i="9"/>
  <c r="F124" i="9"/>
  <c r="F371" i="9"/>
  <c r="F284" i="9"/>
  <c r="F257" i="9"/>
  <c r="F181" i="9"/>
  <c r="F207" i="9"/>
  <c r="F384" i="9"/>
  <c r="F332" i="9"/>
  <c r="F222" i="9"/>
  <c r="D175" i="9"/>
  <c r="F318" i="9"/>
  <c r="F298" i="9"/>
  <c r="F367" i="9"/>
  <c r="F308" i="9"/>
  <c r="F296" i="9"/>
  <c r="F214" i="9"/>
  <c r="F388" i="9"/>
  <c r="D178" i="9"/>
  <c r="F346" i="9"/>
  <c r="F160" i="9"/>
  <c r="F141" i="9"/>
  <c r="C168" i="9"/>
  <c r="C89" i="9"/>
  <c r="O603" i="17"/>
  <c r="P620" i="17"/>
  <c r="P869" i="17"/>
  <c r="P919" i="17"/>
  <c r="P887" i="17"/>
  <c r="O917" i="17"/>
  <c r="N663" i="17"/>
  <c r="N344" i="17"/>
  <c r="N557" i="17"/>
  <c r="O1009" i="17"/>
  <c r="N762" i="17"/>
  <c r="O905" i="17"/>
  <c r="P494" i="17"/>
  <c r="N497" i="17"/>
  <c r="N1033" i="17"/>
  <c r="P29" i="17"/>
  <c r="P343" i="17"/>
  <c r="O416" i="17"/>
  <c r="N210" i="17"/>
  <c r="P461" i="17"/>
  <c r="O620" i="17"/>
  <c r="O815" i="17"/>
  <c r="N62" i="17"/>
  <c r="N566" i="17"/>
  <c r="O642" i="17"/>
  <c r="O438" i="17"/>
  <c r="N629" i="17"/>
  <c r="P762" i="17"/>
  <c r="P178" i="17"/>
  <c r="O629" i="17"/>
  <c r="O646" i="17"/>
  <c r="N772" i="17"/>
  <c r="O62" i="17"/>
  <c r="O344" i="17"/>
  <c r="P124" i="17"/>
  <c r="P212" i="17"/>
  <c r="O309" i="17"/>
  <c r="P61" i="17"/>
  <c r="P374" i="17"/>
  <c r="O372" i="17"/>
  <c r="N320" i="17"/>
  <c r="N114" i="17"/>
  <c r="O149" i="17"/>
  <c r="O325" i="17"/>
  <c r="O398" i="17"/>
  <c r="T42" i="17"/>
  <c r="N37" i="17"/>
  <c r="X53" i="17"/>
  <c r="X182" i="17"/>
  <c r="W241" i="17"/>
  <c r="P259" i="17"/>
  <c r="O270" i="17"/>
  <c r="N288" i="17"/>
  <c r="V456" i="17"/>
  <c r="W486" i="17"/>
  <c r="V568" i="17"/>
  <c r="N655" i="17"/>
  <c r="O784" i="17"/>
  <c r="N790" i="17"/>
  <c r="O808" i="17"/>
  <c r="U1026" i="17"/>
  <c r="C291" i="9"/>
  <c r="C356" i="9" s="1"/>
  <c r="N11" i="14"/>
  <c r="O37" i="17"/>
  <c r="O40" i="17"/>
  <c r="V78" i="17"/>
  <c r="T81" i="17"/>
  <c r="P97" i="17"/>
  <c r="V155" i="17"/>
  <c r="N160" i="17"/>
  <c r="P220" i="17"/>
  <c r="V222" i="17"/>
  <c r="N230" i="17"/>
  <c r="N246" i="17"/>
  <c r="O288" i="17"/>
  <c r="N299" i="17"/>
  <c r="O507" i="17"/>
  <c r="P619" i="17"/>
  <c r="O655" i="17"/>
  <c r="N780" i="17"/>
  <c r="O793" i="17"/>
  <c r="V827" i="17"/>
  <c r="X20" i="17"/>
  <c r="N54" i="17"/>
  <c r="X65" i="17"/>
  <c r="N67" i="17"/>
  <c r="V103" i="17"/>
  <c r="O113" i="17"/>
  <c r="O114" i="17"/>
  <c r="P210" i="17"/>
  <c r="W227" i="17"/>
  <c r="N238" i="17"/>
  <c r="N272" i="17"/>
  <c r="N307" i="17"/>
  <c r="U373" i="17"/>
  <c r="N431" i="17"/>
  <c r="U629" i="17"/>
  <c r="O663" i="17"/>
  <c r="X670" i="17"/>
  <c r="P683" i="17"/>
  <c r="V712" i="17"/>
  <c r="W805" i="17"/>
  <c r="O810" i="17"/>
  <c r="O813" i="17"/>
  <c r="C236" i="12"/>
  <c r="T68" i="17"/>
  <c r="N78" i="17"/>
  <c r="O82" i="17"/>
  <c r="P113" i="17"/>
  <c r="P179" i="17"/>
  <c r="X201" i="17"/>
  <c r="O203" i="17"/>
  <c r="X214" i="17"/>
  <c r="U217" i="17"/>
  <c r="P238" i="17"/>
  <c r="O254" i="17"/>
  <c r="O272" i="17"/>
  <c r="N321" i="17"/>
  <c r="W364" i="17"/>
  <c r="P419" i="17"/>
  <c r="V451" i="17"/>
  <c r="V518" i="17"/>
  <c r="V543" i="17"/>
  <c r="X558" i="17"/>
  <c r="N612" i="17"/>
  <c r="U715" i="17"/>
  <c r="N782" i="17"/>
  <c r="U790" i="17"/>
  <c r="O795" i="17"/>
  <c r="W820" i="17"/>
  <c r="N869" i="17"/>
  <c r="V889" i="17"/>
  <c r="V895" i="17"/>
  <c r="N909" i="17"/>
  <c r="U988" i="17"/>
  <c r="O78" i="17"/>
  <c r="U160" i="17"/>
  <c r="N170" i="17"/>
  <c r="P188" i="17"/>
  <c r="N222" i="17"/>
  <c r="N237" i="17"/>
  <c r="N244" i="17"/>
  <c r="O253" i="17"/>
  <c r="P254" i="17"/>
  <c r="N257" i="17"/>
  <c r="N275" i="17"/>
  <c r="N341" i="17"/>
  <c r="P418" i="17"/>
  <c r="N590" i="17"/>
  <c r="V597" i="17"/>
  <c r="W607" i="17"/>
  <c r="O612" i="17"/>
  <c r="P647" i="17"/>
  <c r="N650" i="17"/>
  <c r="O653" i="17"/>
  <c r="O782" i="17"/>
  <c r="O788" i="17"/>
  <c r="O831" i="17"/>
  <c r="O887" i="17"/>
  <c r="W889" i="17"/>
  <c r="W895" i="17"/>
  <c r="P909" i="17"/>
  <c r="P940" i="17"/>
  <c r="V29" i="17"/>
  <c r="P70" i="17"/>
  <c r="P108" i="17"/>
  <c r="P132" i="17"/>
  <c r="V137" i="17"/>
  <c r="P160" i="17"/>
  <c r="O177" i="17"/>
  <c r="P203" i="17"/>
  <c r="N213" i="17"/>
  <c r="O235" i="17"/>
  <c r="X241" i="17"/>
  <c r="P243" i="17"/>
  <c r="N266" i="17"/>
  <c r="V275" i="17"/>
  <c r="O277" i="17"/>
  <c r="O307" i="17"/>
  <c r="P319" i="17"/>
  <c r="W321" i="17"/>
  <c r="O427" i="17"/>
  <c r="O508" i="17"/>
  <c r="N511" i="17"/>
  <c r="O566" i="17"/>
  <c r="P690" i="17"/>
  <c r="P772" i="17"/>
  <c r="P778" i="17"/>
  <c r="N823" i="17"/>
  <c r="O839" i="17"/>
  <c r="W863" i="17"/>
  <c r="O1039" i="17"/>
  <c r="P27" i="17"/>
  <c r="N46" i="17"/>
  <c r="O49" i="17"/>
  <c r="O94" i="17"/>
  <c r="N98" i="17"/>
  <c r="W137" i="17"/>
  <c r="P150" i="17"/>
  <c r="O265" i="17"/>
  <c r="P266" i="17"/>
  <c r="P300" i="17"/>
  <c r="P447" i="17"/>
  <c r="N481" i="17"/>
  <c r="O499" i="17"/>
  <c r="O672" i="17"/>
  <c r="O816" i="17"/>
  <c r="O940" i="17"/>
  <c r="N1001" i="17"/>
  <c r="U95" i="17"/>
  <c r="V123" i="17"/>
  <c r="X297" i="17"/>
  <c r="W329" i="17"/>
  <c r="V384" i="17"/>
  <c r="X493" i="17"/>
  <c r="U696" i="17"/>
  <c r="T740" i="17"/>
  <c r="U952" i="17"/>
  <c r="O818" i="17"/>
  <c r="P847" i="17"/>
  <c r="W884" i="17"/>
  <c r="O893" i="17"/>
  <c r="T919" i="17"/>
  <c r="O924" i="17"/>
  <c r="O930" i="17"/>
  <c r="V952" i="17"/>
  <c r="T966" i="17"/>
  <c r="T986" i="17"/>
  <c r="U1013" i="17"/>
  <c r="V21" i="17"/>
  <c r="U43" i="17"/>
  <c r="T52" i="17"/>
  <c r="X310" i="17"/>
  <c r="T433" i="17"/>
  <c r="W457" i="17"/>
  <c r="U487" i="17"/>
  <c r="U638" i="17"/>
  <c r="T20" i="17"/>
  <c r="P41" i="17"/>
  <c r="N74" i="17"/>
  <c r="X94" i="17"/>
  <c r="V98" i="17"/>
  <c r="X104" i="17"/>
  <c r="X180" i="17"/>
  <c r="N240" i="17"/>
  <c r="O248" i="17"/>
  <c r="V265" i="17"/>
  <c r="N274" i="17"/>
  <c r="T300" i="17"/>
  <c r="X350" i="17"/>
  <c r="N352" i="17"/>
  <c r="O379" i="17"/>
  <c r="X405" i="17"/>
  <c r="T456" i="17"/>
  <c r="X457" i="17"/>
  <c r="O462" i="17"/>
  <c r="W466" i="17"/>
  <c r="N471" i="17"/>
  <c r="V475" i="17"/>
  <c r="T530" i="17"/>
  <c r="O558" i="17"/>
  <c r="O579" i="17"/>
  <c r="N582" i="17"/>
  <c r="V614" i="17"/>
  <c r="V638" i="17"/>
  <c r="O649" i="17"/>
  <c r="U672" i="17"/>
  <c r="P694" i="17"/>
  <c r="U739" i="17"/>
  <c r="O821" i="17"/>
  <c r="W1001" i="17"/>
  <c r="P853" i="17"/>
  <c r="O879" i="17"/>
  <c r="O882" i="17"/>
  <c r="N964" i="17"/>
  <c r="W1041" i="17"/>
  <c r="V792" i="17"/>
  <c r="W792" i="17"/>
  <c r="P829" i="17"/>
  <c r="N829" i="17"/>
  <c r="T692" i="17"/>
  <c r="U692" i="17"/>
  <c r="T823" i="17"/>
  <c r="V823" i="17"/>
  <c r="W854" i="17"/>
  <c r="T854" i="17"/>
  <c r="N941" i="17"/>
  <c r="P941" i="17"/>
  <c r="V943" i="17"/>
  <c r="T943" i="17"/>
  <c r="V564" i="17"/>
  <c r="U564" i="17"/>
  <c r="W590" i="17"/>
  <c r="V590" i="17"/>
  <c r="N400" i="17"/>
  <c r="P400" i="17"/>
  <c r="T745" i="17"/>
  <c r="U745" i="17"/>
  <c r="X21" i="17"/>
  <c r="W42" i="17"/>
  <c r="X52" i="17"/>
  <c r="T108" i="17"/>
  <c r="N201" i="17"/>
  <c r="O201" i="17"/>
  <c r="V212" i="17"/>
  <c r="T213" i="17"/>
  <c r="W217" i="17"/>
  <c r="N219" i="17"/>
  <c r="P230" i="17"/>
  <c r="W235" i="17"/>
  <c r="P248" i="17"/>
  <c r="N256" i="17"/>
  <c r="V259" i="17"/>
  <c r="O273" i="17"/>
  <c r="P274" i="17"/>
  <c r="P275" i="17"/>
  <c r="N291" i="17"/>
  <c r="O352" i="17"/>
  <c r="V390" i="17"/>
  <c r="T421" i="17"/>
  <c r="N430" i="17"/>
  <c r="O431" i="17"/>
  <c r="O458" i="17"/>
  <c r="X467" i="17"/>
  <c r="W467" i="17"/>
  <c r="P471" i="17"/>
  <c r="O481" i="17"/>
  <c r="X492" i="17"/>
  <c r="X508" i="17"/>
  <c r="X544" i="17"/>
  <c r="V544" i="17"/>
  <c r="X559" i="17"/>
  <c r="W562" i="17"/>
  <c r="P564" i="17"/>
  <c r="V567" i="17"/>
  <c r="P605" i="17"/>
  <c r="N605" i="17"/>
  <c r="P624" i="17"/>
  <c r="T273" i="17"/>
  <c r="V273" i="17"/>
  <c r="W824" i="17"/>
  <c r="T824" i="17"/>
  <c r="X633" i="17"/>
  <c r="W633" i="17"/>
  <c r="X695" i="17"/>
  <c r="T695" i="17"/>
  <c r="N6" i="17"/>
  <c r="U10" i="17"/>
  <c r="P23" i="17"/>
  <c r="O73" i="17"/>
  <c r="V75" i="17"/>
  <c r="X80" i="17"/>
  <c r="N86" i="17"/>
  <c r="O122" i="17"/>
  <c r="V131" i="17"/>
  <c r="O163" i="17"/>
  <c r="P169" i="17"/>
  <c r="U176" i="17"/>
  <c r="N200" i="17"/>
  <c r="O200" i="17"/>
  <c r="W211" i="17"/>
  <c r="X212" i="17"/>
  <c r="O219" i="17"/>
  <c r="N251" i="17"/>
  <c r="O256" i="17"/>
  <c r="T258" i="17"/>
  <c r="O264" i="17"/>
  <c r="P315" i="17"/>
  <c r="O315" i="17"/>
  <c r="N325" i="17"/>
  <c r="T336" i="17"/>
  <c r="X336" i="17"/>
  <c r="N398" i="17"/>
  <c r="N406" i="17"/>
  <c r="O415" i="17"/>
  <c r="N419" i="17"/>
  <c r="O430" i="17"/>
  <c r="U432" i="17"/>
  <c r="N446" i="17"/>
  <c r="O446" i="17"/>
  <c r="P452" i="17"/>
  <c r="V454" i="17"/>
  <c r="V478" i="17"/>
  <c r="O484" i="17"/>
  <c r="N534" i="17"/>
  <c r="P556" i="17"/>
  <c r="U565" i="17"/>
  <c r="U604" i="17"/>
  <c r="X604" i="17"/>
  <c r="W604" i="17"/>
  <c r="P621" i="17"/>
  <c r="O621" i="17"/>
  <c r="P645" i="17"/>
  <c r="O645" i="17"/>
  <c r="N645" i="17"/>
  <c r="O716" i="17"/>
  <c r="P716" i="17"/>
  <c r="U812" i="17"/>
  <c r="T812" i="17"/>
  <c r="T879" i="17"/>
  <c r="V879" i="17"/>
  <c r="O903" i="17"/>
  <c r="P903" i="17"/>
  <c r="N903" i="17"/>
  <c r="T219" i="17"/>
  <c r="W219" i="17"/>
  <c r="O262" i="17"/>
  <c r="P262" i="17"/>
  <c r="T798" i="17"/>
  <c r="U798" i="17"/>
  <c r="U27" i="17"/>
  <c r="X75" i="17"/>
  <c r="O86" i="17"/>
  <c r="V124" i="17"/>
  <c r="W131" i="17"/>
  <c r="T195" i="17"/>
  <c r="V195" i="17"/>
  <c r="N204" i="17"/>
  <c r="N208" i="17"/>
  <c r="N242" i="17"/>
  <c r="O242" i="17"/>
  <c r="V244" i="17"/>
  <c r="U246" i="17"/>
  <c r="V246" i="17"/>
  <c r="P304" i="17"/>
  <c r="O304" i="17"/>
  <c r="T320" i="17"/>
  <c r="W320" i="17"/>
  <c r="P373" i="17"/>
  <c r="O373" i="17"/>
  <c r="P381" i="17"/>
  <c r="N381" i="17"/>
  <c r="W383" i="17"/>
  <c r="X383" i="17"/>
  <c r="O534" i="17"/>
  <c r="X565" i="17"/>
  <c r="V647" i="17"/>
  <c r="T647" i="17"/>
  <c r="N648" i="17"/>
  <c r="P648" i="17"/>
  <c r="W675" i="17"/>
  <c r="U688" i="17"/>
  <c r="V688" i="17"/>
  <c r="O742" i="17"/>
  <c r="N742" i="17"/>
  <c r="T815" i="17"/>
  <c r="U815" i="17"/>
  <c r="P837" i="17"/>
  <c r="O837" i="17"/>
  <c r="N837" i="17"/>
  <c r="P844" i="17"/>
  <c r="N844" i="17"/>
  <c r="W846" i="17"/>
  <c r="V846" i="17"/>
  <c r="T859" i="17"/>
  <c r="V859" i="17"/>
  <c r="T899" i="17"/>
  <c r="V899" i="17"/>
  <c r="U899" i="17"/>
  <c r="O202" i="17"/>
  <c r="P202" i="17"/>
  <c r="O267" i="17"/>
  <c r="N267" i="17"/>
  <c r="O920" i="17"/>
  <c r="P920" i="17"/>
  <c r="T656" i="17"/>
  <c r="W656" i="17"/>
  <c r="U656" i="17"/>
  <c r="P35" i="17"/>
  <c r="V37" i="17"/>
  <c r="P43" i="17"/>
  <c r="N72" i="17"/>
  <c r="V79" i="17"/>
  <c r="X83" i="17"/>
  <c r="N85" i="17"/>
  <c r="P89" i="17"/>
  <c r="V94" i="17"/>
  <c r="V95" i="17"/>
  <c r="W123" i="17"/>
  <c r="X130" i="17"/>
  <c r="X131" i="17"/>
  <c r="N168" i="17"/>
  <c r="P204" i="17"/>
  <c r="P208" i="17"/>
  <c r="U210" i="17"/>
  <c r="P232" i="17"/>
  <c r="N232" i="17"/>
  <c r="U233" i="17"/>
  <c r="N235" i="17"/>
  <c r="P236" i="17"/>
  <c r="V243" i="17"/>
  <c r="X245" i="17"/>
  <c r="U245" i="17"/>
  <c r="O250" i="17"/>
  <c r="W257" i="17"/>
  <c r="P263" i="17"/>
  <c r="V269" i="17"/>
  <c r="P283" i="17"/>
  <c r="N283" i="17"/>
  <c r="N293" i="17"/>
  <c r="P355" i="17"/>
  <c r="O355" i="17"/>
  <c r="U392" i="17"/>
  <c r="O487" i="17"/>
  <c r="N487" i="17"/>
  <c r="O509" i="17"/>
  <c r="P524" i="17"/>
  <c r="X535" i="17"/>
  <c r="N568" i="17"/>
  <c r="P577" i="17"/>
  <c r="N577" i="17"/>
  <c r="V579" i="17"/>
  <c r="X579" i="17"/>
  <c r="P580" i="17"/>
  <c r="O580" i="17"/>
  <c r="N580" i="17"/>
  <c r="W581" i="17"/>
  <c r="X594" i="17"/>
  <c r="P600" i="17"/>
  <c r="O600" i="17"/>
  <c r="U617" i="17"/>
  <c r="O641" i="17"/>
  <c r="P641" i="17"/>
  <c r="O644" i="17"/>
  <c r="T650" i="17"/>
  <c r="U650" i="17"/>
  <c r="P658" i="17"/>
  <c r="O658" i="17"/>
  <c r="X660" i="17"/>
  <c r="T660" i="17"/>
  <c r="P812" i="17"/>
  <c r="O812" i="17"/>
  <c r="T865" i="17"/>
  <c r="W865" i="17"/>
  <c r="T835" i="17"/>
  <c r="W835" i="17"/>
  <c r="X30" i="17"/>
  <c r="W61" i="17"/>
  <c r="V99" i="17"/>
  <c r="X102" i="17"/>
  <c r="V106" i="17"/>
  <c r="U159" i="17"/>
  <c r="V179" i="17"/>
  <c r="O185" i="17"/>
  <c r="W188" i="17"/>
  <c r="V188" i="17"/>
  <c r="U193" i="17"/>
  <c r="O195" i="17"/>
  <c r="O228" i="17"/>
  <c r="N228" i="17"/>
  <c r="X273" i="17"/>
  <c r="V294" i="17"/>
  <c r="U297" i="17"/>
  <c r="T309" i="17"/>
  <c r="W356" i="17"/>
  <c r="U359" i="17"/>
  <c r="U374" i="17"/>
  <c r="O376" i="17"/>
  <c r="W402" i="17"/>
  <c r="P422" i="17"/>
  <c r="N422" i="17"/>
  <c r="V480" i="17"/>
  <c r="W584" i="17"/>
  <c r="T590" i="17"/>
  <c r="V617" i="17"/>
  <c r="T811" i="17"/>
  <c r="W811" i="17"/>
  <c r="V811" i="17"/>
  <c r="U811" i="17"/>
  <c r="V824" i="17"/>
  <c r="T829" i="17"/>
  <c r="V829" i="17"/>
  <c r="V929" i="17"/>
  <c r="T929" i="17"/>
  <c r="T605" i="17"/>
  <c r="U605" i="17"/>
  <c r="O760" i="17"/>
  <c r="P760" i="17"/>
  <c r="N14" i="17"/>
  <c r="O17" i="17"/>
  <c r="O59" i="17"/>
  <c r="X78" i="17"/>
  <c r="X116" i="17"/>
  <c r="O128" i="17"/>
  <c r="P185" i="17"/>
  <c r="P195" i="17"/>
  <c r="O198" i="17"/>
  <c r="U237" i="17"/>
  <c r="N245" i="17"/>
  <c r="V251" i="17"/>
  <c r="N262" i="17"/>
  <c r="P267" i="17"/>
  <c r="V297" i="17"/>
  <c r="V304" i="17"/>
  <c r="W308" i="17"/>
  <c r="N342" i="17"/>
  <c r="P342" i="17"/>
  <c r="N349" i="17"/>
  <c r="T352" i="17"/>
  <c r="V352" i="17"/>
  <c r="P376" i="17"/>
  <c r="O387" i="17"/>
  <c r="P454" i="17"/>
  <c r="T471" i="17"/>
  <c r="U471" i="17"/>
  <c r="U484" i="17"/>
  <c r="W498" i="17"/>
  <c r="T498" i="17"/>
  <c r="P517" i="17"/>
  <c r="P532" i="17"/>
  <c r="N571" i="17"/>
  <c r="P571" i="17"/>
  <c r="O669" i="17"/>
  <c r="U707" i="17"/>
  <c r="T707" i="17"/>
  <c r="P752" i="17"/>
  <c r="W766" i="17"/>
  <c r="T766" i="17"/>
  <c r="N776" i="17"/>
  <c r="P776" i="17"/>
  <c r="W823" i="17"/>
  <c r="T825" i="17"/>
  <c r="U825" i="17"/>
  <c r="P872" i="17"/>
  <c r="O872" i="17"/>
  <c r="N872" i="17"/>
  <c r="O892" i="17"/>
  <c r="U937" i="17"/>
  <c r="N950" i="17"/>
  <c r="N966" i="17"/>
  <c r="W975" i="17"/>
  <c r="O922" i="17"/>
  <c r="O939" i="17"/>
  <c r="O950" i="17"/>
  <c r="O966" i="17"/>
  <c r="U987" i="17"/>
  <c r="V1007" i="17"/>
  <c r="V1035" i="17"/>
  <c r="W1039" i="17"/>
  <c r="U1045" i="17"/>
  <c r="T828" i="17"/>
  <c r="W566" i="17"/>
  <c r="U614" i="17"/>
  <c r="T639" i="17"/>
  <c r="X691" i="17"/>
  <c r="U701" i="17"/>
  <c r="U723" i="17"/>
  <c r="N795" i="17"/>
  <c r="N808" i="17"/>
  <c r="N818" i="17"/>
  <c r="U827" i="17"/>
  <c r="V828" i="17"/>
  <c r="N853" i="17"/>
  <c r="N882" i="17"/>
  <c r="W987" i="17"/>
  <c r="V991" i="17"/>
  <c r="W999" i="17"/>
  <c r="P1033" i="17"/>
  <c r="N1039" i="17"/>
  <c r="T949" i="17"/>
  <c r="T1018" i="17"/>
  <c r="W949" i="17"/>
  <c r="T994" i="17"/>
  <c r="T1002" i="17"/>
  <c r="U849" i="17"/>
  <c r="T864" i="17"/>
  <c r="T886" i="17"/>
  <c r="U938" i="17"/>
  <c r="W959" i="17"/>
  <c r="T969" i="17"/>
  <c r="O971" i="17"/>
  <c r="V993" i="17"/>
  <c r="W997" i="17"/>
  <c r="N999" i="17"/>
  <c r="V972" i="17"/>
  <c r="V975" i="17"/>
  <c r="O991" i="17"/>
  <c r="U1008" i="17"/>
  <c r="V1029" i="17"/>
  <c r="U1052" i="17"/>
  <c r="O3" i="7"/>
  <c r="O7" i="7"/>
  <c r="X55" i="15"/>
  <c r="X166" i="15"/>
  <c r="X255" i="15"/>
  <c r="X242" i="15"/>
  <c r="X245" i="15"/>
  <c r="X293" i="15"/>
  <c r="X135" i="15"/>
  <c r="X345" i="15"/>
  <c r="X5" i="15"/>
  <c r="X85" i="15"/>
  <c r="X133" i="15"/>
  <c r="X167" i="15"/>
  <c r="X106" i="15"/>
  <c r="X128" i="15"/>
  <c r="X218" i="15"/>
  <c r="X247" i="15"/>
  <c r="X327" i="15"/>
  <c r="X359" i="15"/>
  <c r="X271" i="15"/>
  <c r="X319" i="15"/>
  <c r="X273" i="15"/>
  <c r="X80" i="15"/>
  <c r="X33" i="15"/>
  <c r="X78" i="15"/>
  <c r="X79" i="15"/>
  <c r="X290" i="15"/>
  <c r="X102" i="15"/>
  <c r="X23" i="15"/>
  <c r="X63" i="15"/>
  <c r="X87" i="15"/>
  <c r="X112" i="15"/>
  <c r="X32" i="15"/>
  <c r="X134" i="15"/>
  <c r="X214" i="15"/>
  <c r="X95" i="15"/>
  <c r="X230" i="15"/>
  <c r="X261" i="15"/>
  <c r="X69" i="15"/>
  <c r="X213" i="15"/>
  <c r="X346" i="15"/>
  <c r="X367" i="15"/>
  <c r="X16" i="15"/>
  <c r="X46" i="15"/>
  <c r="X82" i="15"/>
  <c r="X146" i="15"/>
  <c r="X297" i="15"/>
  <c r="X274" i="15"/>
  <c r="X289" i="15"/>
  <c r="X215" i="15"/>
  <c r="X111" i="15"/>
  <c r="X378" i="15"/>
  <c r="N5" i="7"/>
  <c r="C89" i="12"/>
  <c r="N11" i="11"/>
  <c r="X10" i="15"/>
  <c r="X14" i="15"/>
  <c r="X56" i="15"/>
  <c r="X70" i="15"/>
  <c r="X88" i="15"/>
  <c r="X98" i="15"/>
  <c r="X145" i="15"/>
  <c r="X200" i="15"/>
  <c r="X26" i="17"/>
  <c r="W26" i="17"/>
  <c r="T26" i="17"/>
  <c r="O31" i="17"/>
  <c r="P31" i="17"/>
  <c r="X74" i="15"/>
  <c r="X125" i="15"/>
  <c r="X160" i="15"/>
  <c r="O8" i="7"/>
  <c r="X39" i="15"/>
  <c r="X54" i="15"/>
  <c r="X93" i="15"/>
  <c r="X103" i="15"/>
  <c r="X127" i="15"/>
  <c r="X141" i="15"/>
  <c r="X207" i="15"/>
  <c r="X252" i="15"/>
  <c r="X7" i="15"/>
  <c r="X18" i="15"/>
  <c r="X40" i="15"/>
  <c r="X47" i="15"/>
  <c r="X50" i="15"/>
  <c r="X8" i="15"/>
  <c r="X15" i="15"/>
  <c r="X31" i="15"/>
  <c r="X41" i="15"/>
  <c r="X45" i="15"/>
  <c r="X71" i="15"/>
  <c r="X104" i="15"/>
  <c r="X139" i="15"/>
  <c r="X174" i="15"/>
  <c r="X175" i="15"/>
  <c r="X180" i="15"/>
  <c r="X9" i="15"/>
  <c r="X42" i="15"/>
  <c r="X48" i="15"/>
  <c r="X72" i="15"/>
  <c r="X119" i="15"/>
  <c r="X152" i="15"/>
  <c r="X176" i="15"/>
  <c r="X183" i="15"/>
  <c r="X262" i="15"/>
  <c r="G910" i="16"/>
  <c r="X13" i="15"/>
  <c r="X24" i="15"/>
  <c r="X34" i="15"/>
  <c r="X37" i="15"/>
  <c r="X64" i="15"/>
  <c r="X73" i="15"/>
  <c r="X158" i="15"/>
  <c r="X260" i="15"/>
  <c r="X6" i="15"/>
  <c r="X65" i="15"/>
  <c r="X77" i="15"/>
  <c r="X96" i="15"/>
  <c r="X159" i="15"/>
  <c r="X173" i="15"/>
  <c r="X191" i="15"/>
  <c r="X192" i="15"/>
  <c r="X197" i="15"/>
  <c r="X250" i="15"/>
  <c r="X282" i="15"/>
  <c r="X306" i="15"/>
  <c r="X148" i="15"/>
  <c r="X136" i="15"/>
  <c r="X184" i="15"/>
  <c r="X189" i="15"/>
  <c r="X198" i="15"/>
  <c r="X208" i="15"/>
  <c r="X220" i="15"/>
  <c r="X228" i="15"/>
  <c r="X236" i="15"/>
  <c r="X287" i="15"/>
  <c r="X303" i="15"/>
  <c r="X286" i="15"/>
  <c r="X298" i="15"/>
  <c r="X314" i="15"/>
  <c r="X157" i="15"/>
  <c r="X181" i="15"/>
  <c r="X190" i="15"/>
  <c r="X205" i="15"/>
  <c r="X226" i="15"/>
  <c r="X234" i="15"/>
  <c r="X249" i="15"/>
  <c r="X263" i="15"/>
  <c r="X265" i="15"/>
  <c r="X277" i="15"/>
  <c r="X335" i="15"/>
  <c r="X266" i="15"/>
  <c r="X386" i="15"/>
  <c r="X120" i="15"/>
  <c r="X138" i="15"/>
  <c r="X199" i="15"/>
  <c r="X206" i="15"/>
  <c r="X285" i="15"/>
  <c r="X294" i="15"/>
  <c r="X295" i="15"/>
  <c r="X301" i="15"/>
  <c r="X383" i="15"/>
  <c r="W5" i="17"/>
  <c r="X5" i="17"/>
  <c r="X18" i="17"/>
  <c r="W18" i="17"/>
  <c r="P30" i="17"/>
  <c r="N30" i="17"/>
  <c r="X305" i="15"/>
  <c r="X311" i="15"/>
  <c r="X330" i="15"/>
  <c r="V28" i="17"/>
  <c r="X28" i="17"/>
  <c r="X354" i="15"/>
  <c r="T4" i="17"/>
  <c r="W4" i="17"/>
  <c r="X6" i="17"/>
  <c r="P42" i="17"/>
  <c r="N42" i="17"/>
  <c r="X343" i="15"/>
  <c r="X375" i="15"/>
  <c r="N11" i="17"/>
  <c r="P11" i="17"/>
  <c r="W13" i="17"/>
  <c r="U13" i="17"/>
  <c r="T24" i="17"/>
  <c r="W24" i="17"/>
  <c r="X322" i="15"/>
  <c r="X338" i="15"/>
  <c r="X362" i="15"/>
  <c r="X370" i="15"/>
  <c r="P4" i="17"/>
  <c r="N4" i="17"/>
  <c r="W19" i="17"/>
  <c r="X19" i="17"/>
  <c r="U19" i="17"/>
  <c r="T40" i="17"/>
  <c r="W40" i="17"/>
  <c r="U30" i="17"/>
  <c r="V39" i="17"/>
  <c r="N43" i="17"/>
  <c r="V58" i="17"/>
  <c r="V59" i="17"/>
  <c r="X62" i="17"/>
  <c r="O66" i="17"/>
  <c r="W70" i="17"/>
  <c r="U75" i="17"/>
  <c r="W78" i="17"/>
  <c r="U79" i="17"/>
  <c r="T80" i="17"/>
  <c r="V90" i="17"/>
  <c r="X91" i="17"/>
  <c r="U99" i="17"/>
  <c r="V111" i="17"/>
  <c r="X117" i="17"/>
  <c r="X118" i="17"/>
  <c r="P121" i="17"/>
  <c r="U123" i="17"/>
  <c r="N132" i="17"/>
  <c r="X145" i="17"/>
  <c r="W147" i="17"/>
  <c r="X152" i="17"/>
  <c r="X153" i="17"/>
  <c r="U171" i="17"/>
  <c r="W176" i="17"/>
  <c r="W177" i="17"/>
  <c r="T183" i="17"/>
  <c r="P187" i="17"/>
  <c r="X195" i="17"/>
  <c r="W214" i="17"/>
  <c r="P218" i="17"/>
  <c r="P226" i="17"/>
  <c r="X233" i="17"/>
  <c r="X235" i="17"/>
  <c r="U241" i="17"/>
  <c r="N273" i="17"/>
  <c r="X278" i="17"/>
  <c r="X284" i="17"/>
  <c r="N286" i="17"/>
  <c r="O296" i="17"/>
  <c r="N301" i="17"/>
  <c r="X304" i="17"/>
  <c r="W305" i="17"/>
  <c r="N309" i="17"/>
  <c r="P312" i="17"/>
  <c r="W318" i="17"/>
  <c r="O342" i="17"/>
  <c r="W372" i="17"/>
  <c r="T387" i="17"/>
  <c r="W387" i="17"/>
  <c r="N388" i="17"/>
  <c r="O388" i="17"/>
  <c r="T416" i="17"/>
  <c r="T463" i="17"/>
  <c r="V463" i="17"/>
  <c r="T470" i="17"/>
  <c r="X470" i="17"/>
  <c r="W470" i="17"/>
  <c r="V654" i="17"/>
  <c r="X654" i="17"/>
  <c r="W654" i="17"/>
  <c r="N720" i="17"/>
  <c r="P720" i="17"/>
  <c r="O720" i="17"/>
  <c r="T731" i="17"/>
  <c r="U731" i="17"/>
  <c r="W750" i="17"/>
  <c r="V750" i="17"/>
  <c r="O851" i="17"/>
  <c r="P851" i="17"/>
  <c r="N851" i="17"/>
  <c r="U876" i="17"/>
  <c r="T876" i="17"/>
  <c r="X59" i="17"/>
  <c r="W171" i="17"/>
  <c r="U401" i="17"/>
  <c r="X401" i="17"/>
  <c r="V417" i="17"/>
  <c r="U417" i="17"/>
  <c r="P543" i="17"/>
  <c r="N543" i="17"/>
  <c r="N607" i="17"/>
  <c r="O607" i="17"/>
  <c r="X658" i="17"/>
  <c r="T658" i="17"/>
  <c r="T36" i="17"/>
  <c r="U51" i="17"/>
  <c r="N77" i="17"/>
  <c r="X110" i="17"/>
  <c r="V174" i="17"/>
  <c r="U225" i="17"/>
  <c r="X243" i="17"/>
  <c r="U281" i="17"/>
  <c r="U282" i="17"/>
  <c r="N350" i="17"/>
  <c r="P350" i="17"/>
  <c r="T360" i="17"/>
  <c r="V360" i="17"/>
  <c r="T369" i="17"/>
  <c r="W369" i="17"/>
  <c r="V369" i="17"/>
  <c r="V393" i="17"/>
  <c r="U393" i="17"/>
  <c r="N470" i="17"/>
  <c r="P470" i="17"/>
  <c r="O470" i="17"/>
  <c r="V483" i="17"/>
  <c r="X484" i="17"/>
  <c r="T515" i="17"/>
  <c r="U515" i="17"/>
  <c r="X36" i="17"/>
  <c r="X51" i="17"/>
  <c r="N58" i="17"/>
  <c r="U67" i="17"/>
  <c r="O77" i="17"/>
  <c r="N90" i="17"/>
  <c r="N146" i="17"/>
  <c r="N171" i="17"/>
  <c r="W174" i="17"/>
  <c r="V220" i="17"/>
  <c r="W225" i="17"/>
  <c r="N234" i="17"/>
  <c r="X257" i="17"/>
  <c r="V281" i="17"/>
  <c r="U291" i="17"/>
  <c r="T311" i="17"/>
  <c r="T316" i="17"/>
  <c r="X337" i="17"/>
  <c r="U353" i="17"/>
  <c r="N429" i="17"/>
  <c r="O429" i="17"/>
  <c r="T512" i="17"/>
  <c r="V512" i="17"/>
  <c r="P671" i="17"/>
  <c r="O671" i="17"/>
  <c r="N671" i="17"/>
  <c r="O740" i="17"/>
  <c r="P740" i="17"/>
  <c r="N740" i="17"/>
  <c r="N805" i="17"/>
  <c r="P805" i="17"/>
  <c r="O805" i="17"/>
  <c r="P912" i="17"/>
  <c r="O912" i="17"/>
  <c r="N912" i="17"/>
  <c r="W934" i="17"/>
  <c r="T934" i="17"/>
  <c r="V25" i="17"/>
  <c r="X27" i="17"/>
  <c r="X37" i="17"/>
  <c r="P39" i="17"/>
  <c r="W50" i="17"/>
  <c r="O58" i="17"/>
  <c r="U64" i="17"/>
  <c r="W66" i="17"/>
  <c r="V67" i="17"/>
  <c r="N80" i="17"/>
  <c r="V83" i="17"/>
  <c r="O90" i="17"/>
  <c r="W94" i="17"/>
  <c r="X109" i="17"/>
  <c r="P117" i="17"/>
  <c r="N128" i="17"/>
  <c r="T130" i="17"/>
  <c r="O145" i="17"/>
  <c r="P146" i="17"/>
  <c r="O158" i="17"/>
  <c r="V162" i="17"/>
  <c r="O171" i="17"/>
  <c r="X219" i="17"/>
  <c r="W224" i="17"/>
  <c r="X225" i="17"/>
  <c r="O234" i="17"/>
  <c r="O243" i="17"/>
  <c r="N270" i="17"/>
  <c r="X280" i="17"/>
  <c r="W281" i="17"/>
  <c r="W286" i="17"/>
  <c r="U294" i="17"/>
  <c r="U295" i="17"/>
  <c r="V310" i="17"/>
  <c r="P318" i="17"/>
  <c r="U329" i="17"/>
  <c r="V336" i="17"/>
  <c r="W352" i="17"/>
  <c r="V353" i="17"/>
  <c r="X361" i="17"/>
  <c r="N363" i="17"/>
  <c r="T384" i="17"/>
  <c r="X384" i="17"/>
  <c r="T385" i="17"/>
  <c r="W385" i="17"/>
  <c r="U399" i="17"/>
  <c r="X399" i="17"/>
  <c r="W399" i="17"/>
  <c r="U412" i="17"/>
  <c r="V412" i="17"/>
  <c r="P505" i="17"/>
  <c r="N505" i="17"/>
  <c r="O518" i="17"/>
  <c r="P518" i="17"/>
  <c r="W541" i="17"/>
  <c r="U541" i="17"/>
  <c r="P554" i="17"/>
  <c r="O554" i="17"/>
  <c r="W760" i="17"/>
  <c r="T760" i="17"/>
  <c r="N774" i="17"/>
  <c r="P774" i="17"/>
  <c r="O774" i="17"/>
  <c r="T867" i="17"/>
  <c r="U867" i="17"/>
  <c r="V867" i="17"/>
  <c r="X67" i="17"/>
  <c r="T368" i="17"/>
  <c r="X368" i="17"/>
  <c r="V368" i="17"/>
  <c r="W570" i="17"/>
  <c r="X570" i="17"/>
  <c r="T655" i="17"/>
  <c r="X655" i="17"/>
  <c r="V655" i="17"/>
  <c r="N670" i="17"/>
  <c r="O670" i="17"/>
  <c r="P911" i="17"/>
  <c r="N911" i="17"/>
  <c r="W14" i="17"/>
  <c r="O20" i="17"/>
  <c r="N21" i="17"/>
  <c r="N22" i="17"/>
  <c r="N27" i="17"/>
  <c r="X43" i="17"/>
  <c r="O52" i="17"/>
  <c r="X61" i="17"/>
  <c r="V62" i="17"/>
  <c r="O74" i="17"/>
  <c r="N94" i="17"/>
  <c r="O98" i="17"/>
  <c r="V114" i="17"/>
  <c r="V118" i="17"/>
  <c r="U119" i="17"/>
  <c r="N122" i="17"/>
  <c r="N138" i="17"/>
  <c r="O141" i="17"/>
  <c r="N144" i="17"/>
  <c r="U147" i="17"/>
  <c r="X148" i="17"/>
  <c r="V152" i="17"/>
  <c r="U153" i="17"/>
  <c r="T154" i="17"/>
  <c r="W155" i="17"/>
  <c r="X161" i="17"/>
  <c r="W179" i="17"/>
  <c r="N188" i="17"/>
  <c r="T194" i="17"/>
  <c r="N198" i="17"/>
  <c r="X202" i="17"/>
  <c r="V203" i="17"/>
  <c r="N211" i="17"/>
  <c r="N218" i="17"/>
  <c r="N221" i="17"/>
  <c r="N227" i="17"/>
  <c r="O232" i="17"/>
  <c r="P240" i="17"/>
  <c r="P242" i="17"/>
  <c r="P244" i="17"/>
  <c r="N250" i="17"/>
  <c r="P251" i="17"/>
  <c r="T253" i="17"/>
  <c r="O257" i="17"/>
  <c r="P258" i="17"/>
  <c r="X265" i="17"/>
  <c r="T266" i="17"/>
  <c r="V267" i="17"/>
  <c r="W273" i="17"/>
  <c r="T279" i="17"/>
  <c r="O283" i="17"/>
  <c r="W294" i="17"/>
  <c r="T303" i="17"/>
  <c r="U305" i="17"/>
  <c r="U306" i="17"/>
  <c r="W309" i="17"/>
  <c r="N312" i="17"/>
  <c r="P313" i="17"/>
  <c r="N317" i="17"/>
  <c r="X321" i="17"/>
  <c r="O323" i="17"/>
  <c r="V328" i="17"/>
  <c r="X335" i="17"/>
  <c r="T342" i="17"/>
  <c r="U342" i="17"/>
  <c r="X342" i="17"/>
  <c r="W351" i="17"/>
  <c r="U351" i="17"/>
  <c r="V388" i="17"/>
  <c r="W388" i="17"/>
  <c r="W401" i="17"/>
  <c r="X437" i="17"/>
  <c r="P476" i="17"/>
  <c r="T735" i="17"/>
  <c r="U735" i="17"/>
  <c r="N801" i="17"/>
  <c r="P801" i="17"/>
  <c r="O801" i="17"/>
  <c r="T803" i="17"/>
  <c r="W803" i="17"/>
  <c r="W910" i="17"/>
  <c r="T910" i="17"/>
  <c r="U59" i="17"/>
  <c r="W62" i="17"/>
  <c r="N66" i="17"/>
  <c r="V70" i="17"/>
  <c r="U91" i="17"/>
  <c r="W118" i="17"/>
  <c r="V119" i="17"/>
  <c r="O121" i="17"/>
  <c r="V147" i="17"/>
  <c r="W152" i="17"/>
  <c r="V153" i="17"/>
  <c r="X154" i="17"/>
  <c r="U177" i="17"/>
  <c r="X179" i="17"/>
  <c r="O187" i="17"/>
  <c r="X203" i="17"/>
  <c r="O226" i="17"/>
  <c r="V236" i="17"/>
  <c r="N296" i="17"/>
  <c r="V305" i="17"/>
  <c r="U319" i="17"/>
  <c r="U369" i="17"/>
  <c r="P371" i="17"/>
  <c r="N371" i="17"/>
  <c r="P384" i="17"/>
  <c r="O384" i="17"/>
  <c r="X393" i="17"/>
  <c r="T410" i="17"/>
  <c r="W410" i="17"/>
  <c r="V423" i="17"/>
  <c r="T423" i="17"/>
  <c r="N445" i="17"/>
  <c r="P445" i="17"/>
  <c r="X462" i="17"/>
  <c r="N501" i="17"/>
  <c r="O501" i="17"/>
  <c r="T510" i="17"/>
  <c r="W510" i="17"/>
  <c r="V510" i="17"/>
  <c r="W549" i="17"/>
  <c r="X549" i="17"/>
  <c r="P608" i="17"/>
  <c r="N608" i="17"/>
  <c r="O608" i="17"/>
  <c r="U645" i="17"/>
  <c r="X645" i="17"/>
  <c r="V662" i="17"/>
  <c r="X662" i="17"/>
  <c r="P695" i="17"/>
  <c r="N695" i="17"/>
  <c r="O695" i="17"/>
  <c r="P391" i="17"/>
  <c r="O406" i="17"/>
  <c r="X431" i="17"/>
  <c r="T445" i="17"/>
  <c r="X471" i="17"/>
  <c r="P477" i="17"/>
  <c r="X486" i="17"/>
  <c r="W487" i="17"/>
  <c r="P497" i="17"/>
  <c r="P502" i="17"/>
  <c r="N517" i="17"/>
  <c r="N525" i="17"/>
  <c r="X588" i="17"/>
  <c r="P596" i="17"/>
  <c r="V598" i="17"/>
  <c r="X601" i="17"/>
  <c r="W601" i="17"/>
  <c r="N602" i="17"/>
  <c r="P616" i="17"/>
  <c r="U618" i="17"/>
  <c r="W622" i="17"/>
  <c r="V622" i="17"/>
  <c r="P652" i="17"/>
  <c r="N652" i="17"/>
  <c r="P680" i="17"/>
  <c r="O687" i="17"/>
  <c r="P704" i="17"/>
  <c r="N716" i="17"/>
  <c r="W732" i="17"/>
  <c r="T732" i="17"/>
  <c r="P744" i="17"/>
  <c r="O770" i="17"/>
  <c r="P770" i="17"/>
  <c r="P784" i="17"/>
  <c r="P788" i="17"/>
  <c r="T791" i="17"/>
  <c r="W791" i="17"/>
  <c r="P793" i="17"/>
  <c r="P813" i="17"/>
  <c r="P834" i="17"/>
  <c r="N834" i="17"/>
  <c r="U835" i="17"/>
  <c r="T836" i="17"/>
  <c r="O865" i="17"/>
  <c r="N865" i="17"/>
  <c r="P898" i="17"/>
  <c r="O898" i="17"/>
  <c r="P913" i="17"/>
  <c r="V923" i="17"/>
  <c r="T923" i="17"/>
  <c r="V940" i="17"/>
  <c r="W940" i="17"/>
  <c r="P960" i="17"/>
  <c r="O960" i="17"/>
  <c r="N960" i="17"/>
  <c r="X445" i="17"/>
  <c r="X487" i="17"/>
  <c r="U511" i="17"/>
  <c r="N595" i="17"/>
  <c r="P595" i="17"/>
  <c r="V599" i="17"/>
  <c r="W599" i="17"/>
  <c r="V619" i="17"/>
  <c r="W619" i="17"/>
  <c r="N621" i="17"/>
  <c r="O648" i="17"/>
  <c r="N649" i="17"/>
  <c r="V734" i="17"/>
  <c r="T753" i="17"/>
  <c r="O778" i="17"/>
  <c r="P826" i="17"/>
  <c r="O826" i="17"/>
  <c r="V835" i="17"/>
  <c r="W836" i="17"/>
  <c r="N839" i="17"/>
  <c r="O863" i="17"/>
  <c r="N863" i="17"/>
  <c r="P864" i="17"/>
  <c r="N864" i="17"/>
  <c r="P885" i="17"/>
  <c r="N885" i="17"/>
  <c r="T893" i="17"/>
  <c r="W893" i="17"/>
  <c r="U915" i="17"/>
  <c r="V915" i="17"/>
  <c r="T922" i="17"/>
  <c r="W922" i="17"/>
  <c r="W933" i="17"/>
  <c r="V935" i="17"/>
  <c r="T935" i="17"/>
  <c r="N936" i="17"/>
  <c r="P936" i="17"/>
  <c r="V939" i="17"/>
  <c r="T939" i="17"/>
  <c r="O941" i="17"/>
  <c r="T944" i="17"/>
  <c r="U944" i="17"/>
  <c r="T531" i="17"/>
  <c r="W531" i="17"/>
  <c r="O628" i="17"/>
  <c r="P628" i="17"/>
  <c r="P633" i="17"/>
  <c r="N633" i="17"/>
  <c r="P679" i="17"/>
  <c r="O679" i="17"/>
  <c r="P850" i="17"/>
  <c r="O850" i="17"/>
  <c r="P873" i="17"/>
  <c r="O873" i="17"/>
  <c r="P901" i="17"/>
  <c r="N901" i="17"/>
  <c r="N923" i="17"/>
  <c r="P923" i="17"/>
  <c r="N944" i="17"/>
  <c r="O944" i="17"/>
  <c r="W374" i="17"/>
  <c r="N387" i="17"/>
  <c r="V465" i="17"/>
  <c r="N499" i="17"/>
  <c r="V502" i="17"/>
  <c r="N510" i="17"/>
  <c r="N515" i="17"/>
  <c r="N527" i="17"/>
  <c r="O532" i="17"/>
  <c r="N542" i="17"/>
  <c r="P542" i="17"/>
  <c r="P549" i="17"/>
  <c r="N550" i="17"/>
  <c r="O550" i="17"/>
  <c r="U551" i="17"/>
  <c r="O557" i="17"/>
  <c r="P558" i="17"/>
  <c r="V563" i="17"/>
  <c r="W564" i="17"/>
  <c r="V566" i="17"/>
  <c r="U567" i="17"/>
  <c r="W580" i="17"/>
  <c r="V594" i="17"/>
  <c r="T615" i="17"/>
  <c r="X630" i="17"/>
  <c r="P632" i="17"/>
  <c r="P636" i="17"/>
  <c r="U642" i="17"/>
  <c r="N644" i="17"/>
  <c r="N654" i="17"/>
  <c r="X656" i="17"/>
  <c r="P674" i="17"/>
  <c r="V676" i="17"/>
  <c r="O678" i="17"/>
  <c r="P685" i="17"/>
  <c r="U703" i="17"/>
  <c r="W746" i="17"/>
  <c r="V746" i="17"/>
  <c r="T748" i="17"/>
  <c r="T758" i="17"/>
  <c r="N760" i="17"/>
  <c r="O776" i="17"/>
  <c r="V813" i="17"/>
  <c r="N816" i="17"/>
  <c r="U820" i="17"/>
  <c r="V820" i="17"/>
  <c r="W827" i="17"/>
  <c r="W828" i="17"/>
  <c r="W829" i="17"/>
  <c r="V840" i="17"/>
  <c r="O847" i="17"/>
  <c r="N848" i="17"/>
  <c r="N855" i="17"/>
  <c r="O855" i="17"/>
  <c r="U859" i="17"/>
  <c r="U885" i="17"/>
  <c r="T890" i="17"/>
  <c r="N905" i="17"/>
  <c r="P906" i="17"/>
  <c r="N906" i="17"/>
  <c r="V921" i="17"/>
  <c r="T921" i="17"/>
  <c r="T924" i="17"/>
  <c r="N927" i="17"/>
  <c r="P927" i="17"/>
  <c r="N930" i="17"/>
  <c r="P939" i="17"/>
  <c r="N979" i="17"/>
  <c r="O979" i="17"/>
  <c r="T981" i="17"/>
  <c r="W981" i="17"/>
  <c r="V981" i="17"/>
  <c r="T984" i="17"/>
  <c r="U984" i="17"/>
  <c r="P541" i="17"/>
  <c r="O541" i="17"/>
  <c r="V603" i="17"/>
  <c r="W603" i="17"/>
  <c r="T672" i="17"/>
  <c r="V672" i="17"/>
  <c r="T875" i="17"/>
  <c r="V875" i="17"/>
  <c r="T891" i="17"/>
  <c r="U891" i="17"/>
  <c r="P900" i="17"/>
  <c r="O900" i="17"/>
  <c r="U908" i="17"/>
  <c r="T908" i="17"/>
  <c r="P934" i="17"/>
  <c r="O934" i="17"/>
  <c r="P968" i="17"/>
  <c r="N968" i="17"/>
  <c r="X359" i="17"/>
  <c r="N373" i="17"/>
  <c r="O374" i="17"/>
  <c r="N379" i="17"/>
  <c r="U389" i="17"/>
  <c r="V402" i="17"/>
  <c r="V403" i="17"/>
  <c r="P415" i="17"/>
  <c r="P416" i="17"/>
  <c r="O422" i="17"/>
  <c r="U424" i="17"/>
  <c r="X428" i="17"/>
  <c r="X429" i="17"/>
  <c r="P438" i="17"/>
  <c r="O452" i="17"/>
  <c r="N458" i="17"/>
  <c r="P462" i="17"/>
  <c r="T475" i="17"/>
  <c r="P478" i="17"/>
  <c r="X480" i="17"/>
  <c r="P484" i="17"/>
  <c r="V486" i="17"/>
  <c r="O494" i="17"/>
  <c r="U500" i="17"/>
  <c r="W505" i="17"/>
  <c r="N507" i="17"/>
  <c r="P508" i="17"/>
  <c r="P509" i="17"/>
  <c r="X517" i="17"/>
  <c r="W525" i="17"/>
  <c r="X525" i="17"/>
  <c r="V528" i="17"/>
  <c r="N540" i="17"/>
  <c r="P540" i="17"/>
  <c r="X566" i="17"/>
  <c r="W602" i="17"/>
  <c r="X602" i="17"/>
  <c r="O605" i="17"/>
  <c r="X607" i="17"/>
  <c r="T626" i="17"/>
  <c r="V626" i="17"/>
  <c r="X629" i="17"/>
  <c r="U633" i="17"/>
  <c r="P639" i="17"/>
  <c r="W649" i="17"/>
  <c r="X675" i="17"/>
  <c r="P688" i="17"/>
  <c r="W694" i="17"/>
  <c r="W695" i="17"/>
  <c r="T716" i="17"/>
  <c r="W716" i="17"/>
  <c r="V716" i="17"/>
  <c r="O734" i="17"/>
  <c r="N734" i="17"/>
  <c r="W744" i="17"/>
  <c r="T744" i="17"/>
  <c r="N764" i="17"/>
  <c r="O780" i="17"/>
  <c r="N798" i="17"/>
  <c r="N810" i="17"/>
  <c r="N812" i="17"/>
  <c r="U817" i="17"/>
  <c r="T819" i="17"/>
  <c r="U819" i="17"/>
  <c r="N831" i="17"/>
  <c r="T838" i="17"/>
  <c r="W839" i="17"/>
  <c r="P842" i="17"/>
  <c r="N842" i="17"/>
  <c r="U843" i="17"/>
  <c r="V849" i="17"/>
  <c r="V850" i="17"/>
  <c r="N861" i="17"/>
  <c r="W869" i="17"/>
  <c r="P879" i="17"/>
  <c r="W901" i="17"/>
  <c r="P917" i="17"/>
  <c r="N933" i="17"/>
  <c r="P933" i="17"/>
  <c r="V936" i="17"/>
  <c r="W936" i="17"/>
  <c r="V944" i="17"/>
  <c r="V957" i="17"/>
  <c r="W957" i="17"/>
  <c r="T977" i="17"/>
  <c r="U977" i="17"/>
  <c r="T983" i="17"/>
  <c r="V983" i="17"/>
  <c r="W431" i="17"/>
  <c r="N596" i="17"/>
  <c r="X599" i="17"/>
  <c r="N616" i="17"/>
  <c r="T621" i="17"/>
  <c r="U621" i="17"/>
  <c r="X621" i="17"/>
  <c r="T646" i="17"/>
  <c r="X649" i="17"/>
  <c r="O656" i="17"/>
  <c r="N656" i="17"/>
  <c r="N704" i="17"/>
  <c r="T845" i="17"/>
  <c r="W845" i="17"/>
  <c r="V893" i="17"/>
  <c r="P895" i="17"/>
  <c r="O895" i="17"/>
  <c r="T911" i="17"/>
  <c r="W911" i="17"/>
  <c r="O913" i="17"/>
  <c r="V922" i="17"/>
  <c r="O963" i="17"/>
  <c r="V1009" i="17"/>
  <c r="N982" i="17"/>
  <c r="N983" i="17"/>
  <c r="W1009" i="17"/>
  <c r="V1013" i="17"/>
  <c r="W1025" i="17"/>
  <c r="X605" i="17"/>
  <c r="X650" i="17"/>
  <c r="V801" i="17"/>
  <c r="W812" i="17"/>
  <c r="O982" i="17"/>
  <c r="O983" i="17"/>
  <c r="N1009" i="17"/>
  <c r="T1012" i="17"/>
  <c r="U1029" i="17"/>
  <c r="U1035" i="17"/>
  <c r="T1036" i="17"/>
  <c r="V1041" i="17"/>
  <c r="T892" i="17"/>
  <c r="T904" i="17"/>
  <c r="W917" i="17"/>
  <c r="O919" i="17"/>
  <c r="N920" i="17"/>
  <c r="V938" i="17"/>
  <c r="T941" i="17"/>
  <c r="V950" i="17"/>
  <c r="W991" i="17"/>
  <c r="N993" i="17"/>
  <c r="T996" i="17"/>
  <c r="V1001" i="17"/>
  <c r="U1011" i="17"/>
  <c r="V1015" i="17"/>
  <c r="T1020" i="17"/>
  <c r="V1023" i="17"/>
  <c r="T1028" i="17"/>
  <c r="W1029" i="17"/>
  <c r="P1031" i="17"/>
  <c r="T1034" i="17"/>
  <c r="W1035" i="17"/>
  <c r="O1017" i="17"/>
  <c r="U1019" i="17"/>
  <c r="W1023" i="17"/>
  <c r="V1039" i="17"/>
  <c r="W930" i="17"/>
  <c r="W966" i="17"/>
  <c r="W989" i="17"/>
  <c r="N991" i="17"/>
  <c r="V995" i="17"/>
  <c r="P1017" i="17"/>
  <c r="V1019" i="17"/>
  <c r="U1027" i="17"/>
  <c r="N1041" i="17"/>
  <c r="O2" i="17"/>
  <c r="W3" i="17"/>
  <c r="N5" i="17"/>
  <c r="V12" i="17"/>
  <c r="O21" i="17"/>
  <c r="W22" i="17"/>
  <c r="V23" i="17"/>
  <c r="X25" i="17"/>
  <c r="O33" i="17"/>
  <c r="X35" i="17"/>
  <c r="V45" i="17"/>
  <c r="U46" i="17"/>
  <c r="O53" i="17"/>
  <c r="W54" i="17"/>
  <c r="O57" i="17"/>
  <c r="N61" i="17"/>
  <c r="O69" i="17"/>
  <c r="N70" i="17"/>
  <c r="U71" i="17"/>
  <c r="W77" i="17"/>
  <c r="X93" i="17"/>
  <c r="V102" i="17"/>
  <c r="O109" i="17"/>
  <c r="V110" i="17"/>
  <c r="V115" i="17"/>
  <c r="O118" i="17"/>
  <c r="U126" i="17"/>
  <c r="U128" i="17"/>
  <c r="V129" i="17"/>
  <c r="O131" i="17"/>
  <c r="X136" i="17"/>
  <c r="V139" i="17"/>
  <c r="N150" i="17"/>
  <c r="O152" i="17"/>
  <c r="O155" i="17"/>
  <c r="X158" i="17"/>
  <c r="U161" i="17"/>
  <c r="W169" i="17"/>
  <c r="N172" i="17"/>
  <c r="N178" i="17"/>
  <c r="N179" i="17"/>
  <c r="P182" i="17"/>
  <c r="O182" i="17"/>
  <c r="O186" i="17"/>
  <c r="N186" i="17"/>
  <c r="O194" i="17"/>
  <c r="P194" i="17"/>
  <c r="P216" i="17"/>
  <c r="O216" i="17"/>
  <c r="N216" i="17"/>
  <c r="P2" i="17"/>
  <c r="N3" i="17"/>
  <c r="X3" i="17"/>
  <c r="P5" i="17"/>
  <c r="N12" i="17"/>
  <c r="W12" i="17"/>
  <c r="W16" i="17"/>
  <c r="V17" i="17"/>
  <c r="T18" i="17"/>
  <c r="X22" i="17"/>
  <c r="V27" i="17"/>
  <c r="T28" i="17"/>
  <c r="O32" i="17"/>
  <c r="P33" i="17"/>
  <c r="N34" i="17"/>
  <c r="N35" i="17"/>
  <c r="U37" i="17"/>
  <c r="O44" i="17"/>
  <c r="N45" i="17"/>
  <c r="X45" i="17"/>
  <c r="V46" i="17"/>
  <c r="W48" i="17"/>
  <c r="V49" i="17"/>
  <c r="T50" i="17"/>
  <c r="P53" i="17"/>
  <c r="X54" i="17"/>
  <c r="P57" i="17"/>
  <c r="U62" i="17"/>
  <c r="P69" i="17"/>
  <c r="X70" i="17"/>
  <c r="V71" i="17"/>
  <c r="X72" i="17"/>
  <c r="W75" i="17"/>
  <c r="U78" i="17"/>
  <c r="U83" i="17"/>
  <c r="N93" i="17"/>
  <c r="U94" i="17"/>
  <c r="N101" i="17"/>
  <c r="N102" i="17"/>
  <c r="W102" i="17"/>
  <c r="U103" i="17"/>
  <c r="U107" i="17"/>
  <c r="P109" i="17"/>
  <c r="N110" i="17"/>
  <c r="W110" i="17"/>
  <c r="U111" i="17"/>
  <c r="W114" i="17"/>
  <c r="W115" i="17"/>
  <c r="U116" i="17"/>
  <c r="P118" i="17"/>
  <c r="V126" i="17"/>
  <c r="V128" i="17"/>
  <c r="W129" i="17"/>
  <c r="P131" i="17"/>
  <c r="N136" i="17"/>
  <c r="X137" i="17"/>
  <c r="V138" i="17"/>
  <c r="W139" i="17"/>
  <c r="X140" i="17"/>
  <c r="U145" i="17"/>
  <c r="P152" i="17"/>
  <c r="W153" i="17"/>
  <c r="P155" i="17"/>
  <c r="N157" i="17"/>
  <c r="N158" i="17"/>
  <c r="T160" i="17"/>
  <c r="X160" i="17"/>
  <c r="V160" i="17"/>
  <c r="V166" i="17"/>
  <c r="T167" i="17"/>
  <c r="V170" i="17"/>
  <c r="P172" i="17"/>
  <c r="U198" i="17"/>
  <c r="X198" i="17"/>
  <c r="V198" i="17"/>
  <c r="P224" i="17"/>
  <c r="O224" i="17"/>
  <c r="N224" i="17"/>
  <c r="O3" i="17"/>
  <c r="U4" i="17"/>
  <c r="W9" i="17"/>
  <c r="O12" i="17"/>
  <c r="X12" i="17"/>
  <c r="V15" i="17"/>
  <c r="X17" i="17"/>
  <c r="O25" i="17"/>
  <c r="U38" i="17"/>
  <c r="O45" i="17"/>
  <c r="W46" i="17"/>
  <c r="V47" i="17"/>
  <c r="X49" i="17"/>
  <c r="W85" i="17"/>
  <c r="O93" i="17"/>
  <c r="O101" i="17"/>
  <c r="O102" i="17"/>
  <c r="V107" i="17"/>
  <c r="O110" i="17"/>
  <c r="X115" i="17"/>
  <c r="X129" i="17"/>
  <c r="O136" i="17"/>
  <c r="X139" i="17"/>
  <c r="V145" i="17"/>
  <c r="O164" i="17"/>
  <c r="N164" i="17"/>
  <c r="W166" i="17"/>
  <c r="V169" i="17"/>
  <c r="U169" i="17"/>
  <c r="X170" i="17"/>
  <c r="T175" i="17"/>
  <c r="P192" i="17"/>
  <c r="N192" i="17"/>
  <c r="V4" i="17"/>
  <c r="W10" i="17"/>
  <c r="V13" i="17"/>
  <c r="V19" i="17"/>
  <c r="O24" i="17"/>
  <c r="P25" i="17"/>
  <c r="N26" i="17"/>
  <c r="U29" i="17"/>
  <c r="O36" i="17"/>
  <c r="V38" i="17"/>
  <c r="V41" i="17"/>
  <c r="X46" i="17"/>
  <c r="V51" i="17"/>
  <c r="V64" i="17"/>
  <c r="O75" i="17"/>
  <c r="W83" i="17"/>
  <c r="T89" i="17"/>
  <c r="T97" i="17"/>
  <c r="W106" i="17"/>
  <c r="W107" i="17"/>
  <c r="W117" i="17"/>
  <c r="V122" i="17"/>
  <c r="V130" i="17"/>
  <c r="W145" i="17"/>
  <c r="T149" i="17"/>
  <c r="O153" i="17"/>
  <c r="V154" i="17"/>
  <c r="P156" i="17"/>
  <c r="T161" i="17"/>
  <c r="W161" i="17"/>
  <c r="X162" i="17"/>
  <c r="U163" i="17"/>
  <c r="V171" i="17"/>
  <c r="V176" i="17"/>
  <c r="X184" i="17"/>
  <c r="W184" i="17"/>
  <c r="V184" i="17"/>
  <c r="U11" i="17"/>
  <c r="W38" i="17"/>
  <c r="X41" i="17"/>
  <c r="U86" i="17"/>
  <c r="X107" i="17"/>
  <c r="W122" i="17"/>
  <c r="V149" i="17"/>
  <c r="V163" i="17"/>
  <c r="V185" i="17"/>
  <c r="U185" i="17"/>
  <c r="X185" i="17"/>
  <c r="T187" i="17"/>
  <c r="W187" i="17"/>
  <c r="U187" i="17"/>
  <c r="X187" i="17"/>
  <c r="T197" i="17"/>
  <c r="U197" i="17"/>
  <c r="U2" i="17"/>
  <c r="O4" i="17"/>
  <c r="X4" i="17"/>
  <c r="U5" i="17"/>
  <c r="V7" i="17"/>
  <c r="O10" i="17"/>
  <c r="W11" i="17"/>
  <c r="N13" i="17"/>
  <c r="O16" i="17"/>
  <c r="P17" i="17"/>
  <c r="N18" i="17"/>
  <c r="N19" i="17"/>
  <c r="U21" i="17"/>
  <c r="O28" i="17"/>
  <c r="N29" i="17"/>
  <c r="X29" i="17"/>
  <c r="V30" i="17"/>
  <c r="W32" i="17"/>
  <c r="V33" i="17"/>
  <c r="T34" i="17"/>
  <c r="X38" i="17"/>
  <c r="V43" i="17"/>
  <c r="T44" i="17"/>
  <c r="O48" i="17"/>
  <c r="P49" i="17"/>
  <c r="N50" i="17"/>
  <c r="N51" i="17"/>
  <c r="U53" i="17"/>
  <c r="V56" i="17"/>
  <c r="W59" i="17"/>
  <c r="U60" i="17"/>
  <c r="N64" i="17"/>
  <c r="X64" i="17"/>
  <c r="W67" i="17"/>
  <c r="W69" i="17"/>
  <c r="P72" i="17"/>
  <c r="O83" i="17"/>
  <c r="O85" i="17"/>
  <c r="V86" i="17"/>
  <c r="U87" i="17"/>
  <c r="W90" i="17"/>
  <c r="V91" i="17"/>
  <c r="W98" i="17"/>
  <c r="W99" i="17"/>
  <c r="T100" i="17"/>
  <c r="O105" i="17"/>
  <c r="N106" i="17"/>
  <c r="W109" i="17"/>
  <c r="P116" i="17"/>
  <c r="N117" i="17"/>
  <c r="U118" i="17"/>
  <c r="X123" i="17"/>
  <c r="N130" i="17"/>
  <c r="U131" i="17"/>
  <c r="W134" i="17"/>
  <c r="T135" i="17"/>
  <c r="P138" i="17"/>
  <c r="N140" i="17"/>
  <c r="O144" i="17"/>
  <c r="P145" i="17"/>
  <c r="X147" i="17"/>
  <c r="W149" i="17"/>
  <c r="U152" i="17"/>
  <c r="N154" i="17"/>
  <c r="U155" i="17"/>
  <c r="V157" i="17"/>
  <c r="N162" i="17"/>
  <c r="W163" i="17"/>
  <c r="T164" i="17"/>
  <c r="O168" i="17"/>
  <c r="P170" i="17"/>
  <c r="X171" i="17"/>
  <c r="T172" i="17"/>
  <c r="N176" i="17"/>
  <c r="X177" i="17"/>
  <c r="O184" i="17"/>
  <c r="X188" i="17"/>
  <c r="U192" i="17"/>
  <c r="U206" i="17"/>
  <c r="V206" i="17"/>
  <c r="W2" i="17"/>
  <c r="V5" i="17"/>
  <c r="V6" i="17"/>
  <c r="O9" i="17"/>
  <c r="P10" i="17"/>
  <c r="X11" i="17"/>
  <c r="P13" i="17"/>
  <c r="P15" i="17"/>
  <c r="P19" i="17"/>
  <c r="U22" i="17"/>
  <c r="W30" i="17"/>
  <c r="V31" i="17"/>
  <c r="X33" i="17"/>
  <c r="W34" i="17"/>
  <c r="U35" i="17"/>
  <c r="N38" i="17"/>
  <c r="O41" i="17"/>
  <c r="X44" i="17"/>
  <c r="P47" i="17"/>
  <c r="P51" i="17"/>
  <c r="U54" i="17"/>
  <c r="U61" i="17"/>
  <c r="P64" i="17"/>
  <c r="U70" i="17"/>
  <c r="N82" i="17"/>
  <c r="W86" i="17"/>
  <c r="V87" i="17"/>
  <c r="O89" i="17"/>
  <c r="W91" i="17"/>
  <c r="O97" i="17"/>
  <c r="X99" i="17"/>
  <c r="P105" i="17"/>
  <c r="O106" i="17"/>
  <c r="P130" i="17"/>
  <c r="X134" i="17"/>
  <c r="N149" i="17"/>
  <c r="X150" i="17"/>
  <c r="P154" i="17"/>
  <c r="W157" i="17"/>
  <c r="V158" i="17"/>
  <c r="P162" i="17"/>
  <c r="N163" i="17"/>
  <c r="X163" i="17"/>
  <c r="O176" i="17"/>
  <c r="V180" i="17"/>
  <c r="P184" i="17"/>
  <c r="V193" i="17"/>
  <c r="W193" i="17"/>
  <c r="W196" i="17"/>
  <c r="X196" i="17"/>
  <c r="T199" i="17"/>
  <c r="V209" i="17"/>
  <c r="X209" i="17"/>
  <c r="W209" i="17"/>
  <c r="U209" i="17"/>
  <c r="U3" i="17"/>
  <c r="U12" i="17"/>
  <c r="V35" i="17"/>
  <c r="U45" i="17"/>
  <c r="T55" i="17"/>
  <c r="X86" i="17"/>
  <c r="U102" i="17"/>
  <c r="U110" i="17"/>
  <c r="U115" i="17"/>
  <c r="U129" i="17"/>
  <c r="U136" i="17"/>
  <c r="U139" i="17"/>
  <c r="W158" i="17"/>
  <c r="N194" i="17"/>
  <c r="X200" i="17"/>
  <c r="W200" i="17"/>
  <c r="V200" i="17"/>
  <c r="X249" i="17"/>
  <c r="X255" i="17"/>
  <c r="X271" i="17"/>
  <c r="U288" i="17"/>
  <c r="X302" i="17"/>
  <c r="U312" i="17"/>
  <c r="V326" i="17"/>
  <c r="V345" i="17"/>
  <c r="V366" i="17"/>
  <c r="U376" i="17"/>
  <c r="T382" i="17"/>
  <c r="U382" i="17"/>
  <c r="X382" i="17"/>
  <c r="W391" i="17"/>
  <c r="X391" i="17"/>
  <c r="U405" i="17"/>
  <c r="V405" i="17"/>
  <c r="T435" i="17"/>
  <c r="W435" i="17"/>
  <c r="X204" i="17"/>
  <c r="O211" i="17"/>
  <c r="X211" i="17"/>
  <c r="U219" i="17"/>
  <c r="O227" i="17"/>
  <c r="X227" i="17"/>
  <c r="U229" i="17"/>
  <c r="U235" i="17"/>
  <c r="X244" i="17"/>
  <c r="X251" i="17"/>
  <c r="U257" i="17"/>
  <c r="T261" i="17"/>
  <c r="P264" i="17"/>
  <c r="P265" i="17"/>
  <c r="X267" i="17"/>
  <c r="O269" i="17"/>
  <c r="U273" i="17"/>
  <c r="U278" i="17"/>
  <c r="O286" i="17"/>
  <c r="X286" i="17"/>
  <c r="V288" i="17"/>
  <c r="O293" i="17"/>
  <c r="O299" i="17"/>
  <c r="O301" i="17"/>
  <c r="U304" i="17"/>
  <c r="P310" i="17"/>
  <c r="V312" i="17"/>
  <c r="T317" i="17"/>
  <c r="O320" i="17"/>
  <c r="X320" i="17"/>
  <c r="U321" i="17"/>
  <c r="W326" i="17"/>
  <c r="U327" i="17"/>
  <c r="N329" i="17"/>
  <c r="X329" i="17"/>
  <c r="P335" i="17"/>
  <c r="N336" i="17"/>
  <c r="W336" i="17"/>
  <c r="U337" i="17"/>
  <c r="V342" i="17"/>
  <c r="W345" i="17"/>
  <c r="O349" i="17"/>
  <c r="U352" i="17"/>
  <c r="P359" i="17"/>
  <c r="N360" i="17"/>
  <c r="W360" i="17"/>
  <c r="U361" i="17"/>
  <c r="W366" i="17"/>
  <c r="U367" i="17"/>
  <c r="O371" i="17"/>
  <c r="V376" i="17"/>
  <c r="X381" i="17"/>
  <c r="U381" i="17"/>
  <c r="N392" i="17"/>
  <c r="T393" i="17"/>
  <c r="W393" i="17"/>
  <c r="V397" i="17"/>
  <c r="W411" i="17"/>
  <c r="X411" i="17"/>
  <c r="V411" i="17"/>
  <c r="N412" i="17"/>
  <c r="P412" i="17"/>
  <c r="O412" i="17"/>
  <c r="N417" i="17"/>
  <c r="P417" i="17"/>
  <c r="O417" i="17"/>
  <c r="U201" i="17"/>
  <c r="P206" i="17"/>
  <c r="V219" i="17"/>
  <c r="X228" i="17"/>
  <c r="V229" i="17"/>
  <c r="V230" i="17"/>
  <c r="V235" i="17"/>
  <c r="X246" i="17"/>
  <c r="P255" i="17"/>
  <c r="V257" i="17"/>
  <c r="V261" i="17"/>
  <c r="T263" i="17"/>
  <c r="P271" i="17"/>
  <c r="W277" i="17"/>
  <c r="V278" i="17"/>
  <c r="W288" i="17"/>
  <c r="O292" i="17"/>
  <c r="W312" i="17"/>
  <c r="U313" i="17"/>
  <c r="U318" i="17"/>
  <c r="V321" i="17"/>
  <c r="O326" i="17"/>
  <c r="X326" i="17"/>
  <c r="X327" i="17"/>
  <c r="P329" i="17"/>
  <c r="N331" i="17"/>
  <c r="O336" i="17"/>
  <c r="V337" i="17"/>
  <c r="U343" i="17"/>
  <c r="N345" i="17"/>
  <c r="X345" i="17"/>
  <c r="N347" i="17"/>
  <c r="O360" i="17"/>
  <c r="X360" i="17"/>
  <c r="V361" i="17"/>
  <c r="N365" i="17"/>
  <c r="O366" i="17"/>
  <c r="X366" i="17"/>
  <c r="X367" i="17"/>
  <c r="P375" i="17"/>
  <c r="W376" i="17"/>
  <c r="U377" i="17"/>
  <c r="W379" i="17"/>
  <c r="N390" i="17"/>
  <c r="O390" i="17"/>
  <c r="P392" i="17"/>
  <c r="U396" i="17"/>
  <c r="N405" i="17"/>
  <c r="P405" i="17"/>
  <c r="O405" i="17"/>
  <c r="U409" i="17"/>
  <c r="X409" i="17"/>
  <c r="V409" i="17"/>
  <c r="T441" i="17"/>
  <c r="X441" i="17"/>
  <c r="X444" i="17"/>
  <c r="T444" i="17"/>
  <c r="W201" i="17"/>
  <c r="X230" i="17"/>
  <c r="W261" i="17"/>
  <c r="W263" i="17"/>
  <c r="W278" i="17"/>
  <c r="V280" i="17"/>
  <c r="T285" i="17"/>
  <c r="X288" i="17"/>
  <c r="U289" i="17"/>
  <c r="P303" i="17"/>
  <c r="N304" i="17"/>
  <c r="P311" i="17"/>
  <c r="X312" i="17"/>
  <c r="V313" i="17"/>
  <c r="T314" i="17"/>
  <c r="V318" i="17"/>
  <c r="P326" i="17"/>
  <c r="U328" i="17"/>
  <c r="U334" i="17"/>
  <c r="W337" i="17"/>
  <c r="X343" i="17"/>
  <c r="P345" i="17"/>
  <c r="O347" i="17"/>
  <c r="P351" i="17"/>
  <c r="U357" i="17"/>
  <c r="U358" i="17"/>
  <c r="W361" i="17"/>
  <c r="O364" i="17"/>
  <c r="O365" i="17"/>
  <c r="P366" i="17"/>
  <c r="U368" i="17"/>
  <c r="X376" i="17"/>
  <c r="V377" i="17"/>
  <c r="V380" i="17"/>
  <c r="W380" i="17"/>
  <c r="N382" i="17"/>
  <c r="P382" i="17"/>
  <c r="P383" i="17"/>
  <c r="P389" i="17"/>
  <c r="N389" i="17"/>
  <c r="U397" i="17"/>
  <c r="X397" i="17"/>
  <c r="X263" i="17"/>
  <c r="V285" i="17"/>
  <c r="V289" i="17"/>
  <c r="W313" i="17"/>
  <c r="V334" i="17"/>
  <c r="U344" i="17"/>
  <c r="V358" i="17"/>
  <c r="W377" i="17"/>
  <c r="N453" i="17"/>
  <c r="P453" i="17"/>
  <c r="O453" i="17"/>
  <c r="U195" i="17"/>
  <c r="U203" i="17"/>
  <c r="X220" i="17"/>
  <c r="V221" i="17"/>
  <c r="X222" i="17"/>
  <c r="P228" i="17"/>
  <c r="N229" i="17"/>
  <c r="X236" i="17"/>
  <c r="V237" i="17"/>
  <c r="V238" i="17"/>
  <c r="U243" i="17"/>
  <c r="P246" i="17"/>
  <c r="X259" i="17"/>
  <c r="O261" i="17"/>
  <c r="U265" i="17"/>
  <c r="T269" i="17"/>
  <c r="X275" i="17"/>
  <c r="N277" i="17"/>
  <c r="N278" i="17"/>
  <c r="N280" i="17"/>
  <c r="X281" i="17"/>
  <c r="W285" i="17"/>
  <c r="W289" i="17"/>
  <c r="V291" i="17"/>
  <c r="X294" i="17"/>
  <c r="W297" i="17"/>
  <c r="T301" i="17"/>
  <c r="U302" i="17"/>
  <c r="X305" i="17"/>
  <c r="V309" i="17"/>
  <c r="U310" i="17"/>
  <c r="X313" i="17"/>
  <c r="O317" i="17"/>
  <c r="O318" i="17"/>
  <c r="X318" i="17"/>
  <c r="X319" i="17"/>
  <c r="P321" i="17"/>
  <c r="N323" i="17"/>
  <c r="P327" i="17"/>
  <c r="N328" i="17"/>
  <c r="W328" i="17"/>
  <c r="W334" i="17"/>
  <c r="U335" i="17"/>
  <c r="N337" i="17"/>
  <c r="O341" i="17"/>
  <c r="V344" i="17"/>
  <c r="W348" i="17"/>
  <c r="U350" i="17"/>
  <c r="W353" i="17"/>
  <c r="W358" i="17"/>
  <c r="O363" i="17"/>
  <c r="P367" i="17"/>
  <c r="N368" i="17"/>
  <c r="W368" i="17"/>
  <c r="V374" i="17"/>
  <c r="X377" i="17"/>
  <c r="O380" i="17"/>
  <c r="P404" i="17"/>
  <c r="O404" i="17"/>
  <c r="O409" i="17"/>
  <c r="N409" i="17"/>
  <c r="W436" i="17"/>
  <c r="T436" i="17"/>
  <c r="U211" i="17"/>
  <c r="U227" i="17"/>
  <c r="X238" i="17"/>
  <c r="U249" i="17"/>
  <c r="T255" i="17"/>
  <c r="T271" i="17"/>
  <c r="O280" i="17"/>
  <c r="N285" i="17"/>
  <c r="U286" i="17"/>
  <c r="N289" i="17"/>
  <c r="X289" i="17"/>
  <c r="W291" i="17"/>
  <c r="V301" i="17"/>
  <c r="V302" i="17"/>
  <c r="U320" i="17"/>
  <c r="O328" i="17"/>
  <c r="X328" i="17"/>
  <c r="N333" i="17"/>
  <c r="O334" i="17"/>
  <c r="X334" i="17"/>
  <c r="W344" i="17"/>
  <c r="V350" i="17"/>
  <c r="N357" i="17"/>
  <c r="O358" i="17"/>
  <c r="X358" i="17"/>
  <c r="O368" i="17"/>
  <c r="U375" i="17"/>
  <c r="V382" i="17"/>
  <c r="U391" i="17"/>
  <c r="W395" i="17"/>
  <c r="V395" i="17"/>
  <c r="N397" i="17"/>
  <c r="O397" i="17"/>
  <c r="O401" i="17"/>
  <c r="P401" i="17"/>
  <c r="U407" i="17"/>
  <c r="V407" i="17"/>
  <c r="W407" i="17"/>
  <c r="N425" i="17"/>
  <c r="P425" i="17"/>
  <c r="O425" i="17"/>
  <c r="T455" i="17"/>
  <c r="X455" i="17"/>
  <c r="V455" i="17"/>
  <c r="U455" i="17"/>
  <c r="P457" i="17"/>
  <c r="O457" i="17"/>
  <c r="N457" i="17"/>
  <c r="U179" i="17"/>
  <c r="W182" i="17"/>
  <c r="W195" i="17"/>
  <c r="N202" i="17"/>
  <c r="W203" i="17"/>
  <c r="V211" i="17"/>
  <c r="V214" i="17"/>
  <c r="X217" i="17"/>
  <c r="N220" i="17"/>
  <c r="V227" i="17"/>
  <c r="W233" i="17"/>
  <c r="N236" i="17"/>
  <c r="W243" i="17"/>
  <c r="W249" i="17"/>
  <c r="W253" i="17"/>
  <c r="W255" i="17"/>
  <c r="N258" i="17"/>
  <c r="N259" i="17"/>
  <c r="W265" i="17"/>
  <c r="W269" i="17"/>
  <c r="W271" i="17"/>
  <c r="P284" i="17"/>
  <c r="O285" i="17"/>
  <c r="V286" i="17"/>
  <c r="P289" i="17"/>
  <c r="X291" i="17"/>
  <c r="O297" i="17"/>
  <c r="W301" i="17"/>
  <c r="W302" i="17"/>
  <c r="W310" i="17"/>
  <c r="V320" i="17"/>
  <c r="U326" i="17"/>
  <c r="V329" i="17"/>
  <c r="O333" i="17"/>
  <c r="P334" i="17"/>
  <c r="U336" i="17"/>
  <c r="X344" i="17"/>
  <c r="U345" i="17"/>
  <c r="W350" i="17"/>
  <c r="O356" i="17"/>
  <c r="O357" i="17"/>
  <c r="P358" i="17"/>
  <c r="U360" i="17"/>
  <c r="U365" i="17"/>
  <c r="U366" i="17"/>
  <c r="X369" i="17"/>
  <c r="X374" i="17"/>
  <c r="X375" i="17"/>
  <c r="W382" i="17"/>
  <c r="T390" i="17"/>
  <c r="X390" i="17"/>
  <c r="W390" i="17"/>
  <c r="T392" i="17"/>
  <c r="X392" i="17"/>
  <c r="V392" i="17"/>
  <c r="P396" i="17"/>
  <c r="N396" i="17"/>
  <c r="N408" i="17"/>
  <c r="O408" i="17"/>
  <c r="T417" i="17"/>
  <c r="W417" i="17"/>
  <c r="X417" i="17"/>
  <c r="T439" i="17"/>
  <c r="W439" i="17"/>
  <c r="V439" i="17"/>
  <c r="U439" i="17"/>
  <c r="V442" i="17"/>
  <c r="T442" i="17"/>
  <c r="X385" i="17"/>
  <c r="U404" i="17"/>
  <c r="N413" i="17"/>
  <c r="O414" i="17"/>
  <c r="V418" i="17"/>
  <c r="W422" i="17"/>
  <c r="P426" i="17"/>
  <c r="T428" i="17"/>
  <c r="O434" i="17"/>
  <c r="O435" i="17"/>
  <c r="P441" i="17"/>
  <c r="O443" i="17"/>
  <c r="W446" i="17"/>
  <c r="P448" i="17"/>
  <c r="X452" i="17"/>
  <c r="V457" i="17"/>
  <c r="U460" i="17"/>
  <c r="P463" i="17"/>
  <c r="N465" i="17"/>
  <c r="P469" i="17"/>
  <c r="P473" i="17"/>
  <c r="N483" i="17"/>
  <c r="U486" i="17"/>
  <c r="O489" i="17"/>
  <c r="N491" i="17"/>
  <c r="O493" i="17"/>
  <c r="W494" i="17"/>
  <c r="V495" i="17"/>
  <c r="W497" i="17"/>
  <c r="O500" i="17"/>
  <c r="X501" i="17"/>
  <c r="W508" i="17"/>
  <c r="P510" i="17"/>
  <c r="X511" i="17"/>
  <c r="P516" i="17"/>
  <c r="T522" i="17"/>
  <c r="U523" i="17"/>
  <c r="P525" i="17"/>
  <c r="N526" i="17"/>
  <c r="W527" i="17"/>
  <c r="V527" i="17"/>
  <c r="P535" i="17"/>
  <c r="N535" i="17"/>
  <c r="T539" i="17"/>
  <c r="U539" i="17"/>
  <c r="X541" i="17"/>
  <c r="P547" i="17"/>
  <c r="O547" i="17"/>
  <c r="N548" i="17"/>
  <c r="O548" i="17"/>
  <c r="N549" i="17"/>
  <c r="X551" i="17"/>
  <c r="N559" i="17"/>
  <c r="X577" i="17"/>
  <c r="V577" i="17"/>
  <c r="U577" i="17"/>
  <c r="V592" i="17"/>
  <c r="W418" i="17"/>
  <c r="P433" i="17"/>
  <c r="P434" i="17"/>
  <c r="X446" i="17"/>
  <c r="U447" i="17"/>
  <c r="U454" i="17"/>
  <c r="O465" i="17"/>
  <c r="O468" i="17"/>
  <c r="U478" i="17"/>
  <c r="O483" i="17"/>
  <c r="P489" i="17"/>
  <c r="O491" i="17"/>
  <c r="P493" i="17"/>
  <c r="X494" i="17"/>
  <c r="X495" i="17"/>
  <c r="P500" i="17"/>
  <c r="U502" i="17"/>
  <c r="U518" i="17"/>
  <c r="W523" i="17"/>
  <c r="U524" i="17"/>
  <c r="P526" i="17"/>
  <c r="T542" i="17"/>
  <c r="W542" i="17"/>
  <c r="V542" i="17"/>
  <c r="O546" i="17"/>
  <c r="P563" i="17"/>
  <c r="N563" i="17"/>
  <c r="P570" i="17"/>
  <c r="O570" i="17"/>
  <c r="N574" i="17"/>
  <c r="P574" i="17"/>
  <c r="O574" i="17"/>
  <c r="O578" i="17"/>
  <c r="P578" i="17"/>
  <c r="P584" i="17"/>
  <c r="O584" i="17"/>
  <c r="V587" i="17"/>
  <c r="W587" i="17"/>
  <c r="P588" i="17"/>
  <c r="O588" i="17"/>
  <c r="X593" i="17"/>
  <c r="V593" i="17"/>
  <c r="U593" i="17"/>
  <c r="U438" i="17"/>
  <c r="V447" i="17"/>
  <c r="U462" i="17"/>
  <c r="N486" i="17"/>
  <c r="U503" i="17"/>
  <c r="T504" i="17"/>
  <c r="U509" i="17"/>
  <c r="W524" i="17"/>
  <c r="X542" i="17"/>
  <c r="V556" i="17"/>
  <c r="X556" i="17"/>
  <c r="W556" i="17"/>
  <c r="P562" i="17"/>
  <c r="O562" i="17"/>
  <c r="O565" i="17"/>
  <c r="N565" i="17"/>
  <c r="T576" i="17"/>
  <c r="X576" i="17"/>
  <c r="W576" i="17"/>
  <c r="V589" i="17"/>
  <c r="O594" i="17"/>
  <c r="N594" i="17"/>
  <c r="V611" i="17"/>
  <c r="W611" i="17"/>
  <c r="U431" i="17"/>
  <c r="V438" i="17"/>
  <c r="W447" i="17"/>
  <c r="N454" i="17"/>
  <c r="W454" i="17"/>
  <c r="O460" i="17"/>
  <c r="V462" i="17"/>
  <c r="V471" i="17"/>
  <c r="T472" i="17"/>
  <c r="W475" i="17"/>
  <c r="N478" i="17"/>
  <c r="W478" i="17"/>
  <c r="U479" i="17"/>
  <c r="O485" i="17"/>
  <c r="O486" i="17"/>
  <c r="U492" i="17"/>
  <c r="N502" i="17"/>
  <c r="W502" i="17"/>
  <c r="V503" i="17"/>
  <c r="X509" i="17"/>
  <c r="W514" i="17"/>
  <c r="N518" i="17"/>
  <c r="W518" i="17"/>
  <c r="U519" i="17"/>
  <c r="V520" i="17"/>
  <c r="N523" i="17"/>
  <c r="X524" i="17"/>
  <c r="V532" i="17"/>
  <c r="X532" i="17"/>
  <c r="W532" i="17"/>
  <c r="T534" i="17"/>
  <c r="V534" i="17"/>
  <c r="U534" i="17"/>
  <c r="U535" i="17"/>
  <c r="V536" i="17"/>
  <c r="P539" i="17"/>
  <c r="N539" i="17"/>
  <c r="W543" i="17"/>
  <c r="U543" i="17"/>
  <c r="U547" i="17"/>
  <c r="U548" i="17"/>
  <c r="P551" i="17"/>
  <c r="N551" i="17"/>
  <c r="T555" i="17"/>
  <c r="U555" i="17"/>
  <c r="X557" i="17"/>
  <c r="W586" i="17"/>
  <c r="V586" i="17"/>
  <c r="T586" i="17"/>
  <c r="U384" i="17"/>
  <c r="V401" i="17"/>
  <c r="U402" i="17"/>
  <c r="X410" i="17"/>
  <c r="X416" i="17"/>
  <c r="V431" i="17"/>
  <c r="X438" i="17"/>
  <c r="W445" i="17"/>
  <c r="N447" i="17"/>
  <c r="X447" i="17"/>
  <c r="T451" i="17"/>
  <c r="X454" i="17"/>
  <c r="P460" i="17"/>
  <c r="O461" i="17"/>
  <c r="W462" i="17"/>
  <c r="U463" i="17"/>
  <c r="T469" i="17"/>
  <c r="W471" i="17"/>
  <c r="X472" i="17"/>
  <c r="V473" i="17"/>
  <c r="O477" i="17"/>
  <c r="X478" i="17"/>
  <c r="V479" i="17"/>
  <c r="T480" i="17"/>
  <c r="P485" i="17"/>
  <c r="V487" i="17"/>
  <c r="U488" i="17"/>
  <c r="W492" i="17"/>
  <c r="X502" i="17"/>
  <c r="X503" i="17"/>
  <c r="U510" i="17"/>
  <c r="W513" i="17"/>
  <c r="W515" i="17"/>
  <c r="U516" i="17"/>
  <c r="X518" i="17"/>
  <c r="V519" i="17"/>
  <c r="O522" i="17"/>
  <c r="O523" i="17"/>
  <c r="O524" i="17"/>
  <c r="U525" i="17"/>
  <c r="W533" i="17"/>
  <c r="U533" i="17"/>
  <c r="W534" i="17"/>
  <c r="V535" i="17"/>
  <c r="O538" i="17"/>
  <c r="W547" i="17"/>
  <c r="W548" i="17"/>
  <c r="O556" i="17"/>
  <c r="T558" i="17"/>
  <c r="W558" i="17"/>
  <c r="V558" i="17"/>
  <c r="U563" i="17"/>
  <c r="N567" i="17"/>
  <c r="T581" i="17"/>
  <c r="U581" i="17"/>
  <c r="X581" i="17"/>
  <c r="V591" i="17"/>
  <c r="X591" i="17"/>
  <c r="W591" i="17"/>
  <c r="W469" i="17"/>
  <c r="W473" i="17"/>
  <c r="W479" i="17"/>
  <c r="V489" i="17"/>
  <c r="W516" i="17"/>
  <c r="X519" i="17"/>
  <c r="X548" i="17"/>
  <c r="U571" i="17"/>
  <c r="X571" i="17"/>
  <c r="W571" i="17"/>
  <c r="X585" i="17"/>
  <c r="V585" i="17"/>
  <c r="U585" i="17"/>
  <c r="T589" i="17"/>
  <c r="U589" i="17"/>
  <c r="X589" i="17"/>
  <c r="O592" i="17"/>
  <c r="N592" i="17"/>
  <c r="N604" i="17"/>
  <c r="P604" i="17"/>
  <c r="O604" i="17"/>
  <c r="U446" i="17"/>
  <c r="W451" i="17"/>
  <c r="W463" i="17"/>
  <c r="W465" i="17"/>
  <c r="X469" i="17"/>
  <c r="X479" i="17"/>
  <c r="W483" i="17"/>
  <c r="W489" i="17"/>
  <c r="U494" i="17"/>
  <c r="W500" i="17"/>
  <c r="X516" i="17"/>
  <c r="T526" i="17"/>
  <c r="X526" i="17"/>
  <c r="V526" i="17"/>
  <c r="P530" i="17"/>
  <c r="O530" i="17"/>
  <c r="P531" i="17"/>
  <c r="N531" i="17"/>
  <c r="T550" i="17"/>
  <c r="V550" i="17"/>
  <c r="U550" i="17"/>
  <c r="P555" i="17"/>
  <c r="N555" i="17"/>
  <c r="W559" i="17"/>
  <c r="U559" i="17"/>
  <c r="W563" i="17"/>
  <c r="P581" i="17"/>
  <c r="O581" i="17"/>
  <c r="N581" i="17"/>
  <c r="X402" i="17"/>
  <c r="N414" i="17"/>
  <c r="U418" i="17"/>
  <c r="V422" i="17"/>
  <c r="O426" i="17"/>
  <c r="N435" i="17"/>
  <c r="O441" i="17"/>
  <c r="N443" i="17"/>
  <c r="V446" i="17"/>
  <c r="N448" i="17"/>
  <c r="W452" i="17"/>
  <c r="X456" i="17"/>
  <c r="X463" i="17"/>
  <c r="X465" i="17"/>
  <c r="O469" i="17"/>
  <c r="U470" i="17"/>
  <c r="N473" i="17"/>
  <c r="N479" i="17"/>
  <c r="W484" i="17"/>
  <c r="P487" i="17"/>
  <c r="X489" i="17"/>
  <c r="V494" i="17"/>
  <c r="U495" i="17"/>
  <c r="T496" i="17"/>
  <c r="V497" i="17"/>
  <c r="X500" i="17"/>
  <c r="U501" i="17"/>
  <c r="W507" i="17"/>
  <c r="U508" i="17"/>
  <c r="V511" i="17"/>
  <c r="O514" i="17"/>
  <c r="O515" i="17"/>
  <c r="O516" i="17"/>
  <c r="U517" i="17"/>
  <c r="N519" i="17"/>
  <c r="W526" i="17"/>
  <c r="X527" i="17"/>
  <c r="N533" i="17"/>
  <c r="O533" i="17"/>
  <c r="V540" i="17"/>
  <c r="X540" i="17"/>
  <c r="W540" i="17"/>
  <c r="N547" i="17"/>
  <c r="P548" i="17"/>
  <c r="W550" i="17"/>
  <c r="V551" i="17"/>
  <c r="V552" i="17"/>
  <c r="P572" i="17"/>
  <c r="O572" i="17"/>
  <c r="N572" i="17"/>
  <c r="O575" i="17"/>
  <c r="N575" i="17"/>
  <c r="U576" i="17"/>
  <c r="P589" i="17"/>
  <c r="N589" i="17"/>
  <c r="N599" i="17"/>
  <c r="O599" i="17"/>
  <c r="X609" i="17"/>
  <c r="W609" i="17"/>
  <c r="U609" i="17"/>
  <c r="X567" i="17"/>
  <c r="V605" i="17"/>
  <c r="V608" i="17"/>
  <c r="W612" i="17"/>
  <c r="N624" i="17"/>
  <c r="N625" i="17"/>
  <c r="N628" i="17"/>
  <c r="V629" i="17"/>
  <c r="U630" i="17"/>
  <c r="T631" i="17"/>
  <c r="O640" i="17"/>
  <c r="N641" i="17"/>
  <c r="W642" i="17"/>
  <c r="W646" i="17"/>
  <c r="U649" i="17"/>
  <c r="N651" i="17"/>
  <c r="X652" i="17"/>
  <c r="U655" i="17"/>
  <c r="U660" i="17"/>
  <c r="V661" i="17"/>
  <c r="N666" i="17"/>
  <c r="O667" i="17"/>
  <c r="P669" i="17"/>
  <c r="N674" i="17"/>
  <c r="X674" i="17"/>
  <c r="T677" i="17"/>
  <c r="W680" i="17"/>
  <c r="X681" i="17"/>
  <c r="U700" i="17"/>
  <c r="U711" i="17"/>
  <c r="U719" i="17"/>
  <c r="T719" i="17"/>
  <c r="O732" i="17"/>
  <c r="N732" i="17"/>
  <c r="U743" i="17"/>
  <c r="T747" i="17"/>
  <c r="U747" i="17"/>
  <c r="O748" i="17"/>
  <c r="P748" i="17"/>
  <c r="T797" i="17"/>
  <c r="V797" i="17"/>
  <c r="U797" i="17"/>
  <c r="P857" i="17"/>
  <c r="O857" i="17"/>
  <c r="N857" i="17"/>
  <c r="W872" i="17"/>
  <c r="T872" i="17"/>
  <c r="V872" i="17"/>
  <c r="U916" i="17"/>
  <c r="T916" i="17"/>
  <c r="W916" i="17"/>
  <c r="V916" i="17"/>
  <c r="U549" i="17"/>
  <c r="V560" i="17"/>
  <c r="X564" i="17"/>
  <c r="X590" i="17"/>
  <c r="U597" i="17"/>
  <c r="U601" i="17"/>
  <c r="W605" i="17"/>
  <c r="W608" i="17"/>
  <c r="V610" i="17"/>
  <c r="U613" i="17"/>
  <c r="O625" i="17"/>
  <c r="W629" i="17"/>
  <c r="V630" i="17"/>
  <c r="U637" i="17"/>
  <c r="P640" i="17"/>
  <c r="N642" i="17"/>
  <c r="X642" i="17"/>
  <c r="T643" i="17"/>
  <c r="N646" i="17"/>
  <c r="V649" i="17"/>
  <c r="P651" i="17"/>
  <c r="W660" i="17"/>
  <c r="W661" i="17"/>
  <c r="T662" i="17"/>
  <c r="P667" i="17"/>
  <c r="V675" i="17"/>
  <c r="O680" i="17"/>
  <c r="X680" i="17"/>
  <c r="X682" i="17"/>
  <c r="T696" i="17"/>
  <c r="X696" i="17"/>
  <c r="W696" i="17"/>
  <c r="T699" i="17"/>
  <c r="V700" i="17"/>
  <c r="N708" i="17"/>
  <c r="T712" i="17"/>
  <c r="W712" i="17"/>
  <c r="O724" i="17"/>
  <c r="P724" i="17"/>
  <c r="N724" i="17"/>
  <c r="O728" i="17"/>
  <c r="P728" i="17"/>
  <c r="W730" i="17"/>
  <c r="V730" i="17"/>
  <c r="P736" i="17"/>
  <c r="O756" i="17"/>
  <c r="P756" i="17"/>
  <c r="P868" i="17"/>
  <c r="O868" i="17"/>
  <c r="N868" i="17"/>
  <c r="W902" i="17"/>
  <c r="V902" i="17"/>
  <c r="T902" i="17"/>
  <c r="V613" i="17"/>
  <c r="W632" i="17"/>
  <c r="V637" i="17"/>
  <c r="V643" i="17"/>
  <c r="X661" i="17"/>
  <c r="U683" i="17"/>
  <c r="T687" i="17"/>
  <c r="T691" i="17"/>
  <c r="W691" i="17"/>
  <c r="V691" i="17"/>
  <c r="W700" i="17"/>
  <c r="P708" i="17"/>
  <c r="U727" i="17"/>
  <c r="T727" i="17"/>
  <c r="T795" i="17"/>
  <c r="W795" i="17"/>
  <c r="U795" i="17"/>
  <c r="U800" i="17"/>
  <c r="W800" i="17"/>
  <c r="V800" i="17"/>
  <c r="P841" i="17"/>
  <c r="O841" i="17"/>
  <c r="N841" i="17"/>
  <c r="P860" i="17"/>
  <c r="O860" i="17"/>
  <c r="N860" i="17"/>
  <c r="N931" i="17"/>
  <c r="O931" i="17"/>
  <c r="P931" i="17"/>
  <c r="W613" i="17"/>
  <c r="V616" i="17"/>
  <c r="X619" i="17"/>
  <c r="U634" i="17"/>
  <c r="W637" i="17"/>
  <c r="X643" i="17"/>
  <c r="U663" i="17"/>
  <c r="U664" i="17"/>
  <c r="N675" i="17"/>
  <c r="N682" i="17"/>
  <c r="V683" i="17"/>
  <c r="T685" i="17"/>
  <c r="U685" i="17"/>
  <c r="W685" i="17"/>
  <c r="U693" i="17"/>
  <c r="X693" i="17"/>
  <c r="W754" i="17"/>
  <c r="T754" i="17"/>
  <c r="W762" i="17"/>
  <c r="V762" i="17"/>
  <c r="O786" i="17"/>
  <c r="P786" i="17"/>
  <c r="T837" i="17"/>
  <c r="V837" i="17"/>
  <c r="W837" i="17"/>
  <c r="U837" i="17"/>
  <c r="T853" i="17"/>
  <c r="V853" i="17"/>
  <c r="W853" i="17"/>
  <c r="U853" i="17"/>
  <c r="P877" i="17"/>
  <c r="O877" i="17"/>
  <c r="N877" i="17"/>
  <c r="P890" i="17"/>
  <c r="O890" i="17"/>
  <c r="N890" i="17"/>
  <c r="U566" i="17"/>
  <c r="V580" i="17"/>
  <c r="P582" i="17"/>
  <c r="X597" i="17"/>
  <c r="X603" i="17"/>
  <c r="N609" i="17"/>
  <c r="N613" i="17"/>
  <c r="X613" i="17"/>
  <c r="X614" i="17"/>
  <c r="W616" i="17"/>
  <c r="W617" i="17"/>
  <c r="V621" i="17"/>
  <c r="T627" i="17"/>
  <c r="N632" i="17"/>
  <c r="V633" i="17"/>
  <c r="V634" i="17"/>
  <c r="N636" i="17"/>
  <c r="N637" i="17"/>
  <c r="X637" i="17"/>
  <c r="X638" i="17"/>
  <c r="N643" i="17"/>
  <c r="W644" i="17"/>
  <c r="V645" i="17"/>
  <c r="W650" i="17"/>
  <c r="V656" i="17"/>
  <c r="V657" i="17"/>
  <c r="V663" i="17"/>
  <c r="V664" i="17"/>
  <c r="V666" i="17"/>
  <c r="W672" i="17"/>
  <c r="U673" i="17"/>
  <c r="O675" i="17"/>
  <c r="O677" i="17"/>
  <c r="P678" i="17"/>
  <c r="O682" i="17"/>
  <c r="N683" i="17"/>
  <c r="W683" i="17"/>
  <c r="X685" i="17"/>
  <c r="T688" i="17"/>
  <c r="W688" i="17"/>
  <c r="X688" i="17"/>
  <c r="N690" i="17"/>
  <c r="N691" i="17"/>
  <c r="O696" i="17"/>
  <c r="N696" i="17"/>
  <c r="O712" i="17"/>
  <c r="N712" i="17"/>
  <c r="T724" i="17"/>
  <c r="N726" i="17"/>
  <c r="U729" i="17"/>
  <c r="T729" i="17"/>
  <c r="U737" i="17"/>
  <c r="T751" i="17"/>
  <c r="O758" i="17"/>
  <c r="P758" i="17"/>
  <c r="N758" i="17"/>
  <c r="T793" i="17"/>
  <c r="V793" i="17"/>
  <c r="W793" i="17"/>
  <c r="U793" i="17"/>
  <c r="P840" i="17"/>
  <c r="O840" i="17"/>
  <c r="N840" i="17"/>
  <c r="P866" i="17"/>
  <c r="O866" i="17"/>
  <c r="N866" i="17"/>
  <c r="P889" i="17"/>
  <c r="O889" i="17"/>
  <c r="N889" i="17"/>
  <c r="V927" i="17"/>
  <c r="T927" i="17"/>
  <c r="V961" i="17"/>
  <c r="W961" i="17"/>
  <c r="U570" i="17"/>
  <c r="V584" i="17"/>
  <c r="V588" i="17"/>
  <c r="V604" i="17"/>
  <c r="O609" i="17"/>
  <c r="O613" i="17"/>
  <c r="O619" i="17"/>
  <c r="U622" i="17"/>
  <c r="U625" i="17"/>
  <c r="O637" i="17"/>
  <c r="X640" i="17"/>
  <c r="P643" i="17"/>
  <c r="W645" i="17"/>
  <c r="T651" i="17"/>
  <c r="X663" i="17"/>
  <c r="W664" i="17"/>
  <c r="U665" i="17"/>
  <c r="W666" i="17"/>
  <c r="T667" i="17"/>
  <c r="X683" i="17"/>
  <c r="N685" i="17"/>
  <c r="N687" i="17"/>
  <c r="O691" i="17"/>
  <c r="P700" i="17"/>
  <c r="O700" i="17"/>
  <c r="T704" i="17"/>
  <c r="V704" i="17"/>
  <c r="U704" i="17"/>
  <c r="T720" i="17"/>
  <c r="W720" i="17"/>
  <c r="V720" i="17"/>
  <c r="P726" i="17"/>
  <c r="W738" i="17"/>
  <c r="V738" i="17"/>
  <c r="T738" i="17"/>
  <c r="W742" i="17"/>
  <c r="V742" i="17"/>
  <c r="W752" i="17"/>
  <c r="V752" i="17"/>
  <c r="O766" i="17"/>
  <c r="P766" i="17"/>
  <c r="N766" i="17"/>
  <c r="T799" i="17"/>
  <c r="W799" i="17"/>
  <c r="V799" i="17"/>
  <c r="U799" i="17"/>
  <c r="T851" i="17"/>
  <c r="U851" i="17"/>
  <c r="V851" i="17"/>
  <c r="W862" i="17"/>
  <c r="V862" i="17"/>
  <c r="T862" i="17"/>
  <c r="T905" i="17"/>
  <c r="V905" i="17"/>
  <c r="W905" i="17"/>
  <c r="V625" i="17"/>
  <c r="W628" i="17"/>
  <c r="W641" i="17"/>
  <c r="V651" i="17"/>
  <c r="X664" i="17"/>
  <c r="U674" i="17"/>
  <c r="T684" i="17"/>
  <c r="U684" i="17"/>
  <c r="W768" i="17"/>
  <c r="T768" i="17"/>
  <c r="W782" i="17"/>
  <c r="V782" i="17"/>
  <c r="U782" i="17"/>
  <c r="W870" i="17"/>
  <c r="V870" i="17"/>
  <c r="T870" i="17"/>
  <c r="W882" i="17"/>
  <c r="V882" i="17"/>
  <c r="W918" i="17"/>
  <c r="T918" i="17"/>
  <c r="X622" i="17"/>
  <c r="W625" i="17"/>
  <c r="V642" i="17"/>
  <c r="V646" i="17"/>
  <c r="X651" i="17"/>
  <c r="U661" i="17"/>
  <c r="W674" i="17"/>
  <c r="V680" i="17"/>
  <c r="W728" i="17"/>
  <c r="V728" i="17"/>
  <c r="T728" i="17"/>
  <c r="W736" i="17"/>
  <c r="T736" i="17"/>
  <c r="O843" i="17"/>
  <c r="P843" i="17"/>
  <c r="N843" i="17"/>
  <c r="T847" i="17"/>
  <c r="W847" i="17"/>
  <c r="U847" i="17"/>
  <c r="T873" i="17"/>
  <c r="V873" i="17"/>
  <c r="W873" i="17"/>
  <c r="O975" i="17"/>
  <c r="N975" i="17"/>
  <c r="P975" i="17"/>
  <c r="T985" i="17"/>
  <c r="W985" i="17"/>
  <c r="V985" i="17"/>
  <c r="U985" i="17"/>
  <c r="V770" i="17"/>
  <c r="O797" i="17"/>
  <c r="O803" i="17"/>
  <c r="P807" i="17"/>
  <c r="O807" i="17"/>
  <c r="P809" i="17"/>
  <c r="N809" i="17"/>
  <c r="W815" i="17"/>
  <c r="U816" i="17"/>
  <c r="W817" i="17"/>
  <c r="V818" i="17"/>
  <c r="P823" i="17"/>
  <c r="P832" i="17"/>
  <c r="N832" i="17"/>
  <c r="O833" i="17"/>
  <c r="O836" i="17"/>
  <c r="V839" i="17"/>
  <c r="O845" i="17"/>
  <c r="T855" i="17"/>
  <c r="W855" i="17"/>
  <c r="V855" i="17"/>
  <c r="P861" i="17"/>
  <c r="P863" i="17"/>
  <c r="V865" i="17"/>
  <c r="P871" i="17"/>
  <c r="W876" i="17"/>
  <c r="P880" i="17"/>
  <c r="O880" i="17"/>
  <c r="P881" i="17"/>
  <c r="O884" i="17"/>
  <c r="T887" i="17"/>
  <c r="W887" i="17"/>
  <c r="V887" i="17"/>
  <c r="P896" i="17"/>
  <c r="O896" i="17"/>
  <c r="N897" i="17"/>
  <c r="P897" i="17"/>
  <c r="V906" i="17"/>
  <c r="T909" i="17"/>
  <c r="V909" i="17"/>
  <c r="W909" i="17"/>
  <c r="T913" i="17"/>
  <c r="V913" i="17"/>
  <c r="U913" i="17"/>
  <c r="V948" i="17"/>
  <c r="U948" i="17"/>
  <c r="T948" i="17"/>
  <c r="W818" i="17"/>
  <c r="W856" i="17"/>
  <c r="T856" i="17"/>
  <c r="U857" i="17"/>
  <c r="T877" i="17"/>
  <c r="V877" i="17"/>
  <c r="U877" i="17"/>
  <c r="W888" i="17"/>
  <c r="T888" i="17"/>
  <c r="T907" i="17"/>
  <c r="U907" i="17"/>
  <c r="W913" i="17"/>
  <c r="W923" i="17"/>
  <c r="V925" i="17"/>
  <c r="T925" i="17"/>
  <c r="V932" i="17"/>
  <c r="T932" i="17"/>
  <c r="N945" i="17"/>
  <c r="P945" i="17"/>
  <c r="N955" i="17"/>
  <c r="O955" i="17"/>
  <c r="T968" i="17"/>
  <c r="U968" i="17"/>
  <c r="P978" i="17"/>
  <c r="N978" i="17"/>
  <c r="V766" i="17"/>
  <c r="U776" i="17"/>
  <c r="U788" i="17"/>
  <c r="P804" i="17"/>
  <c r="O804" i="17"/>
  <c r="W819" i="17"/>
  <c r="P824" i="17"/>
  <c r="O824" i="17"/>
  <c r="N825" i="17"/>
  <c r="O825" i="17"/>
  <c r="U831" i="17"/>
  <c r="T841" i="17"/>
  <c r="W841" i="17"/>
  <c r="V841" i="17"/>
  <c r="T844" i="17"/>
  <c r="O848" i="17"/>
  <c r="V857" i="17"/>
  <c r="W859" i="17"/>
  <c r="V860" i="17"/>
  <c r="U868" i="17"/>
  <c r="T868" i="17"/>
  <c r="W868" i="17"/>
  <c r="W877" i="17"/>
  <c r="U879" i="17"/>
  <c r="O885" i="17"/>
  <c r="V890" i="17"/>
  <c r="W891" i="17"/>
  <c r="V892" i="17"/>
  <c r="P904" i="17"/>
  <c r="N904" i="17"/>
  <c r="O911" i="17"/>
  <c r="N922" i="17"/>
  <c r="P926" i="17"/>
  <c r="N926" i="17"/>
  <c r="V947" i="17"/>
  <c r="T947" i="17"/>
  <c r="N973" i="17"/>
  <c r="P742" i="17"/>
  <c r="N750" i="17"/>
  <c r="N768" i="17"/>
  <c r="V776" i="17"/>
  <c r="P796" i="17"/>
  <c r="O796" i="17"/>
  <c r="U807" i="17"/>
  <c r="U809" i="17"/>
  <c r="T821" i="17"/>
  <c r="V821" i="17"/>
  <c r="U821" i="17"/>
  <c r="O829" i="17"/>
  <c r="V831" i="17"/>
  <c r="T832" i="17"/>
  <c r="V844" i="17"/>
  <c r="N856" i="17"/>
  <c r="W857" i="17"/>
  <c r="W860" i="17"/>
  <c r="U869" i="17"/>
  <c r="P876" i="17"/>
  <c r="O876" i="17"/>
  <c r="W878" i="17"/>
  <c r="T878" i="17"/>
  <c r="T880" i="17"/>
  <c r="U883" i="17"/>
  <c r="N888" i="17"/>
  <c r="W892" i="17"/>
  <c r="T896" i="17"/>
  <c r="U897" i="17"/>
  <c r="U900" i="17"/>
  <c r="T900" i="17"/>
  <c r="W900" i="17"/>
  <c r="U901" i="17"/>
  <c r="P908" i="17"/>
  <c r="O908" i="17"/>
  <c r="V931" i="17"/>
  <c r="T931" i="17"/>
  <c r="N954" i="17"/>
  <c r="P954" i="17"/>
  <c r="T980" i="17"/>
  <c r="W980" i="17"/>
  <c r="U980" i="17"/>
  <c r="U708" i="17"/>
  <c r="P750" i="17"/>
  <c r="P768" i="17"/>
  <c r="U791" i="17"/>
  <c r="U803" i="17"/>
  <c r="U805" i="17"/>
  <c r="V807" i="17"/>
  <c r="V809" i="17"/>
  <c r="W821" i="17"/>
  <c r="U823" i="17"/>
  <c r="W831" i="17"/>
  <c r="V832" i="17"/>
  <c r="W844" i="17"/>
  <c r="U845" i="17"/>
  <c r="T846" i="17"/>
  <c r="O856" i="17"/>
  <c r="N859" i="17"/>
  <c r="T861" i="17"/>
  <c r="V861" i="17"/>
  <c r="U861" i="17"/>
  <c r="U863" i="17"/>
  <c r="V869" i="17"/>
  <c r="P874" i="17"/>
  <c r="O874" i="17"/>
  <c r="W879" i="17"/>
  <c r="V880" i="17"/>
  <c r="T884" i="17"/>
  <c r="O888" i="17"/>
  <c r="V896" i="17"/>
  <c r="V901" i="17"/>
  <c r="U903" i="17"/>
  <c r="P914" i="17"/>
  <c r="N914" i="17"/>
  <c r="O914" i="17"/>
  <c r="T960" i="17"/>
  <c r="V960" i="17"/>
  <c r="U960" i="17"/>
  <c r="T962" i="17"/>
  <c r="U962" i="17"/>
  <c r="V967" i="17"/>
  <c r="W967" i="17"/>
  <c r="T967" i="17"/>
  <c r="U784" i="17"/>
  <c r="U801" i="17"/>
  <c r="V803" i="17"/>
  <c r="V805" i="17"/>
  <c r="W807" i="17"/>
  <c r="W809" i="17"/>
  <c r="O819" i="17"/>
  <c r="P819" i="17"/>
  <c r="N821" i="17"/>
  <c r="W822" i="17"/>
  <c r="T822" i="17"/>
  <c r="T833" i="17"/>
  <c r="W833" i="17"/>
  <c r="V833" i="17"/>
  <c r="V845" i="17"/>
  <c r="T871" i="17"/>
  <c r="W871" i="17"/>
  <c r="V871" i="17"/>
  <c r="U875" i="17"/>
  <c r="T881" i="17"/>
  <c r="W881" i="17"/>
  <c r="V881" i="17"/>
  <c r="T883" i="17"/>
  <c r="V883" i="17"/>
  <c r="V884" i="17"/>
  <c r="W894" i="17"/>
  <c r="T894" i="17"/>
  <c r="N895" i="17"/>
  <c r="T897" i="17"/>
  <c r="W897" i="17"/>
  <c r="V903" i="17"/>
  <c r="P938" i="17"/>
  <c r="N938" i="17"/>
  <c r="P942" i="17"/>
  <c r="O942" i="17"/>
  <c r="N947" i="17"/>
  <c r="O947" i="17"/>
  <c r="N953" i="17"/>
  <c r="P953" i="17"/>
  <c r="T958" i="17"/>
  <c r="V965" i="17"/>
  <c r="T965" i="17"/>
  <c r="V695" i="17"/>
  <c r="U716" i="17"/>
  <c r="V760" i="17"/>
  <c r="P764" i="17"/>
  <c r="T770" i="17"/>
  <c r="U772" i="17"/>
  <c r="V780" i="17"/>
  <c r="U792" i="17"/>
  <c r="T792" i="17"/>
  <c r="W801" i="17"/>
  <c r="N803" i="17"/>
  <c r="N807" i="17"/>
  <c r="O809" i="17"/>
  <c r="U813" i="17"/>
  <c r="T814" i="17"/>
  <c r="V815" i="17"/>
  <c r="V817" i="17"/>
  <c r="W825" i="17"/>
  <c r="O832" i="17"/>
  <c r="N833" i="17"/>
  <c r="N836" i="17"/>
  <c r="V838" i="17"/>
  <c r="U839" i="17"/>
  <c r="N845" i="17"/>
  <c r="U852" i="17"/>
  <c r="T852" i="17"/>
  <c r="V854" i="17"/>
  <c r="U855" i="17"/>
  <c r="P858" i="17"/>
  <c r="O858" i="17"/>
  <c r="V864" i="17"/>
  <c r="U865" i="17"/>
  <c r="O871" i="17"/>
  <c r="V874" i="17"/>
  <c r="W875" i="17"/>
  <c r="V876" i="17"/>
  <c r="N880" i="17"/>
  <c r="O881" i="17"/>
  <c r="N884" i="17"/>
  <c r="V885" i="17"/>
  <c r="V886" i="17"/>
  <c r="U887" i="17"/>
  <c r="P893" i="17"/>
  <c r="N896" i="17"/>
  <c r="O897" i="17"/>
  <c r="N898" i="17"/>
  <c r="T906" i="17"/>
  <c r="W907" i="17"/>
  <c r="U909" i="17"/>
  <c r="T912" i="17"/>
  <c r="T915" i="17"/>
  <c r="W915" i="17"/>
  <c r="U926" i="17"/>
  <c r="V926" i="17"/>
  <c r="N946" i="17"/>
  <c r="P946" i="17"/>
  <c r="V964" i="17"/>
  <c r="T964" i="17"/>
  <c r="V968" i="17"/>
  <c r="U889" i="17"/>
  <c r="U895" i="17"/>
  <c r="W946" i="17"/>
  <c r="W954" i="17"/>
  <c r="T959" i="17"/>
  <c r="P961" i="17"/>
  <c r="O969" i="17"/>
  <c r="U972" i="17"/>
  <c r="U973" i="17"/>
  <c r="U975" i="17"/>
  <c r="W977" i="17"/>
  <c r="V978" i="17"/>
  <c r="U981" i="17"/>
  <c r="O985" i="17"/>
  <c r="P993" i="17"/>
  <c r="N995" i="17"/>
  <c r="P999" i="17"/>
  <c r="P1001" i="17"/>
  <c r="N1005" i="17"/>
  <c r="O1007" i="17"/>
  <c r="U1010" i="17"/>
  <c r="W1011" i="17"/>
  <c r="O1015" i="17"/>
  <c r="W1017" i="17"/>
  <c r="O1021" i="17"/>
  <c r="P1023" i="17"/>
  <c r="P1025" i="17"/>
  <c r="V1037" i="17"/>
  <c r="U1041" i="17"/>
  <c r="T1042" i="17"/>
  <c r="V1043" i="17"/>
  <c r="P1047" i="17"/>
  <c r="U1050" i="17"/>
  <c r="U1055" i="17"/>
  <c r="P969" i="17"/>
  <c r="V973" i="17"/>
  <c r="W978" i="17"/>
  <c r="U979" i="17"/>
  <c r="P985" i="17"/>
  <c r="O1005" i="17"/>
  <c r="P1007" i="17"/>
  <c r="P1015" i="17"/>
  <c r="U1031" i="17"/>
  <c r="W1037" i="17"/>
  <c r="W1043" i="17"/>
  <c r="U1049" i="17"/>
  <c r="W973" i="17"/>
  <c r="V979" i="17"/>
  <c r="U1033" i="17"/>
  <c r="V908" i="17"/>
  <c r="T957" i="17"/>
  <c r="V966" i="17"/>
  <c r="U970" i="17"/>
  <c r="W979" i="17"/>
  <c r="U983" i="17"/>
  <c r="U989" i="17"/>
  <c r="U991" i="17"/>
  <c r="U997" i="17"/>
  <c r="N1031" i="17"/>
  <c r="W1031" i="17"/>
  <c r="V1033" i="17"/>
  <c r="O1041" i="17"/>
  <c r="V989" i="17"/>
  <c r="U993" i="17"/>
  <c r="U995" i="17"/>
  <c r="V997" i="17"/>
  <c r="U999" i="17"/>
  <c r="U1001" i="17"/>
  <c r="U1003" i="17"/>
  <c r="U1021" i="17"/>
  <c r="U1023" i="17"/>
  <c r="U1025" i="17"/>
  <c r="V1027" i="17"/>
  <c r="W1033" i="17"/>
  <c r="U1047" i="17"/>
  <c r="U1053" i="17"/>
  <c r="V1003" i="17"/>
  <c r="U1005" i="17"/>
  <c r="U1007" i="17"/>
  <c r="U1015" i="17"/>
  <c r="V1021" i="17"/>
  <c r="W1027" i="17"/>
  <c r="V1047" i="17"/>
  <c r="V812" i="17"/>
  <c r="U829" i="17"/>
  <c r="V836" i="17"/>
  <c r="V843" i="17"/>
  <c r="W850" i="17"/>
  <c r="W867" i="17"/>
  <c r="N892" i="17"/>
  <c r="U893" i="17"/>
  <c r="W899" i="17"/>
  <c r="V904" i="17"/>
  <c r="V910" i="17"/>
  <c r="N916" i="17"/>
  <c r="U917" i="17"/>
  <c r="U921" i="17"/>
  <c r="U930" i="17"/>
  <c r="W935" i="17"/>
  <c r="W938" i="17"/>
  <c r="W943" i="17"/>
  <c r="W995" i="17"/>
  <c r="W1003" i="17"/>
  <c r="V1005" i="17"/>
  <c r="U1017" i="17"/>
  <c r="W1021" i="17"/>
  <c r="N1023" i="17"/>
  <c r="N1025" i="17"/>
  <c r="U911" i="17"/>
  <c r="O916" i="17"/>
  <c r="V917" i="17"/>
  <c r="W919" i="17"/>
  <c r="U922" i="17"/>
  <c r="V930" i="17"/>
  <c r="V934" i="17"/>
  <c r="W941" i="17"/>
  <c r="W944" i="17"/>
  <c r="U946" i="17"/>
  <c r="W950" i="17"/>
  <c r="W951" i="17"/>
  <c r="W952" i="17"/>
  <c r="T953" i="17"/>
  <c r="U954" i="17"/>
  <c r="O961" i="17"/>
  <c r="P963" i="17"/>
  <c r="O964" i="17"/>
  <c r="O968" i="17"/>
  <c r="P971" i="17"/>
  <c r="V977" i="17"/>
  <c r="W1005" i="17"/>
  <c r="W1007" i="17"/>
  <c r="U1009" i="17"/>
  <c r="V1011" i="17"/>
  <c r="W1013" i="17"/>
  <c r="W1015" i="17"/>
  <c r="V1017" i="17"/>
  <c r="W1019" i="17"/>
  <c r="U1037" i="17"/>
  <c r="U1039" i="17"/>
  <c r="U1043" i="17"/>
  <c r="T1044" i="17"/>
  <c r="W1045" i="17"/>
  <c r="N1047" i="17"/>
  <c r="S5" i="5"/>
  <c r="G35" i="8"/>
  <c r="I35" i="8" s="1"/>
  <c r="N8" i="1"/>
  <c r="B42" i="21" s="1"/>
  <c r="AO485" i="9"/>
  <c r="N10" i="1"/>
  <c r="B44" i="21" s="1"/>
  <c r="S236" i="9"/>
  <c r="AO402" i="9"/>
  <c r="N14" i="1"/>
  <c r="S89" i="12"/>
  <c r="S168" i="12"/>
  <c r="N5" i="1"/>
  <c r="B39" i="21" s="1"/>
  <c r="Q3" i="3"/>
  <c r="K3" i="5"/>
  <c r="P3" i="3"/>
  <c r="O3" i="3"/>
  <c r="N11" i="1"/>
  <c r="B45" i="21" s="1"/>
  <c r="N7" i="1"/>
  <c r="B41" i="21" s="1"/>
  <c r="N3" i="1"/>
  <c r="B37" i="21" s="1"/>
  <c r="N12" i="1"/>
  <c r="B46" i="21" s="1"/>
  <c r="N4" i="1"/>
  <c r="B38" i="21" s="1"/>
  <c r="N13" i="1"/>
  <c r="B47" i="21" s="1"/>
  <c r="N9" i="1"/>
  <c r="B43" i="21" s="1"/>
  <c r="G7" i="5"/>
  <c r="A48" i="12"/>
  <c r="F17" i="8"/>
  <c r="H17" i="8" s="1"/>
  <c r="M5" i="5"/>
  <c r="E15" i="5"/>
  <c r="G15" i="5" s="1"/>
  <c r="H6" i="11"/>
  <c r="H9" i="11"/>
  <c r="H10" i="11"/>
  <c r="H15" i="11"/>
  <c r="H14" i="11"/>
  <c r="H8" i="11"/>
  <c r="H7" i="11"/>
  <c r="M3" i="6"/>
  <c r="C18" i="8"/>
  <c r="H5" i="11"/>
  <c r="A22" i="12"/>
  <c r="A51" i="12"/>
  <c r="G34" i="8"/>
  <c r="I34" i="8" s="1"/>
  <c r="A44" i="12"/>
  <c r="A23" i="12"/>
  <c r="A67" i="12"/>
  <c r="A39" i="12"/>
  <c r="A80" i="12"/>
  <c r="A40" i="12"/>
  <c r="A46" i="12"/>
  <c r="A76" i="12"/>
  <c r="A32" i="12"/>
  <c r="A47" i="12"/>
  <c r="V485" i="9"/>
  <c r="C236" i="9"/>
  <c r="A35" i="12"/>
  <c r="A58" i="12"/>
  <c r="A62" i="12"/>
  <c r="A66" i="12"/>
  <c r="S291" i="9"/>
  <c r="S356" i="9"/>
  <c r="A6" i="12"/>
  <c r="A37" i="12"/>
  <c r="AO402" i="12"/>
  <c r="AO485" i="12"/>
  <c r="S356" i="12"/>
  <c r="A71" i="12"/>
  <c r="S236" i="12"/>
  <c r="V402" i="12"/>
  <c r="V485" i="12"/>
  <c r="A485" i="12" s="1"/>
  <c r="C291" i="12"/>
  <c r="C356" i="12" s="1"/>
  <c r="X11" i="15"/>
  <c r="X21" i="15"/>
  <c r="X49" i="15"/>
  <c r="X75" i="15"/>
  <c r="X89" i="15"/>
  <c r="X99" i="15"/>
  <c r="X107" i="15"/>
  <c r="X209" i="15"/>
  <c r="X221" i="15"/>
  <c r="X19" i="15"/>
  <c r="X26" i="15"/>
  <c r="X29" i="15"/>
  <c r="X57" i="15"/>
  <c r="X62" i="15"/>
  <c r="X83" i="15"/>
  <c r="X121" i="15"/>
  <c r="X140" i="15"/>
  <c r="X144" i="15"/>
  <c r="X150" i="15"/>
  <c r="X219" i="15"/>
  <c r="X229" i="15"/>
  <c r="X27" i="15"/>
  <c r="X227" i="15"/>
  <c r="X237" i="15"/>
  <c r="X313" i="15"/>
  <c r="G941" i="16"/>
  <c r="G933" i="16"/>
  <c r="G925" i="16"/>
  <c r="G917" i="16"/>
  <c r="G909" i="16"/>
  <c r="G940" i="16"/>
  <c r="G932" i="16"/>
  <c r="G924" i="16"/>
  <c r="G916" i="16"/>
  <c r="G908" i="16"/>
  <c r="G939" i="16"/>
  <c r="G931" i="16"/>
  <c r="G923" i="16"/>
  <c r="G915" i="16"/>
  <c r="G946" i="16"/>
  <c r="G938" i="16"/>
  <c r="G930" i="16"/>
  <c r="G922" i="16"/>
  <c r="G914" i="16"/>
  <c r="G944" i="16"/>
  <c r="G936" i="16"/>
  <c r="G928" i="16"/>
  <c r="G920" i="16"/>
  <c r="G912" i="16"/>
  <c r="G943" i="16"/>
  <c r="G935" i="16"/>
  <c r="G927" i="16"/>
  <c r="G919" i="16"/>
  <c r="G911" i="16"/>
  <c r="G929" i="16"/>
  <c r="G926" i="16"/>
  <c r="G921" i="16"/>
  <c r="G918" i="16"/>
  <c r="G945" i="16"/>
  <c r="G913" i="16"/>
  <c r="G937" i="16"/>
  <c r="G934" i="16"/>
  <c r="G942" i="16"/>
  <c r="X35" i="15"/>
  <c r="X97" i="15"/>
  <c r="X113" i="15"/>
  <c r="X122" i="15"/>
  <c r="X137" i="15"/>
  <c r="X143" i="15"/>
  <c r="X142" i="15"/>
  <c r="X195" i="15"/>
  <c r="X201" i="15"/>
  <c r="X235" i="15"/>
  <c r="X385" i="15"/>
  <c r="X17" i="15"/>
  <c r="X22" i="15"/>
  <c r="X43" i="15"/>
  <c r="X53" i="15"/>
  <c r="X81" i="15"/>
  <c r="X90" i="15"/>
  <c r="X94" i="15"/>
  <c r="X123" i="15"/>
  <c r="X187" i="15"/>
  <c r="X193" i="15"/>
  <c r="X243" i="15"/>
  <c r="X341" i="15"/>
  <c r="X25" i="15"/>
  <c r="X30" i="15"/>
  <c r="X51" i="15"/>
  <c r="X58" i="15"/>
  <c r="X61" i="15"/>
  <c r="X91" i="15"/>
  <c r="X105" i="15"/>
  <c r="X110" i="15"/>
  <c r="X153" i="15"/>
  <c r="X154" i="15"/>
  <c r="X155" i="15"/>
  <c r="X179" i="15"/>
  <c r="X185" i="15"/>
  <c r="X309" i="15"/>
  <c r="X365" i="15"/>
  <c r="X2" i="15"/>
  <c r="X38" i="15"/>
  <c r="X59" i="15"/>
  <c r="X66" i="15"/>
  <c r="X115" i="15"/>
  <c r="X171" i="15"/>
  <c r="X177" i="15"/>
  <c r="X3" i="15"/>
  <c r="X67" i="15"/>
  <c r="X129" i="15"/>
  <c r="X130" i="15"/>
  <c r="X131" i="15"/>
  <c r="X161" i="15"/>
  <c r="X162" i="15"/>
  <c r="X163" i="15"/>
  <c r="X169" i="15"/>
  <c r="X253" i="15"/>
  <c r="X170" i="15"/>
  <c r="X178" i="15"/>
  <c r="X186" i="15"/>
  <c r="X194" i="15"/>
  <c r="X202" i="15"/>
  <c r="X210" i="15"/>
  <c r="X256" i="15"/>
  <c r="X268" i="15"/>
  <c r="X281" i="15"/>
  <c r="X316" i="15"/>
  <c r="X320" i="15"/>
  <c r="X380" i="15"/>
  <c r="X251" i="15"/>
  <c r="X264" i="15"/>
  <c r="X310" i="15"/>
  <c r="X332" i="15"/>
  <c r="X356" i="15"/>
  <c r="X376" i="15"/>
  <c r="P107" i="17"/>
  <c r="O107" i="17"/>
  <c r="N107" i="17"/>
  <c r="X108" i="15"/>
  <c r="X116" i="15"/>
  <c r="X124" i="15"/>
  <c r="X132" i="15"/>
  <c r="X151" i="15"/>
  <c r="X147" i="15"/>
  <c r="X156" i="15"/>
  <c r="X164" i="15"/>
  <c r="X172" i="15"/>
  <c r="X182" i="15"/>
  <c r="X188" i="15"/>
  <c r="X196" i="15"/>
  <c r="X204" i="15"/>
  <c r="X212" i="15"/>
  <c r="X217" i="15"/>
  <c r="X231" i="15"/>
  <c r="X233" i="15"/>
  <c r="X239" i="15"/>
  <c r="X241" i="15"/>
  <c r="X259" i="15"/>
  <c r="X269" i="15"/>
  <c r="X272" i="15"/>
  <c r="X284" i="15"/>
  <c r="X292" i="15"/>
  <c r="X300" i="15"/>
  <c r="X317" i="15"/>
  <c r="X324" i="15"/>
  <c r="X328" i="15"/>
  <c r="X337" i="15"/>
  <c r="X352" i="15"/>
  <c r="X361" i="15"/>
  <c r="X381" i="15"/>
  <c r="W88" i="17"/>
  <c r="V88" i="17"/>
  <c r="U88" i="17"/>
  <c r="T88" i="17"/>
  <c r="X88" i="17"/>
  <c r="X267" i="15"/>
  <c r="X280" i="15"/>
  <c r="X318" i="15"/>
  <c r="X333" i="15"/>
  <c r="X348" i="15"/>
  <c r="X357" i="15"/>
  <c r="X372" i="15"/>
  <c r="X275" i="15"/>
  <c r="X288" i="15"/>
  <c r="X296" i="15"/>
  <c r="X304" i="15"/>
  <c r="X321" i="15"/>
  <c r="X344" i="15"/>
  <c r="X368" i="15"/>
  <c r="X216" i="15"/>
  <c r="X232" i="15"/>
  <c r="X240" i="15"/>
  <c r="X283" i="15"/>
  <c r="X291" i="15"/>
  <c r="X299" i="15"/>
  <c r="X326" i="15"/>
  <c r="X329" i="15"/>
  <c r="X349" i="15"/>
  <c r="X353" i="15"/>
  <c r="X373" i="15"/>
  <c r="X308" i="15"/>
  <c r="X312" i="15"/>
  <c r="X340" i="15"/>
  <c r="X364" i="15"/>
  <c r="X384" i="15"/>
  <c r="X334" i="15"/>
  <c r="X342" i="15"/>
  <c r="X350" i="15"/>
  <c r="X358" i="15"/>
  <c r="X366" i="15"/>
  <c r="X374" i="15"/>
  <c r="X382" i="15"/>
  <c r="X307" i="15"/>
  <c r="X315" i="15"/>
  <c r="X323" i="15"/>
  <c r="X331" i="15"/>
  <c r="X339" i="15"/>
  <c r="X347" i="15"/>
  <c r="X355" i="15"/>
  <c r="X363" i="15"/>
  <c r="X371" i="15"/>
  <c r="X379" i="15"/>
  <c r="P7" i="17"/>
  <c r="O7" i="17"/>
  <c r="P112" i="17"/>
  <c r="O112" i="17"/>
  <c r="N112" i="17"/>
  <c r="X9" i="17"/>
  <c r="V9" i="17"/>
  <c r="U9" i="17"/>
  <c r="X16" i="17"/>
  <c r="V16" i="17"/>
  <c r="U16" i="17"/>
  <c r="N56" i="17"/>
  <c r="P56" i="17"/>
  <c r="O56" i="17"/>
  <c r="U74" i="17"/>
  <c r="X74" i="17"/>
  <c r="W74" i="17"/>
  <c r="T74" i="17"/>
  <c r="X8" i="17"/>
  <c r="W8" i="17"/>
  <c r="V8" i="17"/>
  <c r="U8" i="17"/>
  <c r="P181" i="17"/>
  <c r="O181" i="17"/>
  <c r="N181" i="17"/>
  <c r="N166" i="17"/>
  <c r="P166" i="17"/>
  <c r="O166" i="17"/>
  <c r="P8" i="17"/>
  <c r="O8" i="17"/>
  <c r="N8" i="17"/>
  <c r="V57" i="17"/>
  <c r="U57" i="17"/>
  <c r="X57" i="17"/>
  <c r="T57" i="17"/>
  <c r="O76" i="17"/>
  <c r="N76" i="17"/>
  <c r="P76" i="17"/>
  <c r="W84" i="17"/>
  <c r="V84" i="17"/>
  <c r="U84" i="17"/>
  <c r="T84" i="17"/>
  <c r="P119" i="17"/>
  <c r="O119" i="17"/>
  <c r="N119" i="17"/>
  <c r="X165" i="17"/>
  <c r="W165" i="17"/>
  <c r="V165" i="17"/>
  <c r="T165" i="17"/>
  <c r="U165" i="17"/>
  <c r="X2" i="17"/>
  <c r="T6" i="17"/>
  <c r="W7" i="17"/>
  <c r="X10" i="17"/>
  <c r="U14" i="17"/>
  <c r="U18" i="17"/>
  <c r="U20" i="17"/>
  <c r="U24" i="17"/>
  <c r="U26" i="17"/>
  <c r="U28" i="17"/>
  <c r="U32" i="17"/>
  <c r="U34" i="17"/>
  <c r="U36" i="17"/>
  <c r="U40" i="17"/>
  <c r="U42" i="17"/>
  <c r="U44" i="17"/>
  <c r="U48" i="17"/>
  <c r="U50" i="17"/>
  <c r="U52" i="17"/>
  <c r="W56" i="17"/>
  <c r="P63" i="17"/>
  <c r="O63" i="17"/>
  <c r="X69" i="17"/>
  <c r="P71" i="17"/>
  <c r="O71" i="17"/>
  <c r="V73" i="17"/>
  <c r="U73" i="17"/>
  <c r="W73" i="17"/>
  <c r="T77" i="17"/>
  <c r="U80" i="17"/>
  <c r="W92" i="17"/>
  <c r="V92" i="17"/>
  <c r="X92" i="17"/>
  <c r="W96" i="17"/>
  <c r="V96" i="17"/>
  <c r="X96" i="17"/>
  <c r="W101" i="17"/>
  <c r="X112" i="17"/>
  <c r="W112" i="17"/>
  <c r="V112" i="17"/>
  <c r="U112" i="17"/>
  <c r="P126" i="17"/>
  <c r="O126" i="17"/>
  <c r="P151" i="17"/>
  <c r="N151" i="17"/>
  <c r="O151" i="17"/>
  <c r="N225" i="17"/>
  <c r="P225" i="17"/>
  <c r="O225" i="17"/>
  <c r="T3" i="17"/>
  <c r="U6" i="17"/>
  <c r="X7" i="17"/>
  <c r="N9" i="17"/>
  <c r="T11" i="17"/>
  <c r="V14" i="17"/>
  <c r="N16" i="17"/>
  <c r="V18" i="17"/>
  <c r="W20" i="17"/>
  <c r="N24" i="17"/>
  <c r="V24" i="17"/>
  <c r="V26" i="17"/>
  <c r="W28" i="17"/>
  <c r="N32" i="17"/>
  <c r="V32" i="17"/>
  <c r="V34" i="17"/>
  <c r="W36" i="17"/>
  <c r="N40" i="17"/>
  <c r="V40" i="17"/>
  <c r="V42" i="17"/>
  <c r="W44" i="17"/>
  <c r="N48" i="17"/>
  <c r="V48" i="17"/>
  <c r="V50" i="17"/>
  <c r="W52" i="17"/>
  <c r="X56" i="17"/>
  <c r="N59" i="17"/>
  <c r="X73" i="17"/>
  <c r="U77" i="17"/>
  <c r="V80" i="17"/>
  <c r="N83" i="17"/>
  <c r="P91" i="17"/>
  <c r="O91" i="17"/>
  <c r="V93" i="17"/>
  <c r="U93" i="17"/>
  <c r="T93" i="17"/>
  <c r="V97" i="17"/>
  <c r="U97" i="17"/>
  <c r="W97" i="17"/>
  <c r="O100" i="17"/>
  <c r="N100" i="17"/>
  <c r="P103" i="17"/>
  <c r="O103" i="17"/>
  <c r="O104" i="17"/>
  <c r="N104" i="17"/>
  <c r="W108" i="17"/>
  <c r="V108" i="17"/>
  <c r="X108" i="17"/>
  <c r="P120" i="17"/>
  <c r="O120" i="17"/>
  <c r="N120" i="17"/>
  <c r="T5" i="17"/>
  <c r="O6" i="17"/>
  <c r="T13" i="17"/>
  <c r="O14" i="17"/>
  <c r="X14" i="17"/>
  <c r="T15" i="17"/>
  <c r="O18" i="17"/>
  <c r="T19" i="17"/>
  <c r="P20" i="17"/>
  <c r="T21" i="17"/>
  <c r="O22" i="17"/>
  <c r="T23" i="17"/>
  <c r="X24" i="17"/>
  <c r="O26" i="17"/>
  <c r="T27" i="17"/>
  <c r="P28" i="17"/>
  <c r="T29" i="17"/>
  <c r="O30" i="17"/>
  <c r="T31" i="17"/>
  <c r="X32" i="17"/>
  <c r="O34" i="17"/>
  <c r="T35" i="17"/>
  <c r="P36" i="17"/>
  <c r="T37" i="17"/>
  <c r="O38" i="17"/>
  <c r="T39" i="17"/>
  <c r="X40" i="17"/>
  <c r="O42" i="17"/>
  <c r="T43" i="17"/>
  <c r="P44" i="17"/>
  <c r="T45" i="17"/>
  <c r="O46" i="17"/>
  <c r="T47" i="17"/>
  <c r="X48" i="17"/>
  <c r="O50" i="17"/>
  <c r="T51" i="17"/>
  <c r="P52" i="17"/>
  <c r="T53" i="17"/>
  <c r="O54" i="17"/>
  <c r="T58" i="17"/>
  <c r="W60" i="17"/>
  <c r="V60" i="17"/>
  <c r="X60" i="17"/>
  <c r="T63" i="17"/>
  <c r="V65" i="17"/>
  <c r="U65" i="17"/>
  <c r="W65" i="17"/>
  <c r="O67" i="17"/>
  <c r="P73" i="17"/>
  <c r="X77" i="17"/>
  <c r="P79" i="17"/>
  <c r="O79" i="17"/>
  <c r="P80" i="17"/>
  <c r="V81" i="17"/>
  <c r="U81" i="17"/>
  <c r="W81" i="17"/>
  <c r="V85" i="17"/>
  <c r="U85" i="17"/>
  <c r="T85" i="17"/>
  <c r="V89" i="17"/>
  <c r="U89" i="17"/>
  <c r="W89" i="17"/>
  <c r="O92" i="17"/>
  <c r="N92" i="17"/>
  <c r="P95" i="17"/>
  <c r="O95" i="17"/>
  <c r="O96" i="17"/>
  <c r="N96" i="17"/>
  <c r="P111" i="17"/>
  <c r="O111" i="17"/>
  <c r="O180" i="17"/>
  <c r="P180" i="17"/>
  <c r="N180" i="17"/>
  <c r="W186" i="17"/>
  <c r="V186" i="17"/>
  <c r="X186" i="17"/>
  <c r="T186" i="17"/>
  <c r="X208" i="17"/>
  <c r="W208" i="17"/>
  <c r="V208" i="17"/>
  <c r="U208" i="17"/>
  <c r="T208" i="17"/>
  <c r="N302" i="17"/>
  <c r="P302" i="17"/>
  <c r="O302" i="17"/>
  <c r="X363" i="17"/>
  <c r="V363" i="17"/>
  <c r="U363" i="17"/>
  <c r="T363" i="17"/>
  <c r="W363" i="17"/>
  <c r="T2" i="17"/>
  <c r="T10" i="17"/>
  <c r="U15" i="17"/>
  <c r="T17" i="17"/>
  <c r="U23" i="17"/>
  <c r="T25" i="17"/>
  <c r="U31" i="17"/>
  <c r="T33" i="17"/>
  <c r="U39" i="17"/>
  <c r="T41" i="17"/>
  <c r="U47" i="17"/>
  <c r="T49" i="17"/>
  <c r="X55" i="17"/>
  <c r="W55" i="17"/>
  <c r="V55" i="17"/>
  <c r="U58" i="17"/>
  <c r="T61" i="17"/>
  <c r="T66" i="17"/>
  <c r="W68" i="17"/>
  <c r="V68" i="17"/>
  <c r="X68" i="17"/>
  <c r="T72" i="17"/>
  <c r="U142" i="17"/>
  <c r="X142" i="17"/>
  <c r="W142" i="17"/>
  <c r="V142" i="17"/>
  <c r="W146" i="17"/>
  <c r="T146" i="17"/>
  <c r="X146" i="17"/>
  <c r="V146" i="17"/>
  <c r="N233" i="17"/>
  <c r="P233" i="17"/>
  <c r="O233" i="17"/>
  <c r="T7" i="17"/>
  <c r="T56" i="17"/>
  <c r="X63" i="17"/>
  <c r="W63" i="17"/>
  <c r="V63" i="17"/>
  <c r="O65" i="17"/>
  <c r="U66" i="17"/>
  <c r="T69" i="17"/>
  <c r="U72" i="17"/>
  <c r="T76" i="17"/>
  <c r="O81" i="17"/>
  <c r="U82" i="17"/>
  <c r="X82" i="17"/>
  <c r="V82" i="17"/>
  <c r="O84" i="17"/>
  <c r="N84" i="17"/>
  <c r="P87" i="17"/>
  <c r="O87" i="17"/>
  <c r="O88" i="17"/>
  <c r="N88" i="17"/>
  <c r="X121" i="17"/>
  <c r="V121" i="17"/>
  <c r="U121" i="17"/>
  <c r="W121" i="17"/>
  <c r="V127" i="17"/>
  <c r="X127" i="17"/>
  <c r="W127" i="17"/>
  <c r="T127" i="17"/>
  <c r="X141" i="17"/>
  <c r="T141" i="17"/>
  <c r="W141" i="17"/>
  <c r="V141" i="17"/>
  <c r="X173" i="17"/>
  <c r="W173" i="17"/>
  <c r="V173" i="17"/>
  <c r="T173" i="17"/>
  <c r="N174" i="17"/>
  <c r="P174" i="17"/>
  <c r="O174" i="17"/>
  <c r="P252" i="17"/>
  <c r="O252" i="17"/>
  <c r="N252" i="17"/>
  <c r="P268" i="17"/>
  <c r="O268" i="17"/>
  <c r="N268" i="17"/>
  <c r="N15" i="17"/>
  <c r="X15" i="17"/>
  <c r="W17" i="17"/>
  <c r="N23" i="17"/>
  <c r="X23" i="17"/>
  <c r="W25" i="17"/>
  <c r="N31" i="17"/>
  <c r="X31" i="17"/>
  <c r="W33" i="17"/>
  <c r="N39" i="17"/>
  <c r="X39" i="17"/>
  <c r="W41" i="17"/>
  <c r="N47" i="17"/>
  <c r="X47" i="17"/>
  <c r="W49" i="17"/>
  <c r="W58" i="17"/>
  <c r="O60" i="17"/>
  <c r="N60" i="17"/>
  <c r="P65" i="17"/>
  <c r="V66" i="17"/>
  <c r="U69" i="17"/>
  <c r="V72" i="17"/>
  <c r="N75" i="17"/>
  <c r="P81" i="17"/>
  <c r="W82" i="17"/>
  <c r="T92" i="17"/>
  <c r="T96" i="17"/>
  <c r="W100" i="17"/>
  <c r="V100" i="17"/>
  <c r="X100" i="17"/>
  <c r="W104" i="17"/>
  <c r="V104" i="17"/>
  <c r="U104" i="17"/>
  <c r="X105" i="17"/>
  <c r="V105" i="17"/>
  <c r="U105" i="17"/>
  <c r="W105" i="17"/>
  <c r="X113" i="17"/>
  <c r="V113" i="17"/>
  <c r="U113" i="17"/>
  <c r="W113" i="17"/>
  <c r="P133" i="17"/>
  <c r="O133" i="17"/>
  <c r="N133" i="17"/>
  <c r="N137" i="17"/>
  <c r="P137" i="17"/>
  <c r="O137" i="17"/>
  <c r="P142" i="17"/>
  <c r="O142" i="17"/>
  <c r="N142" i="17"/>
  <c r="P147" i="17"/>
  <c r="O147" i="17"/>
  <c r="N147" i="17"/>
  <c r="X151" i="17"/>
  <c r="V151" i="17"/>
  <c r="U151" i="17"/>
  <c r="T151" i="17"/>
  <c r="N161" i="17"/>
  <c r="P161" i="17"/>
  <c r="O161" i="17"/>
  <c r="X168" i="17"/>
  <c r="W168" i="17"/>
  <c r="V168" i="17"/>
  <c r="U168" i="17"/>
  <c r="T168" i="17"/>
  <c r="X207" i="17"/>
  <c r="V207" i="17"/>
  <c r="U207" i="17"/>
  <c r="W207" i="17"/>
  <c r="T207" i="17"/>
  <c r="N209" i="17"/>
  <c r="P209" i="17"/>
  <c r="O209" i="17"/>
  <c r="P55" i="17"/>
  <c r="O55" i="17"/>
  <c r="O68" i="17"/>
  <c r="N68" i="17"/>
  <c r="W76" i="17"/>
  <c r="V76" i="17"/>
  <c r="X76" i="17"/>
  <c r="P99" i="17"/>
  <c r="O99" i="17"/>
  <c r="V101" i="17"/>
  <c r="U101" i="17"/>
  <c r="T101" i="17"/>
  <c r="X120" i="17"/>
  <c r="W120" i="17"/>
  <c r="V120" i="17"/>
  <c r="U120" i="17"/>
  <c r="X125" i="17"/>
  <c r="W125" i="17"/>
  <c r="V125" i="17"/>
  <c r="T125" i="17"/>
  <c r="X144" i="17"/>
  <c r="V144" i="17"/>
  <c r="U144" i="17"/>
  <c r="T144" i="17"/>
  <c r="O148" i="17"/>
  <c r="P148" i="17"/>
  <c r="N148" i="17"/>
  <c r="U190" i="17"/>
  <c r="X190" i="17"/>
  <c r="W190" i="17"/>
  <c r="V190" i="17"/>
  <c r="X216" i="17"/>
  <c r="U216" i="17"/>
  <c r="W216" i="17"/>
  <c r="V216" i="17"/>
  <c r="T216" i="17"/>
  <c r="P231" i="17"/>
  <c r="O231" i="17"/>
  <c r="N231" i="17"/>
  <c r="W71" i="17"/>
  <c r="W79" i="17"/>
  <c r="W87" i="17"/>
  <c r="X90" i="17"/>
  <c r="W95" i="17"/>
  <c r="X98" i="17"/>
  <c r="W103" i="17"/>
  <c r="X106" i="17"/>
  <c r="N108" i="17"/>
  <c r="W111" i="17"/>
  <c r="X114" i="17"/>
  <c r="N116" i="17"/>
  <c r="V116" i="17"/>
  <c r="W119" i="17"/>
  <c r="X122" i="17"/>
  <c r="N124" i="17"/>
  <c r="W124" i="17"/>
  <c r="W126" i="17"/>
  <c r="W128" i="17"/>
  <c r="W133" i="17"/>
  <c r="P135" i="17"/>
  <c r="N135" i="17"/>
  <c r="V136" i="17"/>
  <c r="X138" i="17"/>
  <c r="P140" i="17"/>
  <c r="U149" i="17"/>
  <c r="P153" i="17"/>
  <c r="U154" i="17"/>
  <c r="X156" i="17"/>
  <c r="T157" i="17"/>
  <c r="X159" i="17"/>
  <c r="V159" i="17"/>
  <c r="W159" i="17"/>
  <c r="T162" i="17"/>
  <c r="W164" i="17"/>
  <c r="U164" i="17"/>
  <c r="V164" i="17"/>
  <c r="X166" i="17"/>
  <c r="T170" i="17"/>
  <c r="W172" i="17"/>
  <c r="U172" i="17"/>
  <c r="V172" i="17"/>
  <c r="X174" i="17"/>
  <c r="P177" i="17"/>
  <c r="U178" i="17"/>
  <c r="T182" i="17"/>
  <c r="V192" i="17"/>
  <c r="X199" i="17"/>
  <c r="V199" i="17"/>
  <c r="U199" i="17"/>
  <c r="T200" i="17"/>
  <c r="P205" i="17"/>
  <c r="O205" i="17"/>
  <c r="N206" i="17"/>
  <c r="W206" i="17"/>
  <c r="W210" i="17"/>
  <c r="V210" i="17"/>
  <c r="T210" i="17"/>
  <c r="X213" i="17"/>
  <c r="W213" i="17"/>
  <c r="V213" i="17"/>
  <c r="N217" i="17"/>
  <c r="P217" i="17"/>
  <c r="P222" i="17"/>
  <c r="P223" i="17"/>
  <c r="O223" i="17"/>
  <c r="N223" i="17"/>
  <c r="X226" i="17"/>
  <c r="W226" i="17"/>
  <c r="V226" i="17"/>
  <c r="T226" i="17"/>
  <c r="X234" i="17"/>
  <c r="W234" i="17"/>
  <c r="V234" i="17"/>
  <c r="U234" i="17"/>
  <c r="T234" i="17"/>
  <c r="P247" i="17"/>
  <c r="O247" i="17"/>
  <c r="N247" i="17"/>
  <c r="N249" i="17"/>
  <c r="P249" i="17"/>
  <c r="X347" i="17"/>
  <c r="U347" i="17"/>
  <c r="T347" i="17"/>
  <c r="W347" i="17"/>
  <c r="X71" i="17"/>
  <c r="X79" i="17"/>
  <c r="X87" i="17"/>
  <c r="X95" i="17"/>
  <c r="X103" i="17"/>
  <c r="X111" i="17"/>
  <c r="W116" i="17"/>
  <c r="X119" i="17"/>
  <c r="X124" i="17"/>
  <c r="X126" i="17"/>
  <c r="X128" i="17"/>
  <c r="T134" i="17"/>
  <c r="W136" i="17"/>
  <c r="N141" i="17"/>
  <c r="P143" i="17"/>
  <c r="N143" i="17"/>
  <c r="N156" i="17"/>
  <c r="U157" i="17"/>
  <c r="U162" i="17"/>
  <c r="X167" i="17"/>
  <c r="V167" i="17"/>
  <c r="W167" i="17"/>
  <c r="O169" i="17"/>
  <c r="U170" i="17"/>
  <c r="X175" i="17"/>
  <c r="V175" i="17"/>
  <c r="U175" i="17"/>
  <c r="T176" i="17"/>
  <c r="X189" i="17"/>
  <c r="W189" i="17"/>
  <c r="V189" i="17"/>
  <c r="P191" i="17"/>
  <c r="N191" i="17"/>
  <c r="W192" i="17"/>
  <c r="X206" i="17"/>
  <c r="N212" i="17"/>
  <c r="P239" i="17"/>
  <c r="O239" i="17"/>
  <c r="N239" i="17"/>
  <c r="N241" i="17"/>
  <c r="P241" i="17"/>
  <c r="V468" i="17"/>
  <c r="T468" i="17"/>
  <c r="W468" i="17"/>
  <c r="U468" i="17"/>
  <c r="X468" i="17"/>
  <c r="T109" i="17"/>
  <c r="N115" i="17"/>
  <c r="T117" i="17"/>
  <c r="N123" i="17"/>
  <c r="N134" i="17"/>
  <c r="N139" i="17"/>
  <c r="T150" i="17"/>
  <c r="P159" i="17"/>
  <c r="N159" i="17"/>
  <c r="X197" i="17"/>
  <c r="W197" i="17"/>
  <c r="V197" i="17"/>
  <c r="P199" i="17"/>
  <c r="N199" i="17"/>
  <c r="T205" i="17"/>
  <c r="N214" i="17"/>
  <c r="X248" i="17"/>
  <c r="W248" i="17"/>
  <c r="U248" i="17"/>
  <c r="T248" i="17"/>
  <c r="X283" i="17"/>
  <c r="W283" i="17"/>
  <c r="V283" i="17"/>
  <c r="U283" i="17"/>
  <c r="X323" i="17"/>
  <c r="U323" i="17"/>
  <c r="T323" i="17"/>
  <c r="W323" i="17"/>
  <c r="T90" i="17"/>
  <c r="T98" i="17"/>
  <c r="T106" i="17"/>
  <c r="U109" i="17"/>
  <c r="T114" i="17"/>
  <c r="O115" i="17"/>
  <c r="U117" i="17"/>
  <c r="T122" i="17"/>
  <c r="O123" i="17"/>
  <c r="N125" i="17"/>
  <c r="O127" i="17"/>
  <c r="O129" i="17"/>
  <c r="W132" i="17"/>
  <c r="U132" i="17"/>
  <c r="V132" i="17"/>
  <c r="O134" i="17"/>
  <c r="O139" i="17"/>
  <c r="T143" i="17"/>
  <c r="V150" i="17"/>
  <c r="O157" i="17"/>
  <c r="T158" i="17"/>
  <c r="N165" i="17"/>
  <c r="P167" i="17"/>
  <c r="N167" i="17"/>
  <c r="N173" i="17"/>
  <c r="P175" i="17"/>
  <c r="N175" i="17"/>
  <c r="X183" i="17"/>
  <c r="V183" i="17"/>
  <c r="U183" i="17"/>
  <c r="T184" i="17"/>
  <c r="P189" i="17"/>
  <c r="O189" i="17"/>
  <c r="N190" i="17"/>
  <c r="T191" i="17"/>
  <c r="O193" i="17"/>
  <c r="W194" i="17"/>
  <c r="V194" i="17"/>
  <c r="U194" i="17"/>
  <c r="N196" i="17"/>
  <c r="T198" i="17"/>
  <c r="O214" i="17"/>
  <c r="X215" i="17"/>
  <c r="W215" i="17"/>
  <c r="V215" i="17"/>
  <c r="U215" i="17"/>
  <c r="X224" i="17"/>
  <c r="U224" i="17"/>
  <c r="T224" i="17"/>
  <c r="X240" i="17"/>
  <c r="W240" i="17"/>
  <c r="U240" i="17"/>
  <c r="T240" i="17"/>
  <c r="V248" i="17"/>
  <c r="X293" i="17"/>
  <c r="T293" i="17"/>
  <c r="W293" i="17"/>
  <c r="V293" i="17"/>
  <c r="X296" i="17"/>
  <c r="W296" i="17"/>
  <c r="V296" i="17"/>
  <c r="U296" i="17"/>
  <c r="T296" i="17"/>
  <c r="X333" i="17"/>
  <c r="V333" i="17"/>
  <c r="T333" i="17"/>
  <c r="W333" i="17"/>
  <c r="V408" i="17"/>
  <c r="X408" i="17"/>
  <c r="W408" i="17"/>
  <c r="T408" i="17"/>
  <c r="U408" i="17"/>
  <c r="O125" i="17"/>
  <c r="P127" i="17"/>
  <c r="P129" i="17"/>
  <c r="U130" i="17"/>
  <c r="X132" i="17"/>
  <c r="T133" i="17"/>
  <c r="X135" i="17"/>
  <c r="V135" i="17"/>
  <c r="W135" i="17"/>
  <c r="T138" i="17"/>
  <c r="W140" i="17"/>
  <c r="U140" i="17"/>
  <c r="V140" i="17"/>
  <c r="W150" i="17"/>
  <c r="O165" i="17"/>
  <c r="T166" i="17"/>
  <c r="O173" i="17"/>
  <c r="T174" i="17"/>
  <c r="T181" i="17"/>
  <c r="O190" i="17"/>
  <c r="P193" i="17"/>
  <c r="P196" i="17"/>
  <c r="X205" i="17"/>
  <c r="W205" i="17"/>
  <c r="V205" i="17"/>
  <c r="P207" i="17"/>
  <c r="N207" i="17"/>
  <c r="X232" i="17"/>
  <c r="W232" i="17"/>
  <c r="U232" i="17"/>
  <c r="T232" i="17"/>
  <c r="O279" i="17"/>
  <c r="N279" i="17"/>
  <c r="P279" i="17"/>
  <c r="P281" i="17"/>
  <c r="O281" i="17"/>
  <c r="N281" i="17"/>
  <c r="X290" i="17"/>
  <c r="W290" i="17"/>
  <c r="U290" i="17"/>
  <c r="T290" i="17"/>
  <c r="U307" i="17"/>
  <c r="X307" i="17"/>
  <c r="W307" i="17"/>
  <c r="V307" i="17"/>
  <c r="X322" i="17"/>
  <c r="W322" i="17"/>
  <c r="U322" i="17"/>
  <c r="V322" i="17"/>
  <c r="T322" i="17"/>
  <c r="X406" i="17"/>
  <c r="W406" i="17"/>
  <c r="V406" i="17"/>
  <c r="T406" i="17"/>
  <c r="U406" i="17"/>
  <c r="T124" i="17"/>
  <c r="U133" i="17"/>
  <c r="U138" i="17"/>
  <c r="X143" i="17"/>
  <c r="V143" i="17"/>
  <c r="W143" i="17"/>
  <c r="W148" i="17"/>
  <c r="U148" i="17"/>
  <c r="V148" i="17"/>
  <c r="X191" i="17"/>
  <c r="V191" i="17"/>
  <c r="U191" i="17"/>
  <c r="T192" i="17"/>
  <c r="P197" i="17"/>
  <c r="O197" i="17"/>
  <c r="W202" i="17"/>
  <c r="V202" i="17"/>
  <c r="U202" i="17"/>
  <c r="T206" i="17"/>
  <c r="P215" i="17"/>
  <c r="O215" i="17"/>
  <c r="N215" i="17"/>
  <c r="X218" i="17"/>
  <c r="W218" i="17"/>
  <c r="V218" i="17"/>
  <c r="T218" i="17"/>
  <c r="X223" i="17"/>
  <c r="W223" i="17"/>
  <c r="V223" i="17"/>
  <c r="U223" i="17"/>
  <c r="V232" i="17"/>
  <c r="W250" i="17"/>
  <c r="X250" i="17"/>
  <c r="V250" i="17"/>
  <c r="U250" i="17"/>
  <c r="T250" i="17"/>
  <c r="P260" i="17"/>
  <c r="O260" i="17"/>
  <c r="N260" i="17"/>
  <c r="P276" i="17"/>
  <c r="O276" i="17"/>
  <c r="N276" i="17"/>
  <c r="P294" i="17"/>
  <c r="O294" i="17"/>
  <c r="N294" i="17"/>
  <c r="V332" i="17"/>
  <c r="U332" i="17"/>
  <c r="X332" i="17"/>
  <c r="W332" i="17"/>
  <c r="T332" i="17"/>
  <c r="W156" i="17"/>
  <c r="U156" i="17"/>
  <c r="V156" i="17"/>
  <c r="W178" i="17"/>
  <c r="V178" i="17"/>
  <c r="T178" i="17"/>
  <c r="X181" i="17"/>
  <c r="W181" i="17"/>
  <c r="V181" i="17"/>
  <c r="P183" i="17"/>
  <c r="N183" i="17"/>
  <c r="X242" i="17"/>
  <c r="W242" i="17"/>
  <c r="V242" i="17"/>
  <c r="U242" i="17"/>
  <c r="T242" i="17"/>
  <c r="O305" i="17"/>
  <c r="P305" i="17"/>
  <c r="N305" i="17"/>
  <c r="P339" i="17"/>
  <c r="O339" i="17"/>
  <c r="N339" i="17"/>
  <c r="X378" i="17"/>
  <c r="W378" i="17"/>
  <c r="V378" i="17"/>
  <c r="U378" i="17"/>
  <c r="T378" i="17"/>
  <c r="T221" i="17"/>
  <c r="W222" i="17"/>
  <c r="T229" i="17"/>
  <c r="W230" i="17"/>
  <c r="T237" i="17"/>
  <c r="W238" i="17"/>
  <c r="T245" i="17"/>
  <c r="W246" i="17"/>
  <c r="W251" i="17"/>
  <c r="N253" i="17"/>
  <c r="O255" i="17"/>
  <c r="W259" i="17"/>
  <c r="N261" i="17"/>
  <c r="O263" i="17"/>
  <c r="W267" i="17"/>
  <c r="N269" i="17"/>
  <c r="O271" i="17"/>
  <c r="W275" i="17"/>
  <c r="W280" i="17"/>
  <c r="O287" i="17"/>
  <c r="N287" i="17"/>
  <c r="P292" i="17"/>
  <c r="P297" i="17"/>
  <c r="X298" i="17"/>
  <c r="W298" i="17"/>
  <c r="V298" i="17"/>
  <c r="O300" i="17"/>
  <c r="U301" i="17"/>
  <c r="O310" i="17"/>
  <c r="N313" i="17"/>
  <c r="P330" i="17"/>
  <c r="O330" i="17"/>
  <c r="O331" i="17"/>
  <c r="N340" i="17"/>
  <c r="P340" i="17"/>
  <c r="X349" i="17"/>
  <c r="W349" i="17"/>
  <c r="V349" i="17"/>
  <c r="U349" i="17"/>
  <c r="X355" i="17"/>
  <c r="V355" i="17"/>
  <c r="U355" i="17"/>
  <c r="W355" i="17"/>
  <c r="X370" i="17"/>
  <c r="W370" i="17"/>
  <c r="V370" i="17"/>
  <c r="U370" i="17"/>
  <c r="P377" i="17"/>
  <c r="O377" i="17"/>
  <c r="X398" i="17"/>
  <c r="W398" i="17"/>
  <c r="V398" i="17"/>
  <c r="T398" i="17"/>
  <c r="V400" i="17"/>
  <c r="X400" i="17"/>
  <c r="W400" i="17"/>
  <c r="T400" i="17"/>
  <c r="U420" i="17"/>
  <c r="X420" i="17"/>
  <c r="W420" i="17"/>
  <c r="V420" i="17"/>
  <c r="P421" i="17"/>
  <c r="O421" i="17"/>
  <c r="N421" i="17"/>
  <c r="W464" i="17"/>
  <c r="X464" i="17"/>
  <c r="V464" i="17"/>
  <c r="T464" i="17"/>
  <c r="U464" i="17"/>
  <c r="T254" i="17"/>
  <c r="T256" i="17"/>
  <c r="T262" i="17"/>
  <c r="T264" i="17"/>
  <c r="T270" i="17"/>
  <c r="T272" i="17"/>
  <c r="P282" i="17"/>
  <c r="O282" i="17"/>
  <c r="O295" i="17"/>
  <c r="N295" i="17"/>
  <c r="T299" i="17"/>
  <c r="P306" i="17"/>
  <c r="O306" i="17"/>
  <c r="W311" i="17"/>
  <c r="V311" i="17"/>
  <c r="X311" i="17"/>
  <c r="X314" i="17"/>
  <c r="W314" i="17"/>
  <c r="U314" i="17"/>
  <c r="X315" i="17"/>
  <c r="U315" i="17"/>
  <c r="V315" i="17"/>
  <c r="V324" i="17"/>
  <c r="U324" i="17"/>
  <c r="X324" i="17"/>
  <c r="X325" i="17"/>
  <c r="V325" i="17"/>
  <c r="U325" i="17"/>
  <c r="X346" i="17"/>
  <c r="W346" i="17"/>
  <c r="V346" i="17"/>
  <c r="U346" i="17"/>
  <c r="X362" i="17"/>
  <c r="W362" i="17"/>
  <c r="V362" i="17"/>
  <c r="U362" i="17"/>
  <c r="P369" i="17"/>
  <c r="O369" i="17"/>
  <c r="T394" i="17"/>
  <c r="X394" i="17"/>
  <c r="W394" i="17"/>
  <c r="V394" i="17"/>
  <c r="O395" i="17"/>
  <c r="P395" i="17"/>
  <c r="N395" i="17"/>
  <c r="N407" i="17"/>
  <c r="P407" i="17"/>
  <c r="O407" i="17"/>
  <c r="X490" i="17"/>
  <c r="V490" i="17"/>
  <c r="U490" i="17"/>
  <c r="W490" i="17"/>
  <c r="T490" i="17"/>
  <c r="P520" i="17"/>
  <c r="O520" i="17"/>
  <c r="N520" i="17"/>
  <c r="T231" i="17"/>
  <c r="T239" i="17"/>
  <c r="T247" i="17"/>
  <c r="T252" i="17"/>
  <c r="U254" i="17"/>
  <c r="U256" i="17"/>
  <c r="U258" i="17"/>
  <c r="T260" i="17"/>
  <c r="U262" i="17"/>
  <c r="U264" i="17"/>
  <c r="U266" i="17"/>
  <c r="T268" i="17"/>
  <c r="U270" i="17"/>
  <c r="U272" i="17"/>
  <c r="U274" i="17"/>
  <c r="V276" i="17"/>
  <c r="U276" i="17"/>
  <c r="T276" i="17"/>
  <c r="P290" i="17"/>
  <c r="O290" i="17"/>
  <c r="U299" i="17"/>
  <c r="W315" i="17"/>
  <c r="P322" i="17"/>
  <c r="O322" i="17"/>
  <c r="W325" i="17"/>
  <c r="N332" i="17"/>
  <c r="P332" i="17"/>
  <c r="X354" i="17"/>
  <c r="W354" i="17"/>
  <c r="V354" i="17"/>
  <c r="U354" i="17"/>
  <c r="P361" i="17"/>
  <c r="O361" i="17"/>
  <c r="P370" i="17"/>
  <c r="O370" i="17"/>
  <c r="N370" i="17"/>
  <c r="N393" i="17"/>
  <c r="P393" i="17"/>
  <c r="O393" i="17"/>
  <c r="N399" i="17"/>
  <c r="P399" i="17"/>
  <c r="O399" i="17"/>
  <c r="V415" i="17"/>
  <c r="X415" i="17"/>
  <c r="W415" i="17"/>
  <c r="T415" i="17"/>
  <c r="V461" i="17"/>
  <c r="W461" i="17"/>
  <c r="X461" i="17"/>
  <c r="T461" i="17"/>
  <c r="O480" i="17"/>
  <c r="N480" i="17"/>
  <c r="P480" i="17"/>
  <c r="T180" i="17"/>
  <c r="T188" i="17"/>
  <c r="T196" i="17"/>
  <c r="T204" i="17"/>
  <c r="T212" i="17"/>
  <c r="O213" i="17"/>
  <c r="T220" i="17"/>
  <c r="O221" i="17"/>
  <c r="W221" i="17"/>
  <c r="T228" i="17"/>
  <c r="O229" i="17"/>
  <c r="W229" i="17"/>
  <c r="U231" i="17"/>
  <c r="T236" i="17"/>
  <c r="O237" i="17"/>
  <c r="W237" i="17"/>
  <c r="U239" i="17"/>
  <c r="T244" i="17"/>
  <c r="O245" i="17"/>
  <c r="W245" i="17"/>
  <c r="U247" i="17"/>
  <c r="V252" i="17"/>
  <c r="V254" i="17"/>
  <c r="V256" i="17"/>
  <c r="V258" i="17"/>
  <c r="V260" i="17"/>
  <c r="V262" i="17"/>
  <c r="V264" i="17"/>
  <c r="V266" i="17"/>
  <c r="V268" i="17"/>
  <c r="V270" i="17"/>
  <c r="V272" i="17"/>
  <c r="V274" i="17"/>
  <c r="W276" i="17"/>
  <c r="O278" i="17"/>
  <c r="T287" i="17"/>
  <c r="O291" i="17"/>
  <c r="P298" i="17"/>
  <c r="O298" i="17"/>
  <c r="V299" i="17"/>
  <c r="V308" i="17"/>
  <c r="U308" i="17"/>
  <c r="X308" i="17"/>
  <c r="U309" i="17"/>
  <c r="N315" i="17"/>
  <c r="V316" i="17"/>
  <c r="U316" i="17"/>
  <c r="X316" i="17"/>
  <c r="X317" i="17"/>
  <c r="V317" i="17"/>
  <c r="U317" i="17"/>
  <c r="T330" i="17"/>
  <c r="P337" i="17"/>
  <c r="X338" i="17"/>
  <c r="W338" i="17"/>
  <c r="U338" i="17"/>
  <c r="X339" i="17"/>
  <c r="U339" i="17"/>
  <c r="V339" i="17"/>
  <c r="T340" i="17"/>
  <c r="P346" i="17"/>
  <c r="O346" i="17"/>
  <c r="N346" i="17"/>
  <c r="P353" i="17"/>
  <c r="O353" i="17"/>
  <c r="P362" i="17"/>
  <c r="O362" i="17"/>
  <c r="N362" i="17"/>
  <c r="U426" i="17"/>
  <c r="W426" i="17"/>
  <c r="X426" i="17"/>
  <c r="T426" i="17"/>
  <c r="P450" i="17"/>
  <c r="N450" i="17"/>
  <c r="O450" i="17"/>
  <c r="T169" i="17"/>
  <c r="T177" i="17"/>
  <c r="U180" i="17"/>
  <c r="T185" i="17"/>
  <c r="U188" i="17"/>
  <c r="T193" i="17"/>
  <c r="U196" i="17"/>
  <c r="T201" i="17"/>
  <c r="U204" i="17"/>
  <c r="T209" i="17"/>
  <c r="U212" i="17"/>
  <c r="T217" i="17"/>
  <c r="U220" i="17"/>
  <c r="T225" i="17"/>
  <c r="U228" i="17"/>
  <c r="V231" i="17"/>
  <c r="T233" i="17"/>
  <c r="U236" i="17"/>
  <c r="V239" i="17"/>
  <c r="T241" i="17"/>
  <c r="U244" i="17"/>
  <c r="V247" i="17"/>
  <c r="T249" i="17"/>
  <c r="W252" i="17"/>
  <c r="W254" i="17"/>
  <c r="W256" i="17"/>
  <c r="X258" i="17"/>
  <c r="W260" i="17"/>
  <c r="W262" i="17"/>
  <c r="W264" i="17"/>
  <c r="X266" i="17"/>
  <c r="W268" i="17"/>
  <c r="W270" i="17"/>
  <c r="W272" i="17"/>
  <c r="X274" i="17"/>
  <c r="X276" i="17"/>
  <c r="T277" i="17"/>
  <c r="W279" i="17"/>
  <c r="V279" i="17"/>
  <c r="X279" i="17"/>
  <c r="V284" i="17"/>
  <c r="U284" i="17"/>
  <c r="W284" i="17"/>
  <c r="W299" i="17"/>
  <c r="P314" i="17"/>
  <c r="O314" i="17"/>
  <c r="N324" i="17"/>
  <c r="P324" i="17"/>
  <c r="N348" i="17"/>
  <c r="P348" i="17"/>
  <c r="P354" i="17"/>
  <c r="O354" i="17"/>
  <c r="N354" i="17"/>
  <c r="X386" i="17"/>
  <c r="W386" i="17"/>
  <c r="V386" i="17"/>
  <c r="U386" i="17"/>
  <c r="O428" i="17"/>
  <c r="P428" i="17"/>
  <c r="N428" i="17"/>
  <c r="N437" i="17"/>
  <c r="P437" i="17"/>
  <c r="O437" i="17"/>
  <c r="W448" i="17"/>
  <c r="V448" i="17"/>
  <c r="X448" i="17"/>
  <c r="T448" i="17"/>
  <c r="T214" i="17"/>
  <c r="T222" i="17"/>
  <c r="T230" i="17"/>
  <c r="W231" i="17"/>
  <c r="T238" i="17"/>
  <c r="W239" i="17"/>
  <c r="T246" i="17"/>
  <c r="W247" i="17"/>
  <c r="T251" i="17"/>
  <c r="X252" i="17"/>
  <c r="T259" i="17"/>
  <c r="X260" i="17"/>
  <c r="T267" i="17"/>
  <c r="X268" i="17"/>
  <c r="T275" i="17"/>
  <c r="U277" i="17"/>
  <c r="T280" i="17"/>
  <c r="W287" i="17"/>
  <c r="V287" i="17"/>
  <c r="X287" i="17"/>
  <c r="V292" i="17"/>
  <c r="U292" i="17"/>
  <c r="W292" i="17"/>
  <c r="X330" i="17"/>
  <c r="W330" i="17"/>
  <c r="U330" i="17"/>
  <c r="X331" i="17"/>
  <c r="U331" i="17"/>
  <c r="V331" i="17"/>
  <c r="V340" i="17"/>
  <c r="U340" i="17"/>
  <c r="X340" i="17"/>
  <c r="X341" i="17"/>
  <c r="V341" i="17"/>
  <c r="U341" i="17"/>
  <c r="N385" i="17"/>
  <c r="P385" i="17"/>
  <c r="O385" i="17"/>
  <c r="O411" i="17"/>
  <c r="P411" i="17"/>
  <c r="N411" i="17"/>
  <c r="V476" i="17"/>
  <c r="T476" i="17"/>
  <c r="X476" i="17"/>
  <c r="W476" i="17"/>
  <c r="U476" i="17"/>
  <c r="U253" i="17"/>
  <c r="U255" i="17"/>
  <c r="U261" i="17"/>
  <c r="U263" i="17"/>
  <c r="U269" i="17"/>
  <c r="U271" i="17"/>
  <c r="V277" i="17"/>
  <c r="X282" i="17"/>
  <c r="W282" i="17"/>
  <c r="V282" i="17"/>
  <c r="O284" i="17"/>
  <c r="U285" i="17"/>
  <c r="X292" i="17"/>
  <c r="W295" i="17"/>
  <c r="V295" i="17"/>
  <c r="X295" i="17"/>
  <c r="T298" i="17"/>
  <c r="V300" i="17"/>
  <c r="U300" i="17"/>
  <c r="W300" i="17"/>
  <c r="W303" i="17"/>
  <c r="V303" i="17"/>
  <c r="X303" i="17"/>
  <c r="X306" i="17"/>
  <c r="W306" i="17"/>
  <c r="V306" i="17"/>
  <c r="N308" i="17"/>
  <c r="P308" i="17"/>
  <c r="N316" i="17"/>
  <c r="P316" i="17"/>
  <c r="W331" i="17"/>
  <c r="P338" i="17"/>
  <c r="O338" i="17"/>
  <c r="W341" i="17"/>
  <c r="T346" i="17"/>
  <c r="T362" i="17"/>
  <c r="X371" i="17"/>
  <c r="V371" i="17"/>
  <c r="U371" i="17"/>
  <c r="W371" i="17"/>
  <c r="U394" i="17"/>
  <c r="O403" i="17"/>
  <c r="P403" i="17"/>
  <c r="N403" i="17"/>
  <c r="N444" i="17"/>
  <c r="P444" i="17"/>
  <c r="O444" i="17"/>
  <c r="X348" i="17"/>
  <c r="P356" i="17"/>
  <c r="X356" i="17"/>
  <c r="P364" i="17"/>
  <c r="X364" i="17"/>
  <c r="P372" i="17"/>
  <c r="X372" i="17"/>
  <c r="U379" i="17"/>
  <c r="P380" i="17"/>
  <c r="X380" i="17"/>
  <c r="U387" i="17"/>
  <c r="P388" i="17"/>
  <c r="X388" i="17"/>
  <c r="O413" i="17"/>
  <c r="V414" i="17"/>
  <c r="V419" i="17"/>
  <c r="U422" i="17"/>
  <c r="W425" i="17"/>
  <c r="X434" i="17"/>
  <c r="T438" i="17"/>
  <c r="P439" i="17"/>
  <c r="W440" i="17"/>
  <c r="X440" i="17"/>
  <c r="V440" i="17"/>
  <c r="U445" i="17"/>
  <c r="P449" i="17"/>
  <c r="X459" i="17"/>
  <c r="W459" i="17"/>
  <c r="T459" i="17"/>
  <c r="V460" i="17"/>
  <c r="T460" i="17"/>
  <c r="W460" i="17"/>
  <c r="U481" i="17"/>
  <c r="X481" i="17"/>
  <c r="W481" i="17"/>
  <c r="T481" i="17"/>
  <c r="X491" i="17"/>
  <c r="T491" i="17"/>
  <c r="W491" i="17"/>
  <c r="V491" i="17"/>
  <c r="T357" i="17"/>
  <c r="T365" i="17"/>
  <c r="T373" i="17"/>
  <c r="V379" i="17"/>
  <c r="T381" i="17"/>
  <c r="V387" i="17"/>
  <c r="T389" i="17"/>
  <c r="T396" i="17"/>
  <c r="T404" i="17"/>
  <c r="T412" i="17"/>
  <c r="W414" i="17"/>
  <c r="X419" i="17"/>
  <c r="O424" i="17"/>
  <c r="N424" i="17"/>
  <c r="X425" i="17"/>
  <c r="V429" i="17"/>
  <c r="W429" i="17"/>
  <c r="U429" i="17"/>
  <c r="X435" i="17"/>
  <c r="V435" i="17"/>
  <c r="U435" i="17"/>
  <c r="U441" i="17"/>
  <c r="W441" i="17"/>
  <c r="V441" i="17"/>
  <c r="P504" i="17"/>
  <c r="O504" i="17"/>
  <c r="N504" i="17"/>
  <c r="T319" i="17"/>
  <c r="T327" i="17"/>
  <c r="T335" i="17"/>
  <c r="T343" i="17"/>
  <c r="T351" i="17"/>
  <c r="V357" i="17"/>
  <c r="T359" i="17"/>
  <c r="V365" i="17"/>
  <c r="T367" i="17"/>
  <c r="V373" i="17"/>
  <c r="T375" i="17"/>
  <c r="X379" i="17"/>
  <c r="V381" i="17"/>
  <c r="T383" i="17"/>
  <c r="X387" i="17"/>
  <c r="V389" i="17"/>
  <c r="T391" i="17"/>
  <c r="V396" i="17"/>
  <c r="V404" i="17"/>
  <c r="W412" i="17"/>
  <c r="U423" i="17"/>
  <c r="T430" i="17"/>
  <c r="W432" i="17"/>
  <c r="X432" i="17"/>
  <c r="V432" i="17"/>
  <c r="U436" i="17"/>
  <c r="O440" i="17"/>
  <c r="N440" i="17"/>
  <c r="X442" i="17"/>
  <c r="U442" i="17"/>
  <c r="W442" i="17"/>
  <c r="P451" i="17"/>
  <c r="O451" i="17"/>
  <c r="V453" i="17"/>
  <c r="X453" i="17"/>
  <c r="U453" i="17"/>
  <c r="P459" i="17"/>
  <c r="N459" i="17"/>
  <c r="O586" i="17"/>
  <c r="P586" i="17"/>
  <c r="N586" i="17"/>
  <c r="T348" i="17"/>
  <c r="T356" i="17"/>
  <c r="W357" i="17"/>
  <c r="T364" i="17"/>
  <c r="W365" i="17"/>
  <c r="T372" i="17"/>
  <c r="W373" i="17"/>
  <c r="N378" i="17"/>
  <c r="T380" i="17"/>
  <c r="W381" i="17"/>
  <c r="N386" i="17"/>
  <c r="T388" i="17"/>
  <c r="W389" i="17"/>
  <c r="N394" i="17"/>
  <c r="W396" i="17"/>
  <c r="N402" i="17"/>
  <c r="W404" i="17"/>
  <c r="N410" i="17"/>
  <c r="X412" i="17"/>
  <c r="N420" i="17"/>
  <c r="W423" i="17"/>
  <c r="X427" i="17"/>
  <c r="V427" i="17"/>
  <c r="U427" i="17"/>
  <c r="U430" i="17"/>
  <c r="U433" i="17"/>
  <c r="V436" i="17"/>
  <c r="X443" i="17"/>
  <c r="V443" i="17"/>
  <c r="U443" i="17"/>
  <c r="U449" i="17"/>
  <c r="V449" i="17"/>
  <c r="T449" i="17"/>
  <c r="W453" i="17"/>
  <c r="O455" i="17"/>
  <c r="P455" i="17"/>
  <c r="P475" i="17"/>
  <c r="N475" i="17"/>
  <c r="P482" i="17"/>
  <c r="O482" i="17"/>
  <c r="N482" i="17"/>
  <c r="N303" i="17"/>
  <c r="N311" i="17"/>
  <c r="N319" i="17"/>
  <c r="V319" i="17"/>
  <c r="N327" i="17"/>
  <c r="V327" i="17"/>
  <c r="N335" i="17"/>
  <c r="V335" i="17"/>
  <c r="N343" i="17"/>
  <c r="V343" i="17"/>
  <c r="U348" i="17"/>
  <c r="N351" i="17"/>
  <c r="V351" i="17"/>
  <c r="U356" i="17"/>
  <c r="N359" i="17"/>
  <c r="V359" i="17"/>
  <c r="U364" i="17"/>
  <c r="N367" i="17"/>
  <c r="V367" i="17"/>
  <c r="U372" i="17"/>
  <c r="N375" i="17"/>
  <c r="V375" i="17"/>
  <c r="O378" i="17"/>
  <c r="U380" i="17"/>
  <c r="N383" i="17"/>
  <c r="V383" i="17"/>
  <c r="O386" i="17"/>
  <c r="U388" i="17"/>
  <c r="N391" i="17"/>
  <c r="V391" i="17"/>
  <c r="O394" i="17"/>
  <c r="T395" i="17"/>
  <c r="T399" i="17"/>
  <c r="T401" i="17"/>
  <c r="O402" i="17"/>
  <c r="T407" i="17"/>
  <c r="T409" i="17"/>
  <c r="O410" i="17"/>
  <c r="X413" i="17"/>
  <c r="U413" i="17"/>
  <c r="V413" i="17"/>
  <c r="U416" i="17"/>
  <c r="O420" i="17"/>
  <c r="O423" i="17"/>
  <c r="X423" i="17"/>
  <c r="W427" i="17"/>
  <c r="V430" i="17"/>
  <c r="W433" i="17"/>
  <c r="N436" i="17"/>
  <c r="X436" i="17"/>
  <c r="W443" i="17"/>
  <c r="W449" i="17"/>
  <c r="T450" i="17"/>
  <c r="O464" i="17"/>
  <c r="N464" i="17"/>
  <c r="P467" i="17"/>
  <c r="N467" i="17"/>
  <c r="V545" i="17"/>
  <c r="U545" i="17"/>
  <c r="X545" i="17"/>
  <c r="W545" i="17"/>
  <c r="T545" i="17"/>
  <c r="U395" i="17"/>
  <c r="T397" i="17"/>
  <c r="U403" i="17"/>
  <c r="T405" i="17"/>
  <c r="U411" i="17"/>
  <c r="W413" i="17"/>
  <c r="T414" i="17"/>
  <c r="W416" i="17"/>
  <c r="N418" i="17"/>
  <c r="T419" i="17"/>
  <c r="X421" i="17"/>
  <c r="U421" i="17"/>
  <c r="V421" i="17"/>
  <c r="P423" i="17"/>
  <c r="W424" i="17"/>
  <c r="X424" i="17"/>
  <c r="V424" i="17"/>
  <c r="T425" i="17"/>
  <c r="N427" i="17"/>
  <c r="U428" i="17"/>
  <c r="X430" i="17"/>
  <c r="O432" i="17"/>
  <c r="N432" i="17"/>
  <c r="O433" i="17"/>
  <c r="X433" i="17"/>
  <c r="P436" i="17"/>
  <c r="V437" i="17"/>
  <c r="W437" i="17"/>
  <c r="U437" i="17"/>
  <c r="N439" i="17"/>
  <c r="T440" i="17"/>
  <c r="P442" i="17"/>
  <c r="O442" i="17"/>
  <c r="V444" i="17"/>
  <c r="W444" i="17"/>
  <c r="U444" i="17"/>
  <c r="N449" i="17"/>
  <c r="X449" i="17"/>
  <c r="O456" i="17"/>
  <c r="P456" i="17"/>
  <c r="U459" i="17"/>
  <c r="O472" i="17"/>
  <c r="P472" i="17"/>
  <c r="N472" i="17"/>
  <c r="P496" i="17"/>
  <c r="O496" i="17"/>
  <c r="N496" i="17"/>
  <c r="N561" i="17"/>
  <c r="P561" i="17"/>
  <c r="O561" i="17"/>
  <c r="U414" i="17"/>
  <c r="U419" i="17"/>
  <c r="U425" i="17"/>
  <c r="U434" i="17"/>
  <c r="W434" i="17"/>
  <c r="V434" i="17"/>
  <c r="X450" i="17"/>
  <c r="U450" i="17"/>
  <c r="W450" i="17"/>
  <c r="X458" i="17"/>
  <c r="U458" i="17"/>
  <c r="W458" i="17"/>
  <c r="V458" i="17"/>
  <c r="U451" i="17"/>
  <c r="U456" i="17"/>
  <c r="N463" i="17"/>
  <c r="X466" i="17"/>
  <c r="U466" i="17"/>
  <c r="V466" i="17"/>
  <c r="P468" i="17"/>
  <c r="U469" i="17"/>
  <c r="X473" i="17"/>
  <c r="O476" i="17"/>
  <c r="T477" i="17"/>
  <c r="X497" i="17"/>
  <c r="X530" i="17"/>
  <c r="V530" i="17"/>
  <c r="U530" i="17"/>
  <c r="V537" i="17"/>
  <c r="U537" i="17"/>
  <c r="X537" i="17"/>
  <c r="W537" i="17"/>
  <c r="N553" i="17"/>
  <c r="P553" i="17"/>
  <c r="O553" i="17"/>
  <c r="N573" i="17"/>
  <c r="P573" i="17"/>
  <c r="O573" i="17"/>
  <c r="X474" i="17"/>
  <c r="U474" i="17"/>
  <c r="V474" i="17"/>
  <c r="U477" i="17"/>
  <c r="W485" i="17"/>
  <c r="V485" i="17"/>
  <c r="U485" i="17"/>
  <c r="X498" i="17"/>
  <c r="V498" i="17"/>
  <c r="U498" i="17"/>
  <c r="X499" i="17"/>
  <c r="V499" i="17"/>
  <c r="U499" i="17"/>
  <c r="P506" i="17"/>
  <c r="N506" i="17"/>
  <c r="X522" i="17"/>
  <c r="V522" i="17"/>
  <c r="U522" i="17"/>
  <c r="N545" i="17"/>
  <c r="P545" i="17"/>
  <c r="O545" i="17"/>
  <c r="P560" i="17"/>
  <c r="O560" i="17"/>
  <c r="N932" i="17"/>
  <c r="O932" i="17"/>
  <c r="P932" i="17"/>
  <c r="N466" i="17"/>
  <c r="U467" i="17"/>
  <c r="U472" i="17"/>
  <c r="W474" i="17"/>
  <c r="W477" i="17"/>
  <c r="X482" i="17"/>
  <c r="U482" i="17"/>
  <c r="V482" i="17"/>
  <c r="X485" i="17"/>
  <c r="X488" i="17"/>
  <c r="W488" i="17"/>
  <c r="V488" i="17"/>
  <c r="P490" i="17"/>
  <c r="N490" i="17"/>
  <c r="W499" i="17"/>
  <c r="X512" i="17"/>
  <c r="W512" i="17"/>
  <c r="U512" i="17"/>
  <c r="V513" i="17"/>
  <c r="U513" i="17"/>
  <c r="X513" i="17"/>
  <c r="X514" i="17"/>
  <c r="V514" i="17"/>
  <c r="U514" i="17"/>
  <c r="V529" i="17"/>
  <c r="U529" i="17"/>
  <c r="X529" i="17"/>
  <c r="W529" i="17"/>
  <c r="N537" i="17"/>
  <c r="P537" i="17"/>
  <c r="O537" i="17"/>
  <c r="P552" i="17"/>
  <c r="O552" i="17"/>
  <c r="T554" i="17"/>
  <c r="N591" i="17"/>
  <c r="P591" i="17"/>
  <c r="O591" i="17"/>
  <c r="V595" i="17"/>
  <c r="X595" i="17"/>
  <c r="W595" i="17"/>
  <c r="T595" i="17"/>
  <c r="U600" i="17"/>
  <c r="X600" i="17"/>
  <c r="W600" i="17"/>
  <c r="V600" i="17"/>
  <c r="T600" i="17"/>
  <c r="O627" i="17"/>
  <c r="N627" i="17"/>
  <c r="P627" i="17"/>
  <c r="U452" i="17"/>
  <c r="T457" i="17"/>
  <c r="O466" i="17"/>
  <c r="V467" i="17"/>
  <c r="V472" i="17"/>
  <c r="N474" i="17"/>
  <c r="U475" i="17"/>
  <c r="X477" i="17"/>
  <c r="P479" i="17"/>
  <c r="U480" i="17"/>
  <c r="W482" i="17"/>
  <c r="T483" i="17"/>
  <c r="T489" i="17"/>
  <c r="P511" i="17"/>
  <c r="V521" i="17"/>
  <c r="U521" i="17"/>
  <c r="X521" i="17"/>
  <c r="W521" i="17"/>
  <c r="P544" i="17"/>
  <c r="O544" i="17"/>
  <c r="T546" i="17"/>
  <c r="X562" i="17"/>
  <c r="V562" i="17"/>
  <c r="U562" i="17"/>
  <c r="V574" i="17"/>
  <c r="X574" i="17"/>
  <c r="W574" i="17"/>
  <c r="T574" i="17"/>
  <c r="V620" i="17"/>
  <c r="U620" i="17"/>
  <c r="X620" i="17"/>
  <c r="W620" i="17"/>
  <c r="T620" i="17"/>
  <c r="P626" i="17"/>
  <c r="O626" i="17"/>
  <c r="N626" i="17"/>
  <c r="T465" i="17"/>
  <c r="O474" i="17"/>
  <c r="U483" i="17"/>
  <c r="O492" i="17"/>
  <c r="W493" i="17"/>
  <c r="V493" i="17"/>
  <c r="U493" i="17"/>
  <c r="N495" i="17"/>
  <c r="X496" i="17"/>
  <c r="W496" i="17"/>
  <c r="V496" i="17"/>
  <c r="P498" i="17"/>
  <c r="N498" i="17"/>
  <c r="N503" i="17"/>
  <c r="X504" i="17"/>
  <c r="W504" i="17"/>
  <c r="U504" i="17"/>
  <c r="U505" i="17"/>
  <c r="X505" i="17"/>
  <c r="V505" i="17"/>
  <c r="T506" i="17"/>
  <c r="N529" i="17"/>
  <c r="P529" i="17"/>
  <c r="O529" i="17"/>
  <c r="P536" i="17"/>
  <c r="O536" i="17"/>
  <c r="T538" i="17"/>
  <c r="X554" i="17"/>
  <c r="V554" i="17"/>
  <c r="U554" i="17"/>
  <c r="T473" i="17"/>
  <c r="P488" i="17"/>
  <c r="O488" i="17"/>
  <c r="P492" i="17"/>
  <c r="P495" i="17"/>
  <c r="T497" i="17"/>
  <c r="P503" i="17"/>
  <c r="P512" i="17"/>
  <c r="O512" i="17"/>
  <c r="N513" i="17"/>
  <c r="P513" i="17"/>
  <c r="N521" i="17"/>
  <c r="P521" i="17"/>
  <c r="O521" i="17"/>
  <c r="X546" i="17"/>
  <c r="V546" i="17"/>
  <c r="U546" i="17"/>
  <c r="V561" i="17"/>
  <c r="U561" i="17"/>
  <c r="X561" i="17"/>
  <c r="W561" i="17"/>
  <c r="P601" i="17"/>
  <c r="O601" i="17"/>
  <c r="N601" i="17"/>
  <c r="U659" i="17"/>
  <c r="W659" i="17"/>
  <c r="X659" i="17"/>
  <c r="T659" i="17"/>
  <c r="V659" i="17"/>
  <c r="X506" i="17"/>
  <c r="V506" i="17"/>
  <c r="U506" i="17"/>
  <c r="X507" i="17"/>
  <c r="V507" i="17"/>
  <c r="U507" i="17"/>
  <c r="P528" i="17"/>
  <c r="O528" i="17"/>
  <c r="X538" i="17"/>
  <c r="V538" i="17"/>
  <c r="U538" i="17"/>
  <c r="V553" i="17"/>
  <c r="U553" i="17"/>
  <c r="X553" i="17"/>
  <c r="W553" i="17"/>
  <c r="N569" i="17"/>
  <c r="P569" i="17"/>
  <c r="O569" i="17"/>
  <c r="X572" i="17"/>
  <c r="W572" i="17"/>
  <c r="V572" i="17"/>
  <c r="T572" i="17"/>
  <c r="W582" i="17"/>
  <c r="X582" i="17"/>
  <c r="V582" i="17"/>
  <c r="T582" i="17"/>
  <c r="O615" i="17"/>
  <c r="N615" i="17"/>
  <c r="P615" i="17"/>
  <c r="V624" i="17"/>
  <c r="U624" i="17"/>
  <c r="X624" i="17"/>
  <c r="W624" i="17"/>
  <c r="T624" i="17"/>
  <c r="O631" i="17"/>
  <c r="N631" i="17"/>
  <c r="P631" i="17"/>
  <c r="T520" i="17"/>
  <c r="T528" i="17"/>
  <c r="T536" i="17"/>
  <c r="T544" i="17"/>
  <c r="T552" i="17"/>
  <c r="T560" i="17"/>
  <c r="T568" i="17"/>
  <c r="X569" i="17"/>
  <c r="W573" i="17"/>
  <c r="X575" i="17"/>
  <c r="U579" i="17"/>
  <c r="P583" i="17"/>
  <c r="T584" i="17"/>
  <c r="T587" i="17"/>
  <c r="O593" i="17"/>
  <c r="X596" i="17"/>
  <c r="U602" i="17"/>
  <c r="P606" i="17"/>
  <c r="U607" i="17"/>
  <c r="T610" i="17"/>
  <c r="P614" i="17"/>
  <c r="T616" i="17"/>
  <c r="V628" i="17"/>
  <c r="U628" i="17"/>
  <c r="T628" i="17"/>
  <c r="V632" i="17"/>
  <c r="U632" i="17"/>
  <c r="T632" i="17"/>
  <c r="P634" i="17"/>
  <c r="O634" i="17"/>
  <c r="O635" i="17"/>
  <c r="N635" i="17"/>
  <c r="X679" i="17"/>
  <c r="W679" i="17"/>
  <c r="V679" i="17"/>
  <c r="T679" i="17"/>
  <c r="T501" i="17"/>
  <c r="T509" i="17"/>
  <c r="V515" i="17"/>
  <c r="T517" i="17"/>
  <c r="U520" i="17"/>
  <c r="V523" i="17"/>
  <c r="T525" i="17"/>
  <c r="U528" i="17"/>
  <c r="V531" i="17"/>
  <c r="T533" i="17"/>
  <c r="U536" i="17"/>
  <c r="V539" i="17"/>
  <c r="T541" i="17"/>
  <c r="U544" i="17"/>
  <c r="V547" i="17"/>
  <c r="T549" i="17"/>
  <c r="U552" i="17"/>
  <c r="V555" i="17"/>
  <c r="T557" i="17"/>
  <c r="U560" i="17"/>
  <c r="T565" i="17"/>
  <c r="U568" i="17"/>
  <c r="T570" i="17"/>
  <c r="X573" i="17"/>
  <c r="W579" i="17"/>
  <c r="U587" i="17"/>
  <c r="T592" i="17"/>
  <c r="U610" i="17"/>
  <c r="P618" i="17"/>
  <c r="O618" i="17"/>
  <c r="W623" i="17"/>
  <c r="V623" i="17"/>
  <c r="X623" i="17"/>
  <c r="P630" i="17"/>
  <c r="O630" i="17"/>
  <c r="P684" i="17"/>
  <c r="O684" i="17"/>
  <c r="N684" i="17"/>
  <c r="W689" i="17"/>
  <c r="V689" i="17"/>
  <c r="T689" i="17"/>
  <c r="X689" i="17"/>
  <c r="U689" i="17"/>
  <c r="W718" i="17"/>
  <c r="V718" i="17"/>
  <c r="U718" i="17"/>
  <c r="T718" i="17"/>
  <c r="T495" i="17"/>
  <c r="V501" i="17"/>
  <c r="T503" i="17"/>
  <c r="V509" i="17"/>
  <c r="T511" i="17"/>
  <c r="X515" i="17"/>
  <c r="V517" i="17"/>
  <c r="T519" i="17"/>
  <c r="W520" i="17"/>
  <c r="X523" i="17"/>
  <c r="V525" i="17"/>
  <c r="T527" i="17"/>
  <c r="W528" i="17"/>
  <c r="X531" i="17"/>
  <c r="V533" i="17"/>
  <c r="T535" i="17"/>
  <c r="W536" i="17"/>
  <c r="X539" i="17"/>
  <c r="V541" i="17"/>
  <c r="T543" i="17"/>
  <c r="W544" i="17"/>
  <c r="X547" i="17"/>
  <c r="V549" i="17"/>
  <c r="T551" i="17"/>
  <c r="W552" i="17"/>
  <c r="X555" i="17"/>
  <c r="V557" i="17"/>
  <c r="T559" i="17"/>
  <c r="W560" i="17"/>
  <c r="X563" i="17"/>
  <c r="V565" i="17"/>
  <c r="T567" i="17"/>
  <c r="O568" i="17"/>
  <c r="W568" i="17"/>
  <c r="V570" i="17"/>
  <c r="N576" i="17"/>
  <c r="P579" i="17"/>
  <c r="T580" i="17"/>
  <c r="X584" i="17"/>
  <c r="O587" i="17"/>
  <c r="X587" i="17"/>
  <c r="O589" i="17"/>
  <c r="U590" i="17"/>
  <c r="W592" i="17"/>
  <c r="N597" i="17"/>
  <c r="T598" i="17"/>
  <c r="P602" i="17"/>
  <c r="U603" i="17"/>
  <c r="P607" i="17"/>
  <c r="T608" i="17"/>
  <c r="N610" i="17"/>
  <c r="X610" i="17"/>
  <c r="T611" i="17"/>
  <c r="X616" i="17"/>
  <c r="P622" i="17"/>
  <c r="O622" i="17"/>
  <c r="T635" i="17"/>
  <c r="U639" i="17"/>
  <c r="W639" i="17"/>
  <c r="V639" i="17"/>
  <c r="O661" i="17"/>
  <c r="P661" i="17"/>
  <c r="N661" i="17"/>
  <c r="X671" i="17"/>
  <c r="W671" i="17"/>
  <c r="V671" i="17"/>
  <c r="U671" i="17"/>
  <c r="T671" i="17"/>
  <c r="O706" i="17"/>
  <c r="N706" i="17"/>
  <c r="P706" i="17"/>
  <c r="W714" i="17"/>
  <c r="V714" i="17"/>
  <c r="U714" i="17"/>
  <c r="T714" i="17"/>
  <c r="T484" i="17"/>
  <c r="T492" i="17"/>
  <c r="T500" i="17"/>
  <c r="T508" i="17"/>
  <c r="N514" i="17"/>
  <c r="T516" i="17"/>
  <c r="N522" i="17"/>
  <c r="T524" i="17"/>
  <c r="N530" i="17"/>
  <c r="T532" i="17"/>
  <c r="N538" i="17"/>
  <c r="T540" i="17"/>
  <c r="N546" i="17"/>
  <c r="T548" i="17"/>
  <c r="N554" i="17"/>
  <c r="T556" i="17"/>
  <c r="N562" i="17"/>
  <c r="T564" i="17"/>
  <c r="O576" i="17"/>
  <c r="T578" i="17"/>
  <c r="T583" i="17"/>
  <c r="P587" i="17"/>
  <c r="T588" i="17"/>
  <c r="X592" i="17"/>
  <c r="O597" i="17"/>
  <c r="U598" i="17"/>
  <c r="T606" i="17"/>
  <c r="P610" i="17"/>
  <c r="U611" i="17"/>
  <c r="O623" i="17"/>
  <c r="N623" i="17"/>
  <c r="N693" i="17"/>
  <c r="P693" i="17"/>
  <c r="O693" i="17"/>
  <c r="T569" i="17"/>
  <c r="T573" i="17"/>
  <c r="T575" i="17"/>
  <c r="U578" i="17"/>
  <c r="U583" i="17"/>
  <c r="T596" i="17"/>
  <c r="U606" i="17"/>
  <c r="W635" i="17"/>
  <c r="V635" i="17"/>
  <c r="X635" i="17"/>
  <c r="P638" i="17"/>
  <c r="O638" i="17"/>
  <c r="N638" i="17"/>
  <c r="O711" i="17"/>
  <c r="N711" i="17"/>
  <c r="P711" i="17"/>
  <c r="W713" i="17"/>
  <c r="V713" i="17"/>
  <c r="U713" i="17"/>
  <c r="T713" i="17"/>
  <c r="W764" i="17"/>
  <c r="V764" i="17"/>
  <c r="T764" i="17"/>
  <c r="U764" i="17"/>
  <c r="O519" i="17"/>
  <c r="O527" i="17"/>
  <c r="O535" i="17"/>
  <c r="O543" i="17"/>
  <c r="O551" i="17"/>
  <c r="O559" i="17"/>
  <c r="N564" i="17"/>
  <c r="O567" i="17"/>
  <c r="U569" i="17"/>
  <c r="T571" i="17"/>
  <c r="U573" i="17"/>
  <c r="V575" i="17"/>
  <c r="O577" i="17"/>
  <c r="V578" i="17"/>
  <c r="X580" i="17"/>
  <c r="W583" i="17"/>
  <c r="N585" i="17"/>
  <c r="U586" i="17"/>
  <c r="W588" i="17"/>
  <c r="P590" i="17"/>
  <c r="U591" i="17"/>
  <c r="T594" i="17"/>
  <c r="V596" i="17"/>
  <c r="N598" i="17"/>
  <c r="X598" i="17"/>
  <c r="T599" i="17"/>
  <c r="P603" i="17"/>
  <c r="T604" i="17"/>
  <c r="V606" i="17"/>
  <c r="X608" i="17"/>
  <c r="O611" i="17"/>
  <c r="X611" i="17"/>
  <c r="N617" i="17"/>
  <c r="X618" i="17"/>
  <c r="W618" i="17"/>
  <c r="V618" i="17"/>
  <c r="T619" i="17"/>
  <c r="X636" i="17"/>
  <c r="V636" i="17"/>
  <c r="U636" i="17"/>
  <c r="T636" i="17"/>
  <c r="V648" i="17"/>
  <c r="X648" i="17"/>
  <c r="W648" i="17"/>
  <c r="T648" i="17"/>
  <c r="W690" i="17"/>
  <c r="V690" i="17"/>
  <c r="U690" i="17"/>
  <c r="X690" i="17"/>
  <c r="T690" i="17"/>
  <c r="O723" i="17"/>
  <c r="N723" i="17"/>
  <c r="P723" i="17"/>
  <c r="V569" i="17"/>
  <c r="W575" i="17"/>
  <c r="N578" i="17"/>
  <c r="X578" i="17"/>
  <c r="T579" i="17"/>
  <c r="O583" i="17"/>
  <c r="X583" i="17"/>
  <c r="O585" i="17"/>
  <c r="N593" i="17"/>
  <c r="U594" i="17"/>
  <c r="W596" i="17"/>
  <c r="P598" i="17"/>
  <c r="U599" i="17"/>
  <c r="T602" i="17"/>
  <c r="N606" i="17"/>
  <c r="X606" i="17"/>
  <c r="T607" i="17"/>
  <c r="P611" i="17"/>
  <c r="V612" i="17"/>
  <c r="U612" i="17"/>
  <c r="T612" i="17"/>
  <c r="N614" i="17"/>
  <c r="W615" i="17"/>
  <c r="V615" i="17"/>
  <c r="X615" i="17"/>
  <c r="O617" i="17"/>
  <c r="U619" i="17"/>
  <c r="T623" i="17"/>
  <c r="W627" i="17"/>
  <c r="V627" i="17"/>
  <c r="X627" i="17"/>
  <c r="W631" i="17"/>
  <c r="V631" i="17"/>
  <c r="X631" i="17"/>
  <c r="N634" i="17"/>
  <c r="P635" i="17"/>
  <c r="W636" i="17"/>
  <c r="O657" i="17"/>
  <c r="N657" i="17"/>
  <c r="P657" i="17"/>
  <c r="O664" i="17"/>
  <c r="P664" i="17"/>
  <c r="N664" i="17"/>
  <c r="U679" i="17"/>
  <c r="W722" i="17"/>
  <c r="V722" i="17"/>
  <c r="U722" i="17"/>
  <c r="T722" i="17"/>
  <c r="T577" i="17"/>
  <c r="T585" i="17"/>
  <c r="T593" i="17"/>
  <c r="T601" i="17"/>
  <c r="T609" i="17"/>
  <c r="T617" i="17"/>
  <c r="T625" i="17"/>
  <c r="W626" i="17"/>
  <c r="T633" i="17"/>
  <c r="W634" i="17"/>
  <c r="N639" i="17"/>
  <c r="U641" i="17"/>
  <c r="U643" i="17"/>
  <c r="T645" i="17"/>
  <c r="W647" i="17"/>
  <c r="V652" i="17"/>
  <c r="O654" i="17"/>
  <c r="V658" i="17"/>
  <c r="U662" i="17"/>
  <c r="T666" i="17"/>
  <c r="X669" i="17"/>
  <c r="P672" i="17"/>
  <c r="W673" i="17"/>
  <c r="V673" i="17"/>
  <c r="T673" i="17"/>
  <c r="T674" i="17"/>
  <c r="U682" i="17"/>
  <c r="N688" i="17"/>
  <c r="O698" i="17"/>
  <c r="N698" i="17"/>
  <c r="P698" i="17"/>
  <c r="O703" i="17"/>
  <c r="N703" i="17"/>
  <c r="W705" i="17"/>
  <c r="V705" i="17"/>
  <c r="W706" i="17"/>
  <c r="V706" i="17"/>
  <c r="U706" i="17"/>
  <c r="T614" i="17"/>
  <c r="T622" i="17"/>
  <c r="X626" i="17"/>
  <c r="T630" i="17"/>
  <c r="X634" i="17"/>
  <c r="T638" i="17"/>
  <c r="V641" i="17"/>
  <c r="O647" i="17"/>
  <c r="X647" i="17"/>
  <c r="W652" i="17"/>
  <c r="N658" i="17"/>
  <c r="W658" i="17"/>
  <c r="W662" i="17"/>
  <c r="W665" i="17"/>
  <c r="T665" i="17"/>
  <c r="X665" i="17"/>
  <c r="U666" i="17"/>
  <c r="P676" i="17"/>
  <c r="O676" i="17"/>
  <c r="N676" i="17"/>
  <c r="N677" i="17"/>
  <c r="V678" i="17"/>
  <c r="U678" i="17"/>
  <c r="T678" i="17"/>
  <c r="X678" i="17"/>
  <c r="W682" i="17"/>
  <c r="O702" i="17"/>
  <c r="N702" i="17"/>
  <c r="P702" i="17"/>
  <c r="O707" i="17"/>
  <c r="N707" i="17"/>
  <c r="W709" i="17"/>
  <c r="V709" i="17"/>
  <c r="W710" i="17"/>
  <c r="V710" i="17"/>
  <c r="U710" i="17"/>
  <c r="T640" i="17"/>
  <c r="X641" i="17"/>
  <c r="T644" i="17"/>
  <c r="U653" i="17"/>
  <c r="X653" i="17"/>
  <c r="V653" i="17"/>
  <c r="V686" i="17"/>
  <c r="U686" i="17"/>
  <c r="X686" i="17"/>
  <c r="O710" i="17"/>
  <c r="N710" i="17"/>
  <c r="P710" i="17"/>
  <c r="O715" i="17"/>
  <c r="N715" i="17"/>
  <c r="W717" i="17"/>
  <c r="V717" i="17"/>
  <c r="U717" i="17"/>
  <c r="W721" i="17"/>
  <c r="V721" i="17"/>
  <c r="U721" i="17"/>
  <c r="W726" i="17"/>
  <c r="T726" i="17"/>
  <c r="V726" i="17"/>
  <c r="W786" i="17"/>
  <c r="V786" i="17"/>
  <c r="U786" i="17"/>
  <c r="T786" i="17"/>
  <c r="U640" i="17"/>
  <c r="U644" i="17"/>
  <c r="U646" i="17"/>
  <c r="P650" i="17"/>
  <c r="U651" i="17"/>
  <c r="W653" i="17"/>
  <c r="T654" i="17"/>
  <c r="O659" i="17"/>
  <c r="V660" i="17"/>
  <c r="N662" i="17"/>
  <c r="P662" i="17"/>
  <c r="O665" i="17"/>
  <c r="N665" i="17"/>
  <c r="O666" i="17"/>
  <c r="U667" i="17"/>
  <c r="W667" i="17"/>
  <c r="V667" i="17"/>
  <c r="U668" i="17"/>
  <c r="P670" i="17"/>
  <c r="T676" i="17"/>
  <c r="X687" i="17"/>
  <c r="V687" i="17"/>
  <c r="U687" i="17"/>
  <c r="O689" i="17"/>
  <c r="N689" i="17"/>
  <c r="P689" i="17"/>
  <c r="T697" i="17"/>
  <c r="O714" i="17"/>
  <c r="N714" i="17"/>
  <c r="P714" i="17"/>
  <c r="O718" i="17"/>
  <c r="N718" i="17"/>
  <c r="P718" i="17"/>
  <c r="O722" i="17"/>
  <c r="N722" i="17"/>
  <c r="P722" i="17"/>
  <c r="O731" i="17"/>
  <c r="N731" i="17"/>
  <c r="P731" i="17"/>
  <c r="T826" i="17"/>
  <c r="W826" i="17"/>
  <c r="U826" i="17"/>
  <c r="W640" i="17"/>
  <c r="V644" i="17"/>
  <c r="N653" i="17"/>
  <c r="U654" i="17"/>
  <c r="P659" i="17"/>
  <c r="T669" i="17"/>
  <c r="T706" i="17"/>
  <c r="O739" i="17"/>
  <c r="N739" i="17"/>
  <c r="P739" i="17"/>
  <c r="P846" i="17"/>
  <c r="N846" i="17"/>
  <c r="O846" i="17"/>
  <c r="W848" i="17"/>
  <c r="V848" i="17"/>
  <c r="T848" i="17"/>
  <c r="X668" i="17"/>
  <c r="W668" i="17"/>
  <c r="T668" i="17"/>
  <c r="U669" i="17"/>
  <c r="N686" i="17"/>
  <c r="P686" i="17"/>
  <c r="W697" i="17"/>
  <c r="V697" i="17"/>
  <c r="W698" i="17"/>
  <c r="V698" i="17"/>
  <c r="U698" i="17"/>
  <c r="T710" i="17"/>
  <c r="W725" i="17"/>
  <c r="V725" i="17"/>
  <c r="T725" i="17"/>
  <c r="U725" i="17"/>
  <c r="O747" i="17"/>
  <c r="N747" i="17"/>
  <c r="P747" i="17"/>
  <c r="W761" i="17"/>
  <c r="V761" i="17"/>
  <c r="U761" i="17"/>
  <c r="T761" i="17"/>
  <c r="O775" i="17"/>
  <c r="N775" i="17"/>
  <c r="P775" i="17"/>
  <c r="O835" i="17"/>
  <c r="N835" i="17"/>
  <c r="P835" i="17"/>
  <c r="U647" i="17"/>
  <c r="T652" i="17"/>
  <c r="W657" i="17"/>
  <c r="T657" i="17"/>
  <c r="X657" i="17"/>
  <c r="U658" i="17"/>
  <c r="P660" i="17"/>
  <c r="O660" i="17"/>
  <c r="W669" i="17"/>
  <c r="X676" i="17"/>
  <c r="W676" i="17"/>
  <c r="U677" i="17"/>
  <c r="X677" i="17"/>
  <c r="V677" i="17"/>
  <c r="W681" i="17"/>
  <c r="V681" i="17"/>
  <c r="T681" i="17"/>
  <c r="T682" i="17"/>
  <c r="X684" i="17"/>
  <c r="W684" i="17"/>
  <c r="V684" i="17"/>
  <c r="V694" i="17"/>
  <c r="U694" i="17"/>
  <c r="X694" i="17"/>
  <c r="O699" i="17"/>
  <c r="N699" i="17"/>
  <c r="W701" i="17"/>
  <c r="V701" i="17"/>
  <c r="W702" i="17"/>
  <c r="V702" i="17"/>
  <c r="U702" i="17"/>
  <c r="P703" i="17"/>
  <c r="U705" i="17"/>
  <c r="T709" i="17"/>
  <c r="O755" i="17"/>
  <c r="N755" i="17"/>
  <c r="P755" i="17"/>
  <c r="W663" i="17"/>
  <c r="V670" i="17"/>
  <c r="U670" i="17"/>
  <c r="W670" i="17"/>
  <c r="P692" i="17"/>
  <c r="O692" i="17"/>
  <c r="V693" i="17"/>
  <c r="W699" i="17"/>
  <c r="V699" i="17"/>
  <c r="W703" i="17"/>
  <c r="V703" i="17"/>
  <c r="W707" i="17"/>
  <c r="V707" i="17"/>
  <c r="W711" i="17"/>
  <c r="V711" i="17"/>
  <c r="W715" i="17"/>
  <c r="V715" i="17"/>
  <c r="W719" i="17"/>
  <c r="V719" i="17"/>
  <c r="V724" i="17"/>
  <c r="O729" i="17"/>
  <c r="N729" i="17"/>
  <c r="P730" i="17"/>
  <c r="V732" i="17"/>
  <c r="T734" i="17"/>
  <c r="O737" i="17"/>
  <c r="N737" i="17"/>
  <c r="P738" i="17"/>
  <c r="V740" i="17"/>
  <c r="T742" i="17"/>
  <c r="O745" i="17"/>
  <c r="N745" i="17"/>
  <c r="P746" i="17"/>
  <c r="V748" i="17"/>
  <c r="T750" i="17"/>
  <c r="O753" i="17"/>
  <c r="N753" i="17"/>
  <c r="P754" i="17"/>
  <c r="W757" i="17"/>
  <c r="V757" i="17"/>
  <c r="U757" i="17"/>
  <c r="V758" i="17"/>
  <c r="U760" i="17"/>
  <c r="T762" i="17"/>
  <c r="O767" i="17"/>
  <c r="N767" i="17"/>
  <c r="O769" i="17"/>
  <c r="N769" i="17"/>
  <c r="O771" i="17"/>
  <c r="N771" i="17"/>
  <c r="V778" i="17"/>
  <c r="U780" i="17"/>
  <c r="T782" i="17"/>
  <c r="O787" i="17"/>
  <c r="N787" i="17"/>
  <c r="O792" i="17"/>
  <c r="O800" i="17"/>
  <c r="W804" i="17"/>
  <c r="V804" i="17"/>
  <c r="U804" i="17"/>
  <c r="P817" i="17"/>
  <c r="O817" i="17"/>
  <c r="N817" i="17"/>
  <c r="O907" i="17"/>
  <c r="N907" i="17"/>
  <c r="P907" i="17"/>
  <c r="W914" i="17"/>
  <c r="V914" i="17"/>
  <c r="U914" i="17"/>
  <c r="W733" i="17"/>
  <c r="V733" i="17"/>
  <c r="U734" i="17"/>
  <c r="W741" i="17"/>
  <c r="V741" i="17"/>
  <c r="U742" i="17"/>
  <c r="W749" i="17"/>
  <c r="V749" i="17"/>
  <c r="U750" i="17"/>
  <c r="W759" i="17"/>
  <c r="V759" i="17"/>
  <c r="U759" i="17"/>
  <c r="U762" i="17"/>
  <c r="O773" i="17"/>
  <c r="N773" i="17"/>
  <c r="T784" i="17"/>
  <c r="O789" i="17"/>
  <c r="N789" i="17"/>
  <c r="W796" i="17"/>
  <c r="V796" i="17"/>
  <c r="U796" i="17"/>
  <c r="O811" i="17"/>
  <c r="N811" i="17"/>
  <c r="W858" i="17"/>
  <c r="T858" i="17"/>
  <c r="V858" i="17"/>
  <c r="P886" i="17"/>
  <c r="N886" i="17"/>
  <c r="O891" i="17"/>
  <c r="N891" i="17"/>
  <c r="N935" i="17"/>
  <c r="P935" i="17"/>
  <c r="O935" i="17"/>
  <c r="P1013" i="17"/>
  <c r="O1013" i="17"/>
  <c r="N1013" i="17"/>
  <c r="P1014" i="17"/>
  <c r="O1014" i="17"/>
  <c r="N1014" i="17"/>
  <c r="O719" i="17"/>
  <c r="N719" i="17"/>
  <c r="W727" i="17"/>
  <c r="V727" i="17"/>
  <c r="U728" i="17"/>
  <c r="W735" i="17"/>
  <c r="V735" i="17"/>
  <c r="U736" i="17"/>
  <c r="W743" i="17"/>
  <c r="V743" i="17"/>
  <c r="U744" i="17"/>
  <c r="W751" i="17"/>
  <c r="V751" i="17"/>
  <c r="U752" i="17"/>
  <c r="O757" i="17"/>
  <c r="N757" i="17"/>
  <c r="W763" i="17"/>
  <c r="V763" i="17"/>
  <c r="U763" i="17"/>
  <c r="U766" i="17"/>
  <c r="U768" i="17"/>
  <c r="U770" i="17"/>
  <c r="T772" i="17"/>
  <c r="O777" i="17"/>
  <c r="N777" i="17"/>
  <c r="V784" i="17"/>
  <c r="T788" i="17"/>
  <c r="V790" i="17"/>
  <c r="V798" i="17"/>
  <c r="P802" i="17"/>
  <c r="O802" i="17"/>
  <c r="N802" i="17"/>
  <c r="W806" i="17"/>
  <c r="U806" i="17"/>
  <c r="T806" i="17"/>
  <c r="N925" i="17"/>
  <c r="O925" i="17"/>
  <c r="P928" i="17"/>
  <c r="O928" i="17"/>
  <c r="N928" i="17"/>
  <c r="V963" i="17"/>
  <c r="T963" i="17"/>
  <c r="U963" i="17"/>
  <c r="O725" i="17"/>
  <c r="N725" i="17"/>
  <c r="O733" i="17"/>
  <c r="N733" i="17"/>
  <c r="O741" i="17"/>
  <c r="N741" i="17"/>
  <c r="O749" i="17"/>
  <c r="N749" i="17"/>
  <c r="O759" i="17"/>
  <c r="N759" i="17"/>
  <c r="W765" i="17"/>
  <c r="V765" i="17"/>
  <c r="U765" i="17"/>
  <c r="T774" i="17"/>
  <c r="O779" i="17"/>
  <c r="N779" i="17"/>
  <c r="W790" i="17"/>
  <c r="P794" i="17"/>
  <c r="O794" i="17"/>
  <c r="N794" i="17"/>
  <c r="W798" i="17"/>
  <c r="V816" i="17"/>
  <c r="P878" i="17"/>
  <c r="N878" i="17"/>
  <c r="O899" i="17"/>
  <c r="N899" i="17"/>
  <c r="P668" i="17"/>
  <c r="O668" i="17"/>
  <c r="O673" i="17"/>
  <c r="N673" i="17"/>
  <c r="O681" i="17"/>
  <c r="N681" i="17"/>
  <c r="X692" i="17"/>
  <c r="W692" i="17"/>
  <c r="V692" i="17"/>
  <c r="O694" i="17"/>
  <c r="U695" i="17"/>
  <c r="N728" i="17"/>
  <c r="W729" i="17"/>
  <c r="V729" i="17"/>
  <c r="U730" i="17"/>
  <c r="N736" i="17"/>
  <c r="W737" i="17"/>
  <c r="V737" i="17"/>
  <c r="U738" i="17"/>
  <c r="N744" i="17"/>
  <c r="W745" i="17"/>
  <c r="V745" i="17"/>
  <c r="U746" i="17"/>
  <c r="N752" i="17"/>
  <c r="W753" i="17"/>
  <c r="V753" i="17"/>
  <c r="U754" i="17"/>
  <c r="T756" i="17"/>
  <c r="O761" i="17"/>
  <c r="N761" i="17"/>
  <c r="V772" i="17"/>
  <c r="U774" i="17"/>
  <c r="T776" i="17"/>
  <c r="O781" i="17"/>
  <c r="N781" i="17"/>
  <c r="V788" i="17"/>
  <c r="P797" i="17"/>
  <c r="W810" i="17"/>
  <c r="V810" i="17"/>
  <c r="U810" i="17"/>
  <c r="P815" i="17"/>
  <c r="W816" i="17"/>
  <c r="W920" i="17"/>
  <c r="V920" i="17"/>
  <c r="U920" i="17"/>
  <c r="T920" i="17"/>
  <c r="T693" i="17"/>
  <c r="O727" i="17"/>
  <c r="N727" i="17"/>
  <c r="O735" i="17"/>
  <c r="N735" i="17"/>
  <c r="O743" i="17"/>
  <c r="N743" i="17"/>
  <c r="O751" i="17"/>
  <c r="N751" i="17"/>
  <c r="U756" i="17"/>
  <c r="O763" i="17"/>
  <c r="N763" i="17"/>
  <c r="V774" i="17"/>
  <c r="T778" i="17"/>
  <c r="O783" i="17"/>
  <c r="N783" i="17"/>
  <c r="W834" i="17"/>
  <c r="V834" i="17"/>
  <c r="U834" i="17"/>
  <c r="P849" i="17"/>
  <c r="O849" i="17"/>
  <c r="N849" i="17"/>
  <c r="W866" i="17"/>
  <c r="T866" i="17"/>
  <c r="V866" i="17"/>
  <c r="P894" i="17"/>
  <c r="N894" i="17"/>
  <c r="O894" i="17"/>
  <c r="P958" i="17"/>
  <c r="O958" i="17"/>
  <c r="N958" i="17"/>
  <c r="O697" i="17"/>
  <c r="N697" i="17"/>
  <c r="O701" i="17"/>
  <c r="N701" i="17"/>
  <c r="O705" i="17"/>
  <c r="N705" i="17"/>
  <c r="O709" i="17"/>
  <c r="N709" i="17"/>
  <c r="O713" i="17"/>
  <c r="N713" i="17"/>
  <c r="O717" i="17"/>
  <c r="N717" i="17"/>
  <c r="O721" i="17"/>
  <c r="N721" i="17"/>
  <c r="W723" i="17"/>
  <c r="V723" i="17"/>
  <c r="U724" i="17"/>
  <c r="N730" i="17"/>
  <c r="W731" i="17"/>
  <c r="V731" i="17"/>
  <c r="U732" i="17"/>
  <c r="T733" i="17"/>
  <c r="N738" i="17"/>
  <c r="W739" i="17"/>
  <c r="V739" i="17"/>
  <c r="U740" i="17"/>
  <c r="T741" i="17"/>
  <c r="N746" i="17"/>
  <c r="W747" i="17"/>
  <c r="V747" i="17"/>
  <c r="U748" i="17"/>
  <c r="T749" i="17"/>
  <c r="N754" i="17"/>
  <c r="W755" i="17"/>
  <c r="V755" i="17"/>
  <c r="U755" i="17"/>
  <c r="V756" i="17"/>
  <c r="U758" i="17"/>
  <c r="T759" i="17"/>
  <c r="O765" i="17"/>
  <c r="N765" i="17"/>
  <c r="U778" i="17"/>
  <c r="T780" i="17"/>
  <c r="O785" i="17"/>
  <c r="N785" i="17"/>
  <c r="P791" i="17"/>
  <c r="O791" i="17"/>
  <c r="N791" i="17"/>
  <c r="N792" i="17"/>
  <c r="P799" i="17"/>
  <c r="O799" i="17"/>
  <c r="N799" i="17"/>
  <c r="N800" i="17"/>
  <c r="T804" i="17"/>
  <c r="P828" i="17"/>
  <c r="N828" i="17"/>
  <c r="T914" i="17"/>
  <c r="W942" i="17"/>
  <c r="V942" i="17"/>
  <c r="T942" i="17"/>
  <c r="V945" i="17"/>
  <c r="T945" i="17"/>
  <c r="W945" i="17"/>
  <c r="V976" i="17"/>
  <c r="U976" i="17"/>
  <c r="T976" i="17"/>
  <c r="O790" i="17"/>
  <c r="T794" i="17"/>
  <c r="O798" i="17"/>
  <c r="T802" i="17"/>
  <c r="P806" i="17"/>
  <c r="N806" i="17"/>
  <c r="T808" i="17"/>
  <c r="U814" i="17"/>
  <c r="P822" i="17"/>
  <c r="N822" i="17"/>
  <c r="U824" i="17"/>
  <c r="T842" i="17"/>
  <c r="P854" i="17"/>
  <c r="N854" i="17"/>
  <c r="U856" i="17"/>
  <c r="P870" i="17"/>
  <c r="N870" i="17"/>
  <c r="O883" i="17"/>
  <c r="N883" i="17"/>
  <c r="T898" i="17"/>
  <c r="U906" i="17"/>
  <c r="N943" i="17"/>
  <c r="O943" i="17"/>
  <c r="P943" i="17"/>
  <c r="P944" i="17"/>
  <c r="T767" i="17"/>
  <c r="T769" i="17"/>
  <c r="T771" i="17"/>
  <c r="T773" i="17"/>
  <c r="T775" i="17"/>
  <c r="T777" i="17"/>
  <c r="T779" i="17"/>
  <c r="T781" i="17"/>
  <c r="T783" i="17"/>
  <c r="T785" i="17"/>
  <c r="T787" i="17"/>
  <c r="T789" i="17"/>
  <c r="U794" i="17"/>
  <c r="U802" i="17"/>
  <c r="U808" i="17"/>
  <c r="V814" i="17"/>
  <c r="U842" i="17"/>
  <c r="P862" i="17"/>
  <c r="N862" i="17"/>
  <c r="O875" i="17"/>
  <c r="N875" i="17"/>
  <c r="U898" i="17"/>
  <c r="P918" i="17"/>
  <c r="N918" i="17"/>
  <c r="N965" i="17"/>
  <c r="O965" i="17"/>
  <c r="P974" i="17"/>
  <c r="N974" i="17"/>
  <c r="P981" i="17"/>
  <c r="O981" i="17"/>
  <c r="N981" i="17"/>
  <c r="U767" i="17"/>
  <c r="U769" i="17"/>
  <c r="U771" i="17"/>
  <c r="U773" i="17"/>
  <c r="U775" i="17"/>
  <c r="U777" i="17"/>
  <c r="U779" i="17"/>
  <c r="U781" i="17"/>
  <c r="U783" i="17"/>
  <c r="U785" i="17"/>
  <c r="U787" i="17"/>
  <c r="U789" i="17"/>
  <c r="V794" i="17"/>
  <c r="T800" i="17"/>
  <c r="V802" i="17"/>
  <c r="V808" i="17"/>
  <c r="T818" i="17"/>
  <c r="N820" i="17"/>
  <c r="N827" i="17"/>
  <c r="P830" i="17"/>
  <c r="N830" i="17"/>
  <c r="U832" i="17"/>
  <c r="V842" i="17"/>
  <c r="T850" i="17"/>
  <c r="N852" i="17"/>
  <c r="P859" i="17"/>
  <c r="O867" i="17"/>
  <c r="N867" i="17"/>
  <c r="T882" i="17"/>
  <c r="U890" i="17"/>
  <c r="V898" i="17"/>
  <c r="N921" i="17"/>
  <c r="O921" i="17"/>
  <c r="P921" i="17"/>
  <c r="U923" i="17"/>
  <c r="U934" i="17"/>
  <c r="O949" i="17"/>
  <c r="T956" i="17"/>
  <c r="T675" i="17"/>
  <c r="V767" i="17"/>
  <c r="V769" i="17"/>
  <c r="V771" i="17"/>
  <c r="V773" i="17"/>
  <c r="V775" i="17"/>
  <c r="V777" i="17"/>
  <c r="V779" i="17"/>
  <c r="V781" i="17"/>
  <c r="V783" i="17"/>
  <c r="V785" i="17"/>
  <c r="V787" i="17"/>
  <c r="V789" i="17"/>
  <c r="O820" i="17"/>
  <c r="P827" i="17"/>
  <c r="T840" i="17"/>
  <c r="O852" i="17"/>
  <c r="T874" i="17"/>
  <c r="U882" i="17"/>
  <c r="P910" i="17"/>
  <c r="N910" i="17"/>
  <c r="O915" i="17"/>
  <c r="N915" i="17"/>
  <c r="V937" i="17"/>
  <c r="T937" i="17"/>
  <c r="N948" i="17"/>
  <c r="P948" i="17"/>
  <c r="O948" i="17"/>
  <c r="P949" i="17"/>
  <c r="V955" i="17"/>
  <c r="T955" i="17"/>
  <c r="W955" i="17"/>
  <c r="U956" i="17"/>
  <c r="T961" i="17"/>
  <c r="O970" i="17"/>
  <c r="N970" i="17"/>
  <c r="P970" i="17"/>
  <c r="P814" i="17"/>
  <c r="N814" i="17"/>
  <c r="P838" i="17"/>
  <c r="N838" i="17"/>
  <c r="U840" i="17"/>
  <c r="U874" i="17"/>
  <c r="P902" i="17"/>
  <c r="N902" i="17"/>
  <c r="N929" i="17"/>
  <c r="O929" i="17"/>
  <c r="W956" i="17"/>
  <c r="N959" i="17"/>
  <c r="P959" i="17"/>
  <c r="O959" i="17"/>
  <c r="U961" i="17"/>
  <c r="O997" i="17"/>
  <c r="N997" i="17"/>
  <c r="P997" i="17"/>
  <c r="P998" i="17"/>
  <c r="O998" i="17"/>
  <c r="N998" i="17"/>
  <c r="W1006" i="17"/>
  <c r="V1006" i="17"/>
  <c r="U1006" i="17"/>
  <c r="T1006" i="17"/>
  <c r="P976" i="17"/>
  <c r="O976" i="17"/>
  <c r="N976" i="17"/>
  <c r="O1003" i="17"/>
  <c r="P1003" i="17"/>
  <c r="P1004" i="17"/>
  <c r="O1004" i="17"/>
  <c r="N1004" i="17"/>
  <c r="O1051" i="17"/>
  <c r="N1051" i="17"/>
  <c r="P1051" i="17"/>
  <c r="U864" i="17"/>
  <c r="U872" i="17"/>
  <c r="U880" i="17"/>
  <c r="U888" i="17"/>
  <c r="U896" i="17"/>
  <c r="U904" i="17"/>
  <c r="U912" i="17"/>
  <c r="U924" i="17"/>
  <c r="T928" i="17"/>
  <c r="U931" i="17"/>
  <c r="U947" i="17"/>
  <c r="U964" i="17"/>
  <c r="N967" i="17"/>
  <c r="P967" i="17"/>
  <c r="O967" i="17"/>
  <c r="U969" i="17"/>
  <c r="P1050" i="17"/>
  <c r="O1050" i="17"/>
  <c r="N1050" i="17"/>
  <c r="V912" i="17"/>
  <c r="W924" i="17"/>
  <c r="U928" i="17"/>
  <c r="W931" i="17"/>
  <c r="N937" i="17"/>
  <c r="O937" i="17"/>
  <c r="W947" i="17"/>
  <c r="N952" i="17"/>
  <c r="U958" i="17"/>
  <c r="W964" i="17"/>
  <c r="W969" i="17"/>
  <c r="T971" i="17"/>
  <c r="W971" i="17"/>
  <c r="U971" i="17"/>
  <c r="W972" i="17"/>
  <c r="O977" i="17"/>
  <c r="N977" i="17"/>
  <c r="N989" i="17"/>
  <c r="U822" i="17"/>
  <c r="U830" i="17"/>
  <c r="U838" i="17"/>
  <c r="U846" i="17"/>
  <c r="U854" i="17"/>
  <c r="U862" i="17"/>
  <c r="U870" i="17"/>
  <c r="U878" i="17"/>
  <c r="U886" i="17"/>
  <c r="U894" i="17"/>
  <c r="U902" i="17"/>
  <c r="U910" i="17"/>
  <c r="U918" i="17"/>
  <c r="W921" i="17"/>
  <c r="U925" i="17"/>
  <c r="V928" i="17"/>
  <c r="U932" i="17"/>
  <c r="T936" i="17"/>
  <c r="O938" i="17"/>
  <c r="U939" i="17"/>
  <c r="W948" i="17"/>
  <c r="N951" i="17"/>
  <c r="O951" i="17"/>
  <c r="O952" i="17"/>
  <c r="U953" i="17"/>
  <c r="N956" i="17"/>
  <c r="P956" i="17"/>
  <c r="O957" i="17"/>
  <c r="V958" i="17"/>
  <c r="O987" i="17"/>
  <c r="N987" i="17"/>
  <c r="P988" i="17"/>
  <c r="O988" i="17"/>
  <c r="N988" i="17"/>
  <c r="O989" i="17"/>
  <c r="W990" i="17"/>
  <c r="V990" i="17"/>
  <c r="U990" i="17"/>
  <c r="T990" i="17"/>
  <c r="W992" i="17"/>
  <c r="V992" i="17"/>
  <c r="T992" i="17"/>
  <c r="N1011" i="17"/>
  <c r="V918" i="17"/>
  <c r="P924" i="17"/>
  <c r="W925" i="17"/>
  <c r="T926" i="17"/>
  <c r="U929" i="17"/>
  <c r="W932" i="17"/>
  <c r="T933" i="17"/>
  <c r="U936" i="17"/>
  <c r="W939" i="17"/>
  <c r="T940" i="17"/>
  <c r="T950" i="17"/>
  <c r="W953" i="17"/>
  <c r="P957" i="17"/>
  <c r="O962" i="17"/>
  <c r="N962" i="17"/>
  <c r="V974" i="17"/>
  <c r="T974" i="17"/>
  <c r="W974" i="17"/>
  <c r="W982" i="17"/>
  <c r="V982" i="17"/>
  <c r="T982" i="17"/>
  <c r="P1011" i="17"/>
  <c r="W1014" i="17"/>
  <c r="V1014" i="17"/>
  <c r="U1014" i="17"/>
  <c r="W1022" i="17"/>
  <c r="V1022" i="17"/>
  <c r="U1022" i="17"/>
  <c r="T1022" i="17"/>
  <c r="W1024" i="17"/>
  <c r="V1024" i="17"/>
  <c r="T1024" i="17"/>
  <c r="U1024" i="17"/>
  <c r="W929" i="17"/>
  <c r="U933" i="17"/>
  <c r="U940" i="17"/>
  <c r="P972" i="17"/>
  <c r="O972" i="17"/>
  <c r="P980" i="17"/>
  <c r="O980" i="17"/>
  <c r="N980" i="17"/>
  <c r="P990" i="17"/>
  <c r="O990" i="17"/>
  <c r="N990" i="17"/>
  <c r="W1000" i="17"/>
  <c r="V1000" i="17"/>
  <c r="U1000" i="17"/>
  <c r="P1012" i="17"/>
  <c r="O1012" i="17"/>
  <c r="N1012" i="17"/>
  <c r="U941" i="17"/>
  <c r="V946" i="17"/>
  <c r="U949" i="17"/>
  <c r="V954" i="17"/>
  <c r="U957" i="17"/>
  <c r="V962" i="17"/>
  <c r="U965" i="17"/>
  <c r="V970" i="17"/>
  <c r="O973" i="17"/>
  <c r="T978" i="17"/>
  <c r="P984" i="17"/>
  <c r="O984" i="17"/>
  <c r="N984" i="17"/>
  <c r="W986" i="17"/>
  <c r="V986" i="17"/>
  <c r="P995" i="17"/>
  <c r="W1008" i="17"/>
  <c r="V1008" i="17"/>
  <c r="P1021" i="17"/>
  <c r="P1029" i="17"/>
  <c r="P1037" i="17"/>
  <c r="P1045" i="17"/>
  <c r="W962" i="17"/>
  <c r="W970" i="17"/>
  <c r="P996" i="17"/>
  <c r="O996" i="17"/>
  <c r="N996" i="17"/>
  <c r="W998" i="17"/>
  <c r="V998" i="17"/>
  <c r="U998" i="17"/>
  <c r="P1006" i="17"/>
  <c r="O1006" i="17"/>
  <c r="N1006" i="17"/>
  <c r="P1019" i="17"/>
  <c r="O1019" i="17"/>
  <c r="P1020" i="17"/>
  <c r="O1020" i="17"/>
  <c r="N1020" i="17"/>
  <c r="P1022" i="17"/>
  <c r="O1022" i="17"/>
  <c r="N1022" i="17"/>
  <c r="P1027" i="17"/>
  <c r="O1027" i="17"/>
  <c r="N1027" i="17"/>
  <c r="P1028" i="17"/>
  <c r="O1028" i="17"/>
  <c r="N1028" i="17"/>
  <c r="P1030" i="17"/>
  <c r="O1030" i="17"/>
  <c r="N1030" i="17"/>
  <c r="P1035" i="17"/>
  <c r="O1035" i="17"/>
  <c r="N1035" i="17"/>
  <c r="P1036" i="17"/>
  <c r="O1036" i="17"/>
  <c r="N1036" i="17"/>
  <c r="P1038" i="17"/>
  <c r="O1038" i="17"/>
  <c r="N1038" i="17"/>
  <c r="P1043" i="17"/>
  <c r="O1043" i="17"/>
  <c r="N1043" i="17"/>
  <c r="P1044" i="17"/>
  <c r="O1044" i="17"/>
  <c r="N1044" i="17"/>
  <c r="P1046" i="17"/>
  <c r="O1046" i="17"/>
  <c r="N1046" i="17"/>
  <c r="W1054" i="17"/>
  <c r="V1054" i="17"/>
  <c r="T1054" i="17"/>
  <c r="W1048" i="17"/>
  <c r="V1048" i="17"/>
  <c r="U1048" i="17"/>
  <c r="T1048" i="17"/>
  <c r="O1049" i="17"/>
  <c r="N1049" i="17"/>
  <c r="U919" i="17"/>
  <c r="U927" i="17"/>
  <c r="U935" i="17"/>
  <c r="U943" i="17"/>
  <c r="U951" i="17"/>
  <c r="U959" i="17"/>
  <c r="U967" i="17"/>
  <c r="V980" i="17"/>
  <c r="W984" i="17"/>
  <c r="V984" i="17"/>
  <c r="P992" i="17"/>
  <c r="O992" i="17"/>
  <c r="N992" i="17"/>
  <c r="W994" i="17"/>
  <c r="V994" i="17"/>
  <c r="W1016" i="17"/>
  <c r="V1016" i="17"/>
  <c r="T1016" i="17"/>
  <c r="O1029" i="17"/>
  <c r="W1030" i="17"/>
  <c r="V1030" i="17"/>
  <c r="U1030" i="17"/>
  <c r="T1030" i="17"/>
  <c r="W1032" i="17"/>
  <c r="V1032" i="17"/>
  <c r="T1032" i="17"/>
  <c r="O1037" i="17"/>
  <c r="W1038" i="17"/>
  <c r="V1038" i="17"/>
  <c r="U1038" i="17"/>
  <c r="T1038" i="17"/>
  <c r="W1040" i="17"/>
  <c r="V1040" i="17"/>
  <c r="T1040" i="17"/>
  <c r="O1045" i="17"/>
  <c r="W1046" i="17"/>
  <c r="V1046" i="17"/>
  <c r="U1046" i="17"/>
  <c r="T1046" i="17"/>
  <c r="P1048" i="17"/>
  <c r="O1048" i="17"/>
  <c r="N1048" i="17"/>
  <c r="P1000" i="17"/>
  <c r="O1000" i="17"/>
  <c r="N1000" i="17"/>
  <c r="W1002" i="17"/>
  <c r="V1002" i="17"/>
  <c r="P1008" i="17"/>
  <c r="O1008" i="17"/>
  <c r="N1008" i="17"/>
  <c r="W1010" i="17"/>
  <c r="V1010" i="17"/>
  <c r="P1016" i="17"/>
  <c r="O1016" i="17"/>
  <c r="N1016" i="17"/>
  <c r="W1018" i="17"/>
  <c r="V1018" i="17"/>
  <c r="P1024" i="17"/>
  <c r="O1024" i="17"/>
  <c r="N1024" i="17"/>
  <c r="W1026" i="17"/>
  <c r="V1026" i="17"/>
  <c r="P1032" i="17"/>
  <c r="O1032" i="17"/>
  <c r="N1032" i="17"/>
  <c r="W1034" i="17"/>
  <c r="V1034" i="17"/>
  <c r="P1040" i="17"/>
  <c r="O1040" i="17"/>
  <c r="N1040" i="17"/>
  <c r="W1042" i="17"/>
  <c r="V1042" i="17"/>
  <c r="W1052" i="17"/>
  <c r="V1052" i="17"/>
  <c r="P1054" i="17"/>
  <c r="O1054" i="17"/>
  <c r="N1054" i="17"/>
  <c r="O1055" i="17"/>
  <c r="N1055" i="17"/>
  <c r="P986" i="17"/>
  <c r="O986" i="17"/>
  <c r="N986" i="17"/>
  <c r="W988" i="17"/>
  <c r="V988" i="17"/>
  <c r="P994" i="17"/>
  <c r="O994" i="17"/>
  <c r="N994" i="17"/>
  <c r="W996" i="17"/>
  <c r="V996" i="17"/>
  <c r="P1002" i="17"/>
  <c r="O1002" i="17"/>
  <c r="N1002" i="17"/>
  <c r="W1004" i="17"/>
  <c r="V1004" i="17"/>
  <c r="P1010" i="17"/>
  <c r="O1010" i="17"/>
  <c r="N1010" i="17"/>
  <c r="W1012" i="17"/>
  <c r="V1012" i="17"/>
  <c r="P1018" i="17"/>
  <c r="O1018" i="17"/>
  <c r="N1018" i="17"/>
  <c r="W1020" i="17"/>
  <c r="V1020" i="17"/>
  <c r="P1026" i="17"/>
  <c r="O1026" i="17"/>
  <c r="N1026" i="17"/>
  <c r="W1028" i="17"/>
  <c r="V1028" i="17"/>
  <c r="P1034" i="17"/>
  <c r="O1034" i="17"/>
  <c r="N1034" i="17"/>
  <c r="W1036" i="17"/>
  <c r="V1036" i="17"/>
  <c r="P1042" i="17"/>
  <c r="O1042" i="17"/>
  <c r="N1042" i="17"/>
  <c r="W1044" i="17"/>
  <c r="V1044" i="17"/>
  <c r="W1050" i="17"/>
  <c r="V1050" i="17"/>
  <c r="P1052" i="17"/>
  <c r="O1052" i="17"/>
  <c r="N1052" i="17"/>
  <c r="O1053" i="17"/>
  <c r="N1053" i="17"/>
  <c r="T1047" i="17"/>
  <c r="T1049" i="17"/>
  <c r="T1051" i="17"/>
  <c r="T1053" i="17"/>
  <c r="T1055" i="17"/>
  <c r="V1049" i="17"/>
  <c r="V1051" i="17"/>
  <c r="V1053" i="17"/>
  <c r="V1055" i="17"/>
  <c r="F176" i="9" l="1"/>
  <c r="AL412" i="9"/>
  <c r="AK412" i="9" s="1"/>
  <c r="AL476" i="9"/>
  <c r="AO476" i="9" s="1"/>
  <c r="E177" i="9"/>
  <c r="E180" i="9"/>
  <c r="E201" i="9"/>
  <c r="Z476" i="9"/>
  <c r="AL422" i="9"/>
  <c r="AL443" i="9"/>
  <c r="AL479" i="9"/>
  <c r="AL444" i="9"/>
  <c r="AL409" i="9"/>
  <c r="Z475" i="9"/>
  <c r="AL473" i="9"/>
  <c r="AO473" i="9" s="1"/>
  <c r="AL470" i="9"/>
  <c r="AL410" i="9"/>
  <c r="AL431" i="9"/>
  <c r="AL428" i="9"/>
  <c r="AL421" i="9"/>
  <c r="Z472" i="9"/>
  <c r="Z473" i="9"/>
  <c r="AL418" i="9"/>
  <c r="AK418" i="9" s="1"/>
  <c r="AL423" i="9"/>
  <c r="AL432" i="9"/>
  <c r="AL425" i="9"/>
  <c r="AL437" i="9"/>
  <c r="AL463" i="9"/>
  <c r="AL415" i="9"/>
  <c r="AL464" i="9"/>
  <c r="AL442" i="9"/>
  <c r="AL474" i="9"/>
  <c r="AL450" i="9"/>
  <c r="AL411" i="9"/>
  <c r="AL438" i="9"/>
  <c r="AL472" i="9"/>
  <c r="Z470" i="9"/>
  <c r="AL436" i="9"/>
  <c r="AL441" i="9"/>
  <c r="AL427" i="9"/>
  <c r="AL416" i="9"/>
  <c r="AK416" i="9" s="1"/>
  <c r="AL478" i="9"/>
  <c r="AL426" i="9"/>
  <c r="AL414" i="9"/>
  <c r="AL413" i="9"/>
  <c r="AL465" i="9"/>
  <c r="AL451" i="9"/>
  <c r="AL439" i="9"/>
  <c r="AL430" i="9"/>
  <c r="AL435" i="9"/>
  <c r="AL471" i="9"/>
  <c r="AL475" i="9"/>
  <c r="AO475" i="9" s="1"/>
  <c r="AL417" i="9"/>
  <c r="AK417" i="9" s="1"/>
  <c r="AL429" i="9"/>
  <c r="AL449" i="9"/>
  <c r="AL445" i="9"/>
  <c r="AL447" i="9"/>
  <c r="Z440" i="9"/>
  <c r="AI440" i="9" s="1"/>
  <c r="AL446" i="9"/>
  <c r="AL448" i="9"/>
  <c r="AL434" i="9"/>
  <c r="AL424" i="9"/>
  <c r="AL440" i="9"/>
  <c r="E94" i="9"/>
  <c r="S3" i="5"/>
  <c r="B48" i="21"/>
  <c r="K6" i="21" s="1"/>
  <c r="F9" i="21"/>
  <c r="F13" i="21"/>
  <c r="F15" i="21"/>
  <c r="F24" i="21"/>
  <c r="G24" i="21" s="1"/>
  <c r="H24" i="21" s="1"/>
  <c r="G12" i="21"/>
  <c r="H12" i="21" s="1"/>
  <c r="E6" i="9"/>
  <c r="E7" i="21"/>
  <c r="J7" i="21"/>
  <c r="AN3" i="3"/>
  <c r="AO3" i="3"/>
  <c r="E308" i="9"/>
  <c r="R3" i="5"/>
  <c r="AL3" i="20"/>
  <c r="AK3" i="20"/>
  <c r="AJ3" i="20"/>
  <c r="D185" i="9"/>
  <c r="J3" i="20"/>
  <c r="I3" i="20"/>
  <c r="K3" i="20"/>
  <c r="AO3" i="20"/>
  <c r="AN3" i="20"/>
  <c r="AM3" i="20"/>
  <c r="AH3" i="20"/>
  <c r="AG3" i="20"/>
  <c r="AI3" i="20"/>
  <c r="F3" i="20"/>
  <c r="H3" i="20"/>
  <c r="G3" i="20"/>
  <c r="R3" i="20"/>
  <c r="S3" i="20"/>
  <c r="T3" i="20"/>
  <c r="AA3" i="3"/>
  <c r="AA3" i="20"/>
  <c r="AC3" i="20"/>
  <c r="AB3" i="20"/>
  <c r="AD3" i="20"/>
  <c r="AF3" i="20"/>
  <c r="AE3" i="20"/>
  <c r="AM3" i="3"/>
  <c r="M3" i="3"/>
  <c r="N3" i="20"/>
  <c r="M3" i="20"/>
  <c r="L3" i="20"/>
  <c r="W3" i="3"/>
  <c r="V3" i="20"/>
  <c r="W3" i="20"/>
  <c r="U3" i="20"/>
  <c r="Z3" i="20"/>
  <c r="Y3" i="20"/>
  <c r="X3" i="20"/>
  <c r="F97" i="9"/>
  <c r="D22" i="8" s="1"/>
  <c r="E100" i="9"/>
  <c r="F135" i="9"/>
  <c r="F105" i="9"/>
  <c r="D113" i="9" s="1"/>
  <c r="Z480" i="9"/>
  <c r="E17" i="9"/>
  <c r="E7" i="9"/>
  <c r="F330" i="9"/>
  <c r="F189" i="9"/>
  <c r="E300" i="9"/>
  <c r="Z414" i="9"/>
  <c r="F210" i="9"/>
  <c r="E295" i="9"/>
  <c r="D304" i="9"/>
  <c r="F250" i="9"/>
  <c r="F245" i="9"/>
  <c r="E297" i="9"/>
  <c r="F122" i="9"/>
  <c r="Z474" i="9"/>
  <c r="F163" i="9"/>
  <c r="D32" i="8" s="1"/>
  <c r="F285" i="9"/>
  <c r="E285" i="9" s="1"/>
  <c r="Z443" i="9"/>
  <c r="Z436" i="9"/>
  <c r="Z429" i="9"/>
  <c r="Z465" i="9"/>
  <c r="AI465" i="9" s="1"/>
  <c r="Z464" i="9"/>
  <c r="AI464" i="9" s="1"/>
  <c r="Z463" i="9"/>
  <c r="AI463" i="9" s="1"/>
  <c r="Z427" i="9"/>
  <c r="AI427" i="9" s="1"/>
  <c r="Z418" i="9"/>
  <c r="AI418" i="9" s="1"/>
  <c r="Z497" i="9"/>
  <c r="AI497" i="9" s="1"/>
  <c r="Z451" i="9"/>
  <c r="AI451" i="9" s="1"/>
  <c r="Z426" i="9"/>
  <c r="AI426" i="9" s="1"/>
  <c r="Z478" i="9"/>
  <c r="Z479" i="9"/>
  <c r="Z450" i="9"/>
  <c r="AI450" i="9" s="1"/>
  <c r="Z425" i="9"/>
  <c r="AI425" i="9" s="1"/>
  <c r="Z417" i="9"/>
  <c r="AI417" i="9" s="1"/>
  <c r="Z495" i="9"/>
  <c r="AI495" i="9" s="1"/>
  <c r="Z449" i="9"/>
  <c r="AI449" i="9" s="1"/>
  <c r="Z432" i="9"/>
  <c r="AI432" i="9" s="1"/>
  <c r="Z416" i="9"/>
  <c r="AI416" i="9" s="1"/>
  <c r="Z442" i="9"/>
  <c r="Z413" i="9"/>
  <c r="Z410" i="9"/>
  <c r="Z439" i="9"/>
  <c r="F153" i="9"/>
  <c r="F377" i="9"/>
  <c r="F242" i="9"/>
  <c r="F182" i="9"/>
  <c r="Z441" i="9"/>
  <c r="F72" i="9"/>
  <c r="Z434" i="9"/>
  <c r="Z445" i="9"/>
  <c r="Z421" i="9"/>
  <c r="F185" i="9"/>
  <c r="F179" i="9"/>
  <c r="F304" i="9"/>
  <c r="F309" i="9" s="1"/>
  <c r="F314" i="9" s="1"/>
  <c r="F173" i="9"/>
  <c r="F349" i="9"/>
  <c r="F229" i="9"/>
  <c r="E360" i="9"/>
  <c r="F362" i="9"/>
  <c r="Z428" i="9"/>
  <c r="Z447" i="9"/>
  <c r="Z448" i="9"/>
  <c r="Z437" i="9"/>
  <c r="Z431" i="9"/>
  <c r="Z444" i="9"/>
  <c r="Z430" i="9"/>
  <c r="E96" i="9"/>
  <c r="Z471" i="9"/>
  <c r="F83" i="9"/>
  <c r="D15" i="8" s="1"/>
  <c r="E299" i="9"/>
  <c r="F192" i="9"/>
  <c r="F395" i="9"/>
  <c r="E395" i="9" s="1"/>
  <c r="D13" i="9"/>
  <c r="E10" i="9"/>
  <c r="Z409" i="9"/>
  <c r="F41" i="9"/>
  <c r="Z438" i="9"/>
  <c r="Z411" i="9"/>
  <c r="E95" i="9"/>
  <c r="D97" i="9"/>
  <c r="E113" i="9" s="1"/>
  <c r="E174" i="9"/>
  <c r="E185" i="9"/>
  <c r="E194" i="9" s="1"/>
  <c r="D38" i="8" s="1"/>
  <c r="F266" i="9"/>
  <c r="E296" i="9"/>
  <c r="Z446" i="9"/>
  <c r="E15" i="9"/>
  <c r="Z412" i="9"/>
  <c r="F13" i="9"/>
  <c r="D31" i="9" s="1"/>
  <c r="Z423" i="9"/>
  <c r="N103" i="9"/>
  <c r="E250" i="9"/>
  <c r="E298" i="9"/>
  <c r="F24" i="9"/>
  <c r="D32" i="9" s="1"/>
  <c r="F54" i="9"/>
  <c r="Z422" i="9"/>
  <c r="Z424" i="9"/>
  <c r="Z415" i="9"/>
  <c r="D66" i="8" s="1"/>
  <c r="Z435" i="9"/>
  <c r="M100" i="9"/>
  <c r="S95" i="9"/>
  <c r="S104" i="9"/>
  <c r="S100" i="9"/>
  <c r="S103" i="9"/>
  <c r="M95" i="9"/>
  <c r="N94" i="9"/>
  <c r="M94" i="9"/>
  <c r="N102" i="9"/>
  <c r="L93" i="9"/>
  <c r="AC3" i="3"/>
  <c r="O3" i="5"/>
  <c r="L332" i="9"/>
  <c r="N332" i="9" s="1"/>
  <c r="U3" i="3"/>
  <c r="V3" i="3"/>
  <c r="M3" i="5"/>
  <c r="J3" i="5"/>
  <c r="N3" i="3"/>
  <c r="L3" i="3"/>
  <c r="K178" i="9"/>
  <c r="N241" i="9"/>
  <c r="L224" i="9"/>
  <c r="N224" i="9" s="1"/>
  <c r="L184" i="9"/>
  <c r="N184" i="9" s="1"/>
  <c r="L15" i="9"/>
  <c r="N15" i="9" s="1"/>
  <c r="J247" i="9"/>
  <c r="J244" i="9"/>
  <c r="J12" i="9"/>
  <c r="L22" i="9"/>
  <c r="N22" i="9" s="1"/>
  <c r="L37" i="9"/>
  <c r="L45" i="9"/>
  <c r="N45" i="9" s="1"/>
  <c r="L53" i="9"/>
  <c r="N53" i="9" s="1"/>
  <c r="L62" i="9"/>
  <c r="N62" i="9" s="1"/>
  <c r="L71" i="9"/>
  <c r="N71" i="9" s="1"/>
  <c r="L82" i="9"/>
  <c r="L115" i="9"/>
  <c r="L124" i="9"/>
  <c r="N124" i="9" s="1"/>
  <c r="L132" i="9"/>
  <c r="N132" i="9" s="1"/>
  <c r="L141" i="9"/>
  <c r="N141" i="9" s="1"/>
  <c r="L149" i="9"/>
  <c r="N149" i="9" s="1"/>
  <c r="L161" i="9"/>
  <c r="N161" i="9" s="1"/>
  <c r="J178" i="9"/>
  <c r="L201" i="9"/>
  <c r="L209" i="9"/>
  <c r="N209" i="9" s="1"/>
  <c r="L218" i="9"/>
  <c r="N218" i="9" s="1"/>
  <c r="L226" i="9"/>
  <c r="N226" i="9" s="1"/>
  <c r="L244" i="9"/>
  <c r="N244" i="9" s="1"/>
  <c r="N245" i="9" s="1"/>
  <c r="L257" i="9"/>
  <c r="N257" i="9" s="1"/>
  <c r="L265" i="9"/>
  <c r="N265" i="9" s="1"/>
  <c r="L274" i="9"/>
  <c r="N274" i="9" s="1"/>
  <c r="L282" i="9"/>
  <c r="N282" i="9" s="1"/>
  <c r="L303" i="9"/>
  <c r="N303" i="9" s="1"/>
  <c r="L312" i="9"/>
  <c r="N312" i="9" s="1"/>
  <c r="L325" i="9"/>
  <c r="N325" i="9" s="1"/>
  <c r="L334" i="9"/>
  <c r="N334" i="9" s="1"/>
  <c r="L342" i="9"/>
  <c r="N342" i="9" s="1"/>
  <c r="L329" i="9"/>
  <c r="N329" i="9" s="1"/>
  <c r="L50" i="9"/>
  <c r="N50" i="9" s="1"/>
  <c r="L67" i="9"/>
  <c r="N67" i="9" s="1"/>
  <c r="J175" i="9"/>
  <c r="L254" i="9"/>
  <c r="N254" i="9" s="1"/>
  <c r="L322" i="9"/>
  <c r="N322" i="9" s="1"/>
  <c r="J6" i="9"/>
  <c r="M6" i="9" s="1"/>
  <c r="L9" i="9"/>
  <c r="N9" i="9" s="1"/>
  <c r="L12" i="9"/>
  <c r="N12" i="9" s="1"/>
  <c r="L23" i="9"/>
  <c r="N23" i="9" s="1"/>
  <c r="L46" i="9"/>
  <c r="N46" i="9" s="1"/>
  <c r="L55" i="9"/>
  <c r="N55" i="9" s="1"/>
  <c r="L63" i="9"/>
  <c r="N63" i="9" s="1"/>
  <c r="L75" i="9"/>
  <c r="N75" i="9" s="1"/>
  <c r="L116" i="9"/>
  <c r="L125" i="9"/>
  <c r="N125" i="9" s="1"/>
  <c r="L133" i="9"/>
  <c r="N133" i="9" s="1"/>
  <c r="L142" i="9"/>
  <c r="N142" i="9" s="1"/>
  <c r="L150" i="9"/>
  <c r="N150" i="9" s="1"/>
  <c r="L162" i="9"/>
  <c r="N162" i="9" s="1"/>
  <c r="L202" i="9"/>
  <c r="N202" i="9" s="1"/>
  <c r="L211" i="9"/>
  <c r="N211" i="9" s="1"/>
  <c r="L219" i="9"/>
  <c r="N219" i="9" s="1"/>
  <c r="L227" i="9"/>
  <c r="N227" i="9" s="1"/>
  <c r="L258" i="9"/>
  <c r="N258" i="9" s="1"/>
  <c r="L267" i="9"/>
  <c r="N267" i="9" s="1"/>
  <c r="L275" i="9"/>
  <c r="N275" i="9" s="1"/>
  <c r="L283" i="9"/>
  <c r="N283" i="9" s="1"/>
  <c r="L297" i="9"/>
  <c r="N297" i="9" s="1"/>
  <c r="L300" i="9"/>
  <c r="N300" i="9" s="1"/>
  <c r="L318" i="9"/>
  <c r="N318" i="9" s="1"/>
  <c r="L326" i="9"/>
  <c r="N326" i="9" s="1"/>
  <c r="L335" i="9"/>
  <c r="N335" i="9" s="1"/>
  <c r="L343" i="9"/>
  <c r="N343" i="9" s="1"/>
  <c r="L344" i="9"/>
  <c r="N344" i="9" s="1"/>
  <c r="J8" i="9"/>
  <c r="L129" i="9"/>
  <c r="N129" i="9" s="1"/>
  <c r="L198" i="9"/>
  <c r="N198" i="9" s="1"/>
  <c r="L262" i="9"/>
  <c r="N262" i="9" s="1"/>
  <c r="L6" i="9"/>
  <c r="J10" i="9"/>
  <c r="M15" i="9"/>
  <c r="L38" i="9"/>
  <c r="L47" i="9"/>
  <c r="N47" i="9" s="1"/>
  <c r="L56" i="9"/>
  <c r="N56" i="9" s="1"/>
  <c r="L64" i="9"/>
  <c r="N64" i="9" s="1"/>
  <c r="L76" i="9"/>
  <c r="N76" i="9" s="1"/>
  <c r="L117" i="9"/>
  <c r="L126" i="9"/>
  <c r="N126" i="9" s="1"/>
  <c r="L134" i="9"/>
  <c r="N134" i="9" s="1"/>
  <c r="L143" i="9"/>
  <c r="N143" i="9" s="1"/>
  <c r="L151" i="9"/>
  <c r="N151" i="9" s="1"/>
  <c r="J172" i="9"/>
  <c r="L178" i="9"/>
  <c r="L188" i="9"/>
  <c r="N188" i="9" s="1"/>
  <c r="L203" i="9"/>
  <c r="N203" i="9" s="1"/>
  <c r="L212" i="9"/>
  <c r="N212" i="9" s="1"/>
  <c r="L220" i="9"/>
  <c r="N220" i="9" s="1"/>
  <c r="L228" i="9"/>
  <c r="N228" i="9" s="1"/>
  <c r="L259" i="9"/>
  <c r="N259" i="9" s="1"/>
  <c r="L268" i="9"/>
  <c r="L276" i="9"/>
  <c r="N276" i="9" s="1"/>
  <c r="L284" i="9"/>
  <c r="N284" i="9" s="1"/>
  <c r="L307" i="9"/>
  <c r="N307" i="9" s="1"/>
  <c r="L319" i="9"/>
  <c r="N319" i="9" s="1"/>
  <c r="L327" i="9"/>
  <c r="N327" i="9" s="1"/>
  <c r="L336" i="9"/>
  <c r="N336" i="9" s="1"/>
  <c r="L321" i="9"/>
  <c r="N321" i="9" s="1"/>
  <c r="L59" i="9"/>
  <c r="N59" i="9" s="1"/>
  <c r="L138" i="9"/>
  <c r="N138" i="9" s="1"/>
  <c r="L308" i="9"/>
  <c r="N308" i="9" s="1"/>
  <c r="J7" i="9"/>
  <c r="M7" i="9" s="1"/>
  <c r="L32" i="9"/>
  <c r="L39" i="9"/>
  <c r="L48" i="9"/>
  <c r="N48" i="9" s="1"/>
  <c r="L57" i="9"/>
  <c r="N57" i="9" s="1"/>
  <c r="L65" i="9"/>
  <c r="N65" i="9" s="1"/>
  <c r="L77" i="9"/>
  <c r="N77" i="9" s="1"/>
  <c r="L118" i="9"/>
  <c r="L127" i="9"/>
  <c r="N127" i="9" s="1"/>
  <c r="L136" i="9"/>
  <c r="N136" i="9" s="1"/>
  <c r="L144" i="9"/>
  <c r="N144" i="9" s="1"/>
  <c r="L152" i="9"/>
  <c r="N152" i="9" s="1"/>
  <c r="L204" i="9"/>
  <c r="N204" i="9" s="1"/>
  <c r="L213" i="9"/>
  <c r="N213" i="9" s="1"/>
  <c r="L221" i="9"/>
  <c r="N221" i="9" s="1"/>
  <c r="J241" i="9"/>
  <c r="L247" i="9"/>
  <c r="L260" i="9"/>
  <c r="N260" i="9" s="1"/>
  <c r="L269" i="9"/>
  <c r="N269" i="9" s="1"/>
  <c r="L277" i="9"/>
  <c r="N277" i="9" s="1"/>
  <c r="L301" i="9"/>
  <c r="N301" i="9" s="1"/>
  <c r="L320" i="9"/>
  <c r="N320" i="9" s="1"/>
  <c r="L328" i="9"/>
  <c r="N328" i="9" s="1"/>
  <c r="L337" i="9"/>
  <c r="N337" i="9" s="1"/>
  <c r="L345" i="9"/>
  <c r="N345" i="9" s="1"/>
  <c r="L295" i="9"/>
  <c r="N295" i="9" s="1"/>
  <c r="L34" i="9"/>
  <c r="N34" i="9" s="1"/>
  <c r="L120" i="9"/>
  <c r="N120" i="9" s="1"/>
  <c r="L206" i="9"/>
  <c r="N206" i="9" s="1"/>
  <c r="L271" i="9"/>
  <c r="N271" i="9" s="1"/>
  <c r="L331" i="9"/>
  <c r="N331" i="9" s="1"/>
  <c r="L7" i="9"/>
  <c r="N7" i="9" s="1"/>
  <c r="L10" i="9"/>
  <c r="N10" i="9" s="1"/>
  <c r="J17" i="9"/>
  <c r="L33" i="9"/>
  <c r="N33" i="9" s="1"/>
  <c r="L40" i="9"/>
  <c r="L49" i="9"/>
  <c r="N49" i="9" s="1"/>
  <c r="L58" i="9"/>
  <c r="N58" i="9" s="1"/>
  <c r="L66" i="9"/>
  <c r="N66" i="9" s="1"/>
  <c r="L78" i="9"/>
  <c r="L119" i="9"/>
  <c r="N119" i="9" s="1"/>
  <c r="L128" i="9"/>
  <c r="N128" i="9" s="1"/>
  <c r="L137" i="9"/>
  <c r="N137" i="9" s="1"/>
  <c r="L145" i="9"/>
  <c r="N145" i="9" s="1"/>
  <c r="L157" i="9"/>
  <c r="N157" i="9" s="1"/>
  <c r="L172" i="9"/>
  <c r="N172" i="9" s="1"/>
  <c r="J181" i="9"/>
  <c r="L205" i="9"/>
  <c r="N205" i="9" s="1"/>
  <c r="L214" i="9"/>
  <c r="N214" i="9" s="1"/>
  <c r="L222" i="9"/>
  <c r="N222" i="9" s="1"/>
  <c r="L261" i="9"/>
  <c r="N261" i="9" s="1"/>
  <c r="L270" i="9"/>
  <c r="N270" i="9" s="1"/>
  <c r="L278" i="9"/>
  <c r="N278" i="9" s="1"/>
  <c r="L298" i="9"/>
  <c r="N298" i="9" s="1"/>
  <c r="J11" i="9"/>
  <c r="N112" i="9"/>
  <c r="L8" i="9"/>
  <c r="L19" i="9"/>
  <c r="N19" i="9" s="1"/>
  <c r="L35" i="9"/>
  <c r="N35" i="9" s="1"/>
  <c r="L43" i="9"/>
  <c r="N43" i="9" s="1"/>
  <c r="L51" i="9"/>
  <c r="N51" i="9" s="1"/>
  <c r="L60" i="9"/>
  <c r="N60" i="9" s="1"/>
  <c r="L68" i="9"/>
  <c r="N68" i="9" s="1"/>
  <c r="L80" i="9"/>
  <c r="N80" i="9" s="1"/>
  <c r="L113" i="9"/>
  <c r="L121" i="9"/>
  <c r="N121" i="9" s="1"/>
  <c r="L130" i="9"/>
  <c r="N130" i="9" s="1"/>
  <c r="L139" i="9"/>
  <c r="N139" i="9" s="1"/>
  <c r="L147" i="9"/>
  <c r="N147" i="9" s="1"/>
  <c r="L159" i="9"/>
  <c r="L181" i="9"/>
  <c r="N181" i="9" s="1"/>
  <c r="L199" i="9"/>
  <c r="N199" i="9" s="1"/>
  <c r="L207" i="9"/>
  <c r="N207" i="9" s="1"/>
  <c r="L216" i="9"/>
  <c r="N216" i="9" s="1"/>
  <c r="L255" i="9"/>
  <c r="N255" i="9" s="1"/>
  <c r="L263" i="9"/>
  <c r="N263" i="9" s="1"/>
  <c r="L272" i="9"/>
  <c r="N272" i="9" s="1"/>
  <c r="L280" i="9"/>
  <c r="N280" i="9" s="1"/>
  <c r="L299" i="9"/>
  <c r="N299" i="9" s="1"/>
  <c r="L302" i="9"/>
  <c r="N302" i="9" s="1"/>
  <c r="L323" i="9"/>
  <c r="N323" i="9" s="1"/>
  <c r="L340" i="9"/>
  <c r="N340" i="9" s="1"/>
  <c r="L348" i="9"/>
  <c r="N348" i="9" s="1"/>
  <c r="L333" i="9"/>
  <c r="N333" i="9" s="1"/>
  <c r="L338" i="9"/>
  <c r="N338" i="9" s="1"/>
  <c r="L42" i="9"/>
  <c r="N42" i="9" s="1"/>
  <c r="L79" i="9"/>
  <c r="N79" i="9" s="1"/>
  <c r="L158" i="9"/>
  <c r="N158" i="9" s="1"/>
  <c r="L215" i="9"/>
  <c r="N215" i="9" s="1"/>
  <c r="L279" i="9"/>
  <c r="N279" i="9" s="1"/>
  <c r="L339" i="9"/>
  <c r="N339" i="9" s="1"/>
  <c r="J9" i="9"/>
  <c r="L11" i="9"/>
  <c r="N11" i="9" s="1"/>
  <c r="L21" i="9"/>
  <c r="L36" i="9"/>
  <c r="N36" i="9" s="1"/>
  <c r="L44" i="9"/>
  <c r="N44" i="9" s="1"/>
  <c r="L52" i="9"/>
  <c r="N52" i="9" s="1"/>
  <c r="L61" i="9"/>
  <c r="N61" i="9" s="1"/>
  <c r="L70" i="9"/>
  <c r="N70" i="9" s="1"/>
  <c r="L81" i="9"/>
  <c r="N81" i="9" s="1"/>
  <c r="L114" i="9"/>
  <c r="L123" i="9"/>
  <c r="N123" i="9" s="1"/>
  <c r="L131" i="9"/>
  <c r="N131" i="9" s="1"/>
  <c r="L140" i="9"/>
  <c r="N140" i="9" s="1"/>
  <c r="L148" i="9"/>
  <c r="N148" i="9" s="1"/>
  <c r="L160" i="9"/>
  <c r="N160" i="9" s="1"/>
  <c r="L175" i="9"/>
  <c r="N175" i="9" s="1"/>
  <c r="L200" i="9"/>
  <c r="N200" i="9" s="1"/>
  <c r="L208" i="9"/>
  <c r="N208" i="9" s="1"/>
  <c r="L217" i="9"/>
  <c r="N217" i="9" s="1"/>
  <c r="L225" i="9"/>
  <c r="N225" i="9" s="1"/>
  <c r="L256" i="9"/>
  <c r="N256" i="9" s="1"/>
  <c r="L264" i="9"/>
  <c r="N264" i="9" s="1"/>
  <c r="L273" i="9"/>
  <c r="N273" i="9" s="1"/>
  <c r="L281" i="9"/>
  <c r="N281" i="9" s="1"/>
  <c r="L296" i="9"/>
  <c r="N296" i="9" s="1"/>
  <c r="L324" i="9"/>
  <c r="N324" i="9" s="1"/>
  <c r="L341" i="9"/>
  <c r="N341" i="9" s="1"/>
  <c r="L346" i="9"/>
  <c r="N346" i="9" s="1"/>
  <c r="L17" i="9"/>
  <c r="N17" i="9" s="1"/>
  <c r="L146" i="9"/>
  <c r="N146" i="9" s="1"/>
  <c r="L223" i="9"/>
  <c r="N223" i="9" s="1"/>
  <c r="L347" i="9"/>
  <c r="N347" i="9" s="1"/>
  <c r="G5" i="5"/>
  <c r="AF474" i="9"/>
  <c r="L5" i="9"/>
  <c r="J297" i="9"/>
  <c r="K188" i="9"/>
  <c r="M188" i="9" s="1"/>
  <c r="J307" i="9"/>
  <c r="K247" i="9"/>
  <c r="M247" i="9" s="1"/>
  <c r="J298" i="9"/>
  <c r="J301" i="9"/>
  <c r="K172" i="9"/>
  <c r="M172" i="9" s="1"/>
  <c r="K191" i="9"/>
  <c r="J295" i="9"/>
  <c r="M295" i="9" s="1"/>
  <c r="J308" i="9"/>
  <c r="J302" i="9"/>
  <c r="K302" i="9" s="1"/>
  <c r="K241" i="9"/>
  <c r="M241" i="9" s="1"/>
  <c r="K181" i="9"/>
  <c r="M181" i="9" s="1"/>
  <c r="J296" i="9"/>
  <c r="K175" i="9"/>
  <c r="M175" i="9" s="1"/>
  <c r="J312" i="9"/>
  <c r="K312" i="9" s="1"/>
  <c r="K244" i="9"/>
  <c r="J300" i="9"/>
  <c r="J303" i="9"/>
  <c r="K303" i="9" s="1"/>
  <c r="J299" i="9"/>
  <c r="M299" i="9" s="1"/>
  <c r="AB3" i="3"/>
  <c r="L342" i="12"/>
  <c r="L336" i="12"/>
  <c r="L324" i="12"/>
  <c r="L296" i="12"/>
  <c r="L280" i="12"/>
  <c r="L260" i="12"/>
  <c r="L227" i="12"/>
  <c r="L219" i="12"/>
  <c r="L213" i="12"/>
  <c r="L209" i="12"/>
  <c r="L208" i="12"/>
  <c r="L207" i="12"/>
  <c r="L206" i="12"/>
  <c r="L345" i="12"/>
  <c r="L337" i="12"/>
  <c r="N337" i="12" s="1"/>
  <c r="L331" i="12"/>
  <c r="L327" i="12"/>
  <c r="L319" i="12"/>
  <c r="L301" i="12"/>
  <c r="L283" i="12"/>
  <c r="L275" i="12"/>
  <c r="L269" i="12"/>
  <c r="L265" i="12"/>
  <c r="N265" i="12" s="1"/>
  <c r="L263" i="12"/>
  <c r="L255" i="12"/>
  <c r="L247" i="12"/>
  <c r="L222" i="12"/>
  <c r="L216" i="12"/>
  <c r="L201" i="12"/>
  <c r="L188" i="12"/>
  <c r="L159" i="12"/>
  <c r="L150" i="12"/>
  <c r="L142" i="12"/>
  <c r="L127" i="12"/>
  <c r="L115" i="12"/>
  <c r="L329" i="12"/>
  <c r="L303" i="12"/>
  <c r="L346" i="12"/>
  <c r="L343" i="12"/>
  <c r="L326" i="12"/>
  <c r="L340" i="12"/>
  <c r="L334" i="12"/>
  <c r="L323" i="12"/>
  <c r="L320" i="12"/>
  <c r="L278" i="12"/>
  <c r="L258" i="12"/>
  <c r="L347" i="12"/>
  <c r="L307" i="12"/>
  <c r="L244" i="12"/>
  <c r="L214" i="12"/>
  <c r="L200" i="12"/>
  <c r="L344" i="12"/>
  <c r="L321" i="12"/>
  <c r="L308" i="12"/>
  <c r="L299" i="12"/>
  <c r="L282" i="12"/>
  <c r="L270" i="12"/>
  <c r="L267" i="12"/>
  <c r="L262" i="12"/>
  <c r="L348" i="12"/>
  <c r="L328" i="12"/>
  <c r="L325" i="12"/>
  <c r="L297" i="12"/>
  <c r="L271" i="12"/>
  <c r="L241" i="12"/>
  <c r="L224" i="12"/>
  <c r="L215" i="12"/>
  <c r="L202" i="12"/>
  <c r="L184" i="12"/>
  <c r="L178" i="12"/>
  <c r="J172" i="12"/>
  <c r="L162" i="12"/>
  <c r="L144" i="12"/>
  <c r="L131" i="12"/>
  <c r="L117" i="12"/>
  <c r="L113" i="12"/>
  <c r="J95" i="12"/>
  <c r="L339" i="12"/>
  <c r="L333" i="12"/>
  <c r="L322" i="12"/>
  <c r="L312" i="12"/>
  <c r="L300" i="12"/>
  <c r="L277" i="12"/>
  <c r="L268" i="12"/>
  <c r="L284" i="12"/>
  <c r="L281" i="12"/>
  <c r="L272" i="12"/>
  <c r="L264" i="12"/>
  <c r="L261" i="12"/>
  <c r="L256" i="12"/>
  <c r="L228" i="12"/>
  <c r="L226" i="12"/>
  <c r="L198" i="12"/>
  <c r="L172" i="12"/>
  <c r="L146" i="12"/>
  <c r="L143" i="12"/>
  <c r="L140" i="12"/>
  <c r="L125" i="12"/>
  <c r="L112" i="12"/>
  <c r="J99" i="12"/>
  <c r="L78" i="12"/>
  <c r="L64" i="12"/>
  <c r="L55" i="12"/>
  <c r="L42" i="12"/>
  <c r="L9" i="12"/>
  <c r="L335" i="12"/>
  <c r="L295" i="12"/>
  <c r="L212" i="12"/>
  <c r="L274" i="12"/>
  <c r="J241" i="12"/>
  <c r="L175" i="12"/>
  <c r="L157" i="12"/>
  <c r="L257" i="12"/>
  <c r="L221" i="12"/>
  <c r="L217" i="12"/>
  <c r="L204" i="12"/>
  <c r="L199" i="12"/>
  <c r="J175" i="12"/>
  <c r="L151" i="12"/>
  <c r="L141" i="12"/>
  <c r="L133" i="12"/>
  <c r="L126" i="12"/>
  <c r="L118" i="12"/>
  <c r="J100" i="12"/>
  <c r="L57" i="12"/>
  <c r="J15" i="12"/>
  <c r="L338" i="12"/>
  <c r="L223" i="12"/>
  <c r="L332" i="12"/>
  <c r="L276" i="12"/>
  <c r="L220" i="12"/>
  <c r="L152" i="12"/>
  <c r="L149" i="12"/>
  <c r="L139" i="12"/>
  <c r="L136" i="12"/>
  <c r="L341" i="12"/>
  <c r="L254" i="12"/>
  <c r="L218" i="12"/>
  <c r="L205" i="12"/>
  <c r="L203" i="12"/>
  <c r="J181" i="12"/>
  <c r="J178" i="12"/>
  <c r="L128" i="12"/>
  <c r="L132" i="12"/>
  <c r="L120" i="12"/>
  <c r="L65" i="12"/>
  <c r="L394" i="9"/>
  <c r="L390" i="9"/>
  <c r="L386" i="9"/>
  <c r="L382" i="9"/>
  <c r="L378" i="9"/>
  <c r="L371" i="9"/>
  <c r="L225" i="12"/>
  <c r="L181" i="12"/>
  <c r="L160" i="12"/>
  <c r="L134" i="12"/>
  <c r="L124" i="12"/>
  <c r="L318" i="12"/>
  <c r="L273" i="12"/>
  <c r="N273" i="12" s="1"/>
  <c r="L148" i="12"/>
  <c r="L138" i="12"/>
  <c r="L121" i="12"/>
  <c r="L95" i="12"/>
  <c r="L71" i="12"/>
  <c r="L36" i="12"/>
  <c r="L31" i="12"/>
  <c r="L21" i="12"/>
  <c r="L279" i="12"/>
  <c r="L211" i="12"/>
  <c r="L123" i="12"/>
  <c r="L259" i="12"/>
  <c r="L161" i="12"/>
  <c r="L137" i="12"/>
  <c r="L119" i="12"/>
  <c r="L116" i="12"/>
  <c r="J94" i="12"/>
  <c r="L77" i="12"/>
  <c r="L302" i="12"/>
  <c r="L130" i="12"/>
  <c r="L158" i="12"/>
  <c r="L103" i="12"/>
  <c r="L33" i="12"/>
  <c r="J11" i="12"/>
  <c r="L392" i="9"/>
  <c r="L389" i="9"/>
  <c r="L369" i="9"/>
  <c r="B51" i="2"/>
  <c r="E39" i="2"/>
  <c r="E35" i="2"/>
  <c r="B28" i="2"/>
  <c r="B24" i="2"/>
  <c r="B19" i="2"/>
  <c r="B14" i="2"/>
  <c r="B10" i="2"/>
  <c r="L6" i="12"/>
  <c r="L374" i="9"/>
  <c r="L145" i="12"/>
  <c r="L38" i="12"/>
  <c r="J17" i="12"/>
  <c r="L99" i="12"/>
  <c r="L94" i="12"/>
  <c r="L59" i="12"/>
  <c r="L298" i="12"/>
  <c r="L100" i="12"/>
  <c r="L82" i="12"/>
  <c r="L147" i="12"/>
  <c r="L79" i="12"/>
  <c r="L62" i="12"/>
  <c r="L53" i="12"/>
  <c r="L8" i="12"/>
  <c r="L376" i="9"/>
  <c r="L368" i="9"/>
  <c r="L81" i="12"/>
  <c r="L19" i="12"/>
  <c r="L15" i="12"/>
  <c r="J9" i="12"/>
  <c r="L384" i="9"/>
  <c r="L104" i="12"/>
  <c r="L56" i="12"/>
  <c r="L388" i="9"/>
  <c r="L383" i="9"/>
  <c r="J12" i="12"/>
  <c r="L387" i="9"/>
  <c r="L385" i="9"/>
  <c r="L380" i="9"/>
  <c r="L367" i="9"/>
  <c r="L129" i="12"/>
  <c r="L114" i="12"/>
  <c r="L40" i="12"/>
  <c r="L102" i="12"/>
  <c r="L391" i="9"/>
  <c r="L379" i="9"/>
  <c r="L375" i="9"/>
  <c r="L372" i="9"/>
  <c r="L365" i="9"/>
  <c r="L381" i="9"/>
  <c r="L370" i="9"/>
  <c r="L393" i="9"/>
  <c r="J10" i="12"/>
  <c r="E49" i="2"/>
  <c r="E41" i="2"/>
  <c r="B37" i="2"/>
  <c r="B29" i="2"/>
  <c r="E24" i="2"/>
  <c r="E18" i="2"/>
  <c r="B13" i="2"/>
  <c r="B8" i="2"/>
  <c r="E48" i="2"/>
  <c r="B41" i="2"/>
  <c r="E36" i="2"/>
  <c r="E23" i="2"/>
  <c r="B18" i="2"/>
  <c r="E12" i="2"/>
  <c r="E7" i="2"/>
  <c r="L366" i="9"/>
  <c r="B46" i="2"/>
  <c r="B40" i="2"/>
  <c r="B35" i="2"/>
  <c r="B27" i="2"/>
  <c r="E22" i="2"/>
  <c r="E11" i="2"/>
  <c r="E5" i="2"/>
  <c r="B52" i="2"/>
  <c r="E33" i="2"/>
  <c r="B11" i="2"/>
  <c r="B5" i="2"/>
  <c r="B6" i="2" s="1"/>
  <c r="B39" i="2"/>
  <c r="E26" i="2"/>
  <c r="E15" i="2"/>
  <c r="L373" i="9"/>
  <c r="E51" i="2"/>
  <c r="B43" i="2"/>
  <c r="E38" i="2"/>
  <c r="B26" i="2"/>
  <c r="B15" i="2"/>
  <c r="E10" i="2"/>
  <c r="B48" i="2"/>
  <c r="E14" i="2"/>
  <c r="E9" i="2"/>
  <c r="B50" i="2"/>
  <c r="E27" i="2"/>
  <c r="E13" i="2"/>
  <c r="B36" i="2"/>
  <c r="B42" i="2"/>
  <c r="E25" i="2"/>
  <c r="B12" i="2"/>
  <c r="B25" i="2"/>
  <c r="E40" i="2"/>
  <c r="E19" i="2"/>
  <c r="B38" i="2"/>
  <c r="B23" i="2"/>
  <c r="B9" i="2"/>
  <c r="E37" i="2"/>
  <c r="B20" i="2"/>
  <c r="AF496" i="12"/>
  <c r="AF491" i="12"/>
  <c r="AF493" i="12"/>
  <c r="AF469" i="12"/>
  <c r="AF420" i="12"/>
  <c r="AF497" i="12"/>
  <c r="AH497" i="12" s="1"/>
  <c r="AF492" i="12"/>
  <c r="AF461" i="12"/>
  <c r="AF453" i="12"/>
  <c r="AF456" i="12"/>
  <c r="AF455" i="12"/>
  <c r="AF494" i="12"/>
  <c r="AF462" i="12"/>
  <c r="AR462" i="12" s="1"/>
  <c r="AF457" i="12"/>
  <c r="AF458" i="12"/>
  <c r="AF448" i="12"/>
  <c r="AF460" i="12"/>
  <c r="AF459" i="12"/>
  <c r="AF495" i="12"/>
  <c r="AF454" i="12"/>
  <c r="J247" i="12"/>
  <c r="AF469" i="9"/>
  <c r="AH469" i="9" s="1"/>
  <c r="AI469" i="9" s="1"/>
  <c r="AF491" i="9"/>
  <c r="AH491" i="9" s="1"/>
  <c r="AI491" i="9" s="1"/>
  <c r="AF459" i="9"/>
  <c r="AH459" i="9" s="1"/>
  <c r="AI459" i="9" s="1"/>
  <c r="AF455" i="9"/>
  <c r="AH455" i="9" s="1"/>
  <c r="AI455" i="9" s="1"/>
  <c r="J244" i="12"/>
  <c r="AF457" i="9"/>
  <c r="AH457" i="9" s="1"/>
  <c r="AI457" i="9" s="1"/>
  <c r="AF456" i="9"/>
  <c r="AH456" i="9" s="1"/>
  <c r="AF492" i="9"/>
  <c r="AH492" i="9" s="1"/>
  <c r="AF461" i="9"/>
  <c r="AH461" i="9" s="1"/>
  <c r="AI461" i="9" s="1"/>
  <c r="AF454" i="9"/>
  <c r="AH454" i="9" s="1"/>
  <c r="AI454" i="9" s="1"/>
  <c r="AF494" i="9"/>
  <c r="AH494" i="9" s="1"/>
  <c r="AF462" i="9"/>
  <c r="AF453" i="9"/>
  <c r="AH453" i="9" s="1"/>
  <c r="AF460" i="9"/>
  <c r="AH460" i="9" s="1"/>
  <c r="AI460" i="9" s="1"/>
  <c r="AF420" i="9"/>
  <c r="AH420" i="9" s="1"/>
  <c r="AI420" i="9" s="1"/>
  <c r="AF493" i="9"/>
  <c r="AH493" i="9" s="1"/>
  <c r="AI493" i="9" s="1"/>
  <c r="AF458" i="9"/>
  <c r="AH458" i="9" s="1"/>
  <c r="AI458" i="9" s="1"/>
  <c r="L49" i="12"/>
  <c r="L35" i="12"/>
  <c r="L48" i="12"/>
  <c r="H3" i="5"/>
  <c r="G3" i="3"/>
  <c r="F3" i="3"/>
  <c r="H3" i="3"/>
  <c r="D52" i="8"/>
  <c r="D58" i="8"/>
  <c r="D54" i="8"/>
  <c r="J298" i="12"/>
  <c r="J295" i="12"/>
  <c r="K172" i="12"/>
  <c r="J301" i="12"/>
  <c r="J302" i="12"/>
  <c r="K302" i="12" s="1"/>
  <c r="J299" i="12"/>
  <c r="K191" i="12"/>
  <c r="L192" i="12" s="1"/>
  <c r="K188" i="12"/>
  <c r="K175" i="12"/>
  <c r="J297" i="12"/>
  <c r="J312" i="12"/>
  <c r="K312" i="12" s="1"/>
  <c r="K247" i="12"/>
  <c r="J303" i="12"/>
  <c r="K303" i="12" s="1"/>
  <c r="K241" i="12"/>
  <c r="J308" i="12"/>
  <c r="K244" i="12"/>
  <c r="L93" i="12"/>
  <c r="L360" i="9"/>
  <c r="K181" i="12"/>
  <c r="K178" i="12"/>
  <c r="J307" i="12"/>
  <c r="J296" i="12"/>
  <c r="J300" i="12"/>
  <c r="J360" i="9"/>
  <c r="L17" i="12"/>
  <c r="J8" i="12"/>
  <c r="L66" i="12"/>
  <c r="L47" i="12"/>
  <c r="J7" i="12"/>
  <c r="F14" i="11"/>
  <c r="G14" i="11" s="1"/>
  <c r="AL3" i="3"/>
  <c r="AK3" i="3"/>
  <c r="AJ3" i="3"/>
  <c r="L3" i="5"/>
  <c r="T3" i="3"/>
  <c r="R3" i="3"/>
  <c r="S3" i="3"/>
  <c r="D44" i="8"/>
  <c r="D41" i="8"/>
  <c r="L70" i="12"/>
  <c r="L52" i="12"/>
  <c r="L39" i="12"/>
  <c r="L44" i="12"/>
  <c r="L51" i="12"/>
  <c r="G18" i="8"/>
  <c r="I18" i="8" s="1"/>
  <c r="F18" i="8"/>
  <c r="H18" i="8" s="1"/>
  <c r="F8" i="11"/>
  <c r="I3" i="3"/>
  <c r="I3" i="5"/>
  <c r="K3" i="3"/>
  <c r="J3" i="3"/>
  <c r="P3" i="5"/>
  <c r="AE3" i="3"/>
  <c r="AD3" i="3"/>
  <c r="AF3" i="3"/>
  <c r="L11" i="12"/>
  <c r="L75" i="12"/>
  <c r="L43" i="12"/>
  <c r="L5" i="12"/>
  <c r="L76" i="12"/>
  <c r="L46" i="12"/>
  <c r="L23" i="12"/>
  <c r="L12" i="12"/>
  <c r="H4" i="11"/>
  <c r="F9" i="11"/>
  <c r="G9" i="11" s="1"/>
  <c r="L60" i="12"/>
  <c r="J6" i="12"/>
  <c r="L58" i="12"/>
  <c r="L61" i="12"/>
  <c r="L63" i="12"/>
  <c r="F4" i="11"/>
  <c r="F15" i="11"/>
  <c r="G15" i="11" s="1"/>
  <c r="AG3" i="3"/>
  <c r="Q3" i="5"/>
  <c r="AI3" i="3"/>
  <c r="AH3" i="3"/>
  <c r="E42" i="8"/>
  <c r="S69" i="9"/>
  <c r="R181" i="9"/>
  <c r="E59" i="8"/>
  <c r="E47" i="8"/>
  <c r="E28" i="8"/>
  <c r="L50" i="12"/>
  <c r="L10" i="12"/>
  <c r="L37" i="12"/>
  <c r="L34" i="12"/>
  <c r="L80" i="12"/>
  <c r="L67" i="12"/>
  <c r="L22" i="12"/>
  <c r="F5" i="11"/>
  <c r="G5" i="11" s="1"/>
  <c r="D7" i="8"/>
  <c r="D11" i="8"/>
  <c r="D45" i="8"/>
  <c r="AO492" i="9"/>
  <c r="AO494" i="9"/>
  <c r="AO456" i="9"/>
  <c r="R244" i="9"/>
  <c r="R247" i="9"/>
  <c r="L68" i="12"/>
  <c r="G8" i="11"/>
  <c r="F6" i="11"/>
  <c r="G6" i="11" s="1"/>
  <c r="E5" i="5"/>
  <c r="D28" i="8"/>
  <c r="D53" i="8"/>
  <c r="D57" i="8"/>
  <c r="D51" i="8"/>
  <c r="AF474" i="12"/>
  <c r="L45" i="12"/>
  <c r="L7" i="12"/>
  <c r="H16" i="11"/>
  <c r="F7" i="11"/>
  <c r="G7" i="11" s="1"/>
  <c r="Y3" i="3"/>
  <c r="N3" i="5"/>
  <c r="Z3" i="3"/>
  <c r="X3" i="3"/>
  <c r="D24" i="8"/>
  <c r="D40" i="8"/>
  <c r="K193" i="9" l="1"/>
  <c r="Q191" i="12" a="1"/>
  <c r="Q191" i="12" s="1"/>
  <c r="Q188" i="12" a="1"/>
  <c r="Q188" i="12" s="1"/>
  <c r="D26" i="8"/>
  <c r="D112" i="9"/>
  <c r="L13" i="9"/>
  <c r="L192" i="9"/>
  <c r="M191" i="9"/>
  <c r="K113" i="9"/>
  <c r="J113" i="9"/>
  <c r="K14" i="21"/>
  <c r="K11" i="21"/>
  <c r="L11" i="21" s="1"/>
  <c r="M11" i="21" s="1"/>
  <c r="AJ412" i="9"/>
  <c r="K7" i="21" a="1"/>
  <c r="K7" i="21" s="1"/>
  <c r="K20" i="21" s="1"/>
  <c r="K12" i="21" a="1"/>
  <c r="K12" i="21" s="1"/>
  <c r="AL466" i="9"/>
  <c r="AJ466" i="9" s="1"/>
  <c r="AK409" i="9"/>
  <c r="AL419" i="9"/>
  <c r="AJ409" i="9"/>
  <c r="J6" i="21"/>
  <c r="J22" i="21" s="1"/>
  <c r="AL433" i="9"/>
  <c r="AJ433" i="9" s="1"/>
  <c r="AK411" i="9"/>
  <c r="AJ411" i="9"/>
  <c r="E266" i="9"/>
  <c r="AK410" i="9"/>
  <c r="AJ410" i="9"/>
  <c r="AL452" i="9"/>
  <c r="AJ452" i="9" s="1"/>
  <c r="AL481" i="9"/>
  <c r="G31" i="21"/>
  <c r="AK413" i="9"/>
  <c r="AJ413" i="9"/>
  <c r="AK414" i="9"/>
  <c r="AJ414" i="9"/>
  <c r="AK415" i="9"/>
  <c r="AJ415" i="9"/>
  <c r="E159" i="9"/>
  <c r="D159" i="9" s="1"/>
  <c r="N78" i="9"/>
  <c r="E32" i="10" s="1"/>
  <c r="N159" i="9"/>
  <c r="N163" i="9" s="1"/>
  <c r="K159" i="9"/>
  <c r="J159" i="9" s="1"/>
  <c r="N82" i="9"/>
  <c r="E33" i="10" s="1"/>
  <c r="N201" i="9"/>
  <c r="K201" i="9"/>
  <c r="N105" i="9"/>
  <c r="N106" i="9" s="1"/>
  <c r="F26" i="21"/>
  <c r="G26" i="21" s="1"/>
  <c r="H26" i="21" s="1"/>
  <c r="F16" i="21"/>
  <c r="G15" i="21"/>
  <c r="H15" i="21" s="1"/>
  <c r="K25" i="21"/>
  <c r="L14" i="21"/>
  <c r="M14" i="21" s="1"/>
  <c r="F8" i="21"/>
  <c r="F21" i="21" s="1"/>
  <c r="F22" i="21"/>
  <c r="G22" i="21" s="1"/>
  <c r="H22" i="21" s="1"/>
  <c r="F10" i="21"/>
  <c r="G9" i="21"/>
  <c r="H9" i="21" s="1"/>
  <c r="L97" i="12"/>
  <c r="J97" i="12"/>
  <c r="K113" i="12" s="1"/>
  <c r="N117" i="9"/>
  <c r="K117" i="9"/>
  <c r="N118" i="9"/>
  <c r="K118" i="9"/>
  <c r="N116" i="9"/>
  <c r="K116" i="9"/>
  <c r="N114" i="9"/>
  <c r="K114" i="9"/>
  <c r="N115" i="9"/>
  <c r="K115" i="9"/>
  <c r="J8" i="21"/>
  <c r="J13" i="21"/>
  <c r="J10" i="21"/>
  <c r="J16" i="21"/>
  <c r="G7" i="21"/>
  <c r="H7" i="21" s="1"/>
  <c r="E20" i="21"/>
  <c r="G20" i="21" s="1"/>
  <c r="H20" i="21" s="1"/>
  <c r="E8" i="21"/>
  <c r="E13" i="21"/>
  <c r="G13" i="21" s="1"/>
  <c r="E10" i="21"/>
  <c r="E16" i="21"/>
  <c r="F108" i="9"/>
  <c r="E135" i="9" s="1"/>
  <c r="AL461" i="12" a="1"/>
  <c r="AL461" i="12" s="1"/>
  <c r="AN461" i="12" s="1"/>
  <c r="AO461" i="12" s="1"/>
  <c r="AL457" i="12" a="1"/>
  <c r="AL457" i="12" s="1"/>
  <c r="AN457" i="12" s="1"/>
  <c r="AO457" i="12" s="1"/>
  <c r="AL453" i="12" a="1"/>
  <c r="AL453" i="12" s="1"/>
  <c r="AN453" i="12" s="1"/>
  <c r="AO453" i="12" s="1"/>
  <c r="Q263" i="12" a="1"/>
  <c r="Q263" i="12" s="1"/>
  <c r="S263" i="12" s="1"/>
  <c r="Q247" i="12" a="1"/>
  <c r="Q247" i="12" s="1"/>
  <c r="S248" i="12" s="1"/>
  <c r="P244" i="12" a="1"/>
  <c r="P244" i="12" s="1"/>
  <c r="Q222" i="12" a="1"/>
  <c r="Q222" i="12" s="1"/>
  <c r="Q218" i="12" a="1"/>
  <c r="Q218" i="12" s="1"/>
  <c r="S218" i="12" s="1"/>
  <c r="Q198" i="12" a="1"/>
  <c r="Q198" i="12" s="1"/>
  <c r="S198" i="12" s="1"/>
  <c r="AL480" i="12" a="1"/>
  <c r="AL480" i="12" s="1"/>
  <c r="Q394" i="12" a="1"/>
  <c r="Q394" i="12" s="1"/>
  <c r="Q390" i="12" a="1"/>
  <c r="Q390" i="12" s="1"/>
  <c r="Q386" i="12" a="1"/>
  <c r="Q386" i="12" s="1"/>
  <c r="Q382" i="12" a="1"/>
  <c r="Q382" i="12" s="1"/>
  <c r="Q378" i="12" a="1"/>
  <c r="Q378" i="12" s="1"/>
  <c r="Q373" i="12" a="1"/>
  <c r="Q373" i="12" s="1"/>
  <c r="Q369" i="12" a="1"/>
  <c r="Q369" i="12" s="1"/>
  <c r="Q365" i="12" a="1"/>
  <c r="Q365" i="12" s="1"/>
  <c r="Q347" i="12" a="1"/>
  <c r="Q347" i="12" s="1"/>
  <c r="S347" i="12" s="1"/>
  <c r="Q343" i="12" a="1"/>
  <c r="Q343" i="12" s="1"/>
  <c r="S343" i="12" s="1"/>
  <c r="Q339" i="12" a="1"/>
  <c r="Q339" i="12" s="1"/>
  <c r="S339" i="12" s="1"/>
  <c r="Q334" i="12" a="1"/>
  <c r="Q334" i="12" s="1"/>
  <c r="Q329" i="12" a="1"/>
  <c r="Q329" i="12" s="1"/>
  <c r="S329" i="12" s="1"/>
  <c r="Q325" i="12" a="1"/>
  <c r="Q325" i="12" s="1"/>
  <c r="S325" i="12" s="1"/>
  <c r="Q321" i="12" a="1"/>
  <c r="Q321" i="12" s="1"/>
  <c r="S321" i="12" s="1"/>
  <c r="Q312" i="12" a="1"/>
  <c r="Q312" i="12" s="1"/>
  <c r="Q307" i="12" a="1"/>
  <c r="Q307" i="12" s="1"/>
  <c r="S307" i="12" s="1"/>
  <c r="Q302" i="12" a="1"/>
  <c r="Q302" i="12" s="1"/>
  <c r="Q300" i="12" a="1"/>
  <c r="Q300" i="12" s="1"/>
  <c r="S300" i="12" s="1"/>
  <c r="Q298" i="12" a="1"/>
  <c r="Q298" i="12" s="1"/>
  <c r="S298" i="12" s="1"/>
  <c r="Q296" i="12" a="1"/>
  <c r="Q296" i="12" s="1"/>
  <c r="Q284" i="12" a="1"/>
  <c r="Q284" i="12" s="1"/>
  <c r="S284" i="12" s="1"/>
  <c r="Q280" i="12" a="1"/>
  <c r="Q280" i="12" s="1"/>
  <c r="S280" i="12" s="1"/>
  <c r="Q276" i="12" a="1"/>
  <c r="Q276" i="12" s="1"/>
  <c r="Q271" i="12" a="1"/>
  <c r="Q271" i="12" s="1"/>
  <c r="S271" i="12" s="1"/>
  <c r="Q267" i="12" a="1"/>
  <c r="Q267" i="12" s="1"/>
  <c r="S267" i="12" s="1"/>
  <c r="Q259" i="12" a="1"/>
  <c r="Q259" i="12" s="1"/>
  <c r="S259" i="12" s="1"/>
  <c r="Q256" i="12" a="1"/>
  <c r="Q256" i="12" s="1"/>
  <c r="S256" i="12" s="1"/>
  <c r="P247" i="12" a="1"/>
  <c r="P247" i="12" s="1"/>
  <c r="O244" i="12" a="1"/>
  <c r="O244" i="12" s="1"/>
  <c r="R244" i="12" s="1"/>
  <c r="Q214" i="12" a="1"/>
  <c r="Q214" i="12" s="1"/>
  <c r="S214" i="12" s="1"/>
  <c r="Q209" i="12" a="1"/>
  <c r="Q209" i="12" s="1"/>
  <c r="S209" i="12" s="1"/>
  <c r="Q205" i="12" a="1"/>
  <c r="Q205" i="12" s="1"/>
  <c r="S205" i="12" s="1"/>
  <c r="Q201" i="12" a="1"/>
  <c r="Q201" i="12" s="1"/>
  <c r="P178" i="12" a="1"/>
  <c r="P178" i="12" s="1"/>
  <c r="P175" i="12" a="1"/>
  <c r="P175" i="12" s="1"/>
  <c r="Q160" i="12" a="1"/>
  <c r="Q160" i="12" s="1"/>
  <c r="Q147" i="12" a="1"/>
  <c r="Q147" i="12" s="1"/>
  <c r="S147" i="12" s="1"/>
  <c r="Q138" i="12" a="1"/>
  <c r="Q138" i="12" s="1"/>
  <c r="S138" i="12" s="1"/>
  <c r="Q128" i="12" a="1"/>
  <c r="Q128" i="12" s="1"/>
  <c r="Q114" i="12" a="1"/>
  <c r="Q114" i="12" s="1"/>
  <c r="S114" i="12" s="1"/>
  <c r="Q104" i="12" a="1"/>
  <c r="Q104" i="12" s="1"/>
  <c r="S104" i="12" s="1"/>
  <c r="Q100" i="12" a="1"/>
  <c r="Q100" i="12" s="1"/>
  <c r="S100" i="12" s="1"/>
  <c r="Q80" i="12" a="1"/>
  <c r="Q80" i="12" s="1"/>
  <c r="S80" i="12" s="1"/>
  <c r="Q71" i="12" a="1"/>
  <c r="Q71" i="12" s="1"/>
  <c r="AL460" i="12" a="1"/>
  <c r="AL460" i="12" s="1"/>
  <c r="AN460" i="12" s="1"/>
  <c r="AO460" i="12" s="1"/>
  <c r="AL456" i="12" a="1"/>
  <c r="AL456" i="12" s="1"/>
  <c r="AO456" i="12" s="1"/>
  <c r="AL448" i="12" a="1"/>
  <c r="AL448" i="12" s="1"/>
  <c r="AN448" i="12" s="1"/>
  <c r="AO448" i="12" s="1"/>
  <c r="O312" i="12" a="1"/>
  <c r="O312" i="12" s="1"/>
  <c r="P312" i="12" s="1"/>
  <c r="O307" i="12" a="1"/>
  <c r="O307" i="12" s="1"/>
  <c r="R307" i="12" s="1"/>
  <c r="O302" i="12" a="1"/>
  <c r="O302" i="12" s="1"/>
  <c r="P302" i="12" s="1"/>
  <c r="O300" i="12" a="1"/>
  <c r="O300" i="12" s="1"/>
  <c r="R300" i="12" s="1"/>
  <c r="O298" i="12" a="1"/>
  <c r="O298" i="12" s="1"/>
  <c r="O296" i="12" a="1"/>
  <c r="O296" i="12" s="1"/>
  <c r="Q262" i="12" a="1"/>
  <c r="Q262" i="12" s="1"/>
  <c r="S262" i="12" s="1"/>
  <c r="O247" i="12" a="1"/>
  <c r="O247" i="12" s="1"/>
  <c r="R247" i="12" s="1"/>
  <c r="Q225" i="12" a="1"/>
  <c r="Q225" i="12" s="1"/>
  <c r="S225" i="12" s="1"/>
  <c r="Q221" i="12" a="1"/>
  <c r="Q221" i="12" s="1"/>
  <c r="P191" i="12" a="1"/>
  <c r="P191" i="12" s="1"/>
  <c r="Q181" i="12" a="1"/>
  <c r="Q181" i="12" s="1"/>
  <c r="S181" i="12" s="1"/>
  <c r="O178" i="12" a="1"/>
  <c r="O178" i="12" s="1"/>
  <c r="R178" i="12" s="1"/>
  <c r="O175" i="12" a="1"/>
  <c r="O175" i="12" s="1"/>
  <c r="R175" i="12" s="1"/>
  <c r="Q150" i="12" a="1"/>
  <c r="Q150" i="12" s="1"/>
  <c r="S150" i="12" s="1"/>
  <c r="Q144" i="12" a="1"/>
  <c r="Q144" i="12" s="1"/>
  <c r="S144" i="12" s="1"/>
  <c r="Q141" i="12" a="1"/>
  <c r="Q141" i="12" s="1"/>
  <c r="S141" i="12" s="1"/>
  <c r="Q130" i="12" a="1"/>
  <c r="Q130" i="12" s="1"/>
  <c r="S130" i="12" s="1"/>
  <c r="Q124" i="12" a="1"/>
  <c r="Q124" i="12" s="1"/>
  <c r="S124" i="12" s="1"/>
  <c r="Q120" i="12" a="1"/>
  <c r="Q120" i="12" s="1"/>
  <c r="S120" i="12" s="1"/>
  <c r="O104" i="12" a="1"/>
  <c r="O104" i="12" s="1"/>
  <c r="P104" i="12" s="1"/>
  <c r="O100" i="12" a="1"/>
  <c r="O100" i="12" s="1"/>
  <c r="AL493" i="12" a="1"/>
  <c r="AL493" i="12" s="1"/>
  <c r="AN493" i="12" s="1"/>
  <c r="AO493" i="12" s="1"/>
  <c r="AL420" i="12" a="1"/>
  <c r="AL420" i="12" s="1"/>
  <c r="AN420" i="12" s="1"/>
  <c r="AO420" i="12" s="1"/>
  <c r="Q393" i="12" a="1"/>
  <c r="Q393" i="12" s="1"/>
  <c r="Q389" i="12" a="1"/>
  <c r="Q389" i="12" s="1"/>
  <c r="Q385" i="12" a="1"/>
  <c r="Q385" i="12" s="1"/>
  <c r="Q381" i="12" a="1"/>
  <c r="Q381" i="12" s="1"/>
  <c r="Q376" i="12" a="1"/>
  <c r="Q376" i="12" s="1"/>
  <c r="Q372" i="12" a="1"/>
  <c r="Q372" i="12" s="1"/>
  <c r="Q368" i="12" a="1"/>
  <c r="Q368" i="12" s="1"/>
  <c r="Q360" i="12" a="1"/>
  <c r="Q360" i="12" s="1"/>
  <c r="Q346" i="12" a="1"/>
  <c r="Q346" i="12" s="1"/>
  <c r="S346" i="12" s="1"/>
  <c r="Q342" i="12" a="1"/>
  <c r="Q342" i="12" s="1"/>
  <c r="S342" i="12" s="1"/>
  <c r="Q338" i="12" a="1"/>
  <c r="Q338" i="12" s="1"/>
  <c r="S338" i="12" s="1"/>
  <c r="Q333" i="12" a="1"/>
  <c r="Q333" i="12" s="1"/>
  <c r="S333" i="12" s="1"/>
  <c r="Q328" i="12" a="1"/>
  <c r="Q328" i="12" s="1"/>
  <c r="S328" i="12" s="1"/>
  <c r="Q324" i="12" a="1"/>
  <c r="Q324" i="12" s="1"/>
  <c r="S324" i="12" s="1"/>
  <c r="Q320" i="12" a="1"/>
  <c r="Q320" i="12" s="1"/>
  <c r="S320" i="12" s="1"/>
  <c r="Q283" i="12" a="1"/>
  <c r="Q283" i="12" s="1"/>
  <c r="S283" i="12" s="1"/>
  <c r="Q279" i="12" a="1"/>
  <c r="Q279" i="12" s="1"/>
  <c r="S279" i="12" s="1"/>
  <c r="Q275" i="12" a="1"/>
  <c r="Q275" i="12" s="1"/>
  <c r="S275" i="12" s="1"/>
  <c r="Q270" i="12" a="1"/>
  <c r="Q270" i="12" s="1"/>
  <c r="Q228" i="12" a="1"/>
  <c r="Q228" i="12" s="1"/>
  <c r="S228" i="12" s="1"/>
  <c r="Q217" i="12" a="1"/>
  <c r="Q217" i="12" s="1"/>
  <c r="AL440" i="12" s="1"/>
  <c r="AO440" i="12" s="1"/>
  <c r="Q213" i="12" a="1"/>
  <c r="Q213" i="12" s="1"/>
  <c r="S213" i="12" s="1"/>
  <c r="Q208" i="12" a="1"/>
  <c r="Q208" i="12" s="1"/>
  <c r="S208" i="12" s="1"/>
  <c r="Q204" i="12" a="1"/>
  <c r="Q204" i="12" s="1"/>
  <c r="S204" i="12" s="1"/>
  <c r="P181" i="12" a="1"/>
  <c r="P181" i="12" s="1"/>
  <c r="Q159" i="12" a="1"/>
  <c r="Q159" i="12" s="1"/>
  <c r="Q156" i="12" a="1"/>
  <c r="Q156" i="12" s="1"/>
  <c r="S156" i="12" s="1"/>
  <c r="Q133" i="12" a="1"/>
  <c r="Q133" i="12" s="1"/>
  <c r="S133" i="12" s="1"/>
  <c r="Q127" i="12" a="1"/>
  <c r="Q127" i="12" s="1"/>
  <c r="Q116" i="12" a="1"/>
  <c r="Q116" i="12" s="1"/>
  <c r="S116" i="12" s="1"/>
  <c r="Q113" i="12" a="1"/>
  <c r="Q113" i="12" s="1"/>
  <c r="S113" i="12" s="1"/>
  <c r="Q102" i="12" a="1"/>
  <c r="Q102" i="12" s="1"/>
  <c r="S102" i="12" s="1"/>
  <c r="Q96" i="12" a="1"/>
  <c r="Q96" i="12" s="1"/>
  <c r="S96" i="12" s="1"/>
  <c r="AL469" i="12" a="1"/>
  <c r="AL469" i="12" s="1"/>
  <c r="AN469" i="12" s="1"/>
  <c r="AO469" i="12" s="1"/>
  <c r="AL459" i="12" a="1"/>
  <c r="AL459" i="12" s="1"/>
  <c r="AN459" i="12" s="1"/>
  <c r="AO459" i="12" s="1"/>
  <c r="AL455" i="12" a="1"/>
  <c r="AL455" i="12" s="1"/>
  <c r="AN455" i="12" s="1"/>
  <c r="AO455" i="12" s="1"/>
  <c r="O360" i="12" a="1"/>
  <c r="O360" i="12" s="1"/>
  <c r="Q261" i="12" a="1"/>
  <c r="Q261" i="12" s="1"/>
  <c r="S261" i="12" s="1"/>
  <c r="Q258" i="12" a="1"/>
  <c r="Q258" i="12" s="1"/>
  <c r="S258" i="12" s="1"/>
  <c r="Q255" i="12" a="1"/>
  <c r="Q255" i="12" s="1"/>
  <c r="S255" i="12" s="1"/>
  <c r="Q224" i="12" a="1"/>
  <c r="Q224" i="12" s="1"/>
  <c r="Q220" i="12" a="1"/>
  <c r="Q220" i="12" s="1"/>
  <c r="S220" i="12" s="1"/>
  <c r="Q200" i="12" a="1"/>
  <c r="Q200" i="12" s="1"/>
  <c r="S200" i="12" s="1"/>
  <c r="S188" i="12"/>
  <c r="O181" i="12" a="1"/>
  <c r="O181" i="12" s="1"/>
  <c r="R181" i="12" s="1"/>
  <c r="Q162" i="12" a="1"/>
  <c r="Q162" i="12" s="1"/>
  <c r="Q146" i="12" a="1"/>
  <c r="Q146" i="12" s="1"/>
  <c r="Q143" i="12" a="1"/>
  <c r="Q143" i="12" s="1"/>
  <c r="S143" i="12" s="1"/>
  <c r="Q140" i="12" a="1"/>
  <c r="Q140" i="12" s="1"/>
  <c r="S140" i="12" s="1"/>
  <c r="Q137" i="12" a="1"/>
  <c r="Q137" i="12" s="1"/>
  <c r="S137" i="12" s="1"/>
  <c r="Q123" i="12" a="1"/>
  <c r="Q123" i="12" s="1"/>
  <c r="Q119" i="12" a="1"/>
  <c r="Q119" i="12" s="1"/>
  <c r="S119" i="12" s="1"/>
  <c r="O102" i="12" a="1"/>
  <c r="O102" i="12" s="1"/>
  <c r="P102" i="12" s="1"/>
  <c r="AL492" i="12" a="1"/>
  <c r="AL492" i="12" s="1"/>
  <c r="AN492" i="12" s="1"/>
  <c r="AO492" i="12" s="1"/>
  <c r="Q392" i="12" a="1"/>
  <c r="Q392" i="12" s="1"/>
  <c r="Q388" i="12" a="1"/>
  <c r="Q388" i="12" s="1"/>
  <c r="Q384" i="12" a="1"/>
  <c r="Q384" i="12" s="1"/>
  <c r="Q380" i="12" a="1"/>
  <c r="Q380" i="12" s="1"/>
  <c r="Q375" i="12" a="1"/>
  <c r="Q375" i="12" s="1"/>
  <c r="Q371" i="12" a="1"/>
  <c r="Q371" i="12" s="1"/>
  <c r="Q367" i="12" a="1"/>
  <c r="Q367" i="12" s="1"/>
  <c r="Q345" i="12" a="1"/>
  <c r="Q345" i="12" s="1"/>
  <c r="Q341" i="12" a="1"/>
  <c r="Q341" i="12" s="1"/>
  <c r="S341" i="12" s="1"/>
  <c r="Q336" i="12" a="1"/>
  <c r="Q336" i="12" s="1"/>
  <c r="S336" i="12" s="1"/>
  <c r="Q332" i="12" a="1"/>
  <c r="Q332" i="12" s="1"/>
  <c r="S332" i="12" s="1"/>
  <c r="Q327" i="12" a="1"/>
  <c r="Q327" i="12" s="1"/>
  <c r="S327" i="12" s="1"/>
  <c r="Q323" i="12" a="1"/>
  <c r="Q323" i="12" s="1"/>
  <c r="Q319" i="12" a="1"/>
  <c r="Q319" i="12" s="1"/>
  <c r="S319" i="12" s="1"/>
  <c r="Q308" i="12" a="1"/>
  <c r="Q308" i="12" s="1"/>
  <c r="S308" i="12" s="1"/>
  <c r="Q303" i="12" a="1"/>
  <c r="Q303" i="12" s="1"/>
  <c r="S303" i="12" s="1"/>
  <c r="Q301" i="12" a="1"/>
  <c r="Q301" i="12" s="1"/>
  <c r="S301" i="12" s="1"/>
  <c r="Q299" i="12" a="1"/>
  <c r="Q299" i="12" s="1"/>
  <c r="S299" i="12" s="1"/>
  <c r="Q297" i="12" a="1"/>
  <c r="Q297" i="12" s="1"/>
  <c r="S297" i="12" s="1"/>
  <c r="Q295" i="12" a="1"/>
  <c r="Q295" i="12" s="1"/>
  <c r="S295" i="12" s="1"/>
  <c r="Q282" i="12" a="1"/>
  <c r="Q282" i="12" s="1"/>
  <c r="S282" i="12" s="1"/>
  <c r="Q278" i="12" a="1"/>
  <c r="Q278" i="12" s="1"/>
  <c r="S278" i="12" s="1"/>
  <c r="Q274" i="12" a="1"/>
  <c r="Q274" i="12" s="1"/>
  <c r="Q269" i="12" a="1"/>
  <c r="Q269" i="12" s="1"/>
  <c r="S269" i="12" s="1"/>
  <c r="Q264" i="12" a="1"/>
  <c r="Q264" i="12" s="1"/>
  <c r="S264" i="12" s="1"/>
  <c r="Q241" i="12" a="1"/>
  <c r="Q241" i="12" s="1"/>
  <c r="S241" i="12" s="1"/>
  <c r="Q227" i="12" a="1"/>
  <c r="Q227" i="12" s="1"/>
  <c r="S227" i="12" s="1"/>
  <c r="Q216" i="12" a="1"/>
  <c r="Q216" i="12" s="1"/>
  <c r="Q212" i="12" a="1"/>
  <c r="Q212" i="12" s="1"/>
  <c r="S212" i="12" s="1"/>
  <c r="Q207" i="12" a="1"/>
  <c r="Q207" i="12" s="1"/>
  <c r="S207" i="12" s="1"/>
  <c r="Q203" i="12" a="1"/>
  <c r="Q203" i="12" s="1"/>
  <c r="S203" i="12" s="1"/>
  <c r="P188" i="12" a="1"/>
  <c r="P188" i="12" s="1"/>
  <c r="Q158" i="12" a="1"/>
  <c r="Q158" i="12" s="1"/>
  <c r="AL476" i="12" s="1"/>
  <c r="AO476" i="12" s="1"/>
  <c r="Q152" i="12" a="1"/>
  <c r="Q152" i="12" s="1"/>
  <c r="S152" i="12" s="1"/>
  <c r="Q149" i="12" a="1"/>
  <c r="Q149" i="12" s="1"/>
  <c r="Q129" i="12" a="1"/>
  <c r="Q129" i="12" s="1"/>
  <c r="S129" i="12" s="1"/>
  <c r="Q126" i="12" a="1"/>
  <c r="Q126" i="12" s="1"/>
  <c r="S126" i="12" s="1"/>
  <c r="AL462" i="12" a="1"/>
  <c r="AL462" i="12" s="1"/>
  <c r="AL458" i="12" a="1"/>
  <c r="AL458" i="12" s="1"/>
  <c r="AN458" i="12" s="1"/>
  <c r="AO458" i="12" s="1"/>
  <c r="AL454" i="12" a="1"/>
  <c r="AL454" i="12" s="1"/>
  <c r="AN454" i="12" s="1"/>
  <c r="AO454" i="12" s="1"/>
  <c r="O308" i="12" a="1"/>
  <c r="O308" i="12" s="1"/>
  <c r="R308" i="12" s="1"/>
  <c r="O303" i="12" a="1"/>
  <c r="O303" i="12" s="1"/>
  <c r="P303" i="12" s="1"/>
  <c r="O301" i="12" a="1"/>
  <c r="O301" i="12" s="1"/>
  <c r="P301" i="12" s="1"/>
  <c r="O299" i="12" a="1"/>
  <c r="O299" i="12" s="1"/>
  <c r="R299" i="12" s="1"/>
  <c r="O297" i="12" a="1"/>
  <c r="O297" i="12" s="1"/>
  <c r="R297" i="12" s="1"/>
  <c r="O295" i="12" a="1"/>
  <c r="O295" i="12" s="1"/>
  <c r="R295" i="12" s="1"/>
  <c r="Q254" i="12" a="1"/>
  <c r="Q254" i="12" s="1"/>
  <c r="S254" i="12" s="1"/>
  <c r="P241" i="12" a="1"/>
  <c r="P241" i="12" s="1"/>
  <c r="Q223" i="12" a="1"/>
  <c r="Q223" i="12" s="1"/>
  <c r="Q219" i="12" a="1"/>
  <c r="Q219" i="12" s="1"/>
  <c r="S219" i="12" s="1"/>
  <c r="Q199" i="12" a="1"/>
  <c r="Q199" i="12" s="1"/>
  <c r="S199" i="12" s="1"/>
  <c r="Q172" i="12" a="1"/>
  <c r="Q172" i="12" s="1"/>
  <c r="S172" i="12" s="1"/>
  <c r="Q161" i="12" a="1"/>
  <c r="Q161" i="12" s="1"/>
  <c r="S161" i="12" s="1"/>
  <c r="Q142" i="12" a="1"/>
  <c r="Q142" i="12" s="1"/>
  <c r="S142" i="12" s="1"/>
  <c r="Q139" i="12" a="1"/>
  <c r="Q139" i="12" s="1"/>
  <c r="S139" i="12" s="1"/>
  <c r="Q136" i="12" a="1"/>
  <c r="Q136" i="12" s="1"/>
  <c r="S136" i="12" s="1"/>
  <c r="Q132" i="12" a="1"/>
  <c r="Q132" i="12" s="1"/>
  <c r="S132" i="12" s="1"/>
  <c r="Q118" i="12" a="1"/>
  <c r="Q118" i="12" s="1"/>
  <c r="S118" i="12" s="1"/>
  <c r="Q115" i="12" a="1"/>
  <c r="Q115" i="12" s="1"/>
  <c r="S115" i="12" s="1"/>
  <c r="Q103" i="12" a="1"/>
  <c r="Q103" i="12" s="1"/>
  <c r="S103" i="12" s="1"/>
  <c r="Q99" i="12" a="1"/>
  <c r="Q99" i="12" s="1"/>
  <c r="AL491" i="12" a="1"/>
  <c r="AL491" i="12" s="1"/>
  <c r="AN491" i="12" s="1"/>
  <c r="AO491" i="12" s="1"/>
  <c r="Q391" i="12" a="1"/>
  <c r="Q391" i="12" s="1"/>
  <c r="Q387" i="12" a="1"/>
  <c r="Q387" i="12" s="1"/>
  <c r="Q383" i="12" a="1"/>
  <c r="Q383" i="12" s="1"/>
  <c r="Q379" i="12" a="1"/>
  <c r="Q379" i="12" s="1"/>
  <c r="Q374" i="12" a="1"/>
  <c r="Q374" i="12" s="1"/>
  <c r="Q370" i="12" a="1"/>
  <c r="Q370" i="12" s="1"/>
  <c r="Q366" i="12" a="1"/>
  <c r="Q366" i="12" s="1"/>
  <c r="Q348" i="12" a="1"/>
  <c r="Q348" i="12" s="1"/>
  <c r="S348" i="12" s="1"/>
  <c r="Q344" i="12" a="1"/>
  <c r="Q344" i="12" s="1"/>
  <c r="Q340" i="12" a="1"/>
  <c r="Q340" i="12" s="1"/>
  <c r="S340" i="12" s="1"/>
  <c r="Q335" i="12" a="1"/>
  <c r="Q335" i="12" s="1"/>
  <c r="S335" i="12" s="1"/>
  <c r="Q331" i="12" a="1"/>
  <c r="Q331" i="12" s="1"/>
  <c r="S331" i="12" s="1"/>
  <c r="Q257" i="12" a="1"/>
  <c r="Q257" i="12" s="1"/>
  <c r="S257" i="12" s="1"/>
  <c r="Q211" i="12" a="1"/>
  <c r="Q211" i="12" s="1"/>
  <c r="Q151" i="12" a="1"/>
  <c r="Q151" i="12" s="1"/>
  <c r="S151" i="12" s="1"/>
  <c r="Q125" i="12" a="1"/>
  <c r="Q125" i="12" s="1"/>
  <c r="S125" i="12" s="1"/>
  <c r="Q112" i="12" a="1"/>
  <c r="Q112" i="12" s="1"/>
  <c r="S112" i="12" s="1"/>
  <c r="Q94" i="12" a="1"/>
  <c r="Q94" i="12" s="1"/>
  <c r="Q51" i="12" a="1"/>
  <c r="Q51" i="12" s="1"/>
  <c r="S51" i="12" s="1"/>
  <c r="Q45" i="12" a="1"/>
  <c r="Q45" i="12" s="1"/>
  <c r="S45" i="12" s="1"/>
  <c r="Q42" i="12" a="1"/>
  <c r="Q42" i="12" s="1"/>
  <c r="Q35" i="12" a="1"/>
  <c r="Q35" i="12" s="1"/>
  <c r="S35" i="12" s="1"/>
  <c r="O19" i="12" a="1"/>
  <c r="O19" i="12" s="1"/>
  <c r="Q326" i="12" a="1"/>
  <c r="Q326" i="12" s="1"/>
  <c r="S326" i="12" s="1"/>
  <c r="Q206" i="12" a="1"/>
  <c r="Q206" i="12" s="1"/>
  <c r="Q175" i="12" a="1"/>
  <c r="Q175" i="12" s="1"/>
  <c r="O94" i="12" a="1"/>
  <c r="O94" i="12" s="1"/>
  <c r="R94" i="12" s="1"/>
  <c r="Q69" i="12" a="1"/>
  <c r="Q69" i="12" s="1"/>
  <c r="S69" i="12" s="1"/>
  <c r="Q66" i="12" a="1"/>
  <c r="Q66" i="12" s="1"/>
  <c r="S66" i="12" s="1"/>
  <c r="Q63" i="12" a="1"/>
  <c r="Q63" i="12" s="1"/>
  <c r="S63" i="12" s="1"/>
  <c r="Q53" i="12" a="1"/>
  <c r="Q53" i="12" s="1"/>
  <c r="S53" i="12" s="1"/>
  <c r="Q38" i="12" a="1"/>
  <c r="Q38" i="12" s="1"/>
  <c r="S38" i="12" s="1"/>
  <c r="Q32" i="12" a="1"/>
  <c r="Q32" i="12" s="1"/>
  <c r="S32" i="12" s="1"/>
  <c r="Q22" i="12" a="1"/>
  <c r="Q22" i="12" s="1"/>
  <c r="S22" i="12" s="1"/>
  <c r="Q7" i="12" a="1"/>
  <c r="Q7" i="12" s="1"/>
  <c r="S7" i="12" s="1"/>
  <c r="Q322" i="12" a="1"/>
  <c r="Q322" i="12" s="1"/>
  <c r="S322" i="12" s="1"/>
  <c r="Q281" i="12" a="1"/>
  <c r="Q281" i="12" s="1"/>
  <c r="S281" i="12" s="1"/>
  <c r="Q244" i="12" a="1"/>
  <c r="Q244" i="12" s="1"/>
  <c r="S245" i="12" s="1"/>
  <c r="Q202" i="12" a="1"/>
  <c r="Q202" i="12" s="1"/>
  <c r="S202" i="12" s="1"/>
  <c r="P172" i="12" a="1"/>
  <c r="P172" i="12" s="1"/>
  <c r="Q148" i="12" a="1"/>
  <c r="Q148" i="12" s="1"/>
  <c r="S148" i="12" s="1"/>
  <c r="Q121" i="12" a="1"/>
  <c r="Q121" i="12" s="1"/>
  <c r="S121" i="12" s="1"/>
  <c r="O99" i="12" a="1"/>
  <c r="O99" i="12" s="1"/>
  <c r="P99" i="12" s="1"/>
  <c r="Q76" i="12" a="1"/>
  <c r="Q76" i="12" s="1"/>
  <c r="AL472" i="12" s="1"/>
  <c r="AO472" i="12" s="1"/>
  <c r="Q60" i="12" a="1"/>
  <c r="Q60" i="12" s="1"/>
  <c r="S60" i="12" s="1"/>
  <c r="Q57" i="12" a="1"/>
  <c r="Q57" i="12" s="1"/>
  <c r="S57" i="12" s="1"/>
  <c r="Q15" i="12" a="1"/>
  <c r="Q15" i="12" s="1"/>
  <c r="S15" i="12" s="1"/>
  <c r="Q10" i="12" a="1"/>
  <c r="Q10" i="12" s="1"/>
  <c r="S10" i="12" s="1"/>
  <c r="O7" i="12" a="1"/>
  <c r="O7" i="12" s="1"/>
  <c r="R7" i="12" s="1"/>
  <c r="O10" i="12" a="1"/>
  <c r="O10" i="12" s="1"/>
  <c r="P10" i="12" s="1"/>
  <c r="Q318" i="12" a="1"/>
  <c r="Q318" i="12" s="1"/>
  <c r="S318" i="12" s="1"/>
  <c r="Q277" i="12" a="1"/>
  <c r="Q277" i="12" s="1"/>
  <c r="S277" i="12" s="1"/>
  <c r="O241" i="12" a="1"/>
  <c r="O241" i="12" s="1"/>
  <c r="R241" i="12" s="1"/>
  <c r="O172" i="12" a="1"/>
  <c r="O172" i="12" s="1"/>
  <c r="R172" i="12" s="1"/>
  <c r="Q134" i="12" a="1"/>
  <c r="Q134" i="12" s="1"/>
  <c r="S134" i="12" s="1"/>
  <c r="Q79" i="12" a="1"/>
  <c r="Q79" i="12" s="1"/>
  <c r="S79" i="12" s="1"/>
  <c r="Q75" i="12" a="1"/>
  <c r="Q75" i="12" s="1"/>
  <c r="Q65" i="12" a="1"/>
  <c r="Q65" i="12" s="1"/>
  <c r="Q50" i="12" a="1"/>
  <c r="Q50" i="12" s="1"/>
  <c r="S50" i="12" s="1"/>
  <c r="Q47" i="12" a="1"/>
  <c r="Q47" i="12" s="1"/>
  <c r="S47" i="12" s="1"/>
  <c r="Q44" i="12" a="1"/>
  <c r="Q44" i="12" s="1"/>
  <c r="S44" i="12" s="1"/>
  <c r="Q40" i="12" a="1"/>
  <c r="Q40" i="12" s="1"/>
  <c r="S40" i="12" s="1"/>
  <c r="Q37" i="12" a="1"/>
  <c r="Q37" i="12" s="1"/>
  <c r="S37" i="12" s="1"/>
  <c r="Q31" i="12" a="1"/>
  <c r="Q31" i="12" s="1"/>
  <c r="S31" i="12" s="1"/>
  <c r="Q8" i="12" a="1"/>
  <c r="Q8" i="12" s="1"/>
  <c r="S8" i="12" s="1"/>
  <c r="Q272" i="12" a="1"/>
  <c r="Q272" i="12" s="1"/>
  <c r="S272" i="12" s="1"/>
  <c r="Q226" i="12" a="1"/>
  <c r="Q226" i="12" s="1"/>
  <c r="S226" i="12" s="1"/>
  <c r="O103" i="12" a="1"/>
  <c r="O103" i="12" s="1"/>
  <c r="P103" i="12" s="1"/>
  <c r="O96" i="12" a="1"/>
  <c r="O96" i="12" s="1"/>
  <c r="Q93" i="12" a="1"/>
  <c r="Q93" i="12" s="1"/>
  <c r="Q68" i="12" a="1"/>
  <c r="Q68" i="12" s="1"/>
  <c r="S68" i="12" s="1"/>
  <c r="Q62" i="12" a="1"/>
  <c r="Q62" i="12" s="1"/>
  <c r="S62" i="12" s="1"/>
  <c r="Q59" i="12" a="1"/>
  <c r="Q59" i="12" s="1"/>
  <c r="S59" i="12" s="1"/>
  <c r="Q52" i="12" a="1"/>
  <c r="Q52" i="12" s="1"/>
  <c r="S52" i="12" s="1"/>
  <c r="Q34" i="12" a="1"/>
  <c r="Q34" i="12" s="1"/>
  <c r="S34" i="12" s="1"/>
  <c r="Q21" i="12" a="1"/>
  <c r="Q21" i="12" s="1"/>
  <c r="S21" i="12" s="1"/>
  <c r="Q17" i="12" a="1"/>
  <c r="Q17" i="12" s="1"/>
  <c r="S17" i="12" s="1"/>
  <c r="O15" i="12" a="1"/>
  <c r="O15" i="12" s="1"/>
  <c r="R15" i="12" s="1"/>
  <c r="Q268" i="12" a="1"/>
  <c r="Q268" i="12" s="1"/>
  <c r="S268" i="12" s="1"/>
  <c r="Q184" i="12" a="1"/>
  <c r="Q184" i="12" s="1"/>
  <c r="S184" i="12" s="1"/>
  <c r="Q145" i="12" a="1"/>
  <c r="Q145" i="12" s="1"/>
  <c r="S145" i="12" s="1"/>
  <c r="Q131" i="12" a="1"/>
  <c r="Q131" i="12" s="1"/>
  <c r="S131" i="12" s="1"/>
  <c r="Q117" i="12" a="1"/>
  <c r="Q117" i="12" s="1"/>
  <c r="S117" i="12" s="1"/>
  <c r="Q82" i="12" a="1"/>
  <c r="Q82" i="12" s="1"/>
  <c r="Q78" i="12" a="1"/>
  <c r="Q78" i="12" s="1"/>
  <c r="AL470" i="12" s="1"/>
  <c r="Q56" i="12" a="1"/>
  <c r="Q56" i="12" s="1"/>
  <c r="S56" i="12" s="1"/>
  <c r="Q49" i="12" a="1"/>
  <c r="Q49" i="12" s="1"/>
  <c r="Q46" i="12" a="1"/>
  <c r="Q46" i="12" s="1"/>
  <c r="S46" i="12" s="1"/>
  <c r="Q36" i="12" a="1"/>
  <c r="Q36" i="12" s="1"/>
  <c r="S36" i="12" s="1"/>
  <c r="O17" i="12" a="1"/>
  <c r="O17" i="12" s="1"/>
  <c r="R17" i="12" s="1"/>
  <c r="O11" i="12" a="1"/>
  <c r="O11" i="12" s="1"/>
  <c r="P11" i="12" s="1"/>
  <c r="Q95" i="12" a="1"/>
  <c r="Q95" i="12" s="1"/>
  <c r="S95" i="12" s="1"/>
  <c r="Q70" i="12" a="1"/>
  <c r="Q70" i="12" s="1"/>
  <c r="S70" i="12" s="1"/>
  <c r="Q43" i="12" a="1"/>
  <c r="Q43" i="12" s="1"/>
  <c r="S43" i="12" s="1"/>
  <c r="Q39" i="12" a="1"/>
  <c r="Q39" i="12" s="1"/>
  <c r="S39" i="12" s="1"/>
  <c r="Q9" i="12" a="1"/>
  <c r="Q9" i="12" s="1"/>
  <c r="S9" i="12" s="1"/>
  <c r="Q6" i="12" a="1"/>
  <c r="Q6" i="12" s="1"/>
  <c r="S6" i="12" s="1"/>
  <c r="Q33" i="12" a="1"/>
  <c r="Q33" i="12" s="1"/>
  <c r="S33" i="12" s="1"/>
  <c r="Q19" i="12" a="1"/>
  <c r="Q19" i="12" s="1"/>
  <c r="S19" i="12" s="1"/>
  <c r="Q12" i="12" a="1"/>
  <c r="Q12" i="12" s="1"/>
  <c r="S12" i="12" s="1"/>
  <c r="O12" i="12" a="1"/>
  <c r="O12" i="12" s="1"/>
  <c r="P12" i="12" s="1"/>
  <c r="Q260" i="12" a="1"/>
  <c r="Q260" i="12" s="1"/>
  <c r="S260" i="12" s="1"/>
  <c r="Q215" i="12" a="1"/>
  <c r="Q215" i="12" s="1"/>
  <c r="S215" i="12" s="1"/>
  <c r="Q178" i="12" a="1"/>
  <c r="Q178" i="12" s="1"/>
  <c r="Q157" i="12" a="1"/>
  <c r="Q157" i="12" s="1"/>
  <c r="AL475" i="12" s="1"/>
  <c r="AO475" i="12" s="1"/>
  <c r="O95" i="12" a="1"/>
  <c r="O95" i="12" s="1"/>
  <c r="R95" i="12" s="1"/>
  <c r="Q81" i="12" a="1"/>
  <c r="Q81" i="12" s="1"/>
  <c r="S81" i="12" s="1"/>
  <c r="Q77" i="12" a="1"/>
  <c r="Q77" i="12" s="1"/>
  <c r="AL473" i="12" s="1"/>
  <c r="AO473" i="12" s="1"/>
  <c r="Q67" i="12" a="1"/>
  <c r="Q67" i="12" s="1"/>
  <c r="S67" i="12" s="1"/>
  <c r="Q64" i="12" a="1"/>
  <c r="Q64" i="12" s="1"/>
  <c r="S64" i="12" s="1"/>
  <c r="Q61" i="12" a="1"/>
  <c r="Q61" i="12" s="1"/>
  <c r="S61" i="12" s="1"/>
  <c r="Q58" i="12" a="1"/>
  <c r="Q58" i="12" s="1"/>
  <c r="S58" i="12" s="1"/>
  <c r="Q55" i="12" a="1"/>
  <c r="Q55" i="12" s="1"/>
  <c r="S55" i="12" s="1"/>
  <c r="Q48" i="12" a="1"/>
  <c r="Q48" i="12" s="1"/>
  <c r="S48" i="12" s="1"/>
  <c r="Q23" i="12" a="1"/>
  <c r="Q23" i="12" s="1"/>
  <c r="S23" i="12" s="1"/>
  <c r="O6" i="12" a="1"/>
  <c r="O6" i="12" s="1"/>
  <c r="R6" i="12" s="1"/>
  <c r="O9" i="12" a="1"/>
  <c r="O9" i="12" s="1"/>
  <c r="P9" i="12" s="1"/>
  <c r="Q11" i="12" a="1"/>
  <c r="Q11" i="12" s="1"/>
  <c r="S11" i="12" s="1"/>
  <c r="O8" i="12" a="1"/>
  <c r="O8" i="12" s="1"/>
  <c r="P8" i="12" s="1"/>
  <c r="Q5" i="12" a="1"/>
  <c r="Q5" i="12" s="1"/>
  <c r="AL496" i="12" a="1"/>
  <c r="AL496" i="12" s="1"/>
  <c r="AL494" i="12" a="1"/>
  <c r="AL494" i="12" s="1"/>
  <c r="AO494" i="12" s="1"/>
  <c r="F191" i="12" a="1"/>
  <c r="F191" i="12" s="1"/>
  <c r="Z491" i="12" a="1"/>
  <c r="Z491" i="12" s="1"/>
  <c r="F391" i="12" a="1"/>
  <c r="F391" i="12" s="1"/>
  <c r="F387" i="12" a="1"/>
  <c r="F387" i="12" s="1"/>
  <c r="F383" i="12" a="1"/>
  <c r="F383" i="12" s="1"/>
  <c r="F379" i="12" a="1"/>
  <c r="F379" i="12" s="1"/>
  <c r="F374" i="12" a="1"/>
  <c r="F374" i="12" s="1"/>
  <c r="F370" i="12" a="1"/>
  <c r="F370" i="12" s="1"/>
  <c r="F366" i="12" a="1"/>
  <c r="F366" i="12" s="1"/>
  <c r="F348" i="12" a="1"/>
  <c r="F348" i="12" s="1"/>
  <c r="F344" i="12" a="1"/>
  <c r="F344" i="12" s="1"/>
  <c r="F340" i="12" a="1"/>
  <c r="F340" i="12" s="1"/>
  <c r="F335" i="12" a="1"/>
  <c r="F335" i="12" s="1"/>
  <c r="F331" i="12" a="1"/>
  <c r="F331" i="12" s="1"/>
  <c r="F326" i="12" a="1"/>
  <c r="F326" i="12" s="1"/>
  <c r="F322" i="12" a="1"/>
  <c r="F322" i="12" s="1"/>
  <c r="F318" i="12" a="1"/>
  <c r="F318" i="12" s="1"/>
  <c r="D308" i="12" a="1"/>
  <c r="D308" i="12" s="1"/>
  <c r="D303" i="12" a="1"/>
  <c r="D303" i="12" s="1"/>
  <c r="E303" i="12" s="1"/>
  <c r="D301" i="12" a="1"/>
  <c r="D301" i="12" s="1"/>
  <c r="E301" i="12" s="1"/>
  <c r="D299" i="12" a="1"/>
  <c r="D299" i="12" s="1"/>
  <c r="D297" i="12" a="1"/>
  <c r="D297" i="12" s="1"/>
  <c r="D295" i="12" a="1"/>
  <c r="D295" i="12" s="1"/>
  <c r="F281" i="12" a="1"/>
  <c r="F281" i="12" s="1"/>
  <c r="F277" i="12" a="1"/>
  <c r="F277" i="12" s="1"/>
  <c r="F272" i="12" a="1"/>
  <c r="F272" i="12" s="1"/>
  <c r="F268" i="12" a="1"/>
  <c r="F268" i="12" s="1"/>
  <c r="F260" i="12" a="1"/>
  <c r="F260" i="12" s="1"/>
  <c r="F257" i="12" a="1"/>
  <c r="F257" i="12" s="1"/>
  <c r="F241" i="12" a="1"/>
  <c r="F241" i="12" s="1"/>
  <c r="F215" i="12" a="1"/>
  <c r="F215" i="12" s="1"/>
  <c r="F211" i="12" a="1"/>
  <c r="F211" i="12" s="1"/>
  <c r="F206" i="12" a="1"/>
  <c r="F206" i="12" s="1"/>
  <c r="F202" i="12" a="1"/>
  <c r="F202" i="12" s="1"/>
  <c r="Z461" i="12" a="1"/>
  <c r="Z461" i="12" s="1"/>
  <c r="Z457" i="12" a="1"/>
  <c r="Z457" i="12" s="1"/>
  <c r="Z453" i="12" a="1"/>
  <c r="Z453" i="12" s="1"/>
  <c r="F263" i="12" a="1"/>
  <c r="F263" i="12" s="1"/>
  <c r="E241" i="12" a="1"/>
  <c r="E241" i="12" s="1"/>
  <c r="F226" i="12" a="1"/>
  <c r="F226" i="12" s="1"/>
  <c r="F222" i="12" a="1"/>
  <c r="F222" i="12" s="1"/>
  <c r="F198" i="12" a="1"/>
  <c r="F198" i="12" s="1"/>
  <c r="F184" i="12" a="1"/>
  <c r="F184" i="12" s="1"/>
  <c r="F172" i="12" a="1"/>
  <c r="F172" i="12" s="1"/>
  <c r="F157" i="12" a="1"/>
  <c r="F157" i="12" s="1"/>
  <c r="Z475" i="12" s="1"/>
  <c r="F145" i="12" a="1"/>
  <c r="F145" i="12" s="1"/>
  <c r="F134" i="12" a="1"/>
  <c r="F134" i="12" s="1"/>
  <c r="F131" i="12" a="1"/>
  <c r="F131" i="12" s="1"/>
  <c r="F117" i="12" a="1"/>
  <c r="F117" i="12" s="1"/>
  <c r="D103" i="12" a="1"/>
  <c r="D103" i="12" s="1"/>
  <c r="E103" i="12" s="1"/>
  <c r="F394" i="12" a="1"/>
  <c r="F394" i="12" s="1"/>
  <c r="F390" i="12" a="1"/>
  <c r="F390" i="12" s="1"/>
  <c r="F386" i="12" a="1"/>
  <c r="F386" i="12" s="1"/>
  <c r="F382" i="12" a="1"/>
  <c r="F382" i="12" s="1"/>
  <c r="F378" i="12" a="1"/>
  <c r="F378" i="12" s="1"/>
  <c r="F373" i="12" a="1"/>
  <c r="F373" i="12" s="1"/>
  <c r="F369" i="12" a="1"/>
  <c r="F369" i="12" s="1"/>
  <c r="F365" i="12" a="1"/>
  <c r="F365" i="12" s="1"/>
  <c r="F347" i="12" a="1"/>
  <c r="F347" i="12" s="1"/>
  <c r="F343" i="12" a="1"/>
  <c r="F343" i="12" s="1"/>
  <c r="F339" i="12" a="1"/>
  <c r="F339" i="12" s="1"/>
  <c r="F334" i="12" a="1"/>
  <c r="F334" i="12" s="1"/>
  <c r="F329" i="12" a="1"/>
  <c r="F329" i="12" s="1"/>
  <c r="F325" i="12" a="1"/>
  <c r="F325" i="12" s="1"/>
  <c r="F321" i="12" a="1"/>
  <c r="F321" i="12" s="1"/>
  <c r="F284" i="12" a="1"/>
  <c r="F284" i="12" s="1"/>
  <c r="F280" i="12" a="1"/>
  <c r="F280" i="12" s="1"/>
  <c r="F276" i="12" a="1"/>
  <c r="F276" i="12" s="1"/>
  <c r="F271" i="12" a="1"/>
  <c r="F271" i="12" s="1"/>
  <c r="F267" i="12" a="1"/>
  <c r="F267" i="12" s="1"/>
  <c r="F259" i="12" a="1"/>
  <c r="F259" i="12" s="1"/>
  <c r="F244" i="12" a="1"/>
  <c r="F244" i="12" s="1"/>
  <c r="D241" i="12" a="1"/>
  <c r="D241" i="12" s="1"/>
  <c r="F218" i="12" a="1"/>
  <c r="F218" i="12" s="1"/>
  <c r="F214" i="12" a="1"/>
  <c r="F214" i="12" s="1"/>
  <c r="F209" i="12" a="1"/>
  <c r="F209" i="12" s="1"/>
  <c r="F205" i="12" a="1"/>
  <c r="F205" i="12" s="1"/>
  <c r="E172" i="12" a="1"/>
  <c r="E172" i="12" s="1"/>
  <c r="F160" i="12" a="1"/>
  <c r="F160" i="12" s="1"/>
  <c r="F147" i="12" a="1"/>
  <c r="F147" i="12" s="1"/>
  <c r="F138" i="12" a="1"/>
  <c r="F138" i="12" s="1"/>
  <c r="F128" i="12" a="1"/>
  <c r="F128" i="12" s="1"/>
  <c r="F114" i="12" a="1"/>
  <c r="F114" i="12" s="1"/>
  <c r="D99" i="12" a="1"/>
  <c r="D99" i="12" s="1"/>
  <c r="E99" i="12" s="1"/>
  <c r="F95" i="12" a="1"/>
  <c r="F95" i="12" s="1"/>
  <c r="Z477" i="12" a="1"/>
  <c r="Z477" i="12" s="1"/>
  <c r="Z460" i="12" a="1"/>
  <c r="Z460" i="12" s="1"/>
  <c r="Z456" i="12" a="1"/>
  <c r="Z456" i="12" s="1"/>
  <c r="F312" i="12" a="1"/>
  <c r="F312" i="12" s="1"/>
  <c r="F307" i="12" a="1"/>
  <c r="F307" i="12" s="1"/>
  <c r="F302" i="12" a="1"/>
  <c r="F302" i="12" s="1"/>
  <c r="F300" i="12" a="1"/>
  <c r="F300" i="12" s="1"/>
  <c r="F298" i="12" a="1"/>
  <c r="F298" i="12" s="1"/>
  <c r="F296" i="12" a="1"/>
  <c r="F296" i="12" s="1"/>
  <c r="F262" i="12" a="1"/>
  <c r="F262" i="12" s="1"/>
  <c r="F256" i="12" a="1"/>
  <c r="F256" i="12" s="1"/>
  <c r="F247" i="12" a="1"/>
  <c r="F247" i="12" s="1"/>
  <c r="E244" i="12" a="1"/>
  <c r="E244" i="12" s="1"/>
  <c r="F225" i="12" a="1"/>
  <c r="F225" i="12" s="1"/>
  <c r="F221" i="12" a="1"/>
  <c r="F221" i="12" s="1"/>
  <c r="F201" i="12" a="1"/>
  <c r="F201" i="12" s="1"/>
  <c r="E191" i="12" a="1"/>
  <c r="E191" i="12" s="1"/>
  <c r="F175" i="12" a="1"/>
  <c r="F175" i="12" s="1"/>
  <c r="D172" i="12" a="1"/>
  <c r="D172" i="12" s="1"/>
  <c r="F144" i="12" a="1"/>
  <c r="F144" i="12" s="1"/>
  <c r="F141" i="12" a="1"/>
  <c r="F141" i="12" s="1"/>
  <c r="F130" i="12" a="1"/>
  <c r="F130" i="12" s="1"/>
  <c r="F124" i="12" a="1"/>
  <c r="F124" i="12" s="1"/>
  <c r="F120" i="12" a="1"/>
  <c r="F120" i="12" s="1"/>
  <c r="F104" i="12" a="1"/>
  <c r="F104" i="12" s="1"/>
  <c r="D95" i="12" a="1"/>
  <c r="D95" i="12" s="1"/>
  <c r="F93" i="12" a="1"/>
  <c r="F93" i="12" s="1"/>
  <c r="Z493" i="12" a="1"/>
  <c r="Z493" i="12" s="1"/>
  <c r="Z420" i="12" a="1"/>
  <c r="Z420" i="12" s="1"/>
  <c r="F393" i="12" a="1"/>
  <c r="F393" i="12" s="1"/>
  <c r="F389" i="12" a="1"/>
  <c r="F389" i="12" s="1"/>
  <c r="F385" i="12" a="1"/>
  <c r="F385" i="12" s="1"/>
  <c r="F381" i="12" a="1"/>
  <c r="F381" i="12" s="1"/>
  <c r="F376" i="12" a="1"/>
  <c r="F376" i="12" s="1"/>
  <c r="F372" i="12" a="1"/>
  <c r="F372" i="12" s="1"/>
  <c r="F368" i="12" a="1"/>
  <c r="F368" i="12" s="1"/>
  <c r="F346" i="12" a="1"/>
  <c r="F346" i="12" s="1"/>
  <c r="F342" i="12" a="1"/>
  <c r="F342" i="12" s="1"/>
  <c r="F338" i="12" a="1"/>
  <c r="F338" i="12" s="1"/>
  <c r="F333" i="12" a="1"/>
  <c r="F333" i="12" s="1"/>
  <c r="F328" i="12" a="1"/>
  <c r="F328" i="12" s="1"/>
  <c r="F324" i="12" a="1"/>
  <c r="F324" i="12" s="1"/>
  <c r="F320" i="12" a="1"/>
  <c r="F320" i="12" s="1"/>
  <c r="D312" i="12" a="1"/>
  <c r="D312" i="12" s="1"/>
  <c r="E312" i="12" s="1"/>
  <c r="D307" i="12" a="1"/>
  <c r="D307" i="12" s="1"/>
  <c r="D302" i="12" a="1"/>
  <c r="D302" i="12" s="1"/>
  <c r="E302" i="12" s="1"/>
  <c r="D300" i="12" a="1"/>
  <c r="D300" i="12" s="1"/>
  <c r="D298" i="12" a="1"/>
  <c r="D298" i="12" s="1"/>
  <c r="D296" i="12" a="1"/>
  <c r="D296" i="12" s="1"/>
  <c r="F283" i="12" a="1"/>
  <c r="F283" i="12" s="1"/>
  <c r="F279" i="12" a="1"/>
  <c r="F279" i="12" s="1"/>
  <c r="F275" i="12" a="1"/>
  <c r="F275" i="12" s="1"/>
  <c r="F270" i="12" a="1"/>
  <c r="F270" i="12" s="1"/>
  <c r="E247" i="12" a="1"/>
  <c r="E247" i="12" s="1"/>
  <c r="D244" i="12" a="1"/>
  <c r="D244" i="12" s="1"/>
  <c r="F228" i="12" a="1"/>
  <c r="F228" i="12" s="1"/>
  <c r="F217" i="12" a="1"/>
  <c r="F217" i="12" s="1"/>
  <c r="Z440" i="12" s="1"/>
  <c r="AI440" i="12" s="1"/>
  <c r="F213" i="12" a="1"/>
  <c r="F213" i="12" s="1"/>
  <c r="F208" i="12" a="1"/>
  <c r="F208" i="12" s="1"/>
  <c r="F204" i="12" a="1"/>
  <c r="F204" i="12" s="1"/>
  <c r="F178" i="12" a="1"/>
  <c r="F178" i="12" s="1"/>
  <c r="E175" i="12" a="1"/>
  <c r="E175" i="12" s="1"/>
  <c r="F159" i="12" a="1"/>
  <c r="F159" i="12" s="1"/>
  <c r="F156" i="12" a="1"/>
  <c r="F156" i="12" s="1"/>
  <c r="F150" i="12" a="1"/>
  <c r="F150" i="12" s="1"/>
  <c r="F127" i="12" a="1"/>
  <c r="F127" i="12" s="1"/>
  <c r="F113" i="12" a="1"/>
  <c r="F113" i="12" s="1"/>
  <c r="F100" i="12" a="1"/>
  <c r="F100" i="12" s="1"/>
  <c r="Z469" i="12" a="1"/>
  <c r="Z469" i="12" s="1"/>
  <c r="Z459" i="12" a="1"/>
  <c r="Z459" i="12" s="1"/>
  <c r="Z455" i="12" a="1"/>
  <c r="Z455" i="12" s="1"/>
  <c r="F360" i="12" a="1"/>
  <c r="F360" i="12" s="1"/>
  <c r="F261" i="12" a="1"/>
  <c r="F261" i="12" s="1"/>
  <c r="F255" i="12" a="1"/>
  <c r="F255" i="12" s="1"/>
  <c r="D247" i="12" a="1"/>
  <c r="D247" i="12" s="1"/>
  <c r="F224" i="12" a="1"/>
  <c r="F224" i="12" s="1"/>
  <c r="F220" i="12" a="1"/>
  <c r="F220" i="12" s="1"/>
  <c r="F200" i="12" a="1"/>
  <c r="F200" i="12" s="1"/>
  <c r="F181" i="12" a="1"/>
  <c r="F181" i="12" s="1"/>
  <c r="E178" i="12" a="1"/>
  <c r="E178" i="12" s="1"/>
  <c r="D175" i="12" a="1"/>
  <c r="D175" i="12" s="1"/>
  <c r="F162" i="12" a="1"/>
  <c r="F162" i="12" s="1"/>
  <c r="F143" i="12" a="1"/>
  <c r="F143" i="12" s="1"/>
  <c r="F140" i="12" a="1"/>
  <c r="F140" i="12" s="1"/>
  <c r="F137" i="12" a="1"/>
  <c r="F137" i="12" s="1"/>
  <c r="F133" i="12" a="1"/>
  <c r="F133" i="12" s="1"/>
  <c r="F123" i="12" a="1"/>
  <c r="F123" i="12" s="1"/>
  <c r="F119" i="12" a="1"/>
  <c r="F119" i="12" s="1"/>
  <c r="F116" i="12" a="1"/>
  <c r="F116" i="12" s="1"/>
  <c r="Z492" i="12" a="1"/>
  <c r="Z492" i="12" s="1"/>
  <c r="F392" i="12" a="1"/>
  <c r="F392" i="12" s="1"/>
  <c r="F388" i="12" a="1"/>
  <c r="F388" i="12" s="1"/>
  <c r="F384" i="12" a="1"/>
  <c r="F384" i="12" s="1"/>
  <c r="F380" i="12" a="1"/>
  <c r="F380" i="12" s="1"/>
  <c r="F375" i="12" a="1"/>
  <c r="F375" i="12" s="1"/>
  <c r="F371" i="12" a="1"/>
  <c r="F371" i="12" s="1"/>
  <c r="F367" i="12" a="1"/>
  <c r="F367" i="12" s="1"/>
  <c r="D360" i="12" a="1"/>
  <c r="D360" i="12" s="1"/>
  <c r="D362" i="12" s="1"/>
  <c r="E362" i="12" s="1"/>
  <c r="F345" i="12" a="1"/>
  <c r="F345" i="12" s="1"/>
  <c r="F341" i="12" a="1"/>
  <c r="F341" i="12" s="1"/>
  <c r="F336" i="12" a="1"/>
  <c r="F336" i="12" s="1"/>
  <c r="F332" i="12" a="1"/>
  <c r="F332" i="12" s="1"/>
  <c r="F327" i="12" a="1"/>
  <c r="F327" i="12" s="1"/>
  <c r="F323" i="12" a="1"/>
  <c r="F323" i="12" s="1"/>
  <c r="F319" i="12" a="1"/>
  <c r="F319" i="12" s="1"/>
  <c r="F282" i="12" a="1"/>
  <c r="F282" i="12" s="1"/>
  <c r="F278" i="12" a="1"/>
  <c r="F278" i="12" s="1"/>
  <c r="F274" i="12" a="1"/>
  <c r="F274" i="12" s="1"/>
  <c r="F269" i="12" a="1"/>
  <c r="F269" i="12" s="1"/>
  <c r="F258" i="12" a="1"/>
  <c r="F258" i="12" s="1"/>
  <c r="F227" i="12" a="1"/>
  <c r="F227" i="12" s="1"/>
  <c r="F216" i="12" a="1"/>
  <c r="F216" i="12" s="1"/>
  <c r="F212" i="12" a="1"/>
  <c r="F212" i="12" s="1"/>
  <c r="F207" i="12" a="1"/>
  <c r="F207" i="12" s="1"/>
  <c r="F203" i="12" a="1"/>
  <c r="F203" i="12" s="1"/>
  <c r="F188" i="12" a="1"/>
  <c r="F188" i="12" s="1"/>
  <c r="E181" i="12" a="1"/>
  <c r="E181" i="12" s="1"/>
  <c r="D178" i="12" a="1"/>
  <c r="D178" i="12" s="1"/>
  <c r="F158" i="12" a="1"/>
  <c r="F158" i="12" s="1"/>
  <c r="Z476" i="12" s="1"/>
  <c r="F152" i="12" a="1"/>
  <c r="F152" i="12" s="1"/>
  <c r="F149" i="12" a="1"/>
  <c r="F149" i="12" s="1"/>
  <c r="F146" i="12" a="1"/>
  <c r="F146" i="12" s="1"/>
  <c r="F126" i="12" a="1"/>
  <c r="F126" i="12" s="1"/>
  <c r="F102" i="12" a="1"/>
  <c r="F102" i="12" s="1"/>
  <c r="D96" i="12" a="1"/>
  <c r="D96" i="12" s="1"/>
  <c r="M96" i="12" s="1"/>
  <c r="F94" i="12" a="1"/>
  <c r="F94" i="12" s="1"/>
  <c r="F82" i="12" a="1"/>
  <c r="F82" i="12" s="1"/>
  <c r="F76" i="12" a="1"/>
  <c r="F76" i="12" s="1"/>
  <c r="Z462" i="12" a="1"/>
  <c r="Z462" i="12" s="1"/>
  <c r="Z458" i="12" a="1"/>
  <c r="Z458" i="12" s="1"/>
  <c r="Z454" i="12" a="1"/>
  <c r="Z454" i="12" s="1"/>
  <c r="F297" i="12" a="1"/>
  <c r="F297" i="12" s="1"/>
  <c r="F139" i="12" a="1"/>
  <c r="F139" i="12" s="1"/>
  <c r="F81" i="12" a="1"/>
  <c r="F81" i="12" s="1"/>
  <c r="F77" i="12" a="1"/>
  <c r="F77" i="12" s="1"/>
  <c r="Z473" i="12" s="1"/>
  <c r="F67" i="12" a="1"/>
  <c r="F67" i="12" s="1"/>
  <c r="F64" i="12" a="1"/>
  <c r="F64" i="12" s="1"/>
  <c r="F61" i="12" a="1"/>
  <c r="F61" i="12" s="1"/>
  <c r="F58" i="12" a="1"/>
  <c r="F58" i="12" s="1"/>
  <c r="F55" i="12" a="1"/>
  <c r="F55" i="12" s="1"/>
  <c r="F39" i="12" a="1"/>
  <c r="F39" i="12" s="1"/>
  <c r="F33" i="12" a="1"/>
  <c r="F33" i="12" s="1"/>
  <c r="F23" i="12" a="1"/>
  <c r="F23" i="12" s="1"/>
  <c r="D17" i="12" a="1"/>
  <c r="D17" i="12" s="1"/>
  <c r="D11" i="12" a="1"/>
  <c r="D11" i="12" s="1"/>
  <c r="E11" i="12" s="1"/>
  <c r="F295" i="12" a="1"/>
  <c r="F295" i="12" s="1"/>
  <c r="F254" i="12" a="1"/>
  <c r="F254" i="12" s="1"/>
  <c r="F151" i="12" a="1"/>
  <c r="F151" i="12" s="1"/>
  <c r="F125" i="12" a="1"/>
  <c r="F125" i="12" s="1"/>
  <c r="F112" i="12" a="1"/>
  <c r="F112" i="12" s="1"/>
  <c r="D100" i="12" a="1"/>
  <c r="D100" i="12" s="1"/>
  <c r="F80" i="12" a="1"/>
  <c r="F80" i="12" s="1"/>
  <c r="F51" i="12" a="1"/>
  <c r="F51" i="12" s="1"/>
  <c r="F48" i="12" a="1"/>
  <c r="F48" i="12" s="1"/>
  <c r="F45" i="12" a="1"/>
  <c r="F45" i="12" s="1"/>
  <c r="F42" i="12" a="1"/>
  <c r="F42" i="12" s="1"/>
  <c r="F12" i="12" a="1"/>
  <c r="F12" i="12" s="1"/>
  <c r="F9" i="12" a="1"/>
  <c r="F9" i="12" s="1"/>
  <c r="F6" i="12" a="1"/>
  <c r="F6" i="12" s="1"/>
  <c r="F136" i="12" a="1"/>
  <c r="F136" i="12" s="1"/>
  <c r="F66" i="12" a="1"/>
  <c r="F66" i="12" s="1"/>
  <c r="F53" i="12" a="1"/>
  <c r="F53" i="12" s="1"/>
  <c r="F38" i="12" a="1"/>
  <c r="F38" i="12" s="1"/>
  <c r="F35" i="12" a="1"/>
  <c r="F35" i="12" s="1"/>
  <c r="F32" i="12" a="1"/>
  <c r="F32" i="12" s="1"/>
  <c r="F19" i="12" a="1"/>
  <c r="F19" i="12" s="1"/>
  <c r="D12" i="12" a="1"/>
  <c r="D12" i="12" s="1"/>
  <c r="E12" i="12" s="1"/>
  <c r="D9" i="12" a="1"/>
  <c r="D9" i="12" s="1"/>
  <c r="E9" i="12" s="1"/>
  <c r="D6" i="12" a="1"/>
  <c r="D6" i="12" s="1"/>
  <c r="F22" i="12" a="1"/>
  <c r="F22" i="12" s="1"/>
  <c r="F199" i="12" a="1"/>
  <c r="F199" i="12" s="1"/>
  <c r="F148" i="12" a="1"/>
  <c r="F148" i="12" s="1"/>
  <c r="F121" i="12" a="1"/>
  <c r="F121" i="12" s="1"/>
  <c r="D104" i="12" a="1"/>
  <c r="D104" i="12" s="1"/>
  <c r="E104" i="12" s="1"/>
  <c r="F99" i="12" a="1"/>
  <c r="F99" i="12" s="1"/>
  <c r="D94" i="12" a="1"/>
  <c r="D94" i="12" s="1"/>
  <c r="F69" i="12" a="1"/>
  <c r="F69" i="12" s="1"/>
  <c r="F63" i="12" a="1"/>
  <c r="F63" i="12" s="1"/>
  <c r="F60" i="12" a="1"/>
  <c r="F60" i="12" s="1"/>
  <c r="D19" i="12" a="1"/>
  <c r="D19" i="12" s="1"/>
  <c r="E19" i="12" s="1"/>
  <c r="F308" i="12" a="1"/>
  <c r="F308" i="12" s="1"/>
  <c r="E188" i="12" a="1"/>
  <c r="E188" i="12" s="1"/>
  <c r="F161" i="12" a="1"/>
  <c r="F161" i="12" s="1"/>
  <c r="F132" i="12" a="1"/>
  <c r="F132" i="12" s="1"/>
  <c r="F118" i="12" a="1"/>
  <c r="F118" i="12" s="1"/>
  <c r="F79" i="12" a="1"/>
  <c r="F79" i="12" s="1"/>
  <c r="F75" i="12" a="1"/>
  <c r="F75" i="12" s="1"/>
  <c r="Z471" i="12" s="1"/>
  <c r="F57" i="12" a="1"/>
  <c r="F57" i="12" s="1"/>
  <c r="F50" i="12" a="1"/>
  <c r="F50" i="12" s="1"/>
  <c r="F47" i="12" a="1"/>
  <c r="F47" i="12" s="1"/>
  <c r="F44" i="12" a="1"/>
  <c r="F44" i="12" s="1"/>
  <c r="F40" i="12" a="1"/>
  <c r="F40" i="12" s="1"/>
  <c r="F37" i="12" a="1"/>
  <c r="F37" i="12" s="1"/>
  <c r="F303" i="12" a="1"/>
  <c r="F303" i="12" s="1"/>
  <c r="F223" i="12" a="1"/>
  <c r="F223" i="12" s="1"/>
  <c r="F103" i="12" a="1"/>
  <c r="F103" i="12" s="1"/>
  <c r="F96" i="12" a="1"/>
  <c r="F96" i="12" s="1"/>
  <c r="N96" i="12" s="1"/>
  <c r="F71" i="12" a="1"/>
  <c r="F71" i="12" s="1"/>
  <c r="F68" i="12" a="1"/>
  <c r="F68" i="12" s="1"/>
  <c r="F65" i="12" a="1"/>
  <c r="F65" i="12" s="1"/>
  <c r="F62" i="12" a="1"/>
  <c r="F62" i="12" s="1"/>
  <c r="F59" i="12" a="1"/>
  <c r="F59" i="12" s="1"/>
  <c r="F34" i="12" a="1"/>
  <c r="F34" i="12" s="1"/>
  <c r="F31" i="12" a="1"/>
  <c r="F31" i="12" s="1"/>
  <c r="F21" i="12" a="1"/>
  <c r="F21" i="12" s="1"/>
  <c r="F15" i="12" a="1"/>
  <c r="F15" i="12" s="1"/>
  <c r="F301" i="12" a="1"/>
  <c r="F301" i="12" s="1"/>
  <c r="F264" i="12" a="1"/>
  <c r="F264" i="12" s="1"/>
  <c r="F219" i="12" a="1"/>
  <c r="F219" i="12" s="1"/>
  <c r="D181" i="12" a="1"/>
  <c r="D181" i="12" s="1"/>
  <c r="F129" i="12" a="1"/>
  <c r="F129" i="12" s="1"/>
  <c r="F115" i="12" a="1"/>
  <c r="F115" i="12" s="1"/>
  <c r="F78" i="12" a="1"/>
  <c r="F78" i="12" s="1"/>
  <c r="Z470" i="12" s="1"/>
  <c r="F56" i="12" a="1"/>
  <c r="F56" i="12" s="1"/>
  <c r="F52" i="12" a="1"/>
  <c r="F52" i="12" s="1"/>
  <c r="F49" i="12" a="1"/>
  <c r="F49" i="12" s="1"/>
  <c r="F36" i="12" a="1"/>
  <c r="F36" i="12" s="1"/>
  <c r="D15" i="12" a="1"/>
  <c r="D15" i="12" s="1"/>
  <c r="F8" i="12" a="1"/>
  <c r="F8" i="12" s="1"/>
  <c r="F46" i="12" a="1"/>
  <c r="F46" i="12" s="1"/>
  <c r="D8" i="12" a="1"/>
  <c r="D8" i="12" s="1"/>
  <c r="E8" i="12" s="1"/>
  <c r="F299" i="12" a="1"/>
  <c r="F299" i="12" s="1"/>
  <c r="F142" i="12" a="1"/>
  <c r="F142" i="12" s="1"/>
  <c r="D102" i="12" a="1"/>
  <c r="D102" i="12" s="1"/>
  <c r="E102" i="12" s="1"/>
  <c r="F70" i="12" a="1"/>
  <c r="F70" i="12" s="1"/>
  <c r="F43" i="12" a="1"/>
  <c r="F43" i="12" s="1"/>
  <c r="F17" i="12" a="1"/>
  <c r="F17" i="12" s="1"/>
  <c r="F11" i="12" a="1"/>
  <c r="F11" i="12" s="1"/>
  <c r="D7" i="12" a="1"/>
  <c r="D7" i="12" s="1"/>
  <c r="F10" i="12" a="1"/>
  <c r="F10" i="12" s="1"/>
  <c r="D10" i="12" a="1"/>
  <c r="D10" i="12" s="1"/>
  <c r="E10" i="12" s="1"/>
  <c r="F5" i="12" a="1"/>
  <c r="F5" i="12" s="1"/>
  <c r="F7" i="12" a="1"/>
  <c r="F7" i="12" s="1"/>
  <c r="Z495" i="12" a="1"/>
  <c r="Z495" i="12" s="1"/>
  <c r="Z496" i="12" a="1"/>
  <c r="Z496" i="12" s="1"/>
  <c r="Z494" i="12" a="1"/>
  <c r="Z494" i="12" s="1"/>
  <c r="F351" i="9"/>
  <c r="F353" i="9" s="1"/>
  <c r="Z481" i="9"/>
  <c r="D67" i="8" s="1"/>
  <c r="D9" i="8"/>
  <c r="D12" i="8" s="1"/>
  <c r="E112" i="9"/>
  <c r="E118" i="9"/>
  <c r="E115" i="9"/>
  <c r="Y415" i="9"/>
  <c r="Y411" i="9"/>
  <c r="F194" i="9"/>
  <c r="Y428" i="9" s="1"/>
  <c r="F186" i="9"/>
  <c r="E116" i="9"/>
  <c r="Y410" i="9"/>
  <c r="F27" i="9"/>
  <c r="F287" i="9"/>
  <c r="E287" i="9" s="1"/>
  <c r="E119" i="9"/>
  <c r="Z433" i="9"/>
  <c r="E114" i="9"/>
  <c r="Y417" i="9"/>
  <c r="Y418" i="9"/>
  <c r="F251" i="9"/>
  <c r="E117" i="9"/>
  <c r="E349" i="9"/>
  <c r="F397" i="9"/>
  <c r="E397" i="9" s="1"/>
  <c r="E377" i="9"/>
  <c r="E120" i="9"/>
  <c r="F231" i="9"/>
  <c r="D27" i="9"/>
  <c r="E78" i="9" s="1"/>
  <c r="E13" i="9"/>
  <c r="Z452" i="9"/>
  <c r="D65" i="8" s="1"/>
  <c r="Y413" i="9"/>
  <c r="Z466" i="9"/>
  <c r="E304" i="9"/>
  <c r="D309" i="9"/>
  <c r="E330" i="9"/>
  <c r="Y412" i="9"/>
  <c r="F74" i="9"/>
  <c r="D24" i="9"/>
  <c r="E82" i="9" s="1"/>
  <c r="D82" i="9" s="1"/>
  <c r="E97" i="9"/>
  <c r="D108" i="9"/>
  <c r="D105" i="9"/>
  <c r="E105" i="9" s="1"/>
  <c r="Z419" i="9"/>
  <c r="Y409" i="9"/>
  <c r="E121" i="9"/>
  <c r="Y416" i="9"/>
  <c r="F155" i="9"/>
  <c r="Y414" i="9"/>
  <c r="N97" i="9"/>
  <c r="N98" i="9" s="1"/>
  <c r="R95" i="9"/>
  <c r="M97" i="9"/>
  <c r="M98" i="9" s="1"/>
  <c r="R94" i="9"/>
  <c r="S94" i="9"/>
  <c r="S97" i="9" s="1"/>
  <c r="S98" i="9" s="1"/>
  <c r="S102" i="9"/>
  <c r="R100" i="9"/>
  <c r="N37" i="9"/>
  <c r="AF415" i="9"/>
  <c r="AH415" i="9" s="1"/>
  <c r="AI415" i="9" s="1"/>
  <c r="R241" i="9"/>
  <c r="L366" i="12"/>
  <c r="S366" i="12" s="1"/>
  <c r="N113" i="9"/>
  <c r="N32" i="9"/>
  <c r="J112" i="9"/>
  <c r="L375" i="12"/>
  <c r="L368" i="12"/>
  <c r="L378" i="12"/>
  <c r="AF434" i="12" s="1"/>
  <c r="L383" i="12"/>
  <c r="L374" i="12"/>
  <c r="L384" i="12"/>
  <c r="L392" i="12"/>
  <c r="S392" i="12" s="1"/>
  <c r="L382" i="12"/>
  <c r="L373" i="12"/>
  <c r="L365" i="12"/>
  <c r="AF421" i="12" s="1"/>
  <c r="L389" i="12"/>
  <c r="J360" i="12"/>
  <c r="L372" i="12"/>
  <c r="L379" i="12"/>
  <c r="L393" i="12"/>
  <c r="L387" i="12"/>
  <c r="L380" i="12"/>
  <c r="L388" i="12"/>
  <c r="L376" i="12"/>
  <c r="S376" i="12" s="1"/>
  <c r="L369" i="12"/>
  <c r="L381" i="12"/>
  <c r="L394" i="12"/>
  <c r="L367" i="12"/>
  <c r="L370" i="12"/>
  <c r="L386" i="12"/>
  <c r="L385" i="12"/>
  <c r="L391" i="12"/>
  <c r="L371" i="12"/>
  <c r="L390" i="12"/>
  <c r="L182" i="9"/>
  <c r="N6" i="9"/>
  <c r="N31" i="9"/>
  <c r="N178" i="9"/>
  <c r="M178" i="9"/>
  <c r="D29" i="8"/>
  <c r="AH474" i="9"/>
  <c r="AI474" i="9" s="1"/>
  <c r="R178" i="9"/>
  <c r="E28" i="2"/>
  <c r="K296" i="9"/>
  <c r="M296" i="9"/>
  <c r="K301" i="9"/>
  <c r="M301" i="9"/>
  <c r="L24" i="9"/>
  <c r="N21" i="9"/>
  <c r="N248" i="9"/>
  <c r="N247" i="9"/>
  <c r="K39" i="9"/>
  <c r="N39" i="9"/>
  <c r="K298" i="9"/>
  <c r="M298" i="9"/>
  <c r="K11" i="9"/>
  <c r="M11" i="9"/>
  <c r="K9" i="9"/>
  <c r="M9" i="9"/>
  <c r="N349" i="9"/>
  <c r="K307" i="9"/>
  <c r="M307" i="9"/>
  <c r="K38" i="9"/>
  <c r="N38" i="9"/>
  <c r="K8" i="9"/>
  <c r="M8" i="9"/>
  <c r="K300" i="9"/>
  <c r="M300" i="9"/>
  <c r="K308" i="9"/>
  <c r="M308" i="9"/>
  <c r="N54" i="9"/>
  <c r="N72" i="9"/>
  <c r="N248" i="12"/>
  <c r="K250" i="9"/>
  <c r="M244" i="9"/>
  <c r="K40" i="9"/>
  <c r="N40" i="9"/>
  <c r="N242" i="9"/>
  <c r="AI453" i="9"/>
  <c r="K10" i="9"/>
  <c r="M10" i="9"/>
  <c r="K12" i="9"/>
  <c r="M12" i="9"/>
  <c r="K297" i="9"/>
  <c r="M297" i="9"/>
  <c r="N8" i="9"/>
  <c r="K17" i="9"/>
  <c r="M17" i="9"/>
  <c r="L285" i="9"/>
  <c r="N268" i="9"/>
  <c r="N285" i="9" s="1"/>
  <c r="L176" i="9"/>
  <c r="K177" i="9"/>
  <c r="K185" i="9"/>
  <c r="M185" i="9" s="1"/>
  <c r="L304" i="9"/>
  <c r="K174" i="9"/>
  <c r="J185" i="9"/>
  <c r="L83" i="9"/>
  <c r="C15" i="8" s="1"/>
  <c r="L122" i="9"/>
  <c r="L248" i="9"/>
  <c r="K6" i="9"/>
  <c r="J13" i="9"/>
  <c r="J24" i="9" s="1"/>
  <c r="K82" i="9" s="1"/>
  <c r="J82" i="9" s="1"/>
  <c r="L349" i="9"/>
  <c r="L245" i="9"/>
  <c r="L250" i="9"/>
  <c r="N250" i="9" s="1"/>
  <c r="N251" i="9" s="1"/>
  <c r="K299" i="9"/>
  <c r="L72" i="9"/>
  <c r="L185" i="9"/>
  <c r="N185" i="9" s="1"/>
  <c r="N186" i="9" s="1"/>
  <c r="L173" i="9"/>
  <c r="L163" i="9"/>
  <c r="C32" i="8" s="1"/>
  <c r="K7" i="9"/>
  <c r="L229" i="9"/>
  <c r="N229" i="9" s="1"/>
  <c r="L135" i="9"/>
  <c r="N135" i="9" s="1"/>
  <c r="L54" i="9"/>
  <c r="L266" i="9"/>
  <c r="J304" i="9"/>
  <c r="M304" i="9" s="1"/>
  <c r="K295" i="9"/>
  <c r="K180" i="9"/>
  <c r="L41" i="9"/>
  <c r="N41" i="9" s="1"/>
  <c r="L153" i="9"/>
  <c r="L242" i="9"/>
  <c r="L189" i="9"/>
  <c r="K15" i="9"/>
  <c r="L210" i="9"/>
  <c r="N210" i="9" s="1"/>
  <c r="L330" i="9"/>
  <c r="N330" i="9" s="1"/>
  <c r="L179" i="9"/>
  <c r="N179" i="9" s="1"/>
  <c r="D25" i="8"/>
  <c r="G4" i="11"/>
  <c r="H12" i="11"/>
  <c r="R301" i="9"/>
  <c r="R299" i="9"/>
  <c r="R296" i="9"/>
  <c r="E24" i="8"/>
  <c r="F12" i="11"/>
  <c r="C40" i="8"/>
  <c r="B5" i="11"/>
  <c r="K301" i="12"/>
  <c r="AF413" i="12"/>
  <c r="AN494" i="9"/>
  <c r="AR459" i="12"/>
  <c r="AN456" i="12"/>
  <c r="AR456" i="12"/>
  <c r="AR491" i="12"/>
  <c r="S337" i="9"/>
  <c r="S133" i="9"/>
  <c r="S50" i="9"/>
  <c r="AF429" i="9"/>
  <c r="AH429" i="9" s="1"/>
  <c r="AI429" i="9" s="1"/>
  <c r="B21" i="2"/>
  <c r="S279" i="9"/>
  <c r="R7" i="9"/>
  <c r="S7" i="9"/>
  <c r="S116" i="9"/>
  <c r="S124" i="9"/>
  <c r="S119" i="9"/>
  <c r="S375" i="9"/>
  <c r="D6" i="11"/>
  <c r="S297" i="9"/>
  <c r="K40" i="12"/>
  <c r="S216" i="9"/>
  <c r="S367" i="9"/>
  <c r="S61" i="9"/>
  <c r="AF441" i="9"/>
  <c r="AH441" i="9" s="1"/>
  <c r="AI441" i="9" s="1"/>
  <c r="S383" i="9"/>
  <c r="S44" i="9"/>
  <c r="AF423" i="9"/>
  <c r="AH423" i="9" s="1"/>
  <c r="AI423" i="9" s="1"/>
  <c r="S129" i="9"/>
  <c r="S130" i="9"/>
  <c r="D10" i="11"/>
  <c r="S302" i="9"/>
  <c r="S99" i="12"/>
  <c r="S274" i="9"/>
  <c r="S21" i="9"/>
  <c r="S35" i="9"/>
  <c r="AF413" i="9"/>
  <c r="AH413" i="9" s="1"/>
  <c r="AI413" i="9" s="1"/>
  <c r="S131" i="9"/>
  <c r="S257" i="9"/>
  <c r="K11" i="12"/>
  <c r="L24" i="12"/>
  <c r="S273" i="12"/>
  <c r="AF451" i="9"/>
  <c r="AH451" i="9" s="1"/>
  <c r="AF450" i="9"/>
  <c r="AH450" i="9" s="1"/>
  <c r="AF426" i="9"/>
  <c r="AH426" i="9" s="1"/>
  <c r="S10" i="9"/>
  <c r="AF418" i="9"/>
  <c r="AH418" i="9" s="1"/>
  <c r="AF416" i="9"/>
  <c r="AH416" i="9" s="1"/>
  <c r="AF497" i="9"/>
  <c r="AH497" i="9" s="1"/>
  <c r="AF495" i="9"/>
  <c r="AH495" i="9" s="1"/>
  <c r="AF463" i="9"/>
  <c r="AH463" i="9" s="1"/>
  <c r="AF427" i="9"/>
  <c r="AH427" i="9" s="1"/>
  <c r="AF464" i="9"/>
  <c r="AH464" i="9" s="1"/>
  <c r="AF432" i="9"/>
  <c r="AH432" i="9" s="1"/>
  <c r="AF425" i="9"/>
  <c r="AH425" i="9" s="1"/>
  <c r="AF479" i="9"/>
  <c r="AH479" i="9" s="1"/>
  <c r="AI479" i="9" s="1"/>
  <c r="AF478" i="9"/>
  <c r="AH478" i="9" s="1"/>
  <c r="AI478" i="9" s="1"/>
  <c r="AF417" i="9"/>
  <c r="AH417" i="9" s="1"/>
  <c r="AF477" i="9"/>
  <c r="AH477" i="9" s="1"/>
  <c r="AI477" i="9" s="1"/>
  <c r="AF449" i="9"/>
  <c r="AH449" i="9" s="1"/>
  <c r="AH496" i="9"/>
  <c r="AI496" i="9" s="1"/>
  <c r="AF465" i="9"/>
  <c r="AH465" i="9" s="1"/>
  <c r="S308" i="9"/>
  <c r="D15" i="11"/>
  <c r="S390" i="9"/>
  <c r="S65" i="9"/>
  <c r="AF445" i="9"/>
  <c r="AH445" i="9" s="1"/>
  <c r="AI445" i="9" s="1"/>
  <c r="S138" i="9"/>
  <c r="S146" i="9"/>
  <c r="S199" i="9"/>
  <c r="S303" i="9"/>
  <c r="L176" i="12"/>
  <c r="V176" i="12"/>
  <c r="L72" i="12"/>
  <c r="S146" i="12"/>
  <c r="J185" i="12"/>
  <c r="D6" i="14"/>
  <c r="D8" i="14"/>
  <c r="S265" i="12"/>
  <c r="S337" i="12"/>
  <c r="D21" i="8"/>
  <c r="D27" i="8" s="1"/>
  <c r="D30" i="8"/>
  <c r="R308" i="9"/>
  <c r="R298" i="12"/>
  <c r="E11" i="8"/>
  <c r="D64" i="8"/>
  <c r="E40" i="8"/>
  <c r="E38" i="8"/>
  <c r="R302" i="9"/>
  <c r="R298" i="9"/>
  <c r="AF412" i="12"/>
  <c r="AF415" i="12"/>
  <c r="E44" i="8"/>
  <c r="U51" i="12"/>
  <c r="K39" i="12"/>
  <c r="F16" i="11"/>
  <c r="G16" i="11" s="1"/>
  <c r="B7" i="11"/>
  <c r="K185" i="12"/>
  <c r="K174" i="12"/>
  <c r="AN454" i="9"/>
  <c r="AO454" i="9" s="1"/>
  <c r="AN455" i="9"/>
  <c r="AO455" i="9" s="1"/>
  <c r="AR460" i="12"/>
  <c r="AF466" i="12"/>
  <c r="AR453" i="12"/>
  <c r="S220" i="9"/>
  <c r="E16" i="2"/>
  <c r="S283" i="9"/>
  <c r="S203" i="9"/>
  <c r="E20" i="2"/>
  <c r="K10" i="12"/>
  <c r="R9" i="9"/>
  <c r="S118" i="9"/>
  <c r="S277" i="9"/>
  <c r="S158" i="9"/>
  <c r="AF476" i="9"/>
  <c r="AH476" i="9" s="1"/>
  <c r="AI476" i="9" s="1"/>
  <c r="S161" i="9"/>
  <c r="R10" i="9"/>
  <c r="S331" i="9"/>
  <c r="S264" i="9"/>
  <c r="S380" i="9"/>
  <c r="S126" i="9"/>
  <c r="S388" i="9"/>
  <c r="S60" i="9"/>
  <c r="AF439" i="9"/>
  <c r="AH439" i="9" s="1"/>
  <c r="AI439" i="9" s="1"/>
  <c r="S255" i="9"/>
  <c r="R8" i="9"/>
  <c r="S134" i="9"/>
  <c r="S321" i="9"/>
  <c r="S80" i="9"/>
  <c r="S323" i="9"/>
  <c r="S48" i="9"/>
  <c r="S262" i="9"/>
  <c r="S38" i="9"/>
  <c r="S181" i="9"/>
  <c r="S282" i="9"/>
  <c r="AF411" i="12"/>
  <c r="L41" i="12"/>
  <c r="AF409" i="12"/>
  <c r="L330" i="12"/>
  <c r="S11" i="9"/>
  <c r="S202" i="9"/>
  <c r="S322" i="9"/>
  <c r="S394" i="9"/>
  <c r="S66" i="9"/>
  <c r="AF446" i="9"/>
  <c r="AH446" i="9" s="1"/>
  <c r="AI446" i="9" s="1"/>
  <c r="S139" i="9"/>
  <c r="S147" i="9"/>
  <c r="S200" i="9"/>
  <c r="K15" i="12"/>
  <c r="L185" i="12"/>
  <c r="L173" i="12"/>
  <c r="L179" i="12"/>
  <c r="D15" i="14"/>
  <c r="L189" i="12"/>
  <c r="S281" i="9"/>
  <c r="S149" i="9"/>
  <c r="E51" i="8"/>
  <c r="E57" i="8"/>
  <c r="R295" i="9"/>
  <c r="R300" i="9"/>
  <c r="E53" i="8"/>
  <c r="AO440" i="9"/>
  <c r="K8" i="12"/>
  <c r="L362" i="9"/>
  <c r="S360" i="9"/>
  <c r="B6" i="14"/>
  <c r="K297" i="12"/>
  <c r="AN458" i="9"/>
  <c r="AO458" i="9" s="1"/>
  <c r="AN461" i="9"/>
  <c r="AO461" i="9" s="1"/>
  <c r="AR448" i="12"/>
  <c r="AR461" i="12"/>
  <c r="S373" i="9"/>
  <c r="S36" i="9"/>
  <c r="AF414" i="9"/>
  <c r="AH414" i="9" s="1"/>
  <c r="AI414" i="9" s="1"/>
  <c r="S208" i="9"/>
  <c r="S33" i="9"/>
  <c r="AF411" i="9"/>
  <c r="AH411" i="9" s="1"/>
  <c r="AI411" i="9" s="1"/>
  <c r="S385" i="9"/>
  <c r="S259" i="9"/>
  <c r="S214" i="9"/>
  <c r="S327" i="9"/>
  <c r="S278" i="9"/>
  <c r="S318" i="9"/>
  <c r="S363" i="9"/>
  <c r="E54" i="8"/>
  <c r="R307" i="9"/>
  <c r="U50" i="12"/>
  <c r="E45" i="8"/>
  <c r="S245" i="9"/>
  <c r="D4" i="8"/>
  <c r="D43" i="8"/>
  <c r="D46" i="8" s="1"/>
  <c r="C54" i="8"/>
  <c r="B14" i="11"/>
  <c r="V175" i="12"/>
  <c r="B7" i="14"/>
  <c r="K298" i="12"/>
  <c r="AN493" i="9"/>
  <c r="AO493" i="9" s="1"/>
  <c r="AN492" i="9"/>
  <c r="AN491" i="9"/>
  <c r="AO491" i="9" s="1"/>
  <c r="AR458" i="12"/>
  <c r="AR492" i="12"/>
  <c r="S329" i="9"/>
  <c r="S276" i="9"/>
  <c r="S223" i="9"/>
  <c r="S213" i="9"/>
  <c r="C47" i="8"/>
  <c r="S15" i="9"/>
  <c r="S228" i="9"/>
  <c r="S261" i="9"/>
  <c r="S115" i="9"/>
  <c r="S348" i="9"/>
  <c r="S8" i="9"/>
  <c r="S326" i="9"/>
  <c r="S387" i="9"/>
  <c r="S79" i="9"/>
  <c r="S319" i="9"/>
  <c r="S39" i="9"/>
  <c r="S221" i="9"/>
  <c r="S346" i="9"/>
  <c r="AF480" i="12"/>
  <c r="C28" i="8"/>
  <c r="S113" i="9"/>
  <c r="K17" i="12"/>
  <c r="AF471" i="9"/>
  <c r="AH471" i="9" s="1"/>
  <c r="AI471" i="9" s="1"/>
  <c r="S339" i="9"/>
  <c r="S57" i="9"/>
  <c r="AF436" i="9"/>
  <c r="AH436" i="9" s="1"/>
  <c r="AI436" i="9" s="1"/>
  <c r="S188" i="9"/>
  <c r="S336" i="9"/>
  <c r="AF476" i="12"/>
  <c r="S71" i="12"/>
  <c r="S22" i="9"/>
  <c r="S217" i="9"/>
  <c r="AF440" i="9"/>
  <c r="AH440" i="9" s="1"/>
  <c r="S344" i="9"/>
  <c r="L266" i="12"/>
  <c r="AF448" i="9"/>
  <c r="AH448" i="9" s="1"/>
  <c r="AI448" i="9" s="1"/>
  <c r="S141" i="9"/>
  <c r="S268" i="9"/>
  <c r="K100" i="12"/>
  <c r="K99" i="12"/>
  <c r="R99" i="12"/>
  <c r="S344" i="12"/>
  <c r="S216" i="12"/>
  <c r="V207" i="12"/>
  <c r="D5" i="14"/>
  <c r="S296" i="12"/>
  <c r="R303" i="9"/>
  <c r="S248" i="9"/>
  <c r="E7" i="8"/>
  <c r="U52" i="12"/>
  <c r="B6" i="11"/>
  <c r="C58" i="8"/>
  <c r="C52" i="8"/>
  <c r="B9" i="14"/>
  <c r="K300" i="12"/>
  <c r="B4" i="14"/>
  <c r="J304" i="12"/>
  <c r="K295" i="12"/>
  <c r="AN459" i="9"/>
  <c r="AO459" i="9" s="1"/>
  <c r="S241" i="9"/>
  <c r="S226" i="9"/>
  <c r="S17" i="9"/>
  <c r="S296" i="9"/>
  <c r="D5" i="11"/>
  <c r="S205" i="9"/>
  <c r="C45" i="8"/>
  <c r="S338" i="9"/>
  <c r="D14" i="11"/>
  <c r="S307" i="9"/>
  <c r="S132" i="9"/>
  <c r="AF442" i="9"/>
  <c r="AH442" i="9" s="1"/>
  <c r="AI442" i="9" s="1"/>
  <c r="S62" i="9"/>
  <c r="R12" i="9"/>
  <c r="S335" i="9"/>
  <c r="S58" i="9"/>
  <c r="AF437" i="9"/>
  <c r="AH437" i="9" s="1"/>
  <c r="AI437" i="9" s="1"/>
  <c r="S47" i="9"/>
  <c r="C42" i="8"/>
  <c r="S184" i="9"/>
  <c r="AF414" i="12"/>
  <c r="S12" i="9"/>
  <c r="S212" i="9"/>
  <c r="S332" i="9"/>
  <c r="S276" i="12"/>
  <c r="AF447" i="9"/>
  <c r="AH447" i="9" s="1"/>
  <c r="AI447" i="9" s="1"/>
  <c r="S67" i="9"/>
  <c r="S140" i="9"/>
  <c r="S148" i="9"/>
  <c r="S267" i="9"/>
  <c r="S274" i="12"/>
  <c r="AF470" i="12"/>
  <c r="L210" i="12"/>
  <c r="K95" i="12"/>
  <c r="S201" i="12"/>
  <c r="V206" i="12"/>
  <c r="S206" i="12"/>
  <c r="R360" i="9"/>
  <c r="E58" i="8"/>
  <c r="E52" i="8"/>
  <c r="R297" i="9"/>
  <c r="S6" i="10"/>
  <c r="R172" i="9"/>
  <c r="AO449" i="9"/>
  <c r="AO479" i="9"/>
  <c r="AO425" i="9"/>
  <c r="AO426" i="9"/>
  <c r="AO451" i="9"/>
  <c r="AO478" i="9"/>
  <c r="AO427" i="9"/>
  <c r="AO450" i="9"/>
  <c r="S156" i="9"/>
  <c r="R175" i="9"/>
  <c r="D56" i="8"/>
  <c r="L83" i="12"/>
  <c r="AF471" i="12"/>
  <c r="B8" i="11"/>
  <c r="K250" i="12"/>
  <c r="AN420" i="9"/>
  <c r="AO420" i="9" s="1"/>
  <c r="AN456" i="9"/>
  <c r="AN469" i="9"/>
  <c r="AO469" i="9" s="1"/>
  <c r="AR457" i="12"/>
  <c r="B44" i="2"/>
  <c r="B53" i="2" s="1"/>
  <c r="S34" i="9"/>
  <c r="AF412" i="9"/>
  <c r="AH412" i="9" s="1"/>
  <c r="AI412" i="9" s="1"/>
  <c r="S284" i="9"/>
  <c r="S207" i="9"/>
  <c r="S224" i="9"/>
  <c r="S46" i="9"/>
  <c r="S244" i="9"/>
  <c r="S312" i="9"/>
  <c r="R312" i="9" s="1"/>
  <c r="S128" i="9"/>
  <c r="S379" i="9"/>
  <c r="S37" i="9"/>
  <c r="S328" i="9"/>
  <c r="K12" i="12"/>
  <c r="S219" i="9"/>
  <c r="R11" i="9"/>
  <c r="S81" i="9"/>
  <c r="S384" i="9"/>
  <c r="AF424" i="9"/>
  <c r="AH424" i="9" s="1"/>
  <c r="AI424" i="9" s="1"/>
  <c r="S45" i="9"/>
  <c r="S247" i="9"/>
  <c r="S368" i="9"/>
  <c r="S123" i="9"/>
  <c r="K38" i="12"/>
  <c r="S120" i="9"/>
  <c r="S343" i="9"/>
  <c r="S201" i="9"/>
  <c r="S347" i="9"/>
  <c r="S160" i="12"/>
  <c r="S76" i="9"/>
  <c r="AF472" i="9"/>
  <c r="AH472" i="9" s="1"/>
  <c r="AI472" i="9" s="1"/>
  <c r="S371" i="9"/>
  <c r="U132" i="12"/>
  <c r="S223" i="12"/>
  <c r="S142" i="9"/>
  <c r="S150" i="9"/>
  <c r="S269" i="9"/>
  <c r="AF440" i="12"/>
  <c r="D4" i="14"/>
  <c r="L304" i="12"/>
  <c r="L122" i="12"/>
  <c r="S323" i="12"/>
  <c r="S222" i="12"/>
  <c r="V208" i="12"/>
  <c r="AR474" i="12"/>
  <c r="E41" i="8"/>
  <c r="K6" i="12"/>
  <c r="J13" i="12"/>
  <c r="J24" i="12" s="1"/>
  <c r="AF472" i="12"/>
  <c r="B9" i="11"/>
  <c r="C53" i="8"/>
  <c r="B15" i="14"/>
  <c r="K308" i="12"/>
  <c r="AN460" i="9"/>
  <c r="AO460" i="9" s="1"/>
  <c r="AN457" i="9"/>
  <c r="AO457" i="9" s="1"/>
  <c r="AR420" i="12"/>
  <c r="B30" i="2"/>
  <c r="S366" i="9"/>
  <c r="S51" i="9"/>
  <c r="AF430" i="9"/>
  <c r="AH430" i="9" s="1"/>
  <c r="AI430" i="9" s="1"/>
  <c r="S299" i="9"/>
  <c r="D8" i="11"/>
  <c r="S263" i="9"/>
  <c r="S320" i="9"/>
  <c r="C59" i="8"/>
  <c r="S52" i="9"/>
  <c r="AF431" i="9"/>
  <c r="AH431" i="9" s="1"/>
  <c r="AI431" i="9" s="1"/>
  <c r="S254" i="9"/>
  <c r="S324" i="9"/>
  <c r="S391" i="9"/>
  <c r="S112" i="9"/>
  <c r="C24" i="8"/>
  <c r="S334" i="9"/>
  <c r="S6" i="9"/>
  <c r="S273" i="9"/>
  <c r="S19" i="9"/>
  <c r="K9" i="12"/>
  <c r="S53" i="9"/>
  <c r="S256" i="9"/>
  <c r="S376" i="9"/>
  <c r="D7" i="14"/>
  <c r="S172" i="9"/>
  <c r="S162" i="9"/>
  <c r="S374" i="9"/>
  <c r="S215" i="9"/>
  <c r="S369" i="9"/>
  <c r="D10" i="14"/>
  <c r="S302" i="12"/>
  <c r="L135" i="12"/>
  <c r="L182" i="12"/>
  <c r="S78" i="9"/>
  <c r="AF470" i="9"/>
  <c r="AH470" i="9" s="1"/>
  <c r="AI470" i="9" s="1"/>
  <c r="S258" i="9"/>
  <c r="L395" i="9"/>
  <c r="K395" i="9" s="1"/>
  <c r="S378" i="9"/>
  <c r="S128" i="12"/>
  <c r="L153" i="12"/>
  <c r="S143" i="9"/>
  <c r="S151" i="9"/>
  <c r="S270" i="9"/>
  <c r="S221" i="12"/>
  <c r="D9" i="14"/>
  <c r="U131" i="12"/>
  <c r="S224" i="12"/>
  <c r="L285" i="12"/>
  <c r="K285" i="12" s="1"/>
  <c r="S334" i="12"/>
  <c r="S127" i="12"/>
  <c r="L248" i="12"/>
  <c r="S247" i="12"/>
  <c r="R6" i="10"/>
  <c r="D13" i="8"/>
  <c r="D5" i="8"/>
  <c r="D8" i="8" s="1"/>
  <c r="K7" i="12"/>
  <c r="B4" i="11"/>
  <c r="C51" i="8"/>
  <c r="C57" i="8"/>
  <c r="B15" i="11"/>
  <c r="B5" i="14"/>
  <c r="K296" i="12"/>
  <c r="B8" i="14"/>
  <c r="K299" i="12"/>
  <c r="AN453" i="9"/>
  <c r="AR454" i="12"/>
  <c r="AR469" i="12"/>
  <c r="S175" i="9"/>
  <c r="S23" i="9"/>
  <c r="E42" i="2"/>
  <c r="AF480" i="9"/>
  <c r="S325" i="9"/>
  <c r="S342" i="9"/>
  <c r="S370" i="9"/>
  <c r="S70" i="9"/>
  <c r="S333" i="9"/>
  <c r="S365" i="9"/>
  <c r="L377" i="9"/>
  <c r="S209" i="9"/>
  <c r="L105" i="12"/>
  <c r="S157" i="9"/>
  <c r="AF475" i="9"/>
  <c r="AH475" i="9" s="1"/>
  <c r="AI475" i="9" s="1"/>
  <c r="S341" i="9"/>
  <c r="S43" i="9"/>
  <c r="AF422" i="9"/>
  <c r="AH422" i="9" s="1"/>
  <c r="AI422" i="9" s="1"/>
  <c r="S275" i="9"/>
  <c r="S31" i="9"/>
  <c r="C7" i="8"/>
  <c r="AF409" i="9"/>
  <c r="AH409" i="9" s="1"/>
  <c r="AI409" i="9" s="1"/>
  <c r="S117" i="9"/>
  <c r="AF434" i="9"/>
  <c r="AH434" i="9" s="1"/>
  <c r="S55" i="9"/>
  <c r="S206" i="9"/>
  <c r="R6" i="9"/>
  <c r="S178" i="9"/>
  <c r="L13" i="12"/>
  <c r="S114" i="9"/>
  <c r="S218" i="9"/>
  <c r="S389" i="9"/>
  <c r="AF473" i="12"/>
  <c r="L229" i="12"/>
  <c r="S211" i="12"/>
  <c r="S127" i="9"/>
  <c r="S280" i="9"/>
  <c r="S382" i="9"/>
  <c r="S63" i="9"/>
  <c r="AF443" i="9"/>
  <c r="AH443" i="9" s="1"/>
  <c r="AI443" i="9" s="1"/>
  <c r="S136" i="9"/>
  <c r="S144" i="9"/>
  <c r="S152" i="9"/>
  <c r="S271" i="9"/>
  <c r="U133" i="12"/>
  <c r="S312" i="12"/>
  <c r="R312" i="12" s="1"/>
  <c r="L242" i="12"/>
  <c r="S270" i="12"/>
  <c r="K266" i="12"/>
  <c r="L245" i="12"/>
  <c r="L250" i="12"/>
  <c r="C41" i="8"/>
  <c r="J362" i="9"/>
  <c r="K362" i="9" s="1"/>
  <c r="K360" i="9"/>
  <c r="B14" i="14"/>
  <c r="K307" i="12"/>
  <c r="AR455" i="12"/>
  <c r="AR493" i="12"/>
  <c r="S260" i="9"/>
  <c r="D9" i="11"/>
  <c r="S300" i="9"/>
  <c r="S56" i="9"/>
  <c r="AF435" i="9"/>
  <c r="AH435" i="9" s="1"/>
  <c r="AI435" i="9" s="1"/>
  <c r="S77" i="9"/>
  <c r="AF473" i="9"/>
  <c r="AH473" i="9" s="1"/>
  <c r="AI473" i="9" s="1"/>
  <c r="S40" i="9"/>
  <c r="B16" i="2"/>
  <c r="R15" i="9"/>
  <c r="S340" i="9"/>
  <c r="S393" i="9"/>
  <c r="S381" i="9"/>
  <c r="S49" i="9"/>
  <c r="AF428" i="9"/>
  <c r="AH428" i="9" s="1"/>
  <c r="AI428" i="9" s="1"/>
  <c r="S372" i="9"/>
  <c r="S265" i="9"/>
  <c r="AF410" i="12"/>
  <c r="S204" i="9"/>
  <c r="AF438" i="9"/>
  <c r="AH438" i="9" s="1"/>
  <c r="AI438" i="9" s="1"/>
  <c r="S59" i="9"/>
  <c r="D4" i="11"/>
  <c r="S295" i="9"/>
  <c r="S42" i="9"/>
  <c r="AF421" i="9"/>
  <c r="AH421" i="9" s="1"/>
  <c r="AI421" i="9" s="1"/>
  <c r="S125" i="9"/>
  <c r="S71" i="9"/>
  <c r="S301" i="9"/>
  <c r="S227" i="9"/>
  <c r="R17" i="9"/>
  <c r="S211" i="9"/>
  <c r="C11" i="8"/>
  <c r="S32" i="9"/>
  <c r="AF410" i="9"/>
  <c r="AH410" i="9" s="1"/>
  <c r="AI410" i="9" s="1"/>
  <c r="S121" i="9"/>
  <c r="S222" i="9"/>
  <c r="S392" i="9"/>
  <c r="K94" i="12"/>
  <c r="S9" i="9"/>
  <c r="S160" i="9"/>
  <c r="S298" i="9"/>
  <c r="D7" i="11"/>
  <c r="S386" i="9"/>
  <c r="S64" i="9"/>
  <c r="AF444" i="9"/>
  <c r="AH444" i="9" s="1"/>
  <c r="AI444" i="9" s="1"/>
  <c r="S137" i="9"/>
  <c r="S145" i="9"/>
  <c r="S198" i="9"/>
  <c r="C44" i="8"/>
  <c r="S272" i="9"/>
  <c r="L163" i="12"/>
  <c r="AF475" i="12"/>
  <c r="L54" i="12"/>
  <c r="S162" i="12"/>
  <c r="D14" i="14"/>
  <c r="L349" i="12"/>
  <c r="J193" i="9" l="1"/>
  <c r="L193" i="9" s="1"/>
  <c r="S371" i="12"/>
  <c r="Q192" i="12"/>
  <c r="S390" i="12"/>
  <c r="S94" i="12"/>
  <c r="S97" i="12" s="1"/>
  <c r="Q97" i="12"/>
  <c r="Z480" i="12"/>
  <c r="R301" i="12"/>
  <c r="S244" i="12"/>
  <c r="K23" i="21"/>
  <c r="S370" i="12"/>
  <c r="S386" i="12"/>
  <c r="S380" i="12"/>
  <c r="R302" i="12"/>
  <c r="Q179" i="12"/>
  <c r="S178" i="12"/>
  <c r="S388" i="12"/>
  <c r="S389" i="12"/>
  <c r="R303" i="12"/>
  <c r="S394" i="12"/>
  <c r="S381" i="12"/>
  <c r="J23" i="21"/>
  <c r="L23" i="21" s="1"/>
  <c r="M23" i="21" s="1"/>
  <c r="L6" i="21"/>
  <c r="M6" i="21" s="1"/>
  <c r="J33" i="10"/>
  <c r="J34" i="10" s="1"/>
  <c r="N83" i="9"/>
  <c r="P300" i="12"/>
  <c r="AN496" i="12"/>
  <c r="AO496" i="12" s="1"/>
  <c r="AH480" i="9"/>
  <c r="AI480" i="9" s="1"/>
  <c r="AD480" i="9"/>
  <c r="S368" i="12"/>
  <c r="S217" i="12"/>
  <c r="S372" i="12"/>
  <c r="S391" i="12"/>
  <c r="AL428" i="12"/>
  <c r="S385" i="12"/>
  <c r="S383" i="12"/>
  <c r="S158" i="12"/>
  <c r="Q176" i="12"/>
  <c r="S382" i="12"/>
  <c r="S393" i="12"/>
  <c r="P298" i="12"/>
  <c r="F176" i="12"/>
  <c r="J20" i="21"/>
  <c r="L20" i="21" s="1"/>
  <c r="M20" i="21" s="1"/>
  <c r="J26" i="21"/>
  <c r="J24" i="21"/>
  <c r="S77" i="12"/>
  <c r="P308" i="12"/>
  <c r="P100" i="12"/>
  <c r="S379" i="12"/>
  <c r="Z431" i="12"/>
  <c r="J25" i="21"/>
  <c r="L25" i="21" s="1"/>
  <c r="M25" i="21" s="1"/>
  <c r="AL431" i="12"/>
  <c r="AL445" i="12"/>
  <c r="P296" i="12"/>
  <c r="G10" i="21"/>
  <c r="AJ419" i="9"/>
  <c r="AL468" i="9"/>
  <c r="E15" i="12"/>
  <c r="K115" i="12"/>
  <c r="K116" i="12"/>
  <c r="G16" i="21"/>
  <c r="Z428" i="12"/>
  <c r="E108" i="9"/>
  <c r="O185" i="12"/>
  <c r="R185" i="12" s="1"/>
  <c r="S157" i="12"/>
  <c r="AN495" i="12"/>
  <c r="AO495" i="12" s="1"/>
  <c r="R296" i="12"/>
  <c r="S175" i="12"/>
  <c r="S373" i="12"/>
  <c r="AN494" i="12"/>
  <c r="AH440" i="12"/>
  <c r="AN497" i="12"/>
  <c r="AO497" i="12" s="1"/>
  <c r="S384" i="12"/>
  <c r="K9" i="21"/>
  <c r="K13" i="21"/>
  <c r="L13" i="21" s="1"/>
  <c r="K24" i="21"/>
  <c r="K15" i="21"/>
  <c r="L12" i="21"/>
  <c r="M12" i="21" s="1"/>
  <c r="S367" i="12"/>
  <c r="E296" i="12"/>
  <c r="E298" i="12"/>
  <c r="R12" i="12"/>
  <c r="R100" i="12"/>
  <c r="S369" i="12"/>
  <c r="E153" i="9"/>
  <c r="R10" i="12"/>
  <c r="E300" i="12"/>
  <c r="AL437" i="12"/>
  <c r="S65" i="12"/>
  <c r="S72" i="12" s="1"/>
  <c r="S49" i="12"/>
  <c r="S54" i="12" s="1"/>
  <c r="S374" i="12"/>
  <c r="R9" i="12"/>
  <c r="S76" i="12"/>
  <c r="AL441" i="12"/>
  <c r="R8" i="12"/>
  <c r="R11" i="12"/>
  <c r="S375" i="12"/>
  <c r="E155" i="9"/>
  <c r="N217" i="12"/>
  <c r="Z429" i="12"/>
  <c r="E307" i="12"/>
  <c r="AL436" i="12"/>
  <c r="Z448" i="12"/>
  <c r="S78" i="12"/>
  <c r="S387" i="12"/>
  <c r="E122" i="9"/>
  <c r="AL447" i="12"/>
  <c r="L7" i="21"/>
  <c r="M7" i="21" s="1"/>
  <c r="K118" i="12"/>
  <c r="K114" i="12"/>
  <c r="K117" i="12"/>
  <c r="K112" i="12"/>
  <c r="R97" i="9"/>
  <c r="R98" i="9" s="1"/>
  <c r="R97" i="12"/>
  <c r="E21" i="21"/>
  <c r="G21" i="21" s="1"/>
  <c r="H21" i="21" s="1"/>
  <c r="G8" i="21"/>
  <c r="H8" i="21" s="1"/>
  <c r="N122" i="9"/>
  <c r="K122" i="9"/>
  <c r="J21" i="21"/>
  <c r="AL442" i="12"/>
  <c r="AL444" i="12"/>
  <c r="AL435" i="12"/>
  <c r="P299" i="12"/>
  <c r="P307" i="12"/>
  <c r="P96" i="12"/>
  <c r="R96" i="12"/>
  <c r="Q330" i="12"/>
  <c r="S330" i="12" s="1"/>
  <c r="F24" i="12"/>
  <c r="F182" i="12"/>
  <c r="AL443" i="12"/>
  <c r="AL423" i="12"/>
  <c r="AL446" i="12"/>
  <c r="Z422" i="12"/>
  <c r="P94" i="12"/>
  <c r="E94" i="12"/>
  <c r="P7" i="12"/>
  <c r="Z423" i="12"/>
  <c r="Z436" i="12"/>
  <c r="Z435" i="12"/>
  <c r="Z439" i="12"/>
  <c r="Z437" i="12"/>
  <c r="D10" i="8"/>
  <c r="Z443" i="12"/>
  <c r="E100" i="12"/>
  <c r="P297" i="12"/>
  <c r="AL422" i="12"/>
  <c r="Z424" i="12"/>
  <c r="AL424" i="12"/>
  <c r="Q349" i="12"/>
  <c r="Z438" i="12"/>
  <c r="AL430" i="12"/>
  <c r="Z444" i="12"/>
  <c r="P17" i="12"/>
  <c r="Z445" i="12"/>
  <c r="F153" i="12"/>
  <c r="E17" i="12"/>
  <c r="Z447" i="12"/>
  <c r="F83" i="12"/>
  <c r="Z472" i="12"/>
  <c r="F362" i="12"/>
  <c r="E360" i="12"/>
  <c r="Z474" i="12"/>
  <c r="F163" i="12"/>
  <c r="Z466" i="12"/>
  <c r="E299" i="12"/>
  <c r="AL434" i="12"/>
  <c r="Q72" i="12"/>
  <c r="Q13" i="12"/>
  <c r="AL414" i="12"/>
  <c r="AN414" i="12" s="1"/>
  <c r="AO414" i="12" s="1"/>
  <c r="AL438" i="12"/>
  <c r="AL471" i="12"/>
  <c r="Q83" i="12"/>
  <c r="AL410" i="12"/>
  <c r="Q122" i="12"/>
  <c r="Q266" i="12"/>
  <c r="S266" i="12" s="1"/>
  <c r="O362" i="12"/>
  <c r="R360" i="12"/>
  <c r="S242" i="9"/>
  <c r="E6" i="12"/>
  <c r="F13" i="12"/>
  <c r="F135" i="12"/>
  <c r="F185" i="12"/>
  <c r="F173" i="12"/>
  <c r="AL409" i="12"/>
  <c r="AN409" i="12" s="1"/>
  <c r="AO409" i="12" s="1"/>
  <c r="Q41" i="12"/>
  <c r="S41" i="12" s="1"/>
  <c r="P185" i="12"/>
  <c r="P194" i="12" s="1"/>
  <c r="P174" i="12"/>
  <c r="O304" i="12"/>
  <c r="R304" i="12" s="1"/>
  <c r="P295" i="12"/>
  <c r="Q189" i="12"/>
  <c r="Q182" i="12"/>
  <c r="Q395" i="12"/>
  <c r="P395" i="12" s="1"/>
  <c r="F122" i="12"/>
  <c r="Z411" i="12"/>
  <c r="F97" i="12"/>
  <c r="D112" i="12" s="1"/>
  <c r="AL415" i="12"/>
  <c r="AN415" i="12" s="1"/>
  <c r="AO415" i="12" s="1"/>
  <c r="P19" i="12"/>
  <c r="R19" i="12"/>
  <c r="Q135" i="12"/>
  <c r="S135" i="12" s="1"/>
  <c r="AL474" i="12"/>
  <c r="AO474" i="12" s="1"/>
  <c r="Q163" i="12"/>
  <c r="P250" i="12"/>
  <c r="Z478" i="12"/>
  <c r="Z451" i="12"/>
  <c r="Z426" i="12"/>
  <c r="Z416" i="12"/>
  <c r="Z450" i="12"/>
  <c r="Z425" i="12"/>
  <c r="Z449" i="12"/>
  <c r="Z432" i="12"/>
  <c r="Z418" i="12"/>
  <c r="Z479" i="12"/>
  <c r="Z427" i="12"/>
  <c r="Z417" i="12"/>
  <c r="E7" i="12"/>
  <c r="Z410" i="12"/>
  <c r="E96" i="12"/>
  <c r="F179" i="12"/>
  <c r="E250" i="12"/>
  <c r="F377" i="12"/>
  <c r="F210" i="12"/>
  <c r="E308" i="12"/>
  <c r="P15" i="12"/>
  <c r="Q250" i="12"/>
  <c r="S250" i="12" s="1"/>
  <c r="S251" i="12" s="1"/>
  <c r="Q245" i="12"/>
  <c r="AL413" i="12"/>
  <c r="AN413" i="12" s="1"/>
  <c r="AO413" i="12" s="1"/>
  <c r="Q229" i="12"/>
  <c r="Q185" i="12"/>
  <c r="Q173" i="12"/>
  <c r="Q304" i="12"/>
  <c r="Q309" i="12" s="1"/>
  <c r="Q314" i="12" s="1"/>
  <c r="Q248" i="12"/>
  <c r="Z409" i="12"/>
  <c r="F41" i="12"/>
  <c r="Z413" i="12"/>
  <c r="Z421" i="12"/>
  <c r="F54" i="12"/>
  <c r="F72" i="12"/>
  <c r="Z434" i="12"/>
  <c r="F105" i="12"/>
  <c r="F189" i="12"/>
  <c r="F248" i="12"/>
  <c r="F330" i="12"/>
  <c r="F192" i="12"/>
  <c r="AL439" i="12"/>
  <c r="AL421" i="12"/>
  <c r="Q54" i="12"/>
  <c r="Q285" i="12"/>
  <c r="Z412" i="12"/>
  <c r="F266" i="12"/>
  <c r="F250" i="12"/>
  <c r="F245" i="12"/>
  <c r="F229" i="12"/>
  <c r="P6" i="12"/>
  <c r="O13" i="12"/>
  <c r="Q24" i="12"/>
  <c r="S24" i="12" s="1"/>
  <c r="S25" i="12" s="1"/>
  <c r="Q242" i="12"/>
  <c r="Q105" i="12"/>
  <c r="O113" i="12" s="1"/>
  <c r="Q362" i="12"/>
  <c r="P360" i="12"/>
  <c r="AL466" i="12"/>
  <c r="F304" i="12"/>
  <c r="F309" i="12" s="1"/>
  <c r="F314" i="12" s="1"/>
  <c r="Z441" i="12"/>
  <c r="E95" i="12"/>
  <c r="D97" i="12"/>
  <c r="E121" i="12" s="1"/>
  <c r="F395" i="12"/>
  <c r="E395" i="12" s="1"/>
  <c r="D304" i="12"/>
  <c r="E295" i="12"/>
  <c r="AL412" i="12"/>
  <c r="AL429" i="12"/>
  <c r="Q377" i="12"/>
  <c r="Z414" i="12"/>
  <c r="Z442" i="12"/>
  <c r="Z415" i="12"/>
  <c r="D13" i="12"/>
  <c r="Z446" i="12"/>
  <c r="Z430" i="12"/>
  <c r="D185" i="12"/>
  <c r="E185" i="12"/>
  <c r="E194" i="12" s="1"/>
  <c r="E174" i="12"/>
  <c r="F285" i="12"/>
  <c r="F242" i="12"/>
  <c r="E297" i="12"/>
  <c r="F349" i="12"/>
  <c r="P95" i="12"/>
  <c r="O97" i="12"/>
  <c r="P119" i="12" s="1"/>
  <c r="AL411" i="12"/>
  <c r="Q153" i="12"/>
  <c r="S153" i="12" s="1"/>
  <c r="Q210" i="12"/>
  <c r="S210" i="12" s="1"/>
  <c r="E351" i="9"/>
  <c r="E41" i="9"/>
  <c r="Z407" i="9"/>
  <c r="F165" i="9"/>
  <c r="E27" i="9"/>
  <c r="E74" i="9"/>
  <c r="E54" i="9"/>
  <c r="F399" i="9"/>
  <c r="E210" i="9"/>
  <c r="Y429" i="9"/>
  <c r="Y430" i="9"/>
  <c r="E24" i="9"/>
  <c r="E36" i="9"/>
  <c r="E39" i="9"/>
  <c r="E37" i="9"/>
  <c r="E34" i="9"/>
  <c r="E32" i="9"/>
  <c r="E33" i="9"/>
  <c r="E35" i="9"/>
  <c r="E31" i="9"/>
  <c r="E38" i="9"/>
  <c r="E40" i="9"/>
  <c r="E72" i="9"/>
  <c r="E231" i="9"/>
  <c r="E309" i="9"/>
  <c r="D314" i="9"/>
  <c r="E229" i="9"/>
  <c r="F195" i="9"/>
  <c r="F233" i="9"/>
  <c r="F400" i="9" s="1"/>
  <c r="Z468" i="9"/>
  <c r="F289" i="9"/>
  <c r="M24" i="9"/>
  <c r="F85" i="9"/>
  <c r="M108" i="9"/>
  <c r="M109" i="9" s="1"/>
  <c r="S108" i="9"/>
  <c r="S109" i="9" s="1"/>
  <c r="S105" i="9"/>
  <c r="S106" i="9" s="1"/>
  <c r="M105" i="9"/>
  <c r="L109" i="9"/>
  <c r="N108" i="9"/>
  <c r="N109" i="9" s="1"/>
  <c r="S149" i="12"/>
  <c r="AF422" i="12"/>
  <c r="AF439" i="12"/>
  <c r="S345" i="12"/>
  <c r="S349" i="12" s="1"/>
  <c r="S345" i="9"/>
  <c r="S349" i="9" s="1"/>
  <c r="AF441" i="12"/>
  <c r="AF435" i="12"/>
  <c r="AF436" i="12"/>
  <c r="AF445" i="12"/>
  <c r="AF424" i="12"/>
  <c r="AF429" i="12"/>
  <c r="AF431" i="12"/>
  <c r="AR431" i="12" s="1"/>
  <c r="AF446" i="12"/>
  <c r="AF442" i="12"/>
  <c r="AR442" i="12" s="1"/>
  <c r="AF437" i="12"/>
  <c r="AF430" i="12"/>
  <c r="AF428" i="12"/>
  <c r="AF423" i="12"/>
  <c r="AR423" i="12" s="1"/>
  <c r="AF447" i="12"/>
  <c r="S242" i="12"/>
  <c r="AF432" i="12"/>
  <c r="AR432" i="12" s="1"/>
  <c r="AF451" i="12"/>
  <c r="AR451" i="12" s="1"/>
  <c r="AF443" i="12"/>
  <c r="AR443" i="12" s="1"/>
  <c r="AF426" i="12"/>
  <c r="AR426" i="12" s="1"/>
  <c r="AF479" i="12"/>
  <c r="AF418" i="12"/>
  <c r="AF444" i="12"/>
  <c r="AR444" i="12" s="1"/>
  <c r="AF417" i="12"/>
  <c r="AR417" i="12" s="1"/>
  <c r="AF416" i="12"/>
  <c r="AE416" i="12" s="1"/>
  <c r="AF478" i="12"/>
  <c r="AF425" i="12"/>
  <c r="AF438" i="12"/>
  <c r="AF449" i="12"/>
  <c r="AF427" i="12"/>
  <c r="AR427" i="12" s="1"/>
  <c r="AF450" i="12"/>
  <c r="AR450" i="12" s="1"/>
  <c r="AF477" i="12"/>
  <c r="AN477" i="12" s="1"/>
  <c r="AO477" i="12" s="1"/>
  <c r="L360" i="12"/>
  <c r="K360" i="12"/>
  <c r="J362" i="12"/>
  <c r="K362" i="12" s="1"/>
  <c r="S378" i="12"/>
  <c r="L395" i="12"/>
  <c r="S365" i="12"/>
  <c r="L377" i="12"/>
  <c r="S153" i="9"/>
  <c r="N13" i="9"/>
  <c r="N14" i="9" s="1"/>
  <c r="J31" i="9"/>
  <c r="S225" i="9"/>
  <c r="AH466" i="9"/>
  <c r="AI466" i="9" s="1"/>
  <c r="L27" i="9"/>
  <c r="S68" i="9"/>
  <c r="S72" i="9" s="1"/>
  <c r="B32" i="2"/>
  <c r="B56" i="2" s="1"/>
  <c r="J32" i="12"/>
  <c r="L27" i="12"/>
  <c r="M13" i="9"/>
  <c r="M14" i="9" s="1"/>
  <c r="K186" i="9"/>
  <c r="J113" i="12"/>
  <c r="K31" i="9"/>
  <c r="J32" i="9"/>
  <c r="N24" i="9"/>
  <c r="N25" i="9" s="1"/>
  <c r="AH452" i="9"/>
  <c r="AI452" i="9" s="1"/>
  <c r="AI434" i="9"/>
  <c r="E30" i="2"/>
  <c r="E45" i="2" s="1"/>
  <c r="K34" i="9"/>
  <c r="N153" i="9"/>
  <c r="L287" i="9"/>
  <c r="N287" i="9" s="1"/>
  <c r="N266" i="9"/>
  <c r="K35" i="9"/>
  <c r="L309" i="9"/>
  <c r="N304" i="9"/>
  <c r="N305" i="9" s="1"/>
  <c r="K285" i="9"/>
  <c r="K266" i="9"/>
  <c r="L351" i="9"/>
  <c r="L74" i="9"/>
  <c r="N74" i="9" s="1"/>
  <c r="L155" i="9"/>
  <c r="L231" i="9"/>
  <c r="N231" i="9" s="1"/>
  <c r="K23" i="9"/>
  <c r="R23" i="9" s="1"/>
  <c r="K13" i="9"/>
  <c r="K21" i="9"/>
  <c r="R21" i="9" s="1"/>
  <c r="J27" i="9"/>
  <c r="K22" i="9"/>
  <c r="R22" i="9" s="1"/>
  <c r="K33" i="9"/>
  <c r="K24" i="9"/>
  <c r="K36" i="9"/>
  <c r="K304" i="9"/>
  <c r="J309" i="9"/>
  <c r="M309" i="9" s="1"/>
  <c r="L194" i="9"/>
  <c r="L186" i="9"/>
  <c r="K194" i="9"/>
  <c r="K121" i="9"/>
  <c r="K119" i="9"/>
  <c r="K120" i="9"/>
  <c r="L251" i="9"/>
  <c r="M250" i="9" s="1"/>
  <c r="K32" i="9"/>
  <c r="K37" i="9"/>
  <c r="L10" i="11"/>
  <c r="AF466" i="9"/>
  <c r="AF481" i="9"/>
  <c r="AH481" i="9" s="1"/>
  <c r="AI481" i="9" s="1"/>
  <c r="D31" i="8"/>
  <c r="D23" i="8"/>
  <c r="D72" i="8"/>
  <c r="D6" i="8"/>
  <c r="D14" i="8"/>
  <c r="K24" i="12"/>
  <c r="K34" i="12"/>
  <c r="K35" i="12"/>
  <c r="K33" i="12"/>
  <c r="K31" i="12"/>
  <c r="K36" i="12"/>
  <c r="K37" i="12"/>
  <c r="K32" i="12"/>
  <c r="S229" i="9"/>
  <c r="C43" i="8"/>
  <c r="S210" i="9"/>
  <c r="L108" i="12"/>
  <c r="S54" i="9"/>
  <c r="F7" i="8"/>
  <c r="H7" i="8" s="1"/>
  <c r="G7" i="8"/>
  <c r="I7" i="8" s="1"/>
  <c r="AN422" i="9"/>
  <c r="AO422" i="9" s="1"/>
  <c r="AN466" i="9"/>
  <c r="G51" i="8"/>
  <c r="I51" i="8" s="1"/>
  <c r="F51" i="8"/>
  <c r="H51" i="8" s="1"/>
  <c r="S266" i="9"/>
  <c r="I6" i="10"/>
  <c r="L309" i="12"/>
  <c r="AN424" i="9"/>
  <c r="AO424" i="9" s="1"/>
  <c r="AR471" i="12"/>
  <c r="AN471" i="9"/>
  <c r="R185" i="9"/>
  <c r="AR470" i="12"/>
  <c r="AN470" i="12"/>
  <c r="AO470" i="12" s="1"/>
  <c r="AN437" i="9"/>
  <c r="AO437" i="9" s="1"/>
  <c r="C5" i="11"/>
  <c r="N5" i="11" s="1"/>
  <c r="Q5" i="11"/>
  <c r="J5" i="11"/>
  <c r="E21" i="8"/>
  <c r="AN440" i="9"/>
  <c r="G28" i="8"/>
  <c r="I28" i="8" s="1"/>
  <c r="F28" i="8"/>
  <c r="H28" i="8" s="1"/>
  <c r="L74" i="12"/>
  <c r="R5" i="13"/>
  <c r="K186" i="12"/>
  <c r="AN496" i="9"/>
  <c r="AO496" i="9" s="1"/>
  <c r="AN426" i="9"/>
  <c r="P5" i="11"/>
  <c r="L5" i="11"/>
  <c r="E22" i="8"/>
  <c r="E25" i="8" s="1"/>
  <c r="F11" i="8"/>
  <c r="H11" i="8" s="1"/>
  <c r="G11" i="8"/>
  <c r="I11" i="8" s="1"/>
  <c r="AN421" i="9"/>
  <c r="AO421" i="9" s="1"/>
  <c r="AN438" i="9"/>
  <c r="AO438" i="9" s="1"/>
  <c r="AN473" i="9"/>
  <c r="J9" i="11"/>
  <c r="Q9" i="11"/>
  <c r="C9" i="11"/>
  <c r="N9" i="11" s="1"/>
  <c r="J105" i="12"/>
  <c r="K104" i="12"/>
  <c r="R104" i="12" s="1"/>
  <c r="K119" i="12"/>
  <c r="K120" i="12"/>
  <c r="K121" i="12"/>
  <c r="J108" i="12"/>
  <c r="K103" i="12"/>
  <c r="R103" i="12" s="1"/>
  <c r="K102" i="12"/>
  <c r="R102" i="12" s="1"/>
  <c r="K97" i="12"/>
  <c r="S304" i="9"/>
  <c r="S305" i="9" s="1"/>
  <c r="AN443" i="9"/>
  <c r="AO443" i="9" s="1"/>
  <c r="AF452" i="9"/>
  <c r="AN434" i="9"/>
  <c r="AO434" i="9" s="1"/>
  <c r="B12" i="11"/>
  <c r="P4" i="11"/>
  <c r="L4" i="11"/>
  <c r="C6" i="10"/>
  <c r="E34" i="10"/>
  <c r="S185" i="9"/>
  <c r="S186" i="9" s="1"/>
  <c r="S13" i="9"/>
  <c r="S14" i="9" s="1"/>
  <c r="AN431" i="9"/>
  <c r="AO431" i="9" s="1"/>
  <c r="D12" i="14"/>
  <c r="C4" i="14"/>
  <c r="AO418" i="9"/>
  <c r="AO416" i="9"/>
  <c r="S11" i="10"/>
  <c r="S15" i="10"/>
  <c r="S16" i="10"/>
  <c r="E64" i="8"/>
  <c r="F15" i="8"/>
  <c r="H15" i="8" s="1"/>
  <c r="H6" i="10"/>
  <c r="AN411" i="9"/>
  <c r="AO411" i="9" s="1"/>
  <c r="AE411" i="9"/>
  <c r="AG411" i="9" s="1"/>
  <c r="S362" i="9"/>
  <c r="AN446" i="9"/>
  <c r="AO446" i="9" s="1"/>
  <c r="AN466" i="12"/>
  <c r="P7" i="11"/>
  <c r="L7" i="11"/>
  <c r="D39" i="8"/>
  <c r="E4" i="8"/>
  <c r="AN445" i="9"/>
  <c r="AO445" i="9" s="1"/>
  <c r="AN449" i="9"/>
  <c r="AN427" i="9"/>
  <c r="AN450" i="9"/>
  <c r="AN423" i="9"/>
  <c r="AO423" i="9" s="1"/>
  <c r="F40" i="8"/>
  <c r="H40" i="8" s="1"/>
  <c r="G40" i="8"/>
  <c r="I40" i="8" s="1"/>
  <c r="H18" i="11"/>
  <c r="G12" i="11"/>
  <c r="R13" i="9"/>
  <c r="R14" i="9" s="1"/>
  <c r="AE480" i="9"/>
  <c r="S395" i="9"/>
  <c r="C5" i="8"/>
  <c r="Q8" i="11"/>
  <c r="J8" i="11"/>
  <c r="C8" i="11"/>
  <c r="N8" i="11" s="1"/>
  <c r="AN440" i="12"/>
  <c r="AR440" i="12"/>
  <c r="S250" i="9"/>
  <c r="S251" i="9" s="1"/>
  <c r="L251" i="12"/>
  <c r="M6" i="10"/>
  <c r="M16" i="10" s="1"/>
  <c r="R362" i="9"/>
  <c r="J14" i="11"/>
  <c r="Q14" i="11"/>
  <c r="C14" i="11"/>
  <c r="N14" i="11" s="1"/>
  <c r="D16" i="11"/>
  <c r="AR480" i="12"/>
  <c r="F47" i="8"/>
  <c r="H47" i="8" s="1"/>
  <c r="G47" i="8"/>
  <c r="I47" i="8" s="1"/>
  <c r="R304" i="9"/>
  <c r="L194" i="12"/>
  <c r="L186" i="12"/>
  <c r="L351" i="12"/>
  <c r="AN439" i="9"/>
  <c r="AO439" i="9" s="1"/>
  <c r="E66" i="8"/>
  <c r="AN477" i="9"/>
  <c r="AO477" i="9" s="1"/>
  <c r="AN451" i="9"/>
  <c r="AE413" i="9"/>
  <c r="AG413" i="9" s="1"/>
  <c r="AN413" i="9"/>
  <c r="AO413" i="9" s="1"/>
  <c r="J10" i="11"/>
  <c r="Q10" i="11"/>
  <c r="J6" i="11"/>
  <c r="C6" i="11"/>
  <c r="N6" i="11" s="1"/>
  <c r="Q6" i="11"/>
  <c r="G41" i="8"/>
  <c r="I41" i="8" s="1"/>
  <c r="F41" i="8"/>
  <c r="H41" i="8" s="1"/>
  <c r="AN473" i="12"/>
  <c r="AR473" i="12"/>
  <c r="F53" i="8"/>
  <c r="H53" i="8" s="1"/>
  <c r="G53" i="8"/>
  <c r="I53" i="8" s="1"/>
  <c r="J27" i="12"/>
  <c r="K13" i="12"/>
  <c r="K23" i="12"/>
  <c r="R23" i="12" s="1"/>
  <c r="K21" i="12"/>
  <c r="R21" i="12" s="1"/>
  <c r="K22" i="12"/>
  <c r="R22" i="12" s="1"/>
  <c r="J112" i="12"/>
  <c r="C22" i="8"/>
  <c r="C25" i="8" s="1"/>
  <c r="AO417" i="9"/>
  <c r="AN447" i="9"/>
  <c r="AO447" i="9" s="1"/>
  <c r="AE414" i="12"/>
  <c r="AR414" i="12"/>
  <c r="C26" i="8"/>
  <c r="C29" i="8" s="1"/>
  <c r="F52" i="8"/>
  <c r="H52" i="8" s="1"/>
  <c r="G52" i="8"/>
  <c r="I52" i="8" s="1"/>
  <c r="C5" i="14"/>
  <c r="L287" i="12"/>
  <c r="AR476" i="12"/>
  <c r="AN476" i="12"/>
  <c r="AN436" i="9"/>
  <c r="AO436" i="9" s="1"/>
  <c r="B16" i="11"/>
  <c r="P16" i="11" s="1"/>
  <c r="P14" i="11"/>
  <c r="L14" i="11"/>
  <c r="AE409" i="12"/>
  <c r="AR409" i="12"/>
  <c r="AE411" i="12"/>
  <c r="AR411" i="12"/>
  <c r="AR466" i="12"/>
  <c r="AE412" i="12"/>
  <c r="AR412" i="12"/>
  <c r="J15" i="11"/>
  <c r="Q15" i="11"/>
  <c r="C15" i="11"/>
  <c r="N15" i="11" s="1"/>
  <c r="AE417" i="9"/>
  <c r="AG417" i="9" s="1"/>
  <c r="AN417" i="9"/>
  <c r="AN495" i="9"/>
  <c r="AO495" i="9" s="1"/>
  <c r="AN429" i="9"/>
  <c r="AO429" i="9" s="1"/>
  <c r="AE413" i="12"/>
  <c r="AR413" i="12"/>
  <c r="S5" i="10"/>
  <c r="E30" i="8"/>
  <c r="D16" i="14"/>
  <c r="C14" i="14"/>
  <c r="J7" i="11"/>
  <c r="C7" i="11"/>
  <c r="N7" i="11" s="1"/>
  <c r="Q7" i="11"/>
  <c r="J4" i="11"/>
  <c r="Q4" i="11"/>
  <c r="C4" i="11"/>
  <c r="N4" i="11" s="1"/>
  <c r="D12" i="11"/>
  <c r="AE410" i="12"/>
  <c r="AR410" i="12"/>
  <c r="D70" i="8"/>
  <c r="G59" i="8"/>
  <c r="I59" i="8" s="1"/>
  <c r="F59" i="8"/>
  <c r="H59" i="8" s="1"/>
  <c r="AN430" i="9"/>
  <c r="AO430" i="9" s="1"/>
  <c r="P9" i="11"/>
  <c r="L9" i="11"/>
  <c r="AN472" i="9"/>
  <c r="AO472" i="9" s="1"/>
  <c r="S135" i="9"/>
  <c r="AN448" i="9"/>
  <c r="AO448" i="9" s="1"/>
  <c r="G54" i="8"/>
  <c r="I54" i="8" s="1"/>
  <c r="F54" i="8"/>
  <c r="H54" i="8" s="1"/>
  <c r="S5" i="13"/>
  <c r="K194" i="12"/>
  <c r="E9" i="8"/>
  <c r="E12" i="8" s="1"/>
  <c r="C8" i="14"/>
  <c r="W176" i="12"/>
  <c r="AN478" i="9"/>
  <c r="AN497" i="9"/>
  <c r="AO497" i="9" s="1"/>
  <c r="AR421" i="12"/>
  <c r="AN435" i="9"/>
  <c r="AO435" i="9" s="1"/>
  <c r="AN475" i="12"/>
  <c r="AR475" i="12"/>
  <c r="F44" i="8"/>
  <c r="H44" i="8" s="1"/>
  <c r="G44" i="8"/>
  <c r="I44" i="8" s="1"/>
  <c r="AN444" i="9"/>
  <c r="AO444" i="9" s="1"/>
  <c r="AN428" i="9"/>
  <c r="AO428" i="9" s="1"/>
  <c r="S13" i="12"/>
  <c r="C4" i="8"/>
  <c r="C13" i="8"/>
  <c r="S41" i="9"/>
  <c r="AN475" i="9"/>
  <c r="T6" i="10"/>
  <c r="R16" i="10"/>
  <c r="AR472" i="12"/>
  <c r="AN472" i="12"/>
  <c r="D6" i="10"/>
  <c r="L155" i="12"/>
  <c r="E26" i="8"/>
  <c r="G42" i="8"/>
  <c r="I42" i="8" s="1"/>
  <c r="F42" i="8"/>
  <c r="H42" i="8" s="1"/>
  <c r="AN442" i="9"/>
  <c r="AO442" i="9" s="1"/>
  <c r="G45" i="8"/>
  <c r="I45" i="8" s="1"/>
  <c r="F45" i="8"/>
  <c r="H45" i="8" s="1"/>
  <c r="J309" i="12"/>
  <c r="K304" i="12"/>
  <c r="G58" i="8"/>
  <c r="I58" i="8" s="1"/>
  <c r="F58" i="8"/>
  <c r="H58" i="8" s="1"/>
  <c r="AO453" i="9"/>
  <c r="S330" i="9"/>
  <c r="E43" i="8"/>
  <c r="E46" i="8" s="1"/>
  <c r="R5" i="10"/>
  <c r="AN479" i="9"/>
  <c r="AN416" i="9"/>
  <c r="AE416" i="9"/>
  <c r="AG416" i="9" s="1"/>
  <c r="B16" i="14"/>
  <c r="F32" i="8"/>
  <c r="H32" i="8" s="1"/>
  <c r="K377" i="9"/>
  <c r="L397" i="9"/>
  <c r="S377" i="9"/>
  <c r="P15" i="11"/>
  <c r="L15" i="11"/>
  <c r="G24" i="8"/>
  <c r="I24" i="8" s="1"/>
  <c r="F24" i="8"/>
  <c r="H24" i="8" s="1"/>
  <c r="C21" i="8"/>
  <c r="L8" i="11"/>
  <c r="P8" i="11"/>
  <c r="E5" i="8"/>
  <c r="L231" i="12"/>
  <c r="L6" i="11"/>
  <c r="P6" i="11"/>
  <c r="AE414" i="9"/>
  <c r="AG414" i="9" s="1"/>
  <c r="C64" i="8"/>
  <c r="AN414" i="9"/>
  <c r="AO414" i="9" s="1"/>
  <c r="C15" i="14"/>
  <c r="J31" i="12"/>
  <c r="AN425" i="9"/>
  <c r="AN418" i="9"/>
  <c r="AE418" i="9"/>
  <c r="AG418" i="9" s="1"/>
  <c r="AN441" i="9"/>
  <c r="AO441" i="9" s="1"/>
  <c r="AN410" i="9"/>
  <c r="AO410" i="9" s="1"/>
  <c r="AE410" i="9"/>
  <c r="AG410" i="9" s="1"/>
  <c r="AF419" i="9"/>
  <c r="AH419" i="9" s="1"/>
  <c r="AI419" i="9" s="1"/>
  <c r="AN409" i="9"/>
  <c r="AO409" i="9" s="1"/>
  <c r="AE409" i="9"/>
  <c r="AG409" i="9" s="1"/>
  <c r="F57" i="8"/>
  <c r="H57" i="8" s="1"/>
  <c r="G57" i="8"/>
  <c r="I57" i="8" s="1"/>
  <c r="C9" i="14"/>
  <c r="AN470" i="9"/>
  <c r="AO470" i="9" s="1"/>
  <c r="C7" i="14"/>
  <c r="S122" i="9"/>
  <c r="C30" i="8"/>
  <c r="AN415" i="9"/>
  <c r="AO415" i="9" s="1"/>
  <c r="AE415" i="9"/>
  <c r="AG415" i="9" s="1"/>
  <c r="C66" i="8"/>
  <c r="AN412" i="9"/>
  <c r="AO412" i="9" s="1"/>
  <c r="AE412" i="9"/>
  <c r="AG412" i="9" s="1"/>
  <c r="AF433" i="9"/>
  <c r="AH433" i="9" s="1"/>
  <c r="AI433" i="9" s="1"/>
  <c r="AN474" i="9"/>
  <c r="AO474" i="9" s="1"/>
  <c r="B12" i="14"/>
  <c r="E13" i="8"/>
  <c r="AN476" i="9"/>
  <c r="AE415" i="12"/>
  <c r="AR415" i="12"/>
  <c r="O6" i="10"/>
  <c r="C6" i="14"/>
  <c r="AR434" i="12"/>
  <c r="S24" i="9"/>
  <c r="S25" i="9" s="1"/>
  <c r="C9" i="8"/>
  <c r="C12" i="8" s="1"/>
  <c r="F18" i="11"/>
  <c r="S185" i="12" l="1"/>
  <c r="S186" i="12" s="1"/>
  <c r="Q194" i="12"/>
  <c r="S122" i="12"/>
  <c r="Q155" i="12"/>
  <c r="S155" i="12" s="1"/>
  <c r="AN421" i="12"/>
  <c r="AO421" i="12" s="1"/>
  <c r="AL433" i="12"/>
  <c r="AN428" i="12"/>
  <c r="AO428" i="12" s="1"/>
  <c r="AN479" i="12"/>
  <c r="AO479" i="12" s="1"/>
  <c r="AN446" i="12"/>
  <c r="AO446" i="12" s="1"/>
  <c r="AN424" i="12"/>
  <c r="AO424" i="12" s="1"/>
  <c r="X466" i="9"/>
  <c r="N27" i="9"/>
  <c r="N85" i="9" s="1"/>
  <c r="AN441" i="12"/>
  <c r="AO441" i="12" s="1"/>
  <c r="N6" i="10"/>
  <c r="L24" i="21"/>
  <c r="M24" i="21" s="1"/>
  <c r="S304" i="12"/>
  <c r="S305" i="12" s="1"/>
  <c r="AN425" i="12"/>
  <c r="AO425" i="12" s="1"/>
  <c r="AN418" i="12"/>
  <c r="AO418" i="12" s="1"/>
  <c r="S14" i="12"/>
  <c r="AN445" i="12"/>
  <c r="AO445" i="12" s="1"/>
  <c r="AN435" i="12"/>
  <c r="AO435" i="12" s="1"/>
  <c r="P186" i="12"/>
  <c r="AJ468" i="9"/>
  <c r="AL483" i="9"/>
  <c r="AN436" i="12"/>
  <c r="AO436" i="12" s="1"/>
  <c r="P349" i="12"/>
  <c r="M27" i="9"/>
  <c r="M28" i="9" s="1"/>
  <c r="K78" i="9"/>
  <c r="R13" i="12"/>
  <c r="R14" i="12" s="1"/>
  <c r="S395" i="12"/>
  <c r="K8" i="21"/>
  <c r="K10" i="21"/>
  <c r="L10" i="21" s="1"/>
  <c r="K22" i="21"/>
  <c r="L22" i="21" s="1"/>
  <c r="M22" i="21" s="1"/>
  <c r="L9" i="21"/>
  <c r="M9" i="21" s="1"/>
  <c r="AO466" i="12"/>
  <c r="Q351" i="12"/>
  <c r="P351" i="12" s="1"/>
  <c r="Q27" i="12"/>
  <c r="AN447" i="12"/>
  <c r="AO447" i="12" s="1"/>
  <c r="P330" i="12"/>
  <c r="AN422" i="12"/>
  <c r="AO422" i="12" s="1"/>
  <c r="AN437" i="12"/>
  <c r="AO437" i="12" s="1"/>
  <c r="F27" i="12"/>
  <c r="E72" i="12" s="1"/>
  <c r="AN439" i="12"/>
  <c r="AO439" i="12" s="1"/>
  <c r="AN438" i="12"/>
  <c r="AO438" i="12" s="1"/>
  <c r="K26" i="21"/>
  <c r="L26" i="21" s="1"/>
  <c r="M26" i="21" s="1"/>
  <c r="K16" i="21"/>
  <c r="L16" i="21" s="1"/>
  <c r="L15" i="21"/>
  <c r="M15" i="21" s="1"/>
  <c r="AN429" i="12"/>
  <c r="AO429" i="12" s="1"/>
  <c r="F108" i="12"/>
  <c r="E153" i="12" s="1"/>
  <c r="AN430" i="12"/>
  <c r="AO430" i="12" s="1"/>
  <c r="S98" i="12"/>
  <c r="S105" i="12"/>
  <c r="S106" i="12" s="1"/>
  <c r="Z481" i="12"/>
  <c r="Z433" i="12"/>
  <c r="E116" i="12"/>
  <c r="P116" i="12"/>
  <c r="AK412" i="12"/>
  <c r="Y415" i="12"/>
  <c r="P117" i="12"/>
  <c r="AK410" i="12"/>
  <c r="R98" i="12"/>
  <c r="AK411" i="12"/>
  <c r="P118" i="12"/>
  <c r="E113" i="12"/>
  <c r="Y413" i="12"/>
  <c r="E119" i="12"/>
  <c r="AN474" i="12"/>
  <c r="AN411" i="12"/>
  <c r="AO411" i="12" s="1"/>
  <c r="AL452" i="12"/>
  <c r="Q231" i="12"/>
  <c r="S231" i="12" s="1"/>
  <c r="AN410" i="12"/>
  <c r="AO410" i="12" s="1"/>
  <c r="E349" i="12"/>
  <c r="D113" i="12"/>
  <c r="Z452" i="12"/>
  <c r="Z419" i="12"/>
  <c r="Y409" i="12"/>
  <c r="Y418" i="12"/>
  <c r="AK415" i="12"/>
  <c r="F155" i="12"/>
  <c r="AK416" i="12"/>
  <c r="Q74" i="12"/>
  <c r="P377" i="12"/>
  <c r="Q397" i="12"/>
  <c r="P397" i="12" s="1"/>
  <c r="P114" i="12"/>
  <c r="F287" i="12"/>
  <c r="E287" i="12" s="1"/>
  <c r="E266" i="12"/>
  <c r="E115" i="12"/>
  <c r="AK413" i="12"/>
  <c r="F231" i="12"/>
  <c r="Q251" i="12"/>
  <c r="R250" i="12" s="1"/>
  <c r="AL419" i="12"/>
  <c r="AK409" i="12"/>
  <c r="AN412" i="12"/>
  <c r="AO412" i="12" s="1"/>
  <c r="O112" i="12"/>
  <c r="Q108" i="12"/>
  <c r="S108" i="12" s="1"/>
  <c r="S109" i="12" s="1"/>
  <c r="D24" i="12"/>
  <c r="D27" i="12"/>
  <c r="E13" i="12"/>
  <c r="P113" i="12"/>
  <c r="E304" i="12"/>
  <c r="D309" i="12"/>
  <c r="O27" i="12"/>
  <c r="P13" i="12"/>
  <c r="E377" i="12"/>
  <c r="F397" i="12"/>
  <c r="E397" i="12" s="1"/>
  <c r="Y410" i="12"/>
  <c r="E114" i="12"/>
  <c r="P362" i="12"/>
  <c r="R362" i="12"/>
  <c r="E120" i="12"/>
  <c r="P121" i="12"/>
  <c r="E118" i="12"/>
  <c r="E330" i="12"/>
  <c r="F351" i="12"/>
  <c r="E351" i="12" s="1"/>
  <c r="AL481" i="12"/>
  <c r="P285" i="12"/>
  <c r="P120" i="12"/>
  <c r="AK417" i="12"/>
  <c r="Q287" i="12"/>
  <c r="P287" i="12" s="1"/>
  <c r="P266" i="12"/>
  <c r="F74" i="12"/>
  <c r="P304" i="12"/>
  <c r="O309" i="12"/>
  <c r="R309" i="12" s="1"/>
  <c r="AN434" i="12"/>
  <c r="AO434" i="12" s="1"/>
  <c r="Y414" i="12"/>
  <c r="D105" i="12"/>
  <c r="E105" i="12" s="1"/>
  <c r="E97" i="12"/>
  <c r="D108" i="12"/>
  <c r="S363" i="12"/>
  <c r="Y412" i="12"/>
  <c r="E117" i="12"/>
  <c r="F194" i="12"/>
  <c r="F186" i="12"/>
  <c r="P112" i="12"/>
  <c r="Y417" i="12"/>
  <c r="Y416" i="12"/>
  <c r="Y411" i="12"/>
  <c r="AK418" i="12"/>
  <c r="AK414" i="12"/>
  <c r="O108" i="12"/>
  <c r="R108" i="12" s="1"/>
  <c r="R109" i="12" s="1"/>
  <c r="P97" i="12"/>
  <c r="O105" i="12"/>
  <c r="P105" i="12" s="1"/>
  <c r="E186" i="12"/>
  <c r="F251" i="12"/>
  <c r="E285" i="12"/>
  <c r="P115" i="12"/>
  <c r="P210" i="12"/>
  <c r="Q186" i="12"/>
  <c r="O24" i="12"/>
  <c r="E112" i="12"/>
  <c r="X419" i="9"/>
  <c r="X452" i="9"/>
  <c r="X433" i="9"/>
  <c r="X468" i="9"/>
  <c r="Z483" i="9"/>
  <c r="X481" i="9"/>
  <c r="E314" i="9"/>
  <c r="Z406" i="9"/>
  <c r="Y448" i="9" s="1"/>
  <c r="R108" i="9"/>
  <c r="R109" i="9" s="1"/>
  <c r="AR446" i="12"/>
  <c r="AR422" i="12"/>
  <c r="AR439" i="12"/>
  <c r="AR441" i="12"/>
  <c r="AR435" i="12"/>
  <c r="AR445" i="12"/>
  <c r="AR429" i="12"/>
  <c r="AN431" i="12"/>
  <c r="AO431" i="12" s="1"/>
  <c r="AN442" i="12"/>
  <c r="AO442" i="12" s="1"/>
  <c r="AR437" i="12"/>
  <c r="AR436" i="12"/>
  <c r="AR424" i="12"/>
  <c r="AN426" i="12"/>
  <c r="AO426" i="12" s="1"/>
  <c r="AR430" i="12"/>
  <c r="AR428" i="12"/>
  <c r="S155" i="9"/>
  <c r="AN423" i="12"/>
  <c r="AO423" i="12" s="1"/>
  <c r="AN443" i="12"/>
  <c r="AO443" i="12" s="1"/>
  <c r="AN451" i="12"/>
  <c r="AO451" i="12" s="1"/>
  <c r="AR447" i="12"/>
  <c r="AR418" i="12"/>
  <c r="AE418" i="12"/>
  <c r="AN416" i="12"/>
  <c r="AO416" i="12" s="1"/>
  <c r="AR438" i="12"/>
  <c r="AF452" i="12"/>
  <c r="AR452" i="12" s="1"/>
  <c r="AN444" i="12"/>
  <c r="AO444" i="12" s="1"/>
  <c r="AN450" i="12"/>
  <c r="AO450" i="12" s="1"/>
  <c r="AN449" i="12"/>
  <c r="AO449" i="12" s="1"/>
  <c r="AR449" i="12"/>
  <c r="AR479" i="12"/>
  <c r="AE417" i="12"/>
  <c r="AR477" i="12"/>
  <c r="AF419" i="12"/>
  <c r="AN417" i="12"/>
  <c r="AO417" i="12" s="1"/>
  <c r="AN427" i="12"/>
  <c r="AO427" i="12" s="1"/>
  <c r="AR416" i="12"/>
  <c r="AF481" i="12"/>
  <c r="AR481" i="12" s="1"/>
  <c r="AR425" i="12"/>
  <c r="AN478" i="12"/>
  <c r="AO478" i="12" s="1"/>
  <c r="AR478" i="12"/>
  <c r="AF433" i="12"/>
  <c r="S377" i="12"/>
  <c r="L397" i="12"/>
  <c r="K377" i="12"/>
  <c r="K395" i="12"/>
  <c r="L362" i="12"/>
  <c r="S362" i="12" s="1"/>
  <c r="S360" i="12"/>
  <c r="S229" i="12"/>
  <c r="D73" i="8"/>
  <c r="L233" i="9"/>
  <c r="N233" i="9" s="1"/>
  <c r="L28" i="9"/>
  <c r="K72" i="12"/>
  <c r="S285" i="12"/>
  <c r="E72" i="8"/>
  <c r="E31" i="8"/>
  <c r="E23" i="8"/>
  <c r="K54" i="9"/>
  <c r="K41" i="9"/>
  <c r="E6" i="8"/>
  <c r="K72" i="9"/>
  <c r="AO466" i="9"/>
  <c r="K287" i="9"/>
  <c r="L289" i="9"/>
  <c r="N289" i="9" s="1"/>
  <c r="K135" i="9"/>
  <c r="K210" i="12"/>
  <c r="K41" i="12"/>
  <c r="R250" i="9"/>
  <c r="K54" i="12"/>
  <c r="K135" i="12"/>
  <c r="K153" i="12"/>
  <c r="N10" i="11"/>
  <c r="B18" i="14"/>
  <c r="X18" i="12"/>
  <c r="K122" i="12"/>
  <c r="L85" i="12"/>
  <c r="C67" i="8"/>
  <c r="F67" i="8" s="1"/>
  <c r="H67" i="8" s="1"/>
  <c r="D5" i="13"/>
  <c r="D10" i="13" s="1"/>
  <c r="K155" i="9"/>
  <c r="N155" i="9"/>
  <c r="K229" i="12"/>
  <c r="L314" i="9"/>
  <c r="K351" i="9" s="1"/>
  <c r="N309" i="9"/>
  <c r="N310" i="9" s="1"/>
  <c r="K210" i="9"/>
  <c r="N194" i="9"/>
  <c r="N195" i="9" s="1"/>
  <c r="N351" i="9"/>
  <c r="K153" i="9"/>
  <c r="J314" i="9"/>
  <c r="AF406" i="9" s="1"/>
  <c r="K309" i="9"/>
  <c r="L165" i="9"/>
  <c r="N165" i="9" s="1"/>
  <c r="K231" i="9"/>
  <c r="K74" i="9"/>
  <c r="L85" i="9"/>
  <c r="L195" i="9"/>
  <c r="M194" i="9" s="1"/>
  <c r="K27" i="9"/>
  <c r="K229" i="9"/>
  <c r="E14" i="8"/>
  <c r="J16" i="11"/>
  <c r="D71" i="8"/>
  <c r="T16" i="10"/>
  <c r="J12" i="11"/>
  <c r="N12" i="11"/>
  <c r="F29" i="8"/>
  <c r="H29" i="8" s="1"/>
  <c r="G12" i="8"/>
  <c r="I12" i="8" s="1"/>
  <c r="F12" i="8"/>
  <c r="H12" i="8" s="1"/>
  <c r="S159" i="12"/>
  <c r="S163" i="12" s="1"/>
  <c r="G64" i="8"/>
  <c r="I64" i="8" s="1"/>
  <c r="F64" i="8"/>
  <c r="H64" i="8" s="1"/>
  <c r="S10" i="13"/>
  <c r="C16" i="14"/>
  <c r="C5" i="13"/>
  <c r="K27" i="12"/>
  <c r="O5" i="13"/>
  <c r="L195" i="12"/>
  <c r="L233" i="12"/>
  <c r="S17" i="10"/>
  <c r="AM414" i="9"/>
  <c r="E8" i="8"/>
  <c r="E27" i="8"/>
  <c r="E29" i="8"/>
  <c r="G29" i="8" s="1"/>
  <c r="I29" i="8" s="1"/>
  <c r="K155" i="12"/>
  <c r="S74" i="9"/>
  <c r="E10" i="8"/>
  <c r="N16" i="11"/>
  <c r="K287" i="12"/>
  <c r="L12" i="11"/>
  <c r="AN452" i="9"/>
  <c r="AO452" i="9" s="1"/>
  <c r="AN433" i="9"/>
  <c r="AO433" i="9" s="1"/>
  <c r="AM412" i="9"/>
  <c r="K231" i="12"/>
  <c r="K397" i="9"/>
  <c r="S397" i="9"/>
  <c r="AM417" i="9"/>
  <c r="AM411" i="9"/>
  <c r="S287" i="9"/>
  <c r="C39" i="8"/>
  <c r="O5" i="10"/>
  <c r="S194" i="9"/>
  <c r="S195" i="9" s="1"/>
  <c r="C65" i="8"/>
  <c r="S309" i="9"/>
  <c r="S310" i="9" s="1"/>
  <c r="H5" i="13"/>
  <c r="K108" i="12"/>
  <c r="S159" i="9"/>
  <c r="S163" i="9" s="1"/>
  <c r="E32" i="8"/>
  <c r="G32" i="8" s="1"/>
  <c r="I32" i="8" s="1"/>
  <c r="AN471" i="12"/>
  <c r="AO471" i="12" s="1"/>
  <c r="L289" i="12"/>
  <c r="I5" i="13"/>
  <c r="L165" i="12"/>
  <c r="AM410" i="9"/>
  <c r="AM418" i="9"/>
  <c r="C27" i="8"/>
  <c r="G26" i="8"/>
  <c r="I26" i="8" s="1"/>
  <c r="F26" i="8"/>
  <c r="H26" i="8" s="1"/>
  <c r="C16" i="11"/>
  <c r="Q16" i="11"/>
  <c r="H16" i="10"/>
  <c r="J6" i="10"/>
  <c r="K105" i="12"/>
  <c r="G21" i="8"/>
  <c r="I21" i="8" s="1"/>
  <c r="F21" i="8"/>
  <c r="H21" i="8" s="1"/>
  <c r="H5" i="10"/>
  <c r="F25" i="8"/>
  <c r="H25" i="8" s="1"/>
  <c r="G25" i="8"/>
  <c r="I25" i="8" s="1"/>
  <c r="F9" i="8"/>
  <c r="H9" i="8" s="1"/>
  <c r="C10" i="8"/>
  <c r="G9" i="8"/>
  <c r="I9" i="8" s="1"/>
  <c r="G30" i="8"/>
  <c r="I30" i="8" s="1"/>
  <c r="C31" i="8"/>
  <c r="F30" i="8"/>
  <c r="H30" i="8" s="1"/>
  <c r="E39" i="8"/>
  <c r="R20" i="10"/>
  <c r="R11" i="10"/>
  <c r="T11" i="10" s="1"/>
  <c r="R15" i="10"/>
  <c r="R7" i="10"/>
  <c r="R8" i="10" s="1"/>
  <c r="R22" i="10"/>
  <c r="T5" i="10"/>
  <c r="R10" i="10"/>
  <c r="E65" i="8"/>
  <c r="P12" i="11"/>
  <c r="B18" i="11"/>
  <c r="T5" i="13"/>
  <c r="R15" i="13"/>
  <c r="R11" i="13"/>
  <c r="R10" i="13"/>
  <c r="I15" i="10"/>
  <c r="I11" i="10"/>
  <c r="I16" i="10"/>
  <c r="S231" i="9"/>
  <c r="AM416" i="9"/>
  <c r="N15" i="10"/>
  <c r="N11" i="10"/>
  <c r="N16" i="10"/>
  <c r="O16" i="10" s="1"/>
  <c r="G66" i="8"/>
  <c r="I66" i="8" s="1"/>
  <c r="F66" i="8"/>
  <c r="H66" i="8" s="1"/>
  <c r="AM409" i="9"/>
  <c r="S351" i="9"/>
  <c r="K309" i="12"/>
  <c r="J314" i="12"/>
  <c r="C5" i="10"/>
  <c r="R27" i="9"/>
  <c r="R28" i="9" s="1"/>
  <c r="I5" i="10"/>
  <c r="AM413" i="9"/>
  <c r="R309" i="9"/>
  <c r="G5" i="8"/>
  <c r="I5" i="8" s="1"/>
  <c r="F5" i="8"/>
  <c r="H5" i="8" s="1"/>
  <c r="C6" i="8"/>
  <c r="G18" i="11"/>
  <c r="L399" i="9"/>
  <c r="C12" i="14"/>
  <c r="D18" i="14"/>
  <c r="M5" i="13"/>
  <c r="M5" i="10"/>
  <c r="C38" i="8"/>
  <c r="C46" i="8" s="1"/>
  <c r="F22" i="8"/>
  <c r="H22" i="8" s="1"/>
  <c r="C23" i="8"/>
  <c r="G22" i="8"/>
  <c r="I22" i="8" s="1"/>
  <c r="D62" i="8"/>
  <c r="D5" i="10"/>
  <c r="S27" i="9"/>
  <c r="C16" i="10"/>
  <c r="E6" i="10"/>
  <c r="C72" i="8"/>
  <c r="AO471" i="9"/>
  <c r="E70" i="8"/>
  <c r="G4" i="8"/>
  <c r="I4" i="8" s="1"/>
  <c r="F4" i="8"/>
  <c r="H4" i="8" s="1"/>
  <c r="AM415" i="9"/>
  <c r="AF468" i="9"/>
  <c r="AH468" i="9" s="1"/>
  <c r="AI468" i="9" s="1"/>
  <c r="C70" i="8"/>
  <c r="AN419" i="9"/>
  <c r="AO419" i="9" s="1"/>
  <c r="D50" i="8"/>
  <c r="D55" i="8" s="1"/>
  <c r="D15" i="10"/>
  <c r="D11" i="10"/>
  <c r="D16" i="10"/>
  <c r="G13" i="8"/>
  <c r="I13" i="8" s="1"/>
  <c r="C14" i="8"/>
  <c r="F13" i="8"/>
  <c r="H13" i="8" s="1"/>
  <c r="C12" i="11"/>
  <c r="D18" i="11"/>
  <c r="Q12" i="11"/>
  <c r="S7" i="10"/>
  <c r="S8" i="10" s="1"/>
  <c r="S22" i="10"/>
  <c r="S20" i="10"/>
  <c r="S10" i="10"/>
  <c r="S12" i="10" s="1"/>
  <c r="L16" i="11"/>
  <c r="S285" i="9"/>
  <c r="K74" i="12"/>
  <c r="S309" i="12"/>
  <c r="S310" i="12" s="1"/>
  <c r="L314" i="12"/>
  <c r="C8" i="8"/>
  <c r="F43" i="8"/>
  <c r="H43" i="8" s="1"/>
  <c r="G43" i="8"/>
  <c r="I43" i="8" s="1"/>
  <c r="AL407" i="12" l="1"/>
  <c r="P54" i="12"/>
  <c r="AL468" i="12"/>
  <c r="AL483" i="12" s="1"/>
  <c r="AL489" i="12" s="1"/>
  <c r="S351" i="12"/>
  <c r="Q353" i="12"/>
  <c r="P27" i="12"/>
  <c r="N28" i="9"/>
  <c r="E108" i="12"/>
  <c r="P72" i="12"/>
  <c r="X407" i="9"/>
  <c r="AF407" i="9"/>
  <c r="AD407" i="9" s="1"/>
  <c r="P41" i="12"/>
  <c r="S27" i="12"/>
  <c r="S28" i="12" s="1"/>
  <c r="Q85" i="12"/>
  <c r="S85" i="12" s="1"/>
  <c r="S74" i="12"/>
  <c r="F399" i="12"/>
  <c r="P135" i="12"/>
  <c r="AL489" i="9"/>
  <c r="AL488" i="9" s="1"/>
  <c r="AK488" i="9" s="1"/>
  <c r="AK483" i="9"/>
  <c r="E27" i="12"/>
  <c r="E135" i="12"/>
  <c r="P74" i="12"/>
  <c r="E54" i="12"/>
  <c r="E122" i="12"/>
  <c r="R27" i="12"/>
  <c r="R28" i="12" s="1"/>
  <c r="E41" i="12"/>
  <c r="E74" i="12"/>
  <c r="Z468" i="12"/>
  <c r="E155" i="12"/>
  <c r="Z407" i="12"/>
  <c r="X452" i="12" s="1"/>
  <c r="K21" i="21"/>
  <c r="L21" i="21" s="1"/>
  <c r="M21" i="21" s="1"/>
  <c r="L8" i="21"/>
  <c r="M8" i="21" s="1"/>
  <c r="AN433" i="12"/>
  <c r="AO433" i="12" s="1"/>
  <c r="Q399" i="12"/>
  <c r="F165" i="12"/>
  <c r="F353" i="12"/>
  <c r="E210" i="12"/>
  <c r="E231" i="12"/>
  <c r="S194" i="12"/>
  <c r="S195" i="12" s="1"/>
  <c r="F289" i="12"/>
  <c r="E229" i="12"/>
  <c r="AJ433" i="12"/>
  <c r="P122" i="12"/>
  <c r="F85" i="12"/>
  <c r="P155" i="12"/>
  <c r="P309" i="12"/>
  <c r="O314" i="12"/>
  <c r="R314" i="12" s="1"/>
  <c r="E24" i="12"/>
  <c r="E31" i="12"/>
  <c r="E40" i="12"/>
  <c r="E33" i="12"/>
  <c r="E35" i="12"/>
  <c r="E37" i="12"/>
  <c r="E36" i="12"/>
  <c r="E34" i="12"/>
  <c r="E38" i="12"/>
  <c r="E32" i="12"/>
  <c r="E39" i="12"/>
  <c r="Q165" i="12"/>
  <c r="S165" i="12" s="1"/>
  <c r="F233" i="12"/>
  <c r="F195" i="12"/>
  <c r="Q289" i="12"/>
  <c r="S289" i="12" s="1"/>
  <c r="P231" i="12"/>
  <c r="D314" i="12"/>
  <c r="E309" i="12"/>
  <c r="P153" i="12"/>
  <c r="P24" i="12"/>
  <c r="P32" i="12"/>
  <c r="P34" i="12"/>
  <c r="P40" i="12"/>
  <c r="P33" i="12"/>
  <c r="P36" i="12"/>
  <c r="P39" i="12"/>
  <c r="P31" i="12"/>
  <c r="P38" i="12"/>
  <c r="P35" i="12"/>
  <c r="P37" i="12"/>
  <c r="P229" i="12"/>
  <c r="Q233" i="12"/>
  <c r="S233" i="12" s="1"/>
  <c r="Q195" i="12"/>
  <c r="R194" i="12" s="1"/>
  <c r="P108" i="12"/>
  <c r="Z489" i="9"/>
  <c r="Z488" i="9" s="1"/>
  <c r="Y488" i="9" s="1"/>
  <c r="Y483" i="9"/>
  <c r="S287" i="12"/>
  <c r="AN452" i="12"/>
  <c r="AO452" i="12" s="1"/>
  <c r="AF468" i="12"/>
  <c r="AR468" i="12" s="1"/>
  <c r="AR419" i="12"/>
  <c r="AR433" i="12"/>
  <c r="AN419" i="12"/>
  <c r="AO419" i="12" s="1"/>
  <c r="L399" i="12"/>
  <c r="S397" i="12"/>
  <c r="K397" i="12"/>
  <c r="E62" i="8"/>
  <c r="L353" i="9"/>
  <c r="L400" i="9" s="1"/>
  <c r="C18" i="14"/>
  <c r="K314" i="9"/>
  <c r="M314" i="9"/>
  <c r="N314" i="9"/>
  <c r="N315" i="9" s="1"/>
  <c r="L315" i="9"/>
  <c r="K349" i="9"/>
  <c r="K330" i="9"/>
  <c r="AF406" i="12"/>
  <c r="AR406" i="12" s="1"/>
  <c r="K351" i="12"/>
  <c r="S165" i="9"/>
  <c r="S23" i="10"/>
  <c r="J18" i="11"/>
  <c r="I17" i="10"/>
  <c r="G46" i="8"/>
  <c r="I46" i="8" s="1"/>
  <c r="F46" i="8"/>
  <c r="H46" i="8" s="1"/>
  <c r="M15" i="10"/>
  <c r="M11" i="10"/>
  <c r="O11" i="10" s="1"/>
  <c r="M10" i="10"/>
  <c r="M22" i="10"/>
  <c r="M20" i="10"/>
  <c r="M7" i="10"/>
  <c r="M8" i="10" s="1"/>
  <c r="AN468" i="9"/>
  <c r="AO468" i="9" s="1"/>
  <c r="N17" i="10"/>
  <c r="T10" i="13"/>
  <c r="R12" i="13"/>
  <c r="S82" i="9"/>
  <c r="S83" i="9" s="1"/>
  <c r="S85" i="9" s="1"/>
  <c r="N5" i="13"/>
  <c r="S82" i="12"/>
  <c r="S83" i="12" s="1"/>
  <c r="Q18" i="11"/>
  <c r="C18" i="11"/>
  <c r="F6" i="8"/>
  <c r="H6" i="8" s="1"/>
  <c r="G6" i="8"/>
  <c r="I6" i="8" s="1"/>
  <c r="G14" i="8"/>
  <c r="I14" i="8" s="1"/>
  <c r="F14" i="8"/>
  <c r="H14" i="8" s="1"/>
  <c r="T20" i="10"/>
  <c r="T25" i="10" s="1"/>
  <c r="R23" i="10"/>
  <c r="I10" i="13"/>
  <c r="C10" i="13"/>
  <c r="E5" i="13"/>
  <c r="C15" i="13"/>
  <c r="C11" i="13"/>
  <c r="C50" i="8"/>
  <c r="F65" i="8"/>
  <c r="H65" i="8" s="1"/>
  <c r="G65" i="8"/>
  <c r="I65" i="8" s="1"/>
  <c r="G8" i="8"/>
  <c r="I8" i="8" s="1"/>
  <c r="F8" i="8"/>
  <c r="H8" i="8" s="1"/>
  <c r="F72" i="8"/>
  <c r="H72" i="8" s="1"/>
  <c r="G72" i="8"/>
  <c r="I72" i="8" s="1"/>
  <c r="S399" i="9"/>
  <c r="T10" i="10"/>
  <c r="T12" i="10" s="1"/>
  <c r="R12" i="10"/>
  <c r="H10" i="10"/>
  <c r="H15" i="10"/>
  <c r="H20" i="10"/>
  <c r="J5" i="10"/>
  <c r="H22" i="10"/>
  <c r="H11" i="10"/>
  <c r="J11" i="10" s="1"/>
  <c r="H7" i="10"/>
  <c r="H8" i="10" s="1"/>
  <c r="H15" i="13"/>
  <c r="H11" i="13"/>
  <c r="H10" i="13"/>
  <c r="J5" i="13"/>
  <c r="S289" i="9"/>
  <c r="E56" i="8"/>
  <c r="D74" i="8"/>
  <c r="D75" i="8" s="1"/>
  <c r="F23" i="8"/>
  <c r="H23" i="8" s="1"/>
  <c r="G23" i="8"/>
  <c r="I23" i="8" s="1"/>
  <c r="I7" i="10"/>
  <c r="I8" i="10" s="1"/>
  <c r="I22" i="10"/>
  <c r="I20" i="10"/>
  <c r="I10" i="10"/>
  <c r="I12" i="10" s="1"/>
  <c r="S28" i="9"/>
  <c r="T7" i="10"/>
  <c r="L18" i="11"/>
  <c r="E50" i="8"/>
  <c r="E55" i="8" s="1"/>
  <c r="R314" i="9"/>
  <c r="D7" i="10"/>
  <c r="D8" i="10" s="1"/>
  <c r="D10" i="10"/>
  <c r="D12" i="10" s="1"/>
  <c r="D22" i="10"/>
  <c r="D20" i="10"/>
  <c r="C20" i="10"/>
  <c r="C11" i="10"/>
  <c r="E11" i="10" s="1"/>
  <c r="C15" i="10"/>
  <c r="C22" i="10"/>
  <c r="E5" i="10"/>
  <c r="C10" i="10"/>
  <c r="C7" i="10"/>
  <c r="C8" i="10" s="1"/>
  <c r="L353" i="12"/>
  <c r="S314" i="12"/>
  <c r="S315" i="12" s="1"/>
  <c r="K349" i="12"/>
  <c r="AF407" i="12"/>
  <c r="K330" i="12"/>
  <c r="D17" i="10"/>
  <c r="E16" i="10"/>
  <c r="F20" i="11"/>
  <c r="P18" i="11"/>
  <c r="T22" i="10"/>
  <c r="T27" i="10" s="1"/>
  <c r="C56" i="8"/>
  <c r="S314" i="9"/>
  <c r="S315" i="9" s="1"/>
  <c r="N5" i="10"/>
  <c r="O7" i="10"/>
  <c r="N18" i="11"/>
  <c r="G70" i="8"/>
  <c r="I70" i="8" s="1"/>
  <c r="F70" i="8"/>
  <c r="H70" i="8" s="1"/>
  <c r="G38" i="8"/>
  <c r="I38" i="8" s="1"/>
  <c r="F38" i="8"/>
  <c r="H38" i="8" s="1"/>
  <c r="M10" i="13"/>
  <c r="M15" i="13"/>
  <c r="M11" i="13"/>
  <c r="K314" i="12"/>
  <c r="F31" i="8"/>
  <c r="H31" i="8" s="1"/>
  <c r="G31" i="8"/>
  <c r="I31" i="8" s="1"/>
  <c r="G10" i="8"/>
  <c r="I10" i="8" s="1"/>
  <c r="F10" i="8"/>
  <c r="H10" i="8" s="1"/>
  <c r="F27" i="8"/>
  <c r="H27" i="8" s="1"/>
  <c r="G27" i="8"/>
  <c r="I27" i="8" s="1"/>
  <c r="S233" i="9"/>
  <c r="X19" i="12"/>
  <c r="R17" i="10"/>
  <c r="T15" i="10"/>
  <c r="T17" i="10" s="1"/>
  <c r="J16" i="10"/>
  <c r="F39" i="8"/>
  <c r="H39" i="8" s="1"/>
  <c r="G39" i="8"/>
  <c r="I39" i="8" s="1"/>
  <c r="AH407" i="9" l="1"/>
  <c r="AI407" i="9" s="1"/>
  <c r="X419" i="12"/>
  <c r="X468" i="12"/>
  <c r="X466" i="12"/>
  <c r="AL498" i="9"/>
  <c r="AK489" i="9"/>
  <c r="Z483" i="12"/>
  <c r="Z489" i="12" s="1"/>
  <c r="U27" i="12"/>
  <c r="X433" i="12"/>
  <c r="S399" i="12"/>
  <c r="X481" i="12"/>
  <c r="AJ468" i="12"/>
  <c r="AJ419" i="12"/>
  <c r="AJ466" i="12"/>
  <c r="AJ452" i="12"/>
  <c r="E314" i="12"/>
  <c r="Z406" i="12"/>
  <c r="P314" i="12"/>
  <c r="AL406" i="12"/>
  <c r="Z498" i="9"/>
  <c r="Y489" i="9"/>
  <c r="N353" i="9"/>
  <c r="AN468" i="12"/>
  <c r="AO468" i="12" s="1"/>
  <c r="E71" i="8"/>
  <c r="E73" i="8"/>
  <c r="AD433" i="9"/>
  <c r="C71" i="8"/>
  <c r="F71" i="8" s="1"/>
  <c r="H71" i="8" s="1"/>
  <c r="AD481" i="9"/>
  <c r="AD452" i="9"/>
  <c r="AD466" i="9"/>
  <c r="C62" i="8"/>
  <c r="F62" i="8" s="1"/>
  <c r="H62" i="8" s="1"/>
  <c r="C73" i="8"/>
  <c r="F73" i="8" s="1"/>
  <c r="H73" i="8" s="1"/>
  <c r="AN407" i="9"/>
  <c r="AO407" i="9" s="1"/>
  <c r="AD468" i="9"/>
  <c r="AD419" i="9"/>
  <c r="AF483" i="9"/>
  <c r="AH483" i="9" s="1"/>
  <c r="AI483" i="9" s="1"/>
  <c r="AD468" i="12"/>
  <c r="I23" i="10"/>
  <c r="T29" i="10"/>
  <c r="N20" i="11"/>
  <c r="D23" i="10"/>
  <c r="AN480" i="9"/>
  <c r="AO480" i="9" s="1"/>
  <c r="J22" i="10"/>
  <c r="J27" i="10" s="1"/>
  <c r="C12" i="13"/>
  <c r="E10" i="13"/>
  <c r="T23" i="10"/>
  <c r="T21" i="10"/>
  <c r="T26" i="10" s="1"/>
  <c r="N10" i="13"/>
  <c r="O10" i="13" s="1"/>
  <c r="S353" i="9"/>
  <c r="S353" i="12"/>
  <c r="E10" i="10"/>
  <c r="E12" i="10" s="1"/>
  <c r="C12" i="10"/>
  <c r="J10" i="13"/>
  <c r="H12" i="13"/>
  <c r="J7" i="10"/>
  <c r="E7" i="10"/>
  <c r="T18" i="10"/>
  <c r="H23" i="10"/>
  <c r="J20" i="10"/>
  <c r="M23" i="10"/>
  <c r="G56" i="8"/>
  <c r="I56" i="8" s="1"/>
  <c r="F56" i="8"/>
  <c r="H56" i="8" s="1"/>
  <c r="E22" i="10"/>
  <c r="E27" i="10" s="1"/>
  <c r="H17" i="10"/>
  <c r="H33" i="10" s="1"/>
  <c r="I33" i="10" s="1"/>
  <c r="J15" i="10"/>
  <c r="J17" i="10" s="1"/>
  <c r="AN480" i="12"/>
  <c r="AO480" i="12" s="1"/>
  <c r="M12" i="13"/>
  <c r="E15" i="10"/>
  <c r="E17" i="10" s="1"/>
  <c r="C17" i="10"/>
  <c r="H12" i="10"/>
  <c r="J10" i="10"/>
  <c r="J12" i="10" s="1"/>
  <c r="C55" i="8"/>
  <c r="F50" i="8"/>
  <c r="H50" i="8" s="1"/>
  <c r="G50" i="8"/>
  <c r="I50" i="8" s="1"/>
  <c r="M12" i="10"/>
  <c r="N22" i="10"/>
  <c r="O22" i="10" s="1"/>
  <c r="O27" i="10" s="1"/>
  <c r="N20" i="10"/>
  <c r="N7" i="10"/>
  <c r="N8" i="10" s="1"/>
  <c r="N10" i="10"/>
  <c r="N12" i="10" s="1"/>
  <c r="E15" i="8"/>
  <c r="G15" i="8" s="1"/>
  <c r="I15" i="8" s="1"/>
  <c r="AR407" i="12"/>
  <c r="AN407" i="12"/>
  <c r="AO407" i="12" s="1"/>
  <c r="AF483" i="12"/>
  <c r="AD407" i="12"/>
  <c r="AD433" i="12"/>
  <c r="AD466" i="12"/>
  <c r="AD419" i="12"/>
  <c r="AD452" i="12"/>
  <c r="AD481" i="12"/>
  <c r="C23" i="10"/>
  <c r="E20" i="10"/>
  <c r="E25" i="10" s="1"/>
  <c r="M17" i="10"/>
  <c r="O15" i="10"/>
  <c r="O17" i="10" s="1"/>
  <c r="Z488" i="12" l="1"/>
  <c r="Z498" i="12"/>
  <c r="Y488" i="12"/>
  <c r="AL498" i="12"/>
  <c r="AK498" i="12" s="1"/>
  <c r="AL488" i="12"/>
  <c r="AK488" i="12" s="1"/>
  <c r="AK498" i="9"/>
  <c r="Y498" i="9"/>
  <c r="Y483" i="12"/>
  <c r="AK483" i="12"/>
  <c r="AJ407" i="12"/>
  <c r="Y489" i="12"/>
  <c r="AK489" i="12"/>
  <c r="G73" i="8"/>
  <c r="I73" i="8" s="1"/>
  <c r="AF489" i="9"/>
  <c r="G71" i="8"/>
  <c r="I71" i="8" s="1"/>
  <c r="G62" i="8"/>
  <c r="I62" i="8" s="1"/>
  <c r="AE483" i="9"/>
  <c r="C74" i="8"/>
  <c r="N23" i="10"/>
  <c r="O20" i="10"/>
  <c r="AF489" i="12"/>
  <c r="AN483" i="12"/>
  <c r="AO483" i="12" s="1"/>
  <c r="AR483" i="12"/>
  <c r="AE483" i="12"/>
  <c r="G55" i="8"/>
  <c r="I55" i="8" s="1"/>
  <c r="F55" i="8"/>
  <c r="H55" i="8" s="1"/>
  <c r="AN481" i="12"/>
  <c r="AO481" i="12" s="1"/>
  <c r="E29" i="10"/>
  <c r="C33" i="10"/>
  <c r="D33" i="10" s="1"/>
  <c r="C32" i="10"/>
  <c r="D32" i="10" s="1"/>
  <c r="J23" i="10"/>
  <c r="J21" i="10"/>
  <c r="J26" i="10" s="1"/>
  <c r="E18" i="10"/>
  <c r="J25" i="10"/>
  <c r="J29" i="10" s="1"/>
  <c r="N339" i="12"/>
  <c r="D76" i="8"/>
  <c r="N297" i="12"/>
  <c r="J18" i="10"/>
  <c r="E67" i="8"/>
  <c r="G67" i="8" s="1"/>
  <c r="I67" i="8" s="1"/>
  <c r="AN481" i="9"/>
  <c r="AO481" i="9" s="1"/>
  <c r="E21" i="10"/>
  <c r="E26" i="10" s="1"/>
  <c r="E23" i="10"/>
  <c r="O10" i="10"/>
  <c r="O12" i="10" s="1"/>
  <c r="O18" i="10" s="1"/>
  <c r="N151" i="12"/>
  <c r="N307" i="12"/>
  <c r="N11" i="12"/>
  <c r="N139" i="12"/>
  <c r="N128" i="12"/>
  <c r="N211" i="12"/>
  <c r="N81" i="12"/>
  <c r="N38" i="12"/>
  <c r="N207" i="12"/>
  <c r="N342" i="12"/>
  <c r="N146" i="12"/>
  <c r="N241" i="12"/>
  <c r="M7" i="12"/>
  <c r="N52" i="12"/>
  <c r="N150" i="12"/>
  <c r="N344" i="12"/>
  <c r="N223" i="12"/>
  <c r="M175" i="12"/>
  <c r="N103" i="12"/>
  <c r="N42" i="12"/>
  <c r="N22" i="12"/>
  <c r="N255" i="12"/>
  <c r="AH493" i="12"/>
  <c r="AI493" i="12" s="1"/>
  <c r="N19" i="12"/>
  <c r="N17" i="12"/>
  <c r="N117" i="12"/>
  <c r="N283" i="12"/>
  <c r="N225" i="12"/>
  <c r="F74" i="8" l="1"/>
  <c r="H74" i="8" s="1"/>
  <c r="C81" i="8"/>
  <c r="AF488" i="9"/>
  <c r="AN488" i="9" s="1"/>
  <c r="AO488" i="9" s="1"/>
  <c r="AF498" i="9"/>
  <c r="AF498" i="12"/>
  <c r="AF488" i="12"/>
  <c r="Y498" i="12"/>
  <c r="AH489" i="9"/>
  <c r="AI489" i="9" s="1"/>
  <c r="AH496" i="12"/>
  <c r="AI496" i="12" s="1"/>
  <c r="AH476" i="12"/>
  <c r="AI476" i="12" s="1"/>
  <c r="N158" i="12"/>
  <c r="AH472" i="12"/>
  <c r="AI472" i="12" s="1"/>
  <c r="N76" i="12"/>
  <c r="AH473" i="12"/>
  <c r="AI473" i="12" s="1"/>
  <c r="N77" i="12"/>
  <c r="C75" i="8"/>
  <c r="F75" i="8" s="1"/>
  <c r="H75" i="8" s="1"/>
  <c r="AE489" i="9"/>
  <c r="N341" i="12"/>
  <c r="N319" i="12"/>
  <c r="N49" i="12"/>
  <c r="N63" i="12"/>
  <c r="N40" i="12"/>
  <c r="N12" i="12"/>
  <c r="N113" i="12"/>
  <c r="N336" i="12"/>
  <c r="N296" i="12"/>
  <c r="N48" i="12"/>
  <c r="N302" i="12"/>
  <c r="N82" i="12"/>
  <c r="E33" i="13" s="1"/>
  <c r="AH460" i="12"/>
  <c r="AI460" i="12" s="1"/>
  <c r="N340" i="12"/>
  <c r="N281" i="12"/>
  <c r="N67" i="12"/>
  <c r="N39" i="12"/>
  <c r="N124" i="12"/>
  <c r="N181" i="12"/>
  <c r="N276" i="12"/>
  <c r="N61" i="12"/>
  <c r="N308" i="12"/>
  <c r="H15" i="14"/>
  <c r="F4" i="14"/>
  <c r="N272" i="12"/>
  <c r="H10" i="14"/>
  <c r="N222" i="12"/>
  <c r="N323" i="12"/>
  <c r="N156" i="12"/>
  <c r="N47" i="12"/>
  <c r="F7" i="14"/>
  <c r="M300" i="12"/>
  <c r="N199" i="12"/>
  <c r="H9" i="14"/>
  <c r="N140" i="12"/>
  <c r="N332" i="12"/>
  <c r="N69" i="12"/>
  <c r="H7" i="14"/>
  <c r="N131" i="12"/>
  <c r="AH458" i="12"/>
  <c r="AI458" i="12" s="1"/>
  <c r="N327" i="12"/>
  <c r="N9" i="12"/>
  <c r="N218" i="12"/>
  <c r="M6" i="12"/>
  <c r="N188" i="12"/>
  <c r="N32" i="12"/>
  <c r="N37" i="12"/>
  <c r="N119" i="12"/>
  <c r="N70" i="12"/>
  <c r="N184" i="12"/>
  <c r="N8" i="12"/>
  <c r="N43" i="12"/>
  <c r="N130" i="12"/>
  <c r="R6" i="13"/>
  <c r="N254" i="12"/>
  <c r="AH461" i="12"/>
  <c r="AI461" i="12" s="1"/>
  <c r="AH469" i="12"/>
  <c r="AI469" i="12" s="1"/>
  <c r="N10" i="12"/>
  <c r="C88" i="8"/>
  <c r="D77" i="8"/>
  <c r="N204" i="12"/>
  <c r="F9" i="14"/>
  <c r="N79" i="12"/>
  <c r="N329" i="12"/>
  <c r="N125" i="12"/>
  <c r="N36" i="12"/>
  <c r="N267" i="12"/>
  <c r="N147" i="12"/>
  <c r="N203" i="12"/>
  <c r="N318" i="12"/>
  <c r="N152" i="12"/>
  <c r="N345" i="12"/>
  <c r="N149" i="12"/>
  <c r="N31" i="12"/>
  <c r="N143" i="12"/>
  <c r="N326" i="12"/>
  <c r="N205" i="12"/>
  <c r="N335" i="12"/>
  <c r="N65" i="12"/>
  <c r="N338" i="12"/>
  <c r="M247" i="12"/>
  <c r="N227" i="12"/>
  <c r="N114" i="12"/>
  <c r="N59" i="12"/>
  <c r="N7" i="12"/>
  <c r="N303" i="12"/>
  <c r="N348" i="12"/>
  <c r="N216" i="12"/>
  <c r="M299" i="12"/>
  <c r="N126" i="12"/>
  <c r="N57" i="12"/>
  <c r="N301" i="12"/>
  <c r="N268" i="12"/>
  <c r="N68" i="12"/>
  <c r="N200" i="12"/>
  <c r="N324" i="12"/>
  <c r="N247" i="12"/>
  <c r="N112" i="12"/>
  <c r="N279" i="12"/>
  <c r="N298" i="12"/>
  <c r="N121" i="12"/>
  <c r="N138" i="12"/>
  <c r="N209" i="12"/>
  <c r="N295" i="12"/>
  <c r="M172" i="12"/>
  <c r="M181" i="12"/>
  <c r="N71" i="12"/>
  <c r="N321" i="12"/>
  <c r="N215" i="12"/>
  <c r="N333" i="12"/>
  <c r="AH491" i="12"/>
  <c r="AI491" i="12" s="1"/>
  <c r="N226" i="12"/>
  <c r="N133" i="12"/>
  <c r="N104" i="12"/>
  <c r="N198" i="12"/>
  <c r="N162" i="12"/>
  <c r="N102" i="12"/>
  <c r="N257" i="12"/>
  <c r="N60" i="12"/>
  <c r="N34" i="12"/>
  <c r="N80" i="12"/>
  <c r="N95" i="12"/>
  <c r="N161" i="12"/>
  <c r="N208" i="12"/>
  <c r="N320" i="12"/>
  <c r="N280" i="12"/>
  <c r="N50" i="12"/>
  <c r="H6" i="14"/>
  <c r="N62" i="12"/>
  <c r="N259" i="12"/>
  <c r="M95" i="12"/>
  <c r="N148" i="12"/>
  <c r="N262" i="12"/>
  <c r="N261" i="12"/>
  <c r="N347" i="12"/>
  <c r="N263" i="12"/>
  <c r="N15" i="12"/>
  <c r="N278" i="12"/>
  <c r="M188" i="12"/>
  <c r="M298" i="12"/>
  <c r="N145" i="12"/>
  <c r="N299" i="12"/>
  <c r="N116" i="12"/>
  <c r="AH455" i="12"/>
  <c r="AI455" i="12" s="1"/>
  <c r="N274" i="12"/>
  <c r="N202" i="12"/>
  <c r="N282" i="12"/>
  <c r="N219" i="12"/>
  <c r="H5" i="14"/>
  <c r="F5" i="14"/>
  <c r="N132" i="12"/>
  <c r="H8" i="14"/>
  <c r="N322" i="12"/>
  <c r="N328" i="12"/>
  <c r="N260" i="12"/>
  <c r="N53" i="12"/>
  <c r="N213" i="12"/>
  <c r="N75" i="12"/>
  <c r="M295" i="12"/>
  <c r="N134" i="12"/>
  <c r="AR489" i="12"/>
  <c r="AE489" i="12"/>
  <c r="AN489" i="12"/>
  <c r="AO489" i="12" s="1"/>
  <c r="N228" i="12"/>
  <c r="N346" i="12"/>
  <c r="M100" i="12"/>
  <c r="AH454" i="12"/>
  <c r="AI454" i="12" s="1"/>
  <c r="M178" i="12"/>
  <c r="F8" i="14"/>
  <c r="F15" i="14"/>
  <c r="N58" i="12"/>
  <c r="AH457" i="12"/>
  <c r="AI457" i="12" s="1"/>
  <c r="N244" i="12"/>
  <c r="N245" i="12" s="1"/>
  <c r="N35" i="12"/>
  <c r="M15" i="12"/>
  <c r="N144" i="12"/>
  <c r="N21" i="12"/>
  <c r="N33" i="12"/>
  <c r="N201" i="12"/>
  <c r="N264" i="12"/>
  <c r="N136" i="12"/>
  <c r="F14" i="14"/>
  <c r="E74" i="8"/>
  <c r="AN483" i="9"/>
  <c r="AO483" i="9" s="1"/>
  <c r="N221" i="12"/>
  <c r="N118" i="12"/>
  <c r="N214" i="12"/>
  <c r="N277" i="12"/>
  <c r="N64" i="12"/>
  <c r="AH420" i="12"/>
  <c r="AI420" i="12" s="1"/>
  <c r="N127" i="12"/>
  <c r="M94" i="12"/>
  <c r="N137" i="12"/>
  <c r="N224" i="12"/>
  <c r="O23" i="10"/>
  <c r="O21" i="10"/>
  <c r="O26" i="10" s="1"/>
  <c r="O25" i="10"/>
  <c r="O29" i="10" s="1"/>
  <c r="N269" i="12"/>
  <c r="AH459" i="12"/>
  <c r="AI459" i="12" s="1"/>
  <c r="N300" i="12"/>
  <c r="N325" i="12"/>
  <c r="N123" i="12"/>
  <c r="H14" i="14"/>
  <c r="N44" i="12"/>
  <c r="N115" i="12"/>
  <c r="N331" i="12"/>
  <c r="H4" i="14"/>
  <c r="N45" i="12"/>
  <c r="N120" i="12"/>
  <c r="N258" i="12"/>
  <c r="N334" i="12"/>
  <c r="N220" i="12"/>
  <c r="N275" i="12"/>
  <c r="N141" i="12"/>
  <c r="N66" i="12"/>
  <c r="N100" i="12"/>
  <c r="N129" i="12"/>
  <c r="N178" i="12"/>
  <c r="N160" i="12"/>
  <c r="N206" i="12"/>
  <c r="F6" i="14"/>
  <c r="N284" i="12"/>
  <c r="N142" i="12"/>
  <c r="N55" i="12"/>
  <c r="N270" i="12"/>
  <c r="N212" i="12"/>
  <c r="N23" i="12"/>
  <c r="N46" i="12"/>
  <c r="N56" i="12"/>
  <c r="N172" i="12"/>
  <c r="N271" i="12"/>
  <c r="N51" i="12"/>
  <c r="N343" i="12"/>
  <c r="N256" i="12"/>
  <c r="AE488" i="9" l="1"/>
  <c r="AH488" i="9"/>
  <c r="AI488" i="9" s="1"/>
  <c r="AN488" i="12"/>
  <c r="AO488" i="12" s="1"/>
  <c r="AE488" i="12"/>
  <c r="AH488" i="12"/>
  <c r="AI488" i="12" s="1"/>
  <c r="AH498" i="9"/>
  <c r="AI498" i="9" s="1"/>
  <c r="N54" i="12"/>
  <c r="AH480" i="12"/>
  <c r="AI480" i="12" s="1"/>
  <c r="N159" i="12"/>
  <c r="J33" i="13" s="1"/>
  <c r="J34" i="13" s="1"/>
  <c r="M11" i="12"/>
  <c r="AI456" i="12"/>
  <c r="AH456" i="12"/>
  <c r="M296" i="12"/>
  <c r="M12" i="12"/>
  <c r="AI494" i="12"/>
  <c r="AH494" i="12"/>
  <c r="AI492" i="12"/>
  <c r="AH492" i="12"/>
  <c r="N175" i="12"/>
  <c r="M307" i="12"/>
  <c r="AH470" i="12"/>
  <c r="AI470" i="12" s="1"/>
  <c r="N78" i="12"/>
  <c r="E32" i="13" s="1"/>
  <c r="E34" i="13" s="1"/>
  <c r="M241" i="12"/>
  <c r="N242" i="12" s="1"/>
  <c r="AH475" i="12"/>
  <c r="AI475" i="12" s="1"/>
  <c r="N157" i="12"/>
  <c r="AI495" i="12"/>
  <c r="AH495" i="12"/>
  <c r="M9" i="12"/>
  <c r="M308" i="12"/>
  <c r="M244" i="12"/>
  <c r="M297" i="12"/>
  <c r="M312" i="12"/>
  <c r="N312" i="12"/>
  <c r="N97" i="12"/>
  <c r="N98" i="12" s="1"/>
  <c r="N94" i="12"/>
  <c r="AH453" i="12"/>
  <c r="M17" i="12"/>
  <c r="M8" i="12"/>
  <c r="M301" i="12"/>
  <c r="N285" i="12"/>
  <c r="N72" i="12"/>
  <c r="N349" i="12"/>
  <c r="N6" i="12"/>
  <c r="N13" i="12" s="1"/>
  <c r="M10" i="12"/>
  <c r="C76" i="8"/>
  <c r="AE498" i="9"/>
  <c r="D89" i="8"/>
  <c r="D87" i="8"/>
  <c r="AH430" i="12"/>
  <c r="AI430" i="12" s="1"/>
  <c r="AH448" i="12"/>
  <c r="AI448" i="12" s="1"/>
  <c r="N229" i="12"/>
  <c r="AH431" i="12"/>
  <c r="AI431" i="12" s="1"/>
  <c r="AH443" i="12"/>
  <c r="AI443" i="12" s="1"/>
  <c r="AH446" i="12"/>
  <c r="AI446" i="12" s="1"/>
  <c r="AH428" i="12"/>
  <c r="AI428" i="12" s="1"/>
  <c r="AH447" i="12"/>
  <c r="AI447" i="12" s="1"/>
  <c r="F16" i="14"/>
  <c r="N185" i="12"/>
  <c r="N186" i="12" s="1"/>
  <c r="AH411" i="12"/>
  <c r="AI411" i="12" s="1"/>
  <c r="AH442" i="12"/>
  <c r="AI442" i="12" s="1"/>
  <c r="AH412" i="12"/>
  <c r="AI412" i="12" s="1"/>
  <c r="R16" i="13"/>
  <c r="R22" i="13"/>
  <c r="R20" i="13"/>
  <c r="R7" i="13"/>
  <c r="R8" i="13" s="1"/>
  <c r="G15" i="14"/>
  <c r="N15" i="14" s="1"/>
  <c r="J15" i="14"/>
  <c r="H16" i="14"/>
  <c r="G14" i="14"/>
  <c r="N14" i="14" s="1"/>
  <c r="J14" i="14"/>
  <c r="N330" i="12"/>
  <c r="G9" i="14"/>
  <c r="N9" i="14" s="1"/>
  <c r="J9" i="14"/>
  <c r="N179" i="12"/>
  <c r="G4" i="14"/>
  <c r="N4" i="14" s="1"/>
  <c r="H12" i="14"/>
  <c r="J4" i="14"/>
  <c r="AH439" i="12"/>
  <c r="AI439" i="12" s="1"/>
  <c r="AH436" i="12"/>
  <c r="AI436" i="12" s="1"/>
  <c r="AH414" i="12"/>
  <c r="AI414" i="12" s="1"/>
  <c r="AH474" i="12"/>
  <c r="AI474" i="12" s="1"/>
  <c r="M304" i="12"/>
  <c r="AH445" i="12"/>
  <c r="AI445" i="12" s="1"/>
  <c r="N41" i="12"/>
  <c r="AH409" i="12"/>
  <c r="AI409" i="12" s="1"/>
  <c r="AH441" i="12"/>
  <c r="AI441" i="12" s="1"/>
  <c r="AH424" i="12"/>
  <c r="AI424" i="12" s="1"/>
  <c r="G5" i="14"/>
  <c r="N5" i="14" s="1"/>
  <c r="J5" i="14"/>
  <c r="AH471" i="12"/>
  <c r="AI471" i="12" s="1"/>
  <c r="G6" i="14"/>
  <c r="N6" i="14" s="1"/>
  <c r="J6" i="14"/>
  <c r="N266" i="12"/>
  <c r="AH422" i="12"/>
  <c r="AI422" i="12" s="1"/>
  <c r="AH415" i="12"/>
  <c r="AI415" i="12" s="1"/>
  <c r="M24" i="12"/>
  <c r="U41" i="12"/>
  <c r="AH413" i="12"/>
  <c r="AI413" i="12" s="1"/>
  <c r="AH437" i="12"/>
  <c r="AI437" i="12" s="1"/>
  <c r="AH429" i="12"/>
  <c r="AI429" i="12" s="1"/>
  <c r="AH438" i="12"/>
  <c r="AI438" i="12" s="1"/>
  <c r="AH421" i="12"/>
  <c r="AI421" i="12" s="1"/>
  <c r="AH410" i="12"/>
  <c r="AI410" i="12" s="1"/>
  <c r="E75" i="8"/>
  <c r="G75" i="8" s="1"/>
  <c r="I75" i="8" s="1"/>
  <c r="G74" i="8"/>
  <c r="I74" i="8" s="1"/>
  <c r="S6" i="13"/>
  <c r="T6" i="13" s="1"/>
  <c r="T7" i="13" s="1"/>
  <c r="AR498" i="12"/>
  <c r="AE498" i="12"/>
  <c r="AN498" i="12"/>
  <c r="AO498" i="12" s="1"/>
  <c r="E50" i="2"/>
  <c r="E53" i="2" s="1"/>
  <c r="E56" i="2" s="1"/>
  <c r="E65" i="2" s="1"/>
  <c r="G8" i="14"/>
  <c r="N8" i="14" s="1"/>
  <c r="J8" i="14"/>
  <c r="N210" i="12"/>
  <c r="N122" i="12"/>
  <c r="AH478" i="12"/>
  <c r="AI478" i="12" s="1"/>
  <c r="AH477" i="12"/>
  <c r="AI477" i="12" s="1"/>
  <c r="AH479" i="12"/>
  <c r="AI479" i="12" s="1"/>
  <c r="L10" i="14"/>
  <c r="J10" i="14"/>
  <c r="F12" i="14"/>
  <c r="AH435" i="12"/>
  <c r="AI435" i="12" s="1"/>
  <c r="AH423" i="12"/>
  <c r="AI423" i="12" s="1"/>
  <c r="AH444" i="12"/>
  <c r="AI444" i="12" s="1"/>
  <c r="AN489" i="9"/>
  <c r="AO489" i="9" s="1"/>
  <c r="N250" i="12"/>
  <c r="N251" i="12" s="1"/>
  <c r="G7" i="14"/>
  <c r="N7" i="14" s="1"/>
  <c r="J7" i="14"/>
  <c r="C87" i="8" l="1"/>
  <c r="C84" i="8"/>
  <c r="L28" i="12"/>
  <c r="N108" i="12"/>
  <c r="N109" i="12" s="1"/>
  <c r="N14" i="12"/>
  <c r="F18" i="14"/>
  <c r="F20" i="14" s="1"/>
  <c r="AH466" i="12"/>
  <c r="AI466" i="12" s="1"/>
  <c r="N163" i="12"/>
  <c r="M13" i="12"/>
  <c r="M14" i="12" s="1"/>
  <c r="AI453" i="12"/>
  <c r="AI449" i="12"/>
  <c r="AH449" i="12"/>
  <c r="AI416" i="12"/>
  <c r="AH416" i="12"/>
  <c r="AI417" i="12"/>
  <c r="AH417" i="12"/>
  <c r="AI450" i="12"/>
  <c r="AH450" i="12"/>
  <c r="N135" i="12"/>
  <c r="N24" i="12"/>
  <c r="N25" i="12" s="1"/>
  <c r="AH434" i="12"/>
  <c r="AI434" i="12" s="1"/>
  <c r="AI426" i="12"/>
  <c r="AH426" i="12"/>
  <c r="AI432" i="12"/>
  <c r="AH432" i="12"/>
  <c r="AI425" i="12"/>
  <c r="AH425" i="12"/>
  <c r="N83" i="12"/>
  <c r="M97" i="12"/>
  <c r="M98" i="12" s="1"/>
  <c r="AI418" i="12"/>
  <c r="AH418" i="12"/>
  <c r="N153" i="12"/>
  <c r="M185" i="12"/>
  <c r="N304" i="12"/>
  <c r="N305" i="12" s="1"/>
  <c r="AI451" i="12"/>
  <c r="AH451" i="12"/>
  <c r="AI427" i="12"/>
  <c r="AH427" i="12"/>
  <c r="N105" i="12"/>
  <c r="N106" i="12" s="1"/>
  <c r="F76" i="8"/>
  <c r="H76" i="8" s="1"/>
  <c r="C77" i="8"/>
  <c r="F77" i="8" s="1"/>
  <c r="H77" i="8" s="1"/>
  <c r="L7" i="14"/>
  <c r="G16" i="14"/>
  <c r="L9" i="14"/>
  <c r="J16" i="14"/>
  <c r="L4" i="14"/>
  <c r="AH433" i="12"/>
  <c r="AI433" i="12" s="1"/>
  <c r="AH481" i="12"/>
  <c r="AI481" i="12" s="1"/>
  <c r="N16" i="14"/>
  <c r="L15" i="14"/>
  <c r="N10" i="14"/>
  <c r="N12" i="14" s="1"/>
  <c r="M6" i="13"/>
  <c r="I6" i="13"/>
  <c r="L6" i="14"/>
  <c r="N351" i="12"/>
  <c r="S15" i="13"/>
  <c r="S11" i="13"/>
  <c r="S16" i="13"/>
  <c r="T16" i="13" s="1"/>
  <c r="S7" i="13"/>
  <c r="S8" i="13" s="1"/>
  <c r="S22" i="13"/>
  <c r="T22" i="13" s="1"/>
  <c r="T27" i="13" s="1"/>
  <c r="S20" i="13"/>
  <c r="T20" i="13" s="1"/>
  <c r="R17" i="13"/>
  <c r="H6" i="13"/>
  <c r="N231" i="12"/>
  <c r="R23" i="13"/>
  <c r="M309" i="12"/>
  <c r="L5" i="14"/>
  <c r="L14" i="14"/>
  <c r="L16" i="14" s="1"/>
  <c r="M250" i="12"/>
  <c r="D6" i="13"/>
  <c r="W18" i="12"/>
  <c r="Y18" i="12" s="1"/>
  <c r="O6" i="13"/>
  <c r="E76" i="8"/>
  <c r="AN498" i="9"/>
  <c r="AO498" i="9" s="1"/>
  <c r="L8" i="14"/>
  <c r="AH419" i="12"/>
  <c r="AI419" i="12" s="1"/>
  <c r="J12" i="14"/>
  <c r="N155" i="12"/>
  <c r="C6" i="13"/>
  <c r="H18" i="14"/>
  <c r="G12" i="14"/>
  <c r="G18" i="14" l="1"/>
  <c r="L109" i="12"/>
  <c r="N27" i="12"/>
  <c r="N28" i="12" s="1"/>
  <c r="M108" i="12"/>
  <c r="M109" i="12" s="1"/>
  <c r="AM416" i="12"/>
  <c r="AG416" i="12"/>
  <c r="M27" i="12"/>
  <c r="M28" i="12" s="1"/>
  <c r="M105" i="12"/>
  <c r="N194" i="12"/>
  <c r="N195" i="12" s="1"/>
  <c r="N74" i="12"/>
  <c r="AM409" i="12"/>
  <c r="AG409" i="12"/>
  <c r="AM415" i="12"/>
  <c r="AG415" i="12"/>
  <c r="AM413" i="12"/>
  <c r="AG413" i="12"/>
  <c r="AM410" i="12"/>
  <c r="AG410" i="12"/>
  <c r="N287" i="12"/>
  <c r="AM418" i="12"/>
  <c r="AG418" i="12"/>
  <c r="AM411" i="12"/>
  <c r="AG411" i="12"/>
  <c r="N353" i="12"/>
  <c r="N309" i="12"/>
  <c r="N310" i="12" s="1"/>
  <c r="AM412" i="12"/>
  <c r="AG412" i="12"/>
  <c r="AH452" i="12"/>
  <c r="AI452" i="12" s="1"/>
  <c r="AM414" i="12"/>
  <c r="AG414" i="12"/>
  <c r="AM417" i="12"/>
  <c r="AG417" i="12"/>
  <c r="J18" i="14"/>
  <c r="L12" i="14"/>
  <c r="L18" i="14" s="1"/>
  <c r="N18" i="14"/>
  <c r="N289" i="12"/>
  <c r="E77" i="8"/>
  <c r="G77" i="8" s="1"/>
  <c r="I77" i="8" s="1"/>
  <c r="C89" i="8"/>
  <c r="G76" i="8"/>
  <c r="I76" i="8" s="1"/>
  <c r="S17" i="13"/>
  <c r="T15" i="13"/>
  <c r="T17" i="13" s="1"/>
  <c r="C16" i="13"/>
  <c r="E6" i="13"/>
  <c r="E7" i="13" s="1"/>
  <c r="C22" i="13"/>
  <c r="C20" i="13"/>
  <c r="C7" i="13"/>
  <c r="C8" i="13" s="1"/>
  <c r="W19" i="12"/>
  <c r="Y19" i="12" s="1"/>
  <c r="J6" i="13"/>
  <c r="J7" i="13" s="1"/>
  <c r="H16" i="13"/>
  <c r="H20" i="13"/>
  <c r="H7" i="13"/>
  <c r="H8" i="13" s="1"/>
  <c r="H22" i="13"/>
  <c r="S23" i="13"/>
  <c r="N233" i="12"/>
  <c r="M194" i="12"/>
  <c r="I15" i="13"/>
  <c r="I11" i="13"/>
  <c r="I16" i="13"/>
  <c r="I20" i="13"/>
  <c r="I7" i="13"/>
  <c r="I8" i="13" s="1"/>
  <c r="I22" i="13"/>
  <c r="D15" i="13"/>
  <c r="D11" i="13"/>
  <c r="D16" i="13"/>
  <c r="D22" i="13"/>
  <c r="D20" i="13"/>
  <c r="D7" i="13"/>
  <c r="D8" i="13" s="1"/>
  <c r="N165" i="12"/>
  <c r="N6" i="13"/>
  <c r="O7" i="13"/>
  <c r="M314" i="12"/>
  <c r="T23" i="13"/>
  <c r="T21" i="13"/>
  <c r="T26" i="13" s="1"/>
  <c r="T25" i="13"/>
  <c r="T29" i="13" s="1"/>
  <c r="M16" i="13"/>
  <c r="M20" i="13"/>
  <c r="M7" i="13"/>
  <c r="M8" i="13" s="1"/>
  <c r="M22" i="13"/>
  <c r="T11" i="13"/>
  <c r="T12" i="13" s="1"/>
  <c r="S12" i="13"/>
  <c r="N85" i="12" l="1"/>
  <c r="AH468" i="12"/>
  <c r="AI468" i="12" s="1"/>
  <c r="N314" i="12"/>
  <c r="N315" i="12" s="1"/>
  <c r="T18" i="13"/>
  <c r="N20" i="14"/>
  <c r="M17" i="13"/>
  <c r="D12" i="13"/>
  <c r="E11" i="13"/>
  <c r="E12" i="13" s="1"/>
  <c r="I23" i="13"/>
  <c r="J22" i="13"/>
  <c r="J27" i="13" s="1"/>
  <c r="J11" i="13"/>
  <c r="J12" i="13" s="1"/>
  <c r="I12" i="13"/>
  <c r="H23" i="13"/>
  <c r="J20" i="13"/>
  <c r="C23" i="13"/>
  <c r="E20" i="13"/>
  <c r="D17" i="13"/>
  <c r="E15" i="13"/>
  <c r="I17" i="13"/>
  <c r="J15" i="13"/>
  <c r="J16" i="13"/>
  <c r="H17" i="13"/>
  <c r="H33" i="13" s="1"/>
  <c r="I33" i="13" s="1"/>
  <c r="E22" i="13"/>
  <c r="E27" i="13" s="1"/>
  <c r="D23" i="13"/>
  <c r="E16" i="13"/>
  <c r="C17" i="13"/>
  <c r="M23" i="13"/>
  <c r="N16" i="13"/>
  <c r="O16" i="13" s="1"/>
  <c r="N15" i="13"/>
  <c r="N11" i="13"/>
  <c r="N20" i="13"/>
  <c r="O20" i="13" s="1"/>
  <c r="N7" i="13"/>
  <c r="N8" i="13" s="1"/>
  <c r="N22" i="13"/>
  <c r="O22" i="13" s="1"/>
  <c r="O27" i="13" s="1"/>
  <c r="AH489" i="12" l="1"/>
  <c r="AI489" i="12" s="1"/>
  <c r="AH483" i="12"/>
  <c r="AI483" i="12" s="1"/>
  <c r="AH407" i="12"/>
  <c r="AI407" i="12" s="1"/>
  <c r="E17" i="13"/>
  <c r="E18" i="13" s="1"/>
  <c r="E23" i="13"/>
  <c r="E21" i="13"/>
  <c r="E26" i="13" s="1"/>
  <c r="E25" i="13"/>
  <c r="E29" i="13" s="1"/>
  <c r="J23" i="13"/>
  <c r="J21" i="13"/>
  <c r="J26" i="13" s="1"/>
  <c r="J25" i="13"/>
  <c r="J29" i="13" s="1"/>
  <c r="C32" i="13"/>
  <c r="D32" i="13" s="1"/>
  <c r="C33" i="13"/>
  <c r="D33" i="13" s="1"/>
  <c r="O11" i="13"/>
  <c r="O12" i="13" s="1"/>
  <c r="N12" i="13"/>
  <c r="O23" i="13"/>
  <c r="O21" i="13"/>
  <c r="O26" i="13" s="1"/>
  <c r="O25" i="13"/>
  <c r="O29" i="13" s="1"/>
  <c r="J17" i="13"/>
  <c r="J18" i="13" s="1"/>
  <c r="N23" i="13"/>
  <c r="N17" i="13"/>
  <c r="O15" i="13"/>
  <c r="O17" i="13" s="1"/>
  <c r="D88" i="8" l="1"/>
  <c r="O18" i="13"/>
  <c r="AH498" i="12" l="1"/>
  <c r="AI498" i="12" s="1"/>
  <c r="Z500" i="12"/>
  <c r="Z501" i="12" s="1"/>
</calcChain>
</file>

<file path=xl/comments1.xml><?xml version="1.0" encoding="utf-8"?>
<comments xmlns="http://schemas.openxmlformats.org/spreadsheetml/2006/main">
  <authors>
    <author>USER</author>
  </authors>
  <commentList>
    <comment ref="C12" authorId="0" shapeId="0">
      <text>
        <r>
          <rPr>
            <sz val="9"/>
            <color indexed="81"/>
            <rFont val="Tahoma"/>
            <family val="2"/>
          </rPr>
          <t>Balance avec $ profit du réalisé</t>
        </r>
      </text>
    </comment>
  </commentList>
</comments>
</file>

<file path=xl/comments2.xml><?xml version="1.0" encoding="utf-8"?>
<comments xmlns="http://schemas.openxmlformats.org/spreadsheetml/2006/main">
  <authors>
    <author/>
  </authors>
  <commentList>
    <comment ref="L2" authorId="0" shapeId="0">
      <text>
        <r>
          <rPr>
            <sz val="11"/>
            <color theme="1"/>
            <rFont val="Arial"/>
            <family val="2"/>
            <scheme val="minor"/>
          </rPr>
          <t xml:space="preserve">(Qtés Réelles Moins Qtés Budget) X Taux Budget.
(Qr-Qb)xTb
</t>
        </r>
      </text>
    </comment>
  </commentList>
</comments>
</file>

<file path=xl/comments3.xml><?xml version="1.0" encoding="utf-8"?>
<comments xmlns="http://schemas.openxmlformats.org/spreadsheetml/2006/main">
  <authors>
    <author/>
  </authors>
  <commentList>
    <comment ref="L2" authorId="0" shapeId="0">
      <text>
        <r>
          <rPr>
            <sz val="11"/>
            <color theme="1"/>
            <rFont val="Arial"/>
            <family val="2"/>
            <scheme val="minor"/>
          </rPr>
          <t xml:space="preserve">(Qtés Réelles Moins Qtés Budget) X Taux Budget.
(Qr-Qb)xTb
</t>
        </r>
      </text>
    </comment>
  </commentList>
</comments>
</file>

<file path=xl/comments4.xml><?xml version="1.0" encoding="utf-8"?>
<comments xmlns="http://schemas.openxmlformats.org/spreadsheetml/2006/main">
  <authors>
    <author/>
  </authors>
  <commentList>
    <comment ref="T1" authorId="0" shapeId="0">
      <text>
        <r>
          <rPr>
            <sz val="11"/>
            <color theme="1"/>
            <rFont val="Arial"/>
            <family val="2"/>
            <scheme val="minor"/>
          </rPr>
          <t>SI #N/A compte non intégré = erreur</t>
        </r>
      </text>
    </comment>
  </commentList>
</comments>
</file>

<file path=xl/comments5.xml><?xml version="1.0" encoding="utf-8"?>
<comments xmlns="http://schemas.openxmlformats.org/spreadsheetml/2006/main">
  <authors>
    <author/>
  </authors>
  <commentList>
    <comment ref="T1" authorId="0" shapeId="0">
      <text>
        <r>
          <rPr>
            <sz val="11"/>
            <color theme="1"/>
            <rFont val="Arial"/>
            <family val="2"/>
            <scheme val="minor"/>
          </rPr>
          <t>SI #N/A compte non intégré = erreur</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<sst xmlns="http://schemas.openxmlformats.org/spreadsheetml/2006/main" count="17932" uniqueCount="3956">
  <si>
    <t>Compagnie</t>
  </si>
  <si>
    <t>Volks</t>
  </si>
  <si>
    <t>1-Mémo</t>
  </si>
  <si>
    <t>Mois</t>
  </si>
  <si>
    <t>YTD</t>
  </si>
  <si>
    <t>Mois Courant</t>
  </si>
  <si>
    <t>Décembre</t>
  </si>
  <si>
    <t>10-Compte compteur</t>
  </si>
  <si>
    <t>Janvier</t>
  </si>
  <si>
    <t>Année</t>
  </si>
  <si>
    <t>Février</t>
  </si>
  <si>
    <t>Mars</t>
  </si>
  <si>
    <t>Avril</t>
  </si>
  <si>
    <t>Mai</t>
  </si>
  <si>
    <t>Juin</t>
  </si>
  <si>
    <t>Sélectionner le mois en B3</t>
  </si>
  <si>
    <t>Juillet</t>
  </si>
  <si>
    <t>Coller les balances de vérification respectives en cellule A1 dans les onglets BV_Data_An_Cour et BV_Data_An_Prec</t>
  </si>
  <si>
    <t>Août</t>
  </si>
  <si>
    <t>Vérifier s'il y a des #N/A dans les colonnes T à X des onlgets de BV</t>
  </si>
  <si>
    <t>Septembre</t>
  </si>
  <si>
    <t>Vérifier les chiffres avec l'état financier et les réalisés an passé pour les résultat net mois et aad</t>
  </si>
  <si>
    <t>Octobre</t>
  </si>
  <si>
    <t>Novembre</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</si>
  <si>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</si>
  <si>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</si>
  <si>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</si>
  <si>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</si>
  <si>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</si>
  <si>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</si>
  <si>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</si>
  <si>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</si>
  <si>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</si>
  <si>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</si>
  <si>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</si>
  <si>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</si>
  <si>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</si>
  <si>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</si>
  <si>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</si>
  <si>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</si>
  <si>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</si>
  <si>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</si>
  <si>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</si>
  <si>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</si>
  <si>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</si>
  <si>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</si>
  <si>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</si>
  <si>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</si>
  <si>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</si>
  <si>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</si>
  <si>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</si>
  <si>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</si>
  <si>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</si>
  <si>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</si>
  <si>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</si>
  <si>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</si>
  <si>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</si>
  <si>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</si>
  <si>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</si>
  <si>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</si>
  <si>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</si>
  <si>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</si>
  <si>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</si>
  <si>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</si>
  <si>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</si>
  <si>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</si>
  <si>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</si>
  <si>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</si>
  <si>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</si>
  <si>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</si>
  <si>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</si>
  <si>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</si>
  <si>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</si>
  <si>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</si>
  <si>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</si>
  <si>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</si>
  <si>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</si>
  <si>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</si>
  <si>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</si>
  <si>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</si>
  <si>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</si>
  <si>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</si>
  <si>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</si>
  <si>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</si>
  <si>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</si>
  <si>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</si>
  <si>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</si>
  <si>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</si>
  <si>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</si>
  <si>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</si>
  <si>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</si>
  <si>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</si>
  <si>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</si>
  <si>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UNITE</t>
  </si>
  <si>
    <t>$P/UNITE</t>
  </si>
  <si>
    <t>$PROFITS</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</si>
  <si>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</si>
  <si>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</si>
  <si>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</si>
  <si>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</si>
  <si>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</si>
  <si>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</si>
  <si>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</si>
  <si>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</si>
  <si>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</si>
  <si>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</si>
  <si>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</si>
  <si>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</si>
  <si>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</si>
  <si>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</si>
  <si>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</si>
  <si>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</si>
  <si>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</si>
  <si>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</si>
  <si>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</si>
  <si>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</si>
  <si>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</si>
  <si>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</si>
  <si>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</si>
  <si>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</si>
  <si>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</si>
  <si>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</si>
  <si>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</si>
  <si>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</si>
  <si>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</si>
  <si>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</si>
  <si>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</si>
  <si>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</si>
  <si>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</si>
  <si>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</si>
  <si>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</si>
  <si>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</si>
  <si>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</si>
  <si>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</si>
  <si>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</si>
  <si>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</si>
  <si>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</si>
  <si>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</si>
  <si>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</si>
  <si>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</si>
  <si>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</si>
  <si>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</si>
  <si>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</si>
  <si>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</si>
  <si>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</si>
  <si>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</si>
  <si>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</si>
  <si>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</si>
  <si>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</si>
  <si>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</si>
  <si>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</si>
  <si>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</si>
  <si>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</si>
  <si>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Certifié</t>
  </si>
  <si>
    <t>Non Certifié</t>
  </si>
  <si>
    <t>Total Usagés</t>
  </si>
  <si>
    <t>Ventes au Gros</t>
  </si>
  <si>
    <t>Total Dépt. Usagés</t>
  </si>
  <si>
    <t>Programme used 1</t>
  </si>
  <si>
    <t>Programme used 2</t>
  </si>
  <si>
    <t>Programme used 3</t>
  </si>
  <si>
    <t>Service</t>
  </si>
  <si>
    <t>#</t>
  </si>
  <si>
    <t>$VENTES</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</si>
  <si>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</si>
  <si>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</si>
  <si>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</si>
  <si>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</si>
  <si>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</si>
  <si>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</si>
  <si>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</si>
  <si>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</si>
  <si>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</si>
  <si>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</si>
  <si>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</si>
  <si>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</si>
  <si>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</si>
  <si>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</si>
  <si>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</si>
  <si>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</si>
  <si>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</si>
  <si>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</si>
  <si>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</si>
  <si>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</si>
  <si>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</si>
  <si>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</si>
  <si>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</si>
  <si>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</si>
  <si>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</si>
  <si>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</si>
  <si>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</si>
  <si>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</si>
  <si>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</si>
  <si>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</si>
  <si>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</si>
  <si>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</si>
  <si>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</si>
  <si>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</si>
  <si>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</si>
  <si>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%P.Brut</t>
  </si>
  <si>
    <t>$/Unite</t>
  </si>
  <si>
    <t>$TOTAL</t>
  </si>
  <si>
    <t>Profit brut</t>
  </si>
  <si>
    <t>DÉPENSES</t>
  </si>
  <si>
    <t>Salaires propriétaire</t>
  </si>
  <si>
    <t>Loyer</t>
  </si>
  <si>
    <t>Taxes foncières</t>
  </si>
  <si>
    <t>Taxes d`affaires</t>
  </si>
  <si>
    <t>Taxe sur le capital</t>
  </si>
  <si>
    <t>Assurances</t>
  </si>
  <si>
    <t>Chauffage, éclairage</t>
  </si>
  <si>
    <t>Honoraires</t>
  </si>
  <si>
    <t>Réparation équipement</t>
  </si>
  <si>
    <t>Location équipement</t>
  </si>
  <si>
    <t>Dons</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</si>
  <si>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</si>
  <si>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</si>
  <si>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</si>
  <si>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</si>
  <si>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</si>
  <si>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</si>
  <si>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</si>
  <si>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</si>
  <si>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</si>
  <si>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</si>
  <si>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</si>
  <si>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PARK AVENUE VOLKSWAGEN</t>
  </si>
  <si>
    <t>Forecast Immobilisation 2022</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</si>
  <si>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</si>
  <si>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</si>
  <si>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</si>
  <si>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</si>
  <si>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</si>
  <si>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</si>
  <si>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</si>
  <si>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</si>
  <si>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</si>
  <si>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</si>
  <si>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</si>
  <si>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</si>
  <si>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</si>
  <si>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</si>
  <si>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</si>
  <si>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</si>
  <si>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</si>
  <si>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</si>
  <si>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</si>
  <si>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</si>
  <si>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Total</t>
  </si>
  <si>
    <t>oui</t>
  </si>
  <si>
    <t>non</t>
  </si>
  <si>
    <t>Description</t>
  </si>
  <si>
    <t>#Contrôle</t>
  </si>
  <si>
    <t>Marque</t>
  </si>
  <si>
    <t>Modèle</t>
  </si>
  <si>
    <t>$ Inventaire</t>
  </si>
  <si>
    <t>$ Financé</t>
  </si>
  <si>
    <t>NIV</t>
  </si>
  <si>
    <t>Jours en stock</t>
  </si>
  <si>
    <t>2022</t>
  </si>
  <si>
    <t>TIGUAN</t>
  </si>
  <si>
    <t>CTRL</t>
  </si>
  <si>
    <t>ATLAS</t>
  </si>
  <si>
    <t>Unités</t>
  </si>
  <si>
    <t>2023</t>
  </si>
  <si>
    <t>JETTA SEDAN</t>
  </si>
  <si>
    <t>2018</t>
  </si>
  <si>
    <t>VOLKSWAGEN</t>
  </si>
  <si>
    <t>2021</t>
  </si>
  <si>
    <t>ATLAS CROSS SPO</t>
  </si>
  <si>
    <t>5188P</t>
  </si>
  <si>
    <t>2011</t>
  </si>
  <si>
    <t>3VWLL7AJ3BM097101</t>
  </si>
  <si>
    <t>GOLF</t>
  </si>
  <si>
    <t>Moyenne</t>
  </si>
  <si>
    <t>2019</t>
  </si>
  <si>
    <t>Plus de 90 Jours</t>
  </si>
  <si>
    <t>JETTA</t>
  </si>
  <si>
    <t>2020</t>
  </si>
  <si>
    <t>GOLF GTI</t>
  </si>
  <si>
    <t>2017</t>
  </si>
  <si>
    <t>5291P</t>
  </si>
  <si>
    <t>E-GOLF</t>
  </si>
  <si>
    <t>WVWPR7AU2LW903993</t>
  </si>
  <si>
    <t>New</t>
  </si>
  <si>
    <t>Actual</t>
  </si>
  <si>
    <t>Budget</t>
  </si>
  <si>
    <t>▲ Budget</t>
  </si>
  <si>
    <t>% ▲ Budget</t>
  </si>
  <si>
    <t>Commentaires</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</si>
  <si>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</si>
  <si>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</si>
  <si>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</si>
  <si>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</si>
  <si>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</si>
  <si>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</si>
  <si>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</si>
  <si>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</si>
  <si>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</si>
  <si>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</si>
  <si>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</si>
  <si>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</si>
  <si>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</si>
  <si>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t>
  </si>
  <si>
    <t>Used</t>
  </si>
  <si>
    <t>Revenus</t>
  </si>
  <si>
    <t>Gross margin</t>
  </si>
  <si>
    <t>$ Revenus / #WO client</t>
  </si>
  <si>
    <t>$ Revenus / #WO garantie</t>
  </si>
  <si>
    <t>Lost time</t>
  </si>
  <si>
    <t>Total salaries</t>
  </si>
  <si>
    <t>Salaries</t>
  </si>
  <si>
    <t>Fringes</t>
  </si>
  <si>
    <t>Total salaries / Revenus</t>
  </si>
  <si>
    <t>Pieces</t>
  </si>
  <si>
    <t>Clients</t>
  </si>
  <si>
    <t>Garantie</t>
  </si>
  <si>
    <t>Wholesale</t>
  </si>
  <si>
    <t>Tires</t>
  </si>
  <si>
    <t>All others</t>
  </si>
  <si>
    <t>Others</t>
  </si>
  <si>
    <t>Total salaries / Gross profits</t>
  </si>
  <si>
    <t>Headcounts</t>
  </si>
  <si>
    <t>Marketing</t>
  </si>
  <si>
    <t>Other semi-fixed expenses</t>
  </si>
  <si>
    <t>Floor plan interest</t>
  </si>
  <si>
    <t>Others Revenues</t>
  </si>
  <si>
    <t>P&amp;L</t>
  </si>
  <si>
    <t>Selling and Marketing</t>
  </si>
  <si>
    <t>S&amp;M / Brut</t>
  </si>
  <si>
    <t>General &amp; administrative</t>
  </si>
  <si>
    <t>G&amp;A / Brut</t>
  </si>
  <si>
    <t>EBITDA</t>
  </si>
  <si>
    <t>EBITDA %</t>
  </si>
  <si>
    <t>EBIT</t>
  </si>
  <si>
    <t>EBIT %</t>
  </si>
  <si>
    <t>Écart Fav / (Défav)</t>
  </si>
  <si>
    <t xml:space="preserve"> </t>
  </si>
  <si>
    <t>X</t>
  </si>
  <si>
    <t>O</t>
  </si>
  <si>
    <t>U</t>
  </si>
  <si>
    <t>NB</t>
  </si>
  <si>
    <t>*** NE PAS EFFACER / Pour An Précédente ***</t>
  </si>
  <si>
    <t>BUDGET  ORIGINAL</t>
  </si>
  <si>
    <t>RÉALISATION</t>
  </si>
  <si>
    <t>ANNÉE  PRÉCÉDENTE</t>
  </si>
  <si>
    <t>ÉCART réel / original</t>
  </si>
  <si>
    <t>NEUF</t>
  </si>
  <si>
    <t>$P/UNITÉ</t>
  </si>
  <si>
    <t>USAGE</t>
  </si>
  <si>
    <t>Véhicules neufsVentes nettes</t>
  </si>
  <si>
    <t>SERVICE</t>
  </si>
  <si>
    <t>Véhicules neufsAutos détail</t>
  </si>
  <si>
    <t>CARROSSERIE</t>
  </si>
  <si>
    <t>Véhicules neufsCamions détail</t>
  </si>
  <si>
    <t>PIECES</t>
  </si>
  <si>
    <t>Véhicules neufsSprinter</t>
  </si>
  <si>
    <t>Véhicules neufsMoto détail</t>
  </si>
  <si>
    <t>Véhicules neufs[...]</t>
  </si>
  <si>
    <t>Véhicules neufsTotal Neufs</t>
  </si>
  <si>
    <t>Véhicules neufsEx-Démos et courtoisies</t>
  </si>
  <si>
    <t>Véhicules neufsFlottes</t>
  </si>
  <si>
    <t>Véhicules neufsRachat bail</t>
  </si>
  <si>
    <t>Véhicules neufsRev. Finances</t>
  </si>
  <si>
    <t>Véhicules neufsRev. Protections</t>
  </si>
  <si>
    <t>Véhicules neufsRev. Autres</t>
  </si>
  <si>
    <t>Véhicules neufsTotal F&amp;I</t>
  </si>
  <si>
    <t>Véhicules neufsTotal Dépt. Neufs</t>
  </si>
  <si>
    <t>Véhicules neufsDEPENSES</t>
  </si>
  <si>
    <t>Véhicules neufsComm. vendeurs</t>
  </si>
  <si>
    <t>Véhicules neufsComm. F&amp;I</t>
  </si>
  <si>
    <t>Véhicules neufsFrais de livraison</t>
  </si>
  <si>
    <t>Véhicules neufsService gratuit 1</t>
  </si>
  <si>
    <t>Véhicules neufsEntretien stock</t>
  </si>
  <si>
    <t>Véhicules neufsPublicité 1</t>
  </si>
  <si>
    <t>Véhicules neufsIntérêt de gros</t>
  </si>
  <si>
    <t>Véhicules neufsTOTAL VARIABLES</t>
  </si>
  <si>
    <t>Véhicules neufsSalaires cadres</t>
  </si>
  <si>
    <t>Véhicules neufsSalaires commis</t>
  </si>
  <si>
    <t>Véhicules neufsSalaires autres</t>
  </si>
  <si>
    <t>Véhicules neufsSalaires spécialistes</t>
  </si>
  <si>
    <t>Véhicules neufsSalaires en absences</t>
  </si>
  <si>
    <t>Véhicules neufsDéduction à la source</t>
  </si>
  <si>
    <t>Véhicules neufsBénéfices marginaux</t>
  </si>
  <si>
    <t>Véhicules neufsCsst</t>
  </si>
  <si>
    <t>Véhicules neufsTOTAL PERSONNEL</t>
  </si>
  <si>
    <t>Véhicules neufsPublicité 2</t>
  </si>
  <si>
    <t>Véhicules neufsService gratuit 2</t>
  </si>
  <si>
    <t>Véhicules neufsFrais véhicules de cie</t>
  </si>
  <si>
    <t>Véhicules neufsInformatique</t>
  </si>
  <si>
    <t>Véhicules neufsFrais de déplacement</t>
  </si>
  <si>
    <t>Véhicules neufsServices extérieurs</t>
  </si>
  <si>
    <t>Véhicules neufsFournitures autres</t>
  </si>
  <si>
    <t>Véhicules neufsUniformes</t>
  </si>
  <si>
    <t>Véhicules neufsPapeterie</t>
  </si>
  <si>
    <t>Véhicules neufsTéléphone</t>
  </si>
  <si>
    <t>Véhicules neufsFrais postaux</t>
  </si>
  <si>
    <t>Véhicules neufsDivers</t>
  </si>
  <si>
    <t>Véhicules neufsFormation</t>
  </si>
  <si>
    <t>Véhicules neufsFrais bancaires</t>
  </si>
  <si>
    <t>Véhicules neufsTOTAL SEMI-FIXES</t>
  </si>
  <si>
    <t>Véhicules neufsTOTAL DES DÉPENSES</t>
  </si>
  <si>
    <t>Véhicules neufsProgramme neuf 1</t>
  </si>
  <si>
    <t>Véhicules neufsProgramme neuf 2</t>
  </si>
  <si>
    <t>Véhicules neufsProgramme neuf 3</t>
  </si>
  <si>
    <t>Véhicules neufsHoldbacks</t>
  </si>
  <si>
    <t>Véhicules neufsFrais administration</t>
  </si>
  <si>
    <t>Véhicules neufsAUTRES REVENUS</t>
  </si>
  <si>
    <t>Véhicules neufsPROFIT DÉPARTEMENTAL</t>
  </si>
  <si>
    <t>Véhicules usagésVentes nettes</t>
  </si>
  <si>
    <t>Véhicules usagésCertifié</t>
  </si>
  <si>
    <t>Véhicules usagésNon Certifié</t>
  </si>
  <si>
    <t>US</t>
  </si>
  <si>
    <t>Véhicules usagésVentes au Gros</t>
  </si>
  <si>
    <t>Véhicules usagésRev. Finances</t>
  </si>
  <si>
    <t>Véhicules usagésRev. Protections</t>
  </si>
  <si>
    <t>Véhicules usagésRev. Autres</t>
  </si>
  <si>
    <t>Véhicules usagésTotal F&amp;I</t>
  </si>
  <si>
    <t>Véhicules usagésTotal Dépt. Usagés</t>
  </si>
  <si>
    <t>Véhicules usagésDEPENSES</t>
  </si>
  <si>
    <t>Véhicules usagésComm. vendeurs</t>
  </si>
  <si>
    <t>Véhicules usagésComm. F&amp;I</t>
  </si>
  <si>
    <t>Véhicules usagésFrais de livraison</t>
  </si>
  <si>
    <t>Véhicules usagésService gratuit 1</t>
  </si>
  <si>
    <t>Véhicules usagésEntretien stock</t>
  </si>
  <si>
    <t>Véhicules usagésPublicité 1</t>
  </si>
  <si>
    <t>Véhicules usagésIntérêt de gros</t>
  </si>
  <si>
    <t>Véhicules usagés[...]</t>
  </si>
  <si>
    <t>Véhicules usagésTOTAL VARIABLES</t>
  </si>
  <si>
    <t>Véhicules usagésSalaires cadres</t>
  </si>
  <si>
    <t>Véhicules usagésSalaires commis</t>
  </si>
  <si>
    <t>Véhicules usagésSalaires autres</t>
  </si>
  <si>
    <t>Véhicules usagésSalaires spécialistes</t>
  </si>
  <si>
    <t>Véhicules usagésSalaires en absences</t>
  </si>
  <si>
    <t>Véhicules usagésDéduction à la source</t>
  </si>
  <si>
    <t>Véhicules usagésBénéfices marginaux</t>
  </si>
  <si>
    <t>Véhicules usagésCsst</t>
  </si>
  <si>
    <t>Véhicules usagésTOTAL PERSONNEL</t>
  </si>
  <si>
    <t>Véhicules usagésPublicité 2</t>
  </si>
  <si>
    <t>Véhicules usagésService gratuit 2</t>
  </si>
  <si>
    <t>Véhicules usagésFrais véhicules de cie</t>
  </si>
  <si>
    <t>Véhicules usagésInformatique</t>
  </si>
  <si>
    <t>Véhicules usagésFrais de déplacement</t>
  </si>
  <si>
    <t>Véhicules usagésServices extérieurs</t>
  </si>
  <si>
    <t>Véhicules usagésFournitures autres</t>
  </si>
  <si>
    <t>Véhicules usagésUniformes</t>
  </si>
  <si>
    <t>Véhicules usagésPapeterie</t>
  </si>
  <si>
    <t>Véhicules usagésTéléphone</t>
  </si>
  <si>
    <t>Véhicules usagésFrais postaux</t>
  </si>
  <si>
    <t>Véhicules usagésDivers</t>
  </si>
  <si>
    <t>Véhicules usagésFormation</t>
  </si>
  <si>
    <t>Véhicules usagésFrais bancaires</t>
  </si>
  <si>
    <t>Véhicules usagésTOTAL SEMI-FIXES</t>
  </si>
  <si>
    <t>Véhicules usagésTOTAL DES DÉPENSES</t>
  </si>
  <si>
    <t>Véhicules usagésProgramme used 1</t>
  </si>
  <si>
    <t>Véhicules usagésProgramme used 2</t>
  </si>
  <si>
    <t>Véhicules usagésProgramme used 3</t>
  </si>
  <si>
    <t>Véhicules usagésFrais administration</t>
  </si>
  <si>
    <t>% VOL</t>
  </si>
  <si>
    <t>ServiceM/O Client</t>
  </si>
  <si>
    <t>Service% profit / ventes</t>
  </si>
  <si>
    <t>ServiceM/O Garantie</t>
  </si>
  <si>
    <t>Garantie (M.O. + Pièces)</t>
  </si>
  <si>
    <t>Marge</t>
  </si>
  <si>
    <t>ServiceM/O Interne</t>
  </si>
  <si>
    <t>ServiceM/O Esthétique</t>
  </si>
  <si>
    <t>ServiceAjustement M/O</t>
  </si>
  <si>
    <t>ServiceSous-total M/O</t>
  </si>
  <si>
    <t>Service% protit / ventes</t>
  </si>
  <si>
    <t>ServiceSous-traitement</t>
  </si>
  <si>
    <t>ServiceM.O. Recond. MCPA</t>
  </si>
  <si>
    <t>ServiceTotal Mécanique</t>
  </si>
  <si>
    <t>ServiceDEPENSES</t>
  </si>
  <si>
    <t>ServiceSalaires cadres</t>
  </si>
  <si>
    <t>ServiceSalaires commis</t>
  </si>
  <si>
    <t>ServiceSalaires autres</t>
  </si>
  <si>
    <t>ServiceSalaires spécialistes</t>
  </si>
  <si>
    <t>Service[...]</t>
  </si>
  <si>
    <t>ServiceSalaires en absences</t>
  </si>
  <si>
    <t>ServiceDéduction à la source</t>
  </si>
  <si>
    <t>ServiceBénéfices marginaux</t>
  </si>
  <si>
    <t>ServiceCsst</t>
  </si>
  <si>
    <t>ServiceTOTAL PERSONNEL</t>
  </si>
  <si>
    <t>ServicePublicité 2</t>
  </si>
  <si>
    <t>ServiceService gratuit 2</t>
  </si>
  <si>
    <t>ServiceFrais véhicules de cie</t>
  </si>
  <si>
    <t>ServiceInformatique</t>
  </si>
  <si>
    <t>ServiceFrais de déplacement</t>
  </si>
  <si>
    <t>ServiceServices extérieurs</t>
  </si>
  <si>
    <t>ServiceFournitures d'atelier</t>
  </si>
  <si>
    <t>Fournitures d'atelier</t>
  </si>
  <si>
    <t>ServiceFournitures autres</t>
  </si>
  <si>
    <t>ServiceUniformes</t>
  </si>
  <si>
    <t>ServicePapeterie</t>
  </si>
  <si>
    <t>ServiceTéléphone</t>
  </si>
  <si>
    <t>ServiceFrais postaux</t>
  </si>
  <si>
    <t>ServiceDivers</t>
  </si>
  <si>
    <t>ServiceFormation</t>
  </si>
  <si>
    <t>ServiceFrais bancaires</t>
  </si>
  <si>
    <t>CarrosserieM/O Sous-traitement</t>
  </si>
  <si>
    <t>Carrosserie% profit / ventes</t>
  </si>
  <si>
    <t>CarrosserieM/O Carrosserie</t>
  </si>
  <si>
    <t>CarrosserieM/O Esthétique Carr.</t>
  </si>
  <si>
    <t>CarrosserieTotal Mécanique</t>
  </si>
  <si>
    <t>CarrosserieDEPENSES</t>
  </si>
  <si>
    <t>CarrosserieSalaires cadres</t>
  </si>
  <si>
    <t>CarrosserieSalaires commis</t>
  </si>
  <si>
    <t>CarrosserieSalaires autres</t>
  </si>
  <si>
    <t>CarrosserieSalaires spécialistes</t>
  </si>
  <si>
    <t>Carrosserie[...]</t>
  </si>
  <si>
    <t>CarrosserieSalaires en absences</t>
  </si>
  <si>
    <t>CarrosserieDéduction à la source</t>
  </si>
  <si>
    <t>CarrosserieBénéfices marginaux</t>
  </si>
  <si>
    <t>CarrosserieCsst</t>
  </si>
  <si>
    <t>CarrosserieTOTAL PERSONNEL</t>
  </si>
  <si>
    <t>CarrosseriePublicité 2</t>
  </si>
  <si>
    <t>CarrosserieService gratuit 2</t>
  </si>
  <si>
    <t>CarrosserieFrais véhicules de cie</t>
  </si>
  <si>
    <t>CarrosserieInformatique</t>
  </si>
  <si>
    <t>CarrosserieFrais de déplacement</t>
  </si>
  <si>
    <t>CarrosserieServices extérieurs</t>
  </si>
  <si>
    <t>CarrosserieFournitures d'atelier</t>
  </si>
  <si>
    <t>CarrosserieFournitures autres</t>
  </si>
  <si>
    <t>CarrosserieUniformes</t>
  </si>
  <si>
    <t>CarrosseriePapeterie</t>
  </si>
  <si>
    <t>CarrosserieTéléphone</t>
  </si>
  <si>
    <t>CarrosserieFrais postaux</t>
  </si>
  <si>
    <t>CarrosserieDivers</t>
  </si>
  <si>
    <t>CarrosserieFormation</t>
  </si>
  <si>
    <t>CarrosserieFrais bancaires</t>
  </si>
  <si>
    <t>$Ventes</t>
  </si>
  <si>
    <t>PiècesPièces Ro Clients</t>
  </si>
  <si>
    <t>PiècesPièces Ro Carrosserie</t>
  </si>
  <si>
    <t>PiècesP/A Garantie</t>
  </si>
  <si>
    <t>PiècesVentes Internes</t>
  </si>
  <si>
    <t>PiècesVentes Détails</t>
  </si>
  <si>
    <t>PiècesVentes de Gros</t>
  </si>
  <si>
    <t>Pièces[...]</t>
  </si>
  <si>
    <t>PiècesEscomptes</t>
  </si>
  <si>
    <t>PiècesRectif. Inventaire</t>
  </si>
  <si>
    <t>PiècesSous-total Pièces</t>
  </si>
  <si>
    <t>PiècesVentes Pneus</t>
  </si>
  <si>
    <t>PiècesHuiles et Graisse</t>
  </si>
  <si>
    <t>PiècesSous-total Pièces et Acc.</t>
  </si>
  <si>
    <t>PiècesAutostock</t>
  </si>
  <si>
    <t>PiècesTotal Dépt. Pièces</t>
  </si>
  <si>
    <t>PiècesDEPENSES</t>
  </si>
  <si>
    <t>PiècesSalaires cadres</t>
  </si>
  <si>
    <t>PiècesSalaires commis</t>
  </si>
  <si>
    <t>PiècesSalaires autres</t>
  </si>
  <si>
    <t>PiècesSalaires spécialistes</t>
  </si>
  <si>
    <t>PiècesSalaires en absences</t>
  </si>
  <si>
    <t>PiècesDéduction à la source</t>
  </si>
  <si>
    <t>PiècesBénéfices marginaux</t>
  </si>
  <si>
    <t>PiècesCsst</t>
  </si>
  <si>
    <t>PiècesTOTAL PERSONNEL</t>
  </si>
  <si>
    <t>PiècesPublicité 2</t>
  </si>
  <si>
    <t>PiècesService gratuit 2</t>
  </si>
  <si>
    <t>PiècesFrais véhicules de cie</t>
  </si>
  <si>
    <t>PiècesInformatique</t>
  </si>
  <si>
    <t>PiècesFrais de déplacement</t>
  </si>
  <si>
    <t>PiècesServices extérieurs</t>
  </si>
  <si>
    <t>PiècesFournitures d'atelier</t>
  </si>
  <si>
    <t>PiècesFournitures autres</t>
  </si>
  <si>
    <t>PiècesUniformes</t>
  </si>
  <si>
    <t>PiècesPapeterie</t>
  </si>
  <si>
    <t>PiècesTéléphone</t>
  </si>
  <si>
    <t>PiècesFrais postaux</t>
  </si>
  <si>
    <t>PiècesDivers</t>
  </si>
  <si>
    <t>PiècesFormation</t>
  </si>
  <si>
    <t>PiècesFrais bancaires</t>
  </si>
  <si>
    <t>BoutiqueBoutique</t>
  </si>
  <si>
    <t>BoutiqueTotal Dépt. Boutique</t>
  </si>
  <si>
    <t>BoutiqueDEPENSES</t>
  </si>
  <si>
    <t>BoutiqueSalaires cadres</t>
  </si>
  <si>
    <t>BoutiqueSalaires commis</t>
  </si>
  <si>
    <t>BoutiqueSalaires autres</t>
  </si>
  <si>
    <t>BoutiqueSalaires spécialistes</t>
  </si>
  <si>
    <t>Boutique[...]</t>
  </si>
  <si>
    <t>BoutiqueSalaires en absences</t>
  </si>
  <si>
    <t>BoutiqueDéduction à la source</t>
  </si>
  <si>
    <t>BoutiqueBénéfices marginaux</t>
  </si>
  <si>
    <t>BoutiqueCsst</t>
  </si>
  <si>
    <t>BoutiqueTOTAL PERSONNEL</t>
  </si>
  <si>
    <t>BoutiquePublicité 2</t>
  </si>
  <si>
    <t>BoutiqueService gratuit 2</t>
  </si>
  <si>
    <t>BoutiqueFrais véhicules de cie</t>
  </si>
  <si>
    <t>BoutiqueInformatique</t>
  </si>
  <si>
    <t>BoutiqueFrais de déplacement</t>
  </si>
  <si>
    <t>BoutiqueServices extérieurs</t>
  </si>
  <si>
    <t>BoutiqueFournitures autres</t>
  </si>
  <si>
    <t>BoutiqueUniformes</t>
  </si>
  <si>
    <t>BoutiquePapeterie</t>
  </si>
  <si>
    <t>BoutiqueTéléphone</t>
  </si>
  <si>
    <t>BoutiqueFrais postaux</t>
  </si>
  <si>
    <t>BoutiqueDivers</t>
  </si>
  <si>
    <t>BoutiqueFormation</t>
  </si>
  <si>
    <t>BoutiqueFrais bancaires</t>
  </si>
  <si>
    <t>Protégé pour sommaire - &gt;&gt;</t>
  </si>
  <si>
    <t/>
  </si>
  <si>
    <t xml:space="preserve">BUDGET  ORIGINAL   </t>
  </si>
  <si>
    <t>ANNEE  PRECEDENTE</t>
  </si>
  <si>
    <t>ECART (réel/ bud. original)</t>
  </si>
  <si>
    <t># cpte</t>
  </si>
  <si>
    <t>$/unité</t>
  </si>
  <si>
    <t>$$</t>
  </si>
  <si>
    <t>%%</t>
  </si>
  <si>
    <t>#10</t>
  </si>
  <si>
    <t>#12</t>
  </si>
  <si>
    <t>#13</t>
  </si>
  <si>
    <t>#15</t>
  </si>
  <si>
    <t>#31-32</t>
  </si>
  <si>
    <t>#62</t>
  </si>
  <si>
    <t>#19</t>
  </si>
  <si>
    <t>#20</t>
  </si>
  <si>
    <t>#22</t>
  </si>
  <si>
    <t>#23</t>
  </si>
  <si>
    <t>#21</t>
  </si>
  <si>
    <t>#24</t>
  </si>
  <si>
    <t>#25</t>
  </si>
  <si>
    <t>#27-26</t>
  </si>
  <si>
    <t>#67</t>
  </si>
  <si>
    <t>#51</t>
  </si>
  <si>
    <t>#79</t>
  </si>
  <si>
    <t>#69-70-75</t>
  </si>
  <si>
    <t>#68</t>
  </si>
  <si>
    <t>#61</t>
  </si>
  <si>
    <t>#28</t>
  </si>
  <si>
    <t>#60</t>
  </si>
  <si>
    <t>#74</t>
  </si>
  <si>
    <t>#73-86</t>
  </si>
  <si>
    <t>#76-33</t>
  </si>
  <si>
    <t>#77</t>
  </si>
  <si>
    <t>#78-93</t>
  </si>
  <si>
    <t>#80</t>
  </si>
  <si>
    <t>#84</t>
  </si>
  <si>
    <t>#89</t>
  </si>
  <si>
    <t>#85-88</t>
  </si>
  <si>
    <t>#87</t>
  </si>
  <si>
    <t>#72</t>
  </si>
  <si>
    <t>#82-90</t>
  </si>
  <si>
    <t>#92</t>
  </si>
  <si>
    <t>#66</t>
  </si>
  <si>
    <t>Écart</t>
  </si>
  <si>
    <t>Park Avenue Volkswagen - Analyse des écarts "Volume &amp; Taux - Mois courant"</t>
  </si>
  <si>
    <t>Neufs</t>
  </si>
  <si>
    <t>Volume #</t>
  </si>
  <si>
    <t>Marge $</t>
  </si>
  <si>
    <t>Brut</t>
  </si>
  <si>
    <t>Usagés</t>
  </si>
  <si>
    <t>Volume $</t>
  </si>
  <si>
    <t>Marge %</t>
  </si>
  <si>
    <t>Service #B.T.</t>
  </si>
  <si>
    <t>$/B.T.</t>
  </si>
  <si>
    <t>Ventes</t>
  </si>
  <si>
    <t>Écart Total</t>
  </si>
  <si>
    <t>Réel</t>
  </si>
  <si>
    <t>Écart Marge</t>
  </si>
  <si>
    <t>Écart $/B.T.</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</si>
  <si>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</si>
  <si>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</si>
  <si>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</si>
  <si>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</si>
  <si>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t>Marge Budget</t>
  </si>
  <si>
    <t>$/B.T. Budget</t>
  </si>
  <si>
    <t>Écart Volume</t>
  </si>
  <si>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</si>
  <si>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</si>
  <si>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</si>
  <si>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</si>
  <si>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Volume Budget</t>
  </si>
  <si>
    <t>Variabilité Max-Min</t>
  </si>
  <si>
    <t>Max Vol &amp; Marge</t>
  </si>
  <si>
    <t>Min Vol &amp; Marge</t>
  </si>
  <si>
    <t>Fourchette</t>
  </si>
  <si>
    <t>Réel VS Max</t>
  </si>
  <si>
    <t>Réel VS Moyenne</t>
  </si>
  <si>
    <t>Réel VS Min</t>
  </si>
  <si>
    <t>Fourchette Variabilité</t>
  </si>
  <si>
    <t>Autres Revenus Budgétés non-réalisé</t>
  </si>
  <si>
    <t>Holdback</t>
  </si>
  <si>
    <t>Frais d'Admin.</t>
  </si>
  <si>
    <t>Mix Réalisé</t>
  </si>
  <si>
    <t>Mix Budget</t>
  </si>
  <si>
    <t>Écart Mix</t>
  </si>
  <si>
    <t>Écart Taux</t>
  </si>
  <si>
    <t>Atteinte Cible</t>
  </si>
  <si>
    <t>$Profits</t>
  </si>
  <si>
    <t>Total Pièces</t>
  </si>
  <si>
    <t>Delta Ventes &gt;&gt;</t>
  </si>
  <si>
    <t>Pour Rapport T1</t>
  </si>
  <si>
    <t>Réalisé T1</t>
  </si>
  <si>
    <t>Profit Brut Ventes</t>
  </si>
  <si>
    <t>Profit Brut Op. Fixes</t>
  </si>
  <si>
    <t>P-12</t>
  </si>
  <si>
    <t>VAR</t>
  </si>
  <si>
    <t>Solde des Maladies 2022 reportés à 2023</t>
  </si>
  <si>
    <t>Prov Av. Soc. Bonis VPDG</t>
  </si>
  <si>
    <t>Prov Tx sur Av. Autos 2019@2022</t>
  </si>
  <si>
    <t>Correction Taxes Payées d'Avance</t>
  </si>
  <si>
    <t>Park Avenue Volkswagen - Analyse des écarts "Volume &amp; Taux - AAJ"</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</si>
  <si>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</si>
  <si>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</si>
  <si>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</si>
  <si>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</si>
  <si>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</si>
  <si>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</si>
  <si>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</si>
  <si>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</si>
  <si>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#Compte</t>
  </si>
  <si>
    <t>Type compte</t>
  </si>
  <si>
    <t>#Groupe</t>
  </si>
  <si>
    <t>Préfixe</t>
  </si>
  <si>
    <t>Solde d'ouverture</t>
  </si>
  <si>
    <t>Solde courant</t>
  </si>
  <si>
    <t>Solde de fin</t>
  </si>
  <si>
    <t>Valid GL #</t>
  </si>
  <si>
    <t>Debits</t>
  </si>
  <si>
    <t>Classification</t>
  </si>
  <si>
    <t>$ / NB</t>
  </si>
  <si>
    <t>PROFIT/PERTES JANVIER</t>
  </si>
  <si>
    <t>PROFIT/PERTES FEVRIER</t>
  </si>
  <si>
    <t>PROFIT/PERTES MARS</t>
  </si>
  <si>
    <t>PROFIT/PERTES AVRIL</t>
  </si>
  <si>
    <t>PROFIT/PERTES MAI</t>
  </si>
  <si>
    <t>PROFIT/PERTES JUIN</t>
  </si>
  <si>
    <t>PROFIT/PERTES JUILLET</t>
  </si>
  <si>
    <t>PROFIT/PERTES AOUT</t>
  </si>
  <si>
    <t>PROFIT/PERTES SEPTEMBRE</t>
  </si>
  <si>
    <t>PROFIT/PERTES OCTOBRE</t>
  </si>
  <si>
    <t>PROFIT/PERTES NOVEMBRE</t>
  </si>
  <si>
    <t>PROFIT/PERTES DECEMBRE</t>
  </si>
  <si>
    <t>CUMUL. VIS. CARR. VW</t>
  </si>
  <si>
    <t>CUMUL. VIS. VEH. SERV. VW</t>
  </si>
  <si>
    <t>TOTAL HRES PROD. SERVICE</t>
  </si>
  <si>
    <t>HEURES VENDU VW - SERVICE</t>
  </si>
  <si>
    <t>TOT. HEURES DISP. SERVICE</t>
  </si>
  <si>
    <t>TAUX M/O CLIENT VW</t>
  </si>
  <si>
    <t>TAUX M/O GARANTIE VW</t>
  </si>
  <si>
    <t>TAUX M/O INTERNE VW</t>
  </si>
  <si>
    <t>TAUX M/O CARR. VW</t>
  </si>
  <si>
    <t>BAIES TRAVAIL PRODUCTIVES - SERVICE VW</t>
  </si>
  <si>
    <t>255</t>
  </si>
  <si>
    <t>HEURES VENDUES - SERVICE - CLIENT VW</t>
  </si>
  <si>
    <t>257</t>
  </si>
  <si>
    <t>HEURES VENDUES - SERVICE - GARANTIE VW</t>
  </si>
  <si>
    <t>HEURES VENDUES - SERVICE - INTERNE VW</t>
  </si>
  <si>
    <t>REC VEH PASSE DU 30-60</t>
  </si>
  <si>
    <t>30</t>
  </si>
  <si>
    <t>CLIENT S P ET A PASSE DU 30-60</t>
  </si>
  <si>
    <t>RECLAM GARANTIE VW PASSE DU 30-60</t>
  </si>
  <si>
    <t>AUTRE REC MANUFACTURIER VW PASSE DU 30-60</t>
  </si>
  <si>
    <t>CLIENT VEH PLUS DE 60</t>
  </si>
  <si>
    <t>CLIENT S P ET A PLUS DE 60</t>
  </si>
  <si>
    <t>RECLAMATIONS DE GARATIE VW PLUS DE 60</t>
  </si>
  <si>
    <t>AUTRE REC MANUFACTURIER VW PLUS DE 60</t>
  </si>
  <si>
    <t>UNITES USAGES +30JRS</t>
  </si>
  <si>
    <t>OCCASION VW + 60 JRS</t>
  </si>
  <si>
    <t>AVOIR DU PROP. MIM. REQUIS</t>
  </si>
  <si>
    <t>FONDS DE ROULEMENT/MIN. REQUIS</t>
  </si>
  <si>
    <t>UNITES NEUVES VENDUES JANVIER</t>
  </si>
  <si>
    <t>40</t>
  </si>
  <si>
    <t>UNITES NEUVES VENDUES FEVRIER</t>
  </si>
  <si>
    <t>UNITES NEUVES VENDUES MARS</t>
  </si>
  <si>
    <t>UNITES NEUVES VENDUES AVRIL</t>
  </si>
  <si>
    <t>UNITES NEUVES VENDUES MAI</t>
  </si>
  <si>
    <t>UNITES NEUVES VENDUES JUIN</t>
  </si>
  <si>
    <t>UNITES NEUVES VENDUES JUILLET</t>
  </si>
  <si>
    <t>UNITES NEUVES VENDUES AOUT</t>
  </si>
  <si>
    <t>UNITES NEUVES VENDUES SEPTEMBRE</t>
  </si>
  <si>
    <t>UNITES NEUVES VENDUES OCTOBRE</t>
  </si>
  <si>
    <t>UNITES NEUVES VENDUES NOVEMBRE</t>
  </si>
  <si>
    <t>UNITES NEUVES VENDUES DECEMBRE</t>
  </si>
  <si>
    <t>UNITES USAGES DET./ JANV.</t>
  </si>
  <si>
    <t>UNITES USAGES DET./ FEVR.</t>
  </si>
  <si>
    <t>UNITES USAGES DET./ MARS</t>
  </si>
  <si>
    <t>UNITES USAGES DET./ AVRIL</t>
  </si>
  <si>
    <t>UNITES USAGES DET./ MAI</t>
  </si>
  <si>
    <t>UNITES USAGES DET./ JUIN</t>
  </si>
  <si>
    <t>UNITES USAGES DET./ JUILLET</t>
  </si>
  <si>
    <t>UNITES USAGES DET./ AOUT</t>
  </si>
  <si>
    <t>UNITES USAGES DET./ SEPT.</t>
  </si>
  <si>
    <t>UNITES USAGES DET./ OCT.</t>
  </si>
  <si>
    <t>UNITES USAGES DET./ NOV.</t>
  </si>
  <si>
    <t>PROPRIETAIRES</t>
  </si>
  <si>
    <t>50</t>
  </si>
  <si>
    <t>DIR. GENERAL NEUFS</t>
  </si>
  <si>
    <t>DIR. GENERAL USAGES</t>
  </si>
  <si>
    <t>DIR. GENERAL SERVICE</t>
  </si>
  <si>
    <t>DIR. GENERAL PIECES</t>
  </si>
  <si>
    <t>DIR. SERVICE NEUFS</t>
  </si>
  <si>
    <t>DIR. SERVICE USAGES</t>
  </si>
  <si>
    <t>DIR. SERVICE SERVICE</t>
  </si>
  <si>
    <t>DIR. SERVICE PIECES</t>
  </si>
  <si>
    <t>VW REP. DES VENTES - NEUF</t>
  </si>
  <si>
    <t>VW REP. DES VENTES - OCC.</t>
  </si>
  <si>
    <t>DIR. COMMERCIAL NEUFS</t>
  </si>
  <si>
    <t>DIR. COMMERCIAL USAGES</t>
  </si>
  <si>
    <t>CONTREMAITRE SERVICE</t>
  </si>
  <si>
    <t>VW CONSEILLERS SERVICE -SERVICE</t>
  </si>
  <si>
    <t>VW CONSEILLERS SERVICE - PIEC. &amp; CARR.&lt;</t>
  </si>
  <si>
    <t>LAVEURS NEUFS</t>
  </si>
  <si>
    <t>LAVEURS USAGES</t>
  </si>
  <si>
    <t>LAVEURS SERVICE</t>
  </si>
  <si>
    <t>VW TECHNICIENS - SERVICE</t>
  </si>
  <si>
    <t>DIR. ADMINIS. NEUFS</t>
  </si>
  <si>
    <t>DIR. ADMINIS. USAGES</t>
  </si>
  <si>
    <t>DIR. ADMINIS. SERVICE</t>
  </si>
  <si>
    <t>DIR. ADMINIS. CARROSS.</t>
  </si>
  <si>
    <t>DIR. ADMINIS. PIECES</t>
  </si>
  <si>
    <t>PERSONELS CLER. NEUFS</t>
  </si>
  <si>
    <t>PERSONELS CLER. USAGES</t>
  </si>
  <si>
    <t>PERSONELS CLER. SERVICE</t>
  </si>
  <si>
    <t>PERSONELS CLER. PIECES</t>
  </si>
  <si>
    <t>VW PIECES</t>
  </si>
  <si>
    <t>BANQUE DE COMMERCE C/C</t>
  </si>
  <si>
    <t>2-Actifs</t>
  </si>
  <si>
    <t>1102</t>
  </si>
  <si>
    <t>MASTER CARD (CANADA TRUST)</t>
  </si>
  <si>
    <t>REMBOURSEMENTS FLOORPLAN</t>
  </si>
  <si>
    <t>PETITE CAISSE</t>
  </si>
  <si>
    <t>1382</t>
  </si>
  <si>
    <t>CONTRATS EN TRANSIT</t>
  </si>
  <si>
    <t>1202</t>
  </si>
  <si>
    <t>RECEVABLE-CLIENT-VEHICULE</t>
  </si>
  <si>
    <t>1302</t>
  </si>
  <si>
    <t>RECEVABLES LPA ET AU GROS</t>
  </si>
  <si>
    <t>RECEVABLES PIECES &amp; SERVICE</t>
  </si>
  <si>
    <t>1304</t>
  </si>
  <si>
    <t>RECEVABLES CARROSSERIE</t>
  </si>
  <si>
    <t>RECEVABLES INTERCO</t>
  </si>
  <si>
    <t>RECEVABLES INTERCO VEHICULE</t>
  </si>
  <si>
    <t>RESEVE VOLKS</t>
  </si>
  <si>
    <t>1314</t>
  </si>
  <si>
    <t>RECLAM. RECEVABLE-GARANTIE</t>
  </si>
  <si>
    <t>1332</t>
  </si>
  <si>
    <t>GARANTIE PPM</t>
  </si>
  <si>
    <t>RECEV. MANUFACTURIER VOLKS</t>
  </si>
  <si>
    <t>RESERVE CREANCE DOUTEUSES</t>
  </si>
  <si>
    <t>1399</t>
  </si>
  <si>
    <t>VEHIC. NEUFS VOLKS</t>
  </si>
  <si>
    <t>1402</t>
  </si>
  <si>
    <t># DE INVENTAIRE VEH.NEUFS VW</t>
  </si>
  <si>
    <t>1402@</t>
  </si>
  <si>
    <t>BRUISING VOLKS VEH. NEUFS</t>
  </si>
  <si>
    <t>BRUISING USED CAR</t>
  </si>
  <si>
    <t>1413</t>
  </si>
  <si>
    <t>INV. VEH. USAGE VW</t>
  </si>
  <si>
    <t>1416</t>
  </si>
  <si>
    <t># DE INV. VEH. USAGE VW</t>
  </si>
  <si>
    <t>1416@</t>
  </si>
  <si>
    <t>RESERVE DEMO</t>
  </si>
  <si>
    <t>1423</t>
  </si>
  <si>
    <t>RESERVE COURTOISIE</t>
  </si>
  <si>
    <t>143</t>
  </si>
  <si>
    <t>PIECES &amp; ACCESSOIRES NEUFS</t>
  </si>
  <si>
    <t>1442</t>
  </si>
  <si>
    <t>AUTRES MARQUES P&amp;A</t>
  </si>
  <si>
    <t>PNEUS</t>
  </si>
  <si>
    <t>PIECES VW NON ORIGINE</t>
  </si>
  <si>
    <t>1456</t>
  </si>
  <si>
    <t>WIP M-O VW</t>
  </si>
  <si>
    <t>1472</t>
  </si>
  <si>
    <t>INVENTAIRE SOUS-TRAITANTS</t>
  </si>
  <si>
    <t>CARBURANT, HUILE, GRAISSE</t>
  </si>
  <si>
    <t>AUTRES INVENTAIRES</t>
  </si>
  <si>
    <t>1498</t>
  </si>
  <si>
    <t>FPA PUB.VEHICULES NEUFS</t>
  </si>
  <si>
    <t>1500</t>
  </si>
  <si>
    <t>PUBLICITE VEH USAGES</t>
  </si>
  <si>
    <t>FPA PUBLICITE SERVICE</t>
  </si>
  <si>
    <t>DIAMOND KOTE (NANO)</t>
  </si>
  <si>
    <t>FPA IMMATRICULATION</t>
  </si>
  <si>
    <t>FPA C.C.A.M.Q.</t>
  </si>
  <si>
    <t>FPA FOURNITURES LAVAGE</t>
  </si>
  <si>
    <t>FPA CONTRATS DE SERVICES</t>
  </si>
  <si>
    <t>FPA GAZ METROPOLITAIN</t>
  </si>
  <si>
    <t>FPA ELECTRICITE HYDRO-QUEBEC</t>
  </si>
  <si>
    <t>FPA C.S.S.T.</t>
  </si>
  <si>
    <t>CSST A PAYER OU RECEVOIR</t>
  </si>
  <si>
    <t>FPA TAXES MUNICIPALES</t>
  </si>
  <si>
    <t>FPA TAXES SCOLAIRES</t>
  </si>
  <si>
    <t>FPA PAYABLES</t>
  </si>
  <si>
    <t>FPA AUTRES</t>
  </si>
  <si>
    <t>AMELIOR. LOCATIVES</t>
  </si>
  <si>
    <t>1700</t>
  </si>
  <si>
    <t>AMORT. CUM. AMEL. LOCAT.</t>
  </si>
  <si>
    <t>MACHINERIE &amp; EQUIPEMENT</t>
  </si>
  <si>
    <t>AMORTISS.MACHINERIE &amp; EQUIP.</t>
  </si>
  <si>
    <t>EQUIPEMENT PIECES</t>
  </si>
  <si>
    <t>AMORTISS.EQUIPEMENTS PIECES</t>
  </si>
  <si>
    <t>AMEUBLEMENT &amp; INSTR.</t>
  </si>
  <si>
    <t>AMORTISS.AMEUBL.INSTR.</t>
  </si>
  <si>
    <t>VEHICULES DE CIE</t>
  </si>
  <si>
    <t>DEPRECIATION &amp; AMORT.</t>
  </si>
  <si>
    <t>EQUIPEMENT INFORMATIQUE</t>
  </si>
  <si>
    <t>AMORTISS.EQUIP.INFORMATIQUES</t>
  </si>
  <si>
    <t>ENSEIGNES</t>
  </si>
  <si>
    <t>AMORT. CUM. ENSEIGNES</t>
  </si>
  <si>
    <t>1804</t>
  </si>
  <si>
    <t>FINANCEMENT RECEVABLE</t>
  </si>
  <si>
    <t>NOTE A PAYER VEH. NEUFS VOLKS</t>
  </si>
  <si>
    <t>3-Passifs</t>
  </si>
  <si>
    <t>2101</t>
  </si>
  <si>
    <t>NOTE PAYABLE-FIN. VEH. USAG.</t>
  </si>
  <si>
    <t>2103</t>
  </si>
  <si>
    <t>PORTION COURANTE PRET</t>
  </si>
  <si>
    <t>2131</t>
  </si>
  <si>
    <t>TPA A PAYER</t>
  </si>
  <si>
    <t>2220</t>
  </si>
  <si>
    <t>TVQ A PAYER</t>
  </si>
  <si>
    <t>2221</t>
  </si>
  <si>
    <t>TVQ A RECEVOIR</t>
  </si>
  <si>
    <t>TPS A PAYER</t>
  </si>
  <si>
    <t>2223</t>
  </si>
  <si>
    <t>TPS A RECEVOIR</t>
  </si>
  <si>
    <t>DROIT SUR PNEUS</t>
  </si>
  <si>
    <t>LIEN A PAYER</t>
  </si>
  <si>
    <t>2283</t>
  </si>
  <si>
    <t>PLAQUE A PAYER</t>
  </si>
  <si>
    <t>PROTECTIONS A PAYER</t>
  </si>
  <si>
    <t>A PAYER INVAPLAN</t>
  </si>
  <si>
    <t>COMPTES FOURNISSEURS</t>
  </si>
  <si>
    <t>2291</t>
  </si>
  <si>
    <t>ECHANGE ENTRE CONCESSIONNAIRES</t>
  </si>
  <si>
    <t>PROVISIONS GARANTIES USAGEES</t>
  </si>
  <si>
    <t>Volks RESERVE PROMO SAISONNIERE</t>
  </si>
  <si>
    <t>RESERVE ESSENCE</t>
  </si>
  <si>
    <t>2293</t>
  </si>
  <si>
    <t>COMPTE FOURNISSEURS INTERCO</t>
  </si>
  <si>
    <t>RESERVE RENOUVELLEMENT</t>
  </si>
  <si>
    <t>PRIME ASSURANCE GROUPE</t>
  </si>
  <si>
    <t>2315</t>
  </si>
  <si>
    <t>COMITE SOCIAL</t>
  </si>
  <si>
    <t>REER STANDARD LIFE</t>
  </si>
  <si>
    <t>COMITE PARITAIRE</t>
  </si>
  <si>
    <t>CENTRAIDE</t>
  </si>
  <si>
    <t>DEPOTS FIDUCIE-VENTE CLIENTS</t>
  </si>
  <si>
    <t>2401</t>
  </si>
  <si>
    <t>COMMISSION A PAYER</t>
  </si>
  <si>
    <t>2501</t>
  </si>
  <si>
    <t>Compte de depense a payer</t>
  </si>
  <si>
    <t>250</t>
  </si>
  <si>
    <t>SALAIRES DES EMPLOYES</t>
  </si>
  <si>
    <t>2503</t>
  </si>
  <si>
    <t>JOURS FERIES</t>
  </si>
  <si>
    <t>SALAIRES DE VACANCES</t>
  </si>
  <si>
    <t>JOURNEE MALADIE</t>
  </si>
  <si>
    <t>REVENUE HOLDBACK DIFFERE</t>
  </si>
  <si>
    <t>2561</t>
  </si>
  <si>
    <t>PROVISIONS QG</t>
  </si>
  <si>
    <t>256</t>
  </si>
  <si>
    <t>PRET CIBC</t>
  </si>
  <si>
    <t>2801</t>
  </si>
  <si>
    <t>RESERVE CARTES PRIVILEGE</t>
  </si>
  <si>
    <t>2901</t>
  </si>
  <si>
    <t>ACTIONS CATEGORIE 1</t>
  </si>
  <si>
    <t>4-Valeur nette</t>
  </si>
  <si>
    <t>3001</t>
  </si>
  <si>
    <t>APPORT / RETRAIT</t>
  </si>
  <si>
    <t>ACTIONS PARTICIPANTES</t>
  </si>
  <si>
    <t>BENEFICES NON-REPARTIS</t>
  </si>
  <si>
    <t>VTE - RACHAT BAIL VW</t>
  </si>
  <si>
    <t>5-Ventes</t>
  </si>
  <si>
    <t>4100</t>
  </si>
  <si>
    <t>RESERVE</t>
  </si>
  <si>
    <t>4100@</t>
  </si>
  <si>
    <t>VTE - GOLF R</t>
  </si>
  <si>
    <t>4109</t>
  </si>
  <si>
    <t># DE VENTE - GOLF R</t>
  </si>
  <si>
    <t>4109@</t>
  </si>
  <si>
    <t>JETTA/ JETTA GLI</t>
  </si>
  <si>
    <t>4111</t>
  </si>
  <si>
    <t>4111@</t>
  </si>
  <si>
    <t>VTES -TAOS</t>
  </si>
  <si>
    <t>4117</t>
  </si>
  <si>
    <t>TAOS</t>
  </si>
  <si>
    <t>4118@</t>
  </si>
  <si>
    <t>411</t>
  </si>
  <si>
    <t>VTE - ATLAS</t>
  </si>
  <si>
    <t>4119</t>
  </si>
  <si>
    <t># DE VTE - ATLAS</t>
  </si>
  <si>
    <t>4119@</t>
  </si>
  <si>
    <t>VTES -VTE - ATLAS CROSS SPORT</t>
  </si>
  <si>
    <t># DE VTE - ATLAS CROSS SPORT</t>
  </si>
  <si>
    <t>4121@</t>
  </si>
  <si>
    <t>VTE - GOLF GTI</t>
  </si>
  <si>
    <t>4127</t>
  </si>
  <si>
    <t># DE VENTE - GOLF GTI</t>
  </si>
  <si>
    <t>4127@</t>
  </si>
  <si>
    <t>VTE - TIGUAN LWB</t>
  </si>
  <si>
    <t>4131</t>
  </si>
  <si>
    <t># DE VTE - TIGUAN LWB</t>
  </si>
  <si>
    <t>4131@</t>
  </si>
  <si>
    <t>VTE - VW-FLOTTE/VENTES ENTR/EMPLOYE/VEH DEMON</t>
  </si>
  <si>
    <t>4137</t>
  </si>
  <si>
    <t>VW FLOTTE/VENTE ENTR/EMPLOYE/VEH DEMONST</t>
  </si>
  <si>
    <t>4137@</t>
  </si>
  <si>
    <t>VTE - VW FLOTTE/VENTE ENTR/EMPLOYE/VEH DEMONS</t>
  </si>
  <si>
    <t>4139</t>
  </si>
  <si>
    <t>VENTES A PARK AVENUE LOCATION</t>
  </si>
  <si>
    <t>4139@</t>
  </si>
  <si>
    <t>VTES -JETTA GLI</t>
  </si>
  <si>
    <t>414</t>
  </si>
  <si>
    <t># OF VTES -JETTA GLI</t>
  </si>
  <si>
    <t>4144@</t>
  </si>
  <si>
    <t>VTE - VEH.USAGE VW DETAIL CERTIFIE</t>
  </si>
  <si>
    <t>4201</t>
  </si>
  <si>
    <t># DE VTE - VEH.USAGE VW DET.CERT.</t>
  </si>
  <si>
    <t>4201@</t>
  </si>
  <si>
    <t>VTE - VW USAGES DETAIL</t>
  </si>
  <si>
    <t>4211</t>
  </si>
  <si>
    <t>VENTES USED DET. CHAMBLY</t>
  </si>
  <si>
    <t>4211@</t>
  </si>
  <si>
    <t>VEH. D'OCC. AUTRE DETAIL</t>
  </si>
  <si>
    <t>4261</t>
  </si>
  <si>
    <t>AUTRE MARQUES DETAIL - USAGE</t>
  </si>
  <si>
    <t>4285@</t>
  </si>
  <si>
    <t>VEH. D'OCC. AU GROS</t>
  </si>
  <si>
    <t>4281</t>
  </si>
  <si>
    <t>VENTE AU GROS - USAGES</t>
  </si>
  <si>
    <t>4291@</t>
  </si>
  <si>
    <t>M.O. MECANIQUE-VENTE CLIENTS</t>
  </si>
  <si>
    <t>4401</t>
  </si>
  <si>
    <t>4401@</t>
  </si>
  <si>
    <t>VTE - M.O. ESTHETIQUE CLIENT</t>
  </si>
  <si>
    <t>4402</t>
  </si>
  <si>
    <t>M.O. MECANIQUE-VENTE GAR. MANU</t>
  </si>
  <si>
    <t>4403</t>
  </si>
  <si>
    <t>4403@</t>
  </si>
  <si>
    <t>M.O. MECANIQUE-VENTE INTERNE</t>
  </si>
  <si>
    <t>4405</t>
  </si>
  <si>
    <t>4405@</t>
  </si>
  <si>
    <t>CARBURANT/HUILE/GRAISSE</t>
  </si>
  <si>
    <t>4782</t>
  </si>
  <si>
    <t>4451@</t>
  </si>
  <si>
    <t>REPARATION SOUS-LOC. - GENERAL</t>
  </si>
  <si>
    <t>4491</t>
  </si>
  <si>
    <t>4491@</t>
  </si>
  <si>
    <t>VTE - SOUS-TRAITANCE GARANTIE</t>
  </si>
  <si>
    <t>4493</t>
  </si>
  <si>
    <t># DE VTE - SOUS-TRAITANCE GARANTIE</t>
  </si>
  <si>
    <t>4493@</t>
  </si>
  <si>
    <t>VTE - S-TRAITANCE MEC.INTERNE VW</t>
  </si>
  <si>
    <t>4495</t>
  </si>
  <si>
    <t># DE VTE - S-TRAITANCE MEC.INTERNE VW</t>
  </si>
  <si>
    <t>4495@</t>
  </si>
  <si>
    <t>VTE - M.O. CARROSSERIE GARANTIE</t>
  </si>
  <si>
    <t># DE VTE - M.O. CARROS.GARANTIE</t>
  </si>
  <si>
    <t>4503@</t>
  </si>
  <si>
    <t>VTE - S-TRAIT. CARR.</t>
  </si>
  <si>
    <t>4591</t>
  </si>
  <si>
    <t>REPARATION SOUS-LOC.-PEINT/DEB</t>
  </si>
  <si>
    <t>4591@</t>
  </si>
  <si>
    <t>VTE - SOUS-TRAITANCE GARANTIE CARR.</t>
  </si>
  <si>
    <t>4593</t>
  </si>
  <si>
    <t># DE VTE - S-TRAITANCE GAR.CARR.</t>
  </si>
  <si>
    <t>4593@</t>
  </si>
  <si>
    <t>VTE - SOUS-TRAITANCE INTERNE CARR.</t>
  </si>
  <si>
    <t>4595</t>
  </si>
  <si>
    <t># DE VTE - S-TRAIT.INTERNE CARR.</t>
  </si>
  <si>
    <t>4595@</t>
  </si>
  <si>
    <t>VTE - PIECE/ACC B.R. CLIENT VW</t>
  </si>
  <si>
    <t>4701</t>
  </si>
  <si>
    <t>PIECES-BON REPARATION- CLIENTS</t>
  </si>
  <si>
    <t>4701@</t>
  </si>
  <si>
    <t>VTE - SHOP SUPPLY VW</t>
  </si>
  <si>
    <t>4702</t>
  </si>
  <si>
    <t>VTE - PIECE/ACC B.R. GARANTIE VW</t>
  </si>
  <si>
    <t>4703</t>
  </si>
  <si>
    <t>PIECES-BON REPARATION-GAR. MAN</t>
  </si>
  <si>
    <t>4703@</t>
  </si>
  <si>
    <t>VTE - PIECE/ACC B.R. INTERNE VW</t>
  </si>
  <si>
    <t>4705</t>
  </si>
  <si>
    <t>PIECES-BON REPARATION - INTERN</t>
  </si>
  <si>
    <t>4705@</t>
  </si>
  <si>
    <t>4706</t>
  </si>
  <si>
    <t>VTE - AUTRE PIECE/ACC/CARR B.R. CLIENT</t>
  </si>
  <si>
    <t>84711</t>
  </si>
  <si>
    <t># DE VTE - P&amp;A B.T. CLIENT AUDI</t>
  </si>
  <si>
    <t>4711@</t>
  </si>
  <si>
    <t>VTE - AUTRE PIECE/ACC/CARR B.R. INTERNE</t>
  </si>
  <si>
    <t># DE VTE - P&amp;A B.T. INTERNE AUDI</t>
  </si>
  <si>
    <t>4715@</t>
  </si>
  <si>
    <t>84715</t>
  </si>
  <si>
    <t>VTE - PIECES-BON REPAR.-PEINT/DEBOS</t>
  </si>
  <si>
    <t>4731</t>
  </si>
  <si>
    <t>PIECES-BON REPAR. PEINT/DEBOS</t>
  </si>
  <si>
    <t>4731@</t>
  </si>
  <si>
    <t>VTE - P&amp;A B.T. GARANTIE CAR.</t>
  </si>
  <si>
    <t>4733</t>
  </si>
  <si>
    <t># DE VTE - P&amp;A B.T. GARANTIE CARR.</t>
  </si>
  <si>
    <t>4733@</t>
  </si>
  <si>
    <t>VTE - P&amp;A B.T. INTERNE CARROS.</t>
  </si>
  <si>
    <t>4735</t>
  </si>
  <si>
    <t># DE VTE - P&amp;A B.T. INTERNE CARROS.</t>
  </si>
  <si>
    <t>4735@</t>
  </si>
  <si>
    <t>VTE - P&amp;A VW COMPTOIR - DETAIL</t>
  </si>
  <si>
    <t>4761</t>
  </si>
  <si>
    <t>PIECES-COMPTOIR-DETAIL</t>
  </si>
  <si>
    <t>4761@</t>
  </si>
  <si>
    <t>VTE - P&amp;A VW COMPTOIR GROS - ECHANGE</t>
  </si>
  <si>
    <t>4763</t>
  </si>
  <si>
    <t>PIECES-COMPTOIR-COMM. GROS</t>
  </si>
  <si>
    <t>4763@</t>
  </si>
  <si>
    <t>VENTES PNEUS</t>
  </si>
  <si>
    <t>4781</t>
  </si>
  <si>
    <t>4781@</t>
  </si>
  <si>
    <t>VTE - VW PNEUS</t>
  </si>
  <si>
    <t>C/V - RACHAT DE BAIL</t>
  </si>
  <si>
    <t>6-Coût des ventes</t>
  </si>
  <si>
    <t>C/V - GOLF R</t>
  </si>
  <si>
    <t>C/V - TAOS</t>
  </si>
  <si>
    <t>511</t>
  </si>
  <si>
    <t>C/V - ATLAS</t>
  </si>
  <si>
    <t>C/V - ATLAS CROSS SPORT</t>
  </si>
  <si>
    <t>C/V - GOLF GTI</t>
  </si>
  <si>
    <t>C/V - TIGUAN LWB</t>
  </si>
  <si>
    <t>C/V - VW FLOTTE/VENTE ENTR/EMPLOYE/VEH DEMONS</t>
  </si>
  <si>
    <t>C/V - JETTA GLI</t>
  </si>
  <si>
    <t>514</t>
  </si>
  <si>
    <t>C/V - VEH.USAGE VW DETAIL CERTIFIE</t>
  </si>
  <si>
    <t>C/V - RECOND USAGE VW CERT.</t>
  </si>
  <si>
    <t>C/V - VW USAGES DETAIL</t>
  </si>
  <si>
    <t>C/V - RECOND. USAGE VW DETAIL</t>
  </si>
  <si>
    <t>RECOND. AUTRE DETAIL</t>
  </si>
  <si>
    <t>COUT M.O. MECANIQUE CLIENTS</t>
  </si>
  <si>
    <t>C/V - M.O. ESTHETIQUE CLIENT</t>
  </si>
  <si>
    <t>COUT MEC VENTE GARANTIE MANUF</t>
  </si>
  <si>
    <t>C D V VENTES M OINTERNE</t>
  </si>
  <si>
    <t>C/V - TEMPS MORT M.O. SERVICE</t>
  </si>
  <si>
    <t>4416</t>
  </si>
  <si>
    <t>C/V - SOUS-TRAITANCE GARANTIE</t>
  </si>
  <si>
    <t>C/V - SOUS-TRAITANCE INTERNE</t>
  </si>
  <si>
    <t>C/V - S-TRAIT. CARR.</t>
  </si>
  <si>
    <t>C/V - S-TRAIT.GARANTIE CARROS.</t>
  </si>
  <si>
    <t>C/V - S-TRAIT.INTERNE CARROS.</t>
  </si>
  <si>
    <t>C/V - PIECE/ACC B.R. CLIENT VW</t>
  </si>
  <si>
    <t>C/V - SHOP SUPPLY VW</t>
  </si>
  <si>
    <t>C/V - PIECE/ACC B.R. GARANTIE VW</t>
  </si>
  <si>
    <t>C/V - PIECE/ACC B.R. INTERNE VW</t>
  </si>
  <si>
    <t>C/V - AUTRE PIECE/ACC/CARR B.R. CLIENT</t>
  </si>
  <si>
    <t>4711</t>
  </si>
  <si>
    <t>C/V - AUTRE PIECE/ACC/CARR B.R. INTERNE</t>
  </si>
  <si>
    <t>C/V - PIECES-BON REPAR.-PEINT/DEBOS</t>
  </si>
  <si>
    <t>C/V - P&amp;A B.T. GAR.CARR.VW</t>
  </si>
  <si>
    <t>C/V - P&amp;A B.T.INTERNE CARR.VW</t>
  </si>
  <si>
    <t>C/V - P&amp;A VW COMPTOIR - DETAIL</t>
  </si>
  <si>
    <t>C/V - P&amp;A VW COMPTOIR GROS - ECHANGE</t>
  </si>
  <si>
    <t>COUT PNEUS</t>
  </si>
  <si>
    <t>C/V - VW PNEUS</t>
  </si>
  <si>
    <t>C/V - BONI / ESCPTE PI VW</t>
  </si>
  <si>
    <t>5792</t>
  </si>
  <si>
    <t>COMMISSION VENDEUR NEUFS</t>
  </si>
  <si>
    <t>7-Dépenses</t>
  </si>
  <si>
    <t>6101</t>
  </si>
  <si>
    <t>RENUMERATION F &amp; I</t>
  </si>
  <si>
    <t>6102</t>
  </si>
  <si>
    <t>RELAT. A LA CLIENTELE &amp; AJUST.</t>
  </si>
  <si>
    <t>6103</t>
  </si>
  <si>
    <t>ENTRETIEN DES STOCKS</t>
  </si>
  <si>
    <t>6106</t>
  </si>
  <si>
    <t>INTERET-PLAN DE FINANCEMENT</t>
  </si>
  <si>
    <t>6107</t>
  </si>
  <si>
    <t>FRAIS DE LIVRAISON</t>
  </si>
  <si>
    <t>6108</t>
  </si>
  <si>
    <t>PUBLICITE</t>
  </si>
  <si>
    <t>6114</t>
  </si>
  <si>
    <t>CREDIT PUBLICITE NEUF</t>
  </si>
  <si>
    <t>SALAIRES - PROPRIETAIRES</t>
  </si>
  <si>
    <t>6121</t>
  </si>
  <si>
    <t>SAL SUPERVISION / GERANT</t>
  </si>
  <si>
    <t>6122</t>
  </si>
  <si>
    <t>SAL. &amp; RENUM. - CLERICAL</t>
  </si>
  <si>
    <t>6123</t>
  </si>
  <si>
    <t>SALAIRES &amp; RENUM. - AUTRES</t>
  </si>
  <si>
    <t>6124</t>
  </si>
  <si>
    <t>ABS., VACANCE &amp; SAL. JOURS FER</t>
  </si>
  <si>
    <t>6129</t>
  </si>
  <si>
    <t>CSST</t>
  </si>
  <si>
    <t>6131</t>
  </si>
  <si>
    <t>RRQ RAMQ AC</t>
  </si>
  <si>
    <t>6132</t>
  </si>
  <si>
    <t>FOND PENSION - NEUF</t>
  </si>
  <si>
    <t>6133</t>
  </si>
  <si>
    <t>ASSURANCE GROUPS</t>
  </si>
  <si>
    <t>6139</t>
  </si>
  <si>
    <t>FOURNITURES &amp; PETITS OUTILS</t>
  </si>
  <si>
    <t>6142</t>
  </si>
  <si>
    <t>UNIFORMES &amp; LESSIVE</t>
  </si>
  <si>
    <t>6143</t>
  </si>
  <si>
    <t>FORMATION</t>
  </si>
  <si>
    <t>6144</t>
  </si>
  <si>
    <t>VEHICULE DE COMPAGNIE - DEPENS</t>
  </si>
  <si>
    <t>6145</t>
  </si>
  <si>
    <t>FRET/EXPRESS/TRANS. PAR CAMION</t>
  </si>
  <si>
    <t>6147</t>
  </si>
  <si>
    <t>DEP. DU TRAITEMENT DES DONNEES</t>
  </si>
  <si>
    <t>6151</t>
  </si>
  <si>
    <t>PAPETERIE</t>
  </si>
  <si>
    <t>6152</t>
  </si>
  <si>
    <t>TELEPHONE ET TELEX</t>
  </si>
  <si>
    <t>6153</t>
  </si>
  <si>
    <t>DEPENSES DIVERS</t>
  </si>
  <si>
    <t>6155</t>
  </si>
  <si>
    <t>FRAIS REPRESENTATION - NEUF</t>
  </si>
  <si>
    <t>6156</t>
  </si>
  <si>
    <t>FRAIS BANCAIRES - NEUF</t>
  </si>
  <si>
    <t>615</t>
  </si>
  <si>
    <t>SERVICE EXTERIEUR</t>
  </si>
  <si>
    <t>6159</t>
  </si>
  <si>
    <t>DEPRECIATION EQUIP. &amp; FIXTURES</t>
  </si>
  <si>
    <t>6161</t>
  </si>
  <si>
    <t>ELECTRICITE CHAUFFAGE</t>
  </si>
  <si>
    <t>6181</t>
  </si>
  <si>
    <t>LOYER NEUFS</t>
  </si>
  <si>
    <t>6182</t>
  </si>
  <si>
    <t>ASSURANCE BATIMENT</t>
  </si>
  <si>
    <t>6186</t>
  </si>
  <si>
    <t>TAXE SUR PROPRIETE</t>
  </si>
  <si>
    <t>6187</t>
  </si>
  <si>
    <t>TAXES AUTRES PERMIS LICENCE</t>
  </si>
  <si>
    <t>6193</t>
  </si>
  <si>
    <t>HONORAIRES PROFESSIONNELS</t>
  </si>
  <si>
    <t>6194</t>
  </si>
  <si>
    <t>COMMISSION USAGES</t>
  </si>
  <si>
    <t>RELAT. A LA CLIENTELLE &amp; AJUST</t>
  </si>
  <si>
    <t>CREDIT PUBLICITE USAGES</t>
  </si>
  <si>
    <t>SALAIRE &amp; RENUM. - AUTRES</t>
  </si>
  <si>
    <t>ABS.,VACANCES &amp; SAL. JOURS FER</t>
  </si>
  <si>
    <t>FOND PENSION - USAGE</t>
  </si>
  <si>
    <t>ASSURANCE GROUPE</t>
  </si>
  <si>
    <t>FRAIS REPRESENTATION - USAGE</t>
  </si>
  <si>
    <t>FRAIS BANCAIRES - USAGE</t>
  </si>
  <si>
    <t>625</t>
  </si>
  <si>
    <t>CHAUFFAGE,ELECTRICITE,EAU-USAGE</t>
  </si>
  <si>
    <t>LOYER - USAGE</t>
  </si>
  <si>
    <t>ASSURANCE BATISSE &amp; AMEL.-USAGE</t>
  </si>
  <si>
    <t>TAXES FONCIERES - USAGE</t>
  </si>
  <si>
    <t>AUTRE TAXES - USAGES</t>
  </si>
  <si>
    <t>FRAIS PROFESSIONNEL-USAGE</t>
  </si>
  <si>
    <t>RELAT. A LA CLIENTELE &amp; AJUST</t>
  </si>
  <si>
    <t>6112</t>
  </si>
  <si>
    <t>AUTORISATION &amp; GAR./VEH. USA</t>
  </si>
  <si>
    <t>SAL. &amp; RENUM. CLERICAL</t>
  </si>
  <si>
    <t>SALAIRE SPECIALISTES</t>
  </si>
  <si>
    <t>6125</t>
  </si>
  <si>
    <t>SAL.,VACANCE, &amp; SAL. JOURS FER</t>
  </si>
  <si>
    <t>FOND PENSION - SERVICE</t>
  </si>
  <si>
    <t>RETOURS</t>
  </si>
  <si>
    <t>LOCATION COURTOISIE</t>
  </si>
  <si>
    <t>FRAIS REPRESENTATION - SERVICE</t>
  </si>
  <si>
    <t>FRAIS BANCAIRES - SERVICE</t>
  </si>
  <si>
    <t>645</t>
  </si>
  <si>
    <t>REPARATION &amp; ENT. - EQUIP.</t>
  </si>
  <si>
    <t>6163</t>
  </si>
  <si>
    <t>CHAUFFAGE,ELECTRICITE,EAU-SERVICE</t>
  </si>
  <si>
    <t>LOYER - SERVICE</t>
  </si>
  <si>
    <t>ASSURANCE BATISSE &amp; AMEL.-SERVICE</t>
  </si>
  <si>
    <t>TAXES FONCIERES - SERVICE</t>
  </si>
  <si>
    <t>AUTRE TAXES-SERVICE</t>
  </si>
  <si>
    <t>FRAIS PROFESSIONNEL-SERVICE</t>
  </si>
  <si>
    <t>MAUVAISES CREANCES - SERVICE</t>
  </si>
  <si>
    <t>6196</t>
  </si>
  <si>
    <t>FOND PENSION - CARROSSERIE</t>
  </si>
  <si>
    <t>FRAIS REPRESENTATION</t>
  </si>
  <si>
    <t>FRAIS BANCAIRES - CARROSSERIE</t>
  </si>
  <si>
    <t>655</t>
  </si>
  <si>
    <t>CHAUFFAGE,ELECTRICITE,EAU-CARROS.</t>
  </si>
  <si>
    <t>LOYER - CARROSSERIE</t>
  </si>
  <si>
    <t>ASSURANCE BATISSE &amp; AMEL.-CARROS.</t>
  </si>
  <si>
    <t>TAXES FONCIERES - CAROSSERIE</t>
  </si>
  <si>
    <t>AUTRES TAXES -CARROSSERIE</t>
  </si>
  <si>
    <t>FRAIS PROFESSIONNEL-CARROS.</t>
  </si>
  <si>
    <t>SALAIRES - PROPRIEATIRES</t>
  </si>
  <si>
    <t>ABSENCES, VACANCES, ETC</t>
  </si>
  <si>
    <t>FOND PENSION - PIECES</t>
  </si>
  <si>
    <t>FRAIS REPRESENTATION - PIECES</t>
  </si>
  <si>
    <t>FRAIS BANCAIRES - PIECES</t>
  </si>
  <si>
    <t>CHAUFFAGE,ELECTRICITE,EAU-PIECES</t>
  </si>
  <si>
    <t>LOYER - PIECES</t>
  </si>
  <si>
    <t>ASSURANCE BATISSE &amp; AMEL.-PIECES</t>
  </si>
  <si>
    <t>TAXES FONCIERES - PIECES</t>
  </si>
  <si>
    <t>AUTRES TAXES - PIECES</t>
  </si>
  <si>
    <t>FRAIS PROFESSIONNEL-PIECES</t>
  </si>
  <si>
    <t>8-Autres revenus</t>
  </si>
  <si>
    <t>9101</t>
  </si>
  <si>
    <t>REVENU RESERVE VOLKS</t>
  </si>
  <si>
    <t>ESCOMPTES SUR ACHAT PIECES</t>
  </si>
  <si>
    <t>9152</t>
  </si>
  <si>
    <t>REVENU FIN ET ASS NEUF</t>
  </si>
  <si>
    <t>9161</t>
  </si>
  <si>
    <t>REV FINANCE ET ASS NEUF</t>
  </si>
  <si>
    <t>9161@</t>
  </si>
  <si>
    <t>RESERVE FIN ET ASS VEH OCCASION</t>
  </si>
  <si>
    <t>9163</t>
  </si>
  <si>
    <t>9163@</t>
  </si>
  <si>
    <t>REV. ASSURANCES NEUF</t>
  </si>
  <si>
    <t>REV ASSURANCE USAGE</t>
  </si>
  <si>
    <t>ASSURANCE VIE USAGE</t>
  </si>
  <si>
    <t>9167@</t>
  </si>
  <si>
    <t>REV GARANTIE PROLONGEE NEUF</t>
  </si>
  <si>
    <t>PROFIT PROTECTIONS - NEUFS</t>
  </si>
  <si>
    <t>REV GARANTIE PROLONGEE USAGE</t>
  </si>
  <si>
    <t>VENTE CHIMIQUE USAGE</t>
  </si>
  <si>
    <t>9171@</t>
  </si>
  <si>
    <t>PROFIT PROTECTIONS - USAGES</t>
  </si>
  <si>
    <t># DE PROFIT PROTECTIONS - USAGES</t>
  </si>
  <si>
    <t>9172@</t>
  </si>
  <si>
    <t>FRAIS ADMIN. VOLKS</t>
  </si>
  <si>
    <t>9191</t>
  </si>
  <si>
    <t>FRAIS ADMIN. VW USAGE</t>
  </si>
  <si>
    <t>REVENUS DIVERS</t>
  </si>
  <si>
    <t>DEPENSE D'INTERETS</t>
  </si>
  <si>
    <t>9-Autres déductions</t>
  </si>
  <si>
    <t>9402</t>
  </si>
  <si>
    <t>INTERETS SUR PRET</t>
  </si>
  <si>
    <t>Account</t>
  </si>
  <si>
    <t>Dept</t>
  </si>
  <si>
    <t>Comptes de ventes</t>
  </si>
  <si>
    <t>Type de compte</t>
  </si>
  <si>
    <t>Bilan</t>
  </si>
  <si>
    <t>Compte à créer</t>
  </si>
  <si>
    <t>Répartition frais bancaires</t>
  </si>
  <si>
    <t>neuf</t>
  </si>
  <si>
    <t>Autres</t>
  </si>
  <si>
    <t>Audi Care</t>
  </si>
  <si>
    <t xml:space="preserve">Autorisation </t>
  </si>
  <si>
    <t>Répartition terms of trade</t>
  </si>
  <si>
    <t>Frais d'administration</t>
  </si>
  <si>
    <t>Courtoisie Pièces/Service</t>
  </si>
  <si>
    <t>Contributions</t>
  </si>
  <si>
    <t>Fonds pension</t>
  </si>
  <si>
    <t>UNITES USAGES DET./ DEC.</t>
  </si>
  <si>
    <t xml:space="preserve">Frais de représentation </t>
  </si>
  <si>
    <t>DIR. GENERAL CARROSS.</t>
  </si>
  <si>
    <t>Frais professionnel</t>
  </si>
  <si>
    <t>Fret/Express/Transport</t>
  </si>
  <si>
    <t>VISA</t>
  </si>
  <si>
    <t xml:space="preserve">Matériel </t>
  </si>
  <si>
    <t>TELE DEBIT</t>
  </si>
  <si>
    <t>American Express</t>
  </si>
  <si>
    <t>ARGENT IN TRUST</t>
  </si>
  <si>
    <t>Vte Comptant Service</t>
  </si>
  <si>
    <t>recevables Autres</t>
  </si>
  <si>
    <t>RECEV. INTERCO</t>
  </si>
  <si>
    <t>A RECEVOIR LAR</t>
  </si>
  <si>
    <t>TAXES DE VENTES A RECEVOIR</t>
  </si>
  <si>
    <t>Retours</t>
  </si>
  <si>
    <t>INV. VEH. USAGE Audi</t>
  </si>
  <si>
    <t>MATERIAUX DE PEINTURE/ DEBOSSE</t>
  </si>
  <si>
    <t>FPA PUBLICITE PIECES</t>
  </si>
  <si>
    <t>ASSURANCE DALE PARIZEAU</t>
  </si>
  <si>
    <t>FPS ASSURANCE DEMO</t>
  </si>
  <si>
    <t>FPA DEDUCTIBLE ASSURANCE</t>
  </si>
  <si>
    <t>FPA PAPETERIE</t>
  </si>
  <si>
    <t>FPA HONORAIRES PROFESSIONNELS</t>
  </si>
  <si>
    <t>FPA FORMATION</t>
  </si>
  <si>
    <t>FPA TAXES AFFAIRES</t>
  </si>
  <si>
    <t>FRAIS REPAS ET REPRESENTATION 50%</t>
  </si>
  <si>
    <t>FRAIS VOYAGE 100%</t>
  </si>
  <si>
    <t>FRAIS REP NON DEDUCTIBLE 0%</t>
  </si>
  <si>
    <t>EQUIPEMENT TELEPHONIQUE</t>
  </si>
  <si>
    <t>AMORTISS.EQUIP.TELEPHONIQUES</t>
  </si>
  <si>
    <t>RECEVABLE-PROP. &amp; EMPL.</t>
  </si>
  <si>
    <t>Réserve Promo Saisonnière</t>
  </si>
  <si>
    <t>COMPTES FOURNISSEURS INTERCO</t>
  </si>
  <si>
    <t>BONIS - EMPLOYES</t>
  </si>
  <si>
    <t>Oui</t>
  </si>
  <si>
    <t>VTE - NEW BEETLE</t>
  </si>
  <si>
    <t>VTES -VTE - ARTEON</t>
  </si>
  <si>
    <t>VTE - GOLF A6</t>
  </si>
  <si>
    <t>VTE - JETTA</t>
  </si>
  <si>
    <t>VTE - GOLF (FAMILIALE)</t>
  </si>
  <si>
    <t>VTE - PASSAT BERLINE</t>
  </si>
  <si>
    <t>VTE - TAOS</t>
  </si>
  <si>
    <t>VTE - EGOLF</t>
  </si>
  <si>
    <t>VTE - JETTA GLI</t>
  </si>
  <si>
    <t>VTE - RACHAT BAIL AUDI</t>
  </si>
  <si>
    <t>VTE - M.O. MECANIQUE CLIENT AUDI</t>
  </si>
  <si>
    <t>C/V - NEW BEETLE</t>
  </si>
  <si>
    <t>C/V - ARTEON</t>
  </si>
  <si>
    <t>C/V - GOLF</t>
  </si>
  <si>
    <t>C/V - JETTA</t>
  </si>
  <si>
    <t>C/V - GOLF (FAMILIALE)</t>
  </si>
  <si>
    <t>C/V - PASSAT BERLINE</t>
  </si>
  <si>
    <t>C/V - EGOLF</t>
  </si>
  <si>
    <t>C/V - AJUST. INVENT. PI. VW</t>
  </si>
  <si>
    <t>Fonds Pension Neuf</t>
  </si>
  <si>
    <t>LOCATION D'EQUIPEMENTS</t>
  </si>
  <si>
    <t>CONTRIBUTION DONS</t>
  </si>
  <si>
    <t>Fonds Pension Usagé</t>
  </si>
  <si>
    <t>CONTRIBUTIONS - USAGE</t>
  </si>
  <si>
    <t>CONTRIBUTION - SERVICE</t>
  </si>
  <si>
    <t>Fonds Pension Carross</t>
  </si>
  <si>
    <t>UNIFORME &amp; BUANDERIE-CARROS.</t>
  </si>
  <si>
    <t>CONTRIBUTION - CARROSSERIE</t>
  </si>
  <si>
    <t>AUTORISATION &amp; GAR. /VEH. USAG</t>
  </si>
  <si>
    <t>CONRIBUTION - PIECES</t>
  </si>
  <si>
    <t>Prime Performance</t>
  </si>
  <si>
    <t>PRIMES DE RENDEMENT (ToT)- BONUS EXPERIENCE +</t>
  </si>
  <si>
    <t>FRAIS ADMIN. VOLKS Neuf</t>
  </si>
  <si>
    <t>FRAIS ADMIN. VOLKS Usagé</t>
  </si>
  <si>
    <t>AJUSTEMENTS QG</t>
  </si>
  <si>
    <t>INTERETS SUR MARGE CREDIT</t>
  </si>
  <si>
    <t>FRAIS BANCAIRES</t>
  </si>
  <si>
    <t>1418@</t>
  </si>
  <si>
    <t># DE INV.VEH.USAGE AUDI</t>
  </si>
  <si>
    <t>4101@</t>
  </si>
  <si>
    <t>VTES NEW BEETLE</t>
  </si>
  <si>
    <t>4105@</t>
  </si>
  <si>
    <t>ROUTAN</t>
  </si>
  <si>
    <t>4107@</t>
  </si>
  <si>
    <t>UNITES VENDUES GOLF</t>
  </si>
  <si>
    <t>UNITES VENDUES - JETTA</t>
  </si>
  <si>
    <t>4113@</t>
  </si>
  <si>
    <t>UNITES VENDUES - GOLF (FAMILIALE)</t>
  </si>
  <si>
    <t>4115@</t>
  </si>
  <si>
    <t>PASSAT SEDAN</t>
  </si>
  <si>
    <t># DE VTE - TAOS</t>
  </si>
  <si>
    <t>4135@</t>
  </si>
  <si>
    <t>UNITES VENDUES - EGOLF</t>
  </si>
  <si>
    <t>UNITES VENDUES - JETTA GLI</t>
  </si>
  <si>
    <t>4402@</t>
  </si>
  <si>
    <t># DE SLS - M.O. ESTHETIQUE CLIENT</t>
  </si>
  <si>
    <t>4411@</t>
  </si>
  <si>
    <t># DE VTE - M.O. MEC.CLIENT AUDI</t>
  </si>
  <si>
    <t>4721@</t>
  </si>
  <si>
    <t>AUTRES PIECES&amp;ACCESSOIRE</t>
  </si>
  <si>
    <t>1372</t>
  </si>
  <si>
    <t>1418</t>
  </si>
  <si>
    <t>4105</t>
  </si>
  <si>
    <t>4107</t>
  </si>
  <si>
    <t>4135</t>
  </si>
  <si>
    <t>84411</t>
  </si>
  <si>
    <t>4115</t>
  </si>
  <si>
    <t>121</t>
  </si>
  <si>
    <t># INV NEUF 31-60</t>
  </si>
  <si>
    <t>10</t>
  </si>
  <si>
    <t>125</t>
  </si>
  <si>
    <t># INV USED 31-60</t>
  </si>
  <si>
    <t>100</t>
  </si>
  <si>
    <t>131</t>
  </si>
  <si>
    <t>$ INV NEUF 31-60</t>
  </si>
  <si>
    <t>110</t>
  </si>
  <si>
    <t>135</t>
  </si>
  <si>
    <t>$ INV USED 31-60</t>
  </si>
  <si>
    <t>141</t>
  </si>
  <si>
    <t># INV NEUF 61-90</t>
  </si>
  <si>
    <t>1142</t>
  </si>
  <si>
    <t>145</t>
  </si>
  <si>
    <t># INV USED 61-90</t>
  </si>
  <si>
    <t>1182</t>
  </si>
  <si>
    <t>151</t>
  </si>
  <si>
    <t>$ INV NEUF 61-90</t>
  </si>
  <si>
    <t>155</t>
  </si>
  <si>
    <t>$ INV USED 61-90</t>
  </si>
  <si>
    <t>161</t>
  </si>
  <si>
    <t># INV NEUF 91-120</t>
  </si>
  <si>
    <t>1303</t>
  </si>
  <si>
    <t>165</t>
  </si>
  <si>
    <t># INV USED 91-120</t>
  </si>
  <si>
    <t>171</t>
  </si>
  <si>
    <t>$ INV NEUF 91-120</t>
  </si>
  <si>
    <t>1305</t>
  </si>
  <si>
    <t>175</t>
  </si>
  <si>
    <t>$ INV USED 91-120</t>
  </si>
  <si>
    <t>1312</t>
  </si>
  <si>
    <t>181</t>
  </si>
  <si>
    <t># INV NEUF 120+</t>
  </si>
  <si>
    <t>185</t>
  </si>
  <si>
    <t># INV USED 120+</t>
  </si>
  <si>
    <t>1340</t>
  </si>
  <si>
    <t>191</t>
  </si>
  <si>
    <t>$ INV NEUF 120+</t>
  </si>
  <si>
    <t>1352</t>
  </si>
  <si>
    <t>195</t>
  </si>
  <si>
    <t>$ INV USED 120+</t>
  </si>
  <si>
    <t>1364</t>
  </si>
  <si>
    <t>721</t>
  </si>
  <si>
    <t>REC VEH 31-60</t>
  </si>
  <si>
    <t>722</t>
  </si>
  <si>
    <t>REC P-S 31-60</t>
  </si>
  <si>
    <t>723</t>
  </si>
  <si>
    <t>REC GARANTIE 31-60</t>
  </si>
  <si>
    <t>728</t>
  </si>
  <si>
    <t>REC MANUF 31-60</t>
  </si>
  <si>
    <t>1403</t>
  </si>
  <si>
    <t>741</t>
  </si>
  <si>
    <t>REC VEH 61-90</t>
  </si>
  <si>
    <t>742</t>
  </si>
  <si>
    <t>REC P-S 61-90</t>
  </si>
  <si>
    <t>743</t>
  </si>
  <si>
    <t>REC GARANTIE 61-90</t>
  </si>
  <si>
    <t>748</t>
  </si>
  <si>
    <t>REC MANUF 61-90</t>
  </si>
  <si>
    <t>761</t>
  </si>
  <si>
    <t>REC VEH 91-120</t>
  </si>
  <si>
    <t>1452</t>
  </si>
  <si>
    <t>762</t>
  </si>
  <si>
    <t>REC P-S 91-120</t>
  </si>
  <si>
    <t>763</t>
  </si>
  <si>
    <t>REC GARANTIE 91-120</t>
  </si>
  <si>
    <t>768</t>
  </si>
  <si>
    <t>REC MANUF 91-120</t>
  </si>
  <si>
    <t>1474</t>
  </si>
  <si>
    <t>781</t>
  </si>
  <si>
    <t>REC VEH +120</t>
  </si>
  <si>
    <t>1492</t>
  </si>
  <si>
    <t>782</t>
  </si>
  <si>
    <t>REC P-S 120+</t>
  </si>
  <si>
    <t>783</t>
  </si>
  <si>
    <t>REC GARANTIE 120+</t>
  </si>
  <si>
    <t>1502</t>
  </si>
  <si>
    <t>788</t>
  </si>
  <si>
    <t>REC MANUF 120+</t>
  </si>
  <si>
    <t>1504</t>
  </si>
  <si>
    <t>80010</t>
  </si>
  <si>
    <t>AUDI PROFIT JANVIER</t>
  </si>
  <si>
    <t>1506</t>
  </si>
  <si>
    <t>80020</t>
  </si>
  <si>
    <t>AUDI PROFIT FEVRIER</t>
  </si>
  <si>
    <t>1508</t>
  </si>
  <si>
    <t>80030</t>
  </si>
  <si>
    <t>AUDI PROFIT MARS</t>
  </si>
  <si>
    <t>1510</t>
  </si>
  <si>
    <t>80040</t>
  </si>
  <si>
    <t>AUDI PROFIT AVRIL</t>
  </si>
  <si>
    <t>1520</t>
  </si>
  <si>
    <t>80050</t>
  </si>
  <si>
    <t>AUDI PROFIT MAI</t>
  </si>
  <si>
    <t>1522</t>
  </si>
  <si>
    <t>80060</t>
  </si>
  <si>
    <t>AUDI PROFIT JUIN</t>
  </si>
  <si>
    <t>1528</t>
  </si>
  <si>
    <t>80070</t>
  </si>
  <si>
    <t>AUDI PROFIT JUILLET</t>
  </si>
  <si>
    <t>1530</t>
  </si>
  <si>
    <t>80080</t>
  </si>
  <si>
    <t>AUDI PROFIT AOUT</t>
  </si>
  <si>
    <t>1532</t>
  </si>
  <si>
    <t>80234</t>
  </si>
  <si>
    <t>AUDI TOT. HRS PROD. SERV.</t>
  </si>
  <si>
    <t>1534</t>
  </si>
  <si>
    <t>80236</t>
  </si>
  <si>
    <t>AUDI TOT. TAUX FIXES SERV.</t>
  </si>
  <si>
    <t>1536</t>
  </si>
  <si>
    <t>80238</t>
  </si>
  <si>
    <t>AUDI TOT. HRS DISPO. SERV.</t>
  </si>
  <si>
    <t>1538</t>
  </si>
  <si>
    <t>80243</t>
  </si>
  <si>
    <t>AUDI TAUX M.O. CLIENT</t>
  </si>
  <si>
    <t>1540</t>
  </si>
  <si>
    <t>80244</t>
  </si>
  <si>
    <t>AUDI TAUX M.O. GARANTIE</t>
  </si>
  <si>
    <t>1544</t>
  </si>
  <si>
    <t>80245</t>
  </si>
  <si>
    <t>AUDI TAUX M.O. INTERNE</t>
  </si>
  <si>
    <t>1546</t>
  </si>
  <si>
    <t>80246</t>
  </si>
  <si>
    <t>AUDI TAUS M.O. CARROSS.</t>
  </si>
  <si>
    <t>1552</t>
  </si>
  <si>
    <t>80249</t>
  </si>
  <si>
    <t>BAIE DE SERVICE</t>
  </si>
  <si>
    <t>1582</t>
  </si>
  <si>
    <t>80257</t>
  </si>
  <si>
    <t>HEURES VENDUES-CLIENT AUDI</t>
  </si>
  <si>
    <t>1584</t>
  </si>
  <si>
    <t>80258</t>
  </si>
  <si>
    <t>HEURES VENDUES-GARANTIE AUDI</t>
  </si>
  <si>
    <t>1586</t>
  </si>
  <si>
    <t>80259</t>
  </si>
  <si>
    <t>HRES VENDUES AVANTAGE AUDI / SERVICE +</t>
  </si>
  <si>
    <t>1592</t>
  </si>
  <si>
    <t>80260</t>
  </si>
  <si>
    <t>HEURES VENDUES-INTERNE AUDI</t>
  </si>
  <si>
    <t>1593</t>
  </si>
  <si>
    <t>80300</t>
  </si>
  <si>
    <t>AUDI REC. VEH. +30JRS</t>
  </si>
  <si>
    <t>1594</t>
  </si>
  <si>
    <t>80301</t>
  </si>
  <si>
    <t>AUDI REC. PI/SERV +30JRS</t>
  </si>
  <si>
    <t>1595</t>
  </si>
  <si>
    <t>80302</t>
  </si>
  <si>
    <t>RECLAMATION GAR ADVANTAGE AUDI EXCEDENT</t>
  </si>
  <si>
    <t>1732</t>
  </si>
  <si>
    <t>80309</t>
  </si>
  <si>
    <t>AUDI REC. MANUF. +30JRS</t>
  </si>
  <si>
    <t>1733</t>
  </si>
  <si>
    <t>80350</t>
  </si>
  <si>
    <t>AUDI USAGE # +60 JRS</t>
  </si>
  <si>
    <t>1742</t>
  </si>
  <si>
    <t>80360</t>
  </si>
  <si>
    <t>AUDI USAGE $$ + 60 JRS</t>
  </si>
  <si>
    <t>1743</t>
  </si>
  <si>
    <t>80370</t>
  </si>
  <si>
    <t>AUDI MIN. REQUIS AVOIR PROP.</t>
  </si>
  <si>
    <t>1744</t>
  </si>
  <si>
    <t>80372</t>
  </si>
  <si>
    <t>AUDI MIN. REQUIS FDS ROULEMENT</t>
  </si>
  <si>
    <t>1745</t>
  </si>
  <si>
    <t>80401</t>
  </si>
  <si>
    <t>AUDI # VENTE NEUFS JANV.</t>
  </si>
  <si>
    <t>1760</t>
  </si>
  <si>
    <t>80402</t>
  </si>
  <si>
    <t>AUDI # VENTE NEUFS FEV.</t>
  </si>
  <si>
    <t>1761</t>
  </si>
  <si>
    <t>80403</t>
  </si>
  <si>
    <t>AUDI # VENTE NEUF MARS</t>
  </si>
  <si>
    <t>1762</t>
  </si>
  <si>
    <t>80404</t>
  </si>
  <si>
    <t>AUDI # VENTE NEUF AVRIL</t>
  </si>
  <si>
    <t>1763</t>
  </si>
  <si>
    <t>80405</t>
  </si>
  <si>
    <t>AUDI # VENTE NEUF MAI</t>
  </si>
  <si>
    <t>1772</t>
  </si>
  <si>
    <t>80406</t>
  </si>
  <si>
    <t>AUDI # VENTE NEUF JUIN</t>
  </si>
  <si>
    <t>1773</t>
  </si>
  <si>
    <t>80407</t>
  </si>
  <si>
    <t>AUDI # VENTE NEUF JUILL.</t>
  </si>
  <si>
    <t>1786</t>
  </si>
  <si>
    <t>80408</t>
  </si>
  <si>
    <t>AUDI # VENTE NEUF AOUT</t>
  </si>
  <si>
    <t>1787</t>
  </si>
  <si>
    <t>80421</t>
  </si>
  <si>
    <t>AUDI # VENTE USED DET. JANV.</t>
  </si>
  <si>
    <t>1792</t>
  </si>
  <si>
    <t>80422</t>
  </si>
  <si>
    <t>AUDI # VENTE USED DET. FEV.</t>
  </si>
  <si>
    <t>1793</t>
  </si>
  <si>
    <t>80423</t>
  </si>
  <si>
    <t>AUDI # VENTE USED DET. MARS</t>
  </si>
  <si>
    <t>80424</t>
  </si>
  <si>
    <t>AUDI # VENTE USED DET. AVRIL</t>
  </si>
  <si>
    <t>1806</t>
  </si>
  <si>
    <t>80425</t>
  </si>
  <si>
    <t>AUDI # VENTE USED DET. MAI</t>
  </si>
  <si>
    <t>20</t>
  </si>
  <si>
    <t>80426</t>
  </si>
  <si>
    <t>AUDI # VENTE USED DET JUIN</t>
  </si>
  <si>
    <t>80427</t>
  </si>
  <si>
    <t>AUDI # VENTE USED DET JUILL.</t>
  </si>
  <si>
    <t>80428</t>
  </si>
  <si>
    <t>AUDI # VENTE USED DET. AOUT</t>
  </si>
  <si>
    <t>80461</t>
  </si>
  <si>
    <t># VTE AU GROS JANVIER</t>
  </si>
  <si>
    <t>Véhicules au gros</t>
  </si>
  <si>
    <t>80462</t>
  </si>
  <si>
    <t># VTE AU GROS FEVRIER</t>
  </si>
  <si>
    <t>80463</t>
  </si>
  <si>
    <t># VTE AU GROS MARS</t>
  </si>
  <si>
    <t>2222</t>
  </si>
  <si>
    <t>80464</t>
  </si>
  <si>
    <t># VTE AU GROS AVRIL</t>
  </si>
  <si>
    <t>80465</t>
  </si>
  <si>
    <t># VTE AU GROS MAI</t>
  </si>
  <si>
    <t>2224</t>
  </si>
  <si>
    <t>80466</t>
  </si>
  <si>
    <t># VTE AU GROS JUIN</t>
  </si>
  <si>
    <t>2225</t>
  </si>
  <si>
    <t>80467</t>
  </si>
  <si>
    <t># VTE AU GROS JUILLET</t>
  </si>
  <si>
    <t>2281</t>
  </si>
  <si>
    <t>80468</t>
  </si>
  <si>
    <t># VTE AU GROS AOUT</t>
  </si>
  <si>
    <t>80511</t>
  </si>
  <si>
    <t>AUDI # DIR. GENERAL NEUF</t>
  </si>
  <si>
    <t>2285</t>
  </si>
  <si>
    <t>80512</t>
  </si>
  <si>
    <t>AUDI # DIR. GENERAL USED</t>
  </si>
  <si>
    <t>2287</t>
  </si>
  <si>
    <t>80514</t>
  </si>
  <si>
    <t>AUDI # DIR. GENERAL SERVICE</t>
  </si>
  <si>
    <t>229</t>
  </si>
  <si>
    <t>80515</t>
  </si>
  <si>
    <t>AUDI # DIR. GENERAL CARROSS.</t>
  </si>
  <si>
    <t>80517</t>
  </si>
  <si>
    <t>AUDI # DIR. GENERAL PIECE</t>
  </si>
  <si>
    <t>2292</t>
  </si>
  <si>
    <t>80521</t>
  </si>
  <si>
    <t>AUDI DIR. VENTE NEUF</t>
  </si>
  <si>
    <t>80522</t>
  </si>
  <si>
    <t>AUDI DIR. VENTE USAGE</t>
  </si>
  <si>
    <t>2295</t>
  </si>
  <si>
    <t>80524</t>
  </si>
  <si>
    <t>AUDI DIR. SERVICE</t>
  </si>
  <si>
    <t>2297</t>
  </si>
  <si>
    <t>80527</t>
  </si>
  <si>
    <t>AUDI DIR. PIECES</t>
  </si>
  <si>
    <t>230</t>
  </si>
  <si>
    <t>80532</t>
  </si>
  <si>
    <t>REPRES.AUTRE MARQUE-USAGE</t>
  </si>
  <si>
    <t>80536</t>
  </si>
  <si>
    <t># NETTOYAGE / ESTHETIQUE NEUF</t>
  </si>
  <si>
    <t>2335</t>
  </si>
  <si>
    <t>80541</t>
  </si>
  <si>
    <t>PERSONNEL-REP.VENTES AUDI NEUF</t>
  </si>
  <si>
    <t>234</t>
  </si>
  <si>
    <t>80542</t>
  </si>
  <si>
    <t>REP. DES VENTES AUDI USAGE</t>
  </si>
  <si>
    <t>2342</t>
  </si>
  <si>
    <t>80551</t>
  </si>
  <si>
    <t>AUDI DIR. COMMERCIAL NEUF</t>
  </si>
  <si>
    <t>2343</t>
  </si>
  <si>
    <t>80552</t>
  </si>
  <si>
    <t>AUDI DIR. COMMERCIAL USED</t>
  </si>
  <si>
    <t>2344</t>
  </si>
  <si>
    <t>80614</t>
  </si>
  <si>
    <t>PERSONNEL-CONSEILLER SERVICE AUDI-SERVICE</t>
  </si>
  <si>
    <t>236</t>
  </si>
  <si>
    <t>80615</t>
  </si>
  <si>
    <t>PERSONNEL-CONSEILLER SERVICE AUDI-P&amp;C</t>
  </si>
  <si>
    <t>238</t>
  </si>
  <si>
    <t>80621</t>
  </si>
  <si>
    <t>AUDI # LAVEUR NEUFS</t>
  </si>
  <si>
    <t>80622</t>
  </si>
  <si>
    <t>AUDI # LAVEUR USED</t>
  </si>
  <si>
    <t>243</t>
  </si>
  <si>
    <t>80624</t>
  </si>
  <si>
    <t>AUDI # LAVEUR SERVICE</t>
  </si>
  <si>
    <t>244</t>
  </si>
  <si>
    <t>80634</t>
  </si>
  <si>
    <t># NETTOYAGE / ESTHETIQUE SERV</t>
  </si>
  <si>
    <t>245</t>
  </si>
  <si>
    <t>80644</t>
  </si>
  <si>
    <t>PERSONNEL-TECHNICIEN AUDI SERVICE</t>
  </si>
  <si>
    <t>246</t>
  </si>
  <si>
    <t>80651</t>
  </si>
  <si>
    <t>AUDI DIR. ADMIN. NEUF</t>
  </si>
  <si>
    <t>80652</t>
  </si>
  <si>
    <t>AUDI DIR. ADMIN. USED</t>
  </si>
  <si>
    <t>80654</t>
  </si>
  <si>
    <t>AUDI DIR. ADMIN. SERVICE</t>
  </si>
  <si>
    <t>2505</t>
  </si>
  <si>
    <t>80655</t>
  </si>
  <si>
    <t>AUDI DIR. ADMIN. CARROSS.</t>
  </si>
  <si>
    <t>2507</t>
  </si>
  <si>
    <t>80657</t>
  </si>
  <si>
    <t>AUDI DIR. ADMIN. PIECE</t>
  </si>
  <si>
    <t>2509</t>
  </si>
  <si>
    <t>80661</t>
  </si>
  <si>
    <t>AUDI # CLERICAL NEUF</t>
  </si>
  <si>
    <t>2511</t>
  </si>
  <si>
    <t>80662</t>
  </si>
  <si>
    <t>AUDI # CLERICAL USED</t>
  </si>
  <si>
    <t>80664</t>
  </si>
  <si>
    <t>AUDI # CLERICAL SERVICE</t>
  </si>
  <si>
    <t>80665</t>
  </si>
  <si>
    <t>AUDI # CLERICAL CARROSS.</t>
  </si>
  <si>
    <t>258</t>
  </si>
  <si>
    <t>80667</t>
  </si>
  <si>
    <t>AUDI # CLERICAL PIECES</t>
  </si>
  <si>
    <t>259</t>
  </si>
  <si>
    <t>80677</t>
  </si>
  <si>
    <t>PERSONNEL-PIECES AUDI-P&amp;A</t>
  </si>
  <si>
    <t>81102</t>
  </si>
  <si>
    <t>AUDI BANQUE</t>
  </si>
  <si>
    <t>81103</t>
  </si>
  <si>
    <t>AUDI VISA</t>
  </si>
  <si>
    <t>81110</t>
  </si>
  <si>
    <t>SHOPIFY</t>
  </si>
  <si>
    <t>encaisse</t>
  </si>
  <si>
    <t>300</t>
  </si>
  <si>
    <t>81142</t>
  </si>
  <si>
    <t>AUDI ARGENT IN TRUST</t>
  </si>
  <si>
    <t>81182</t>
  </si>
  <si>
    <t>AUDI PETITE CAISSE</t>
  </si>
  <si>
    <t>3003</t>
  </si>
  <si>
    <t>81188</t>
  </si>
  <si>
    <t>AUDI VENTE COMPTANT SERVICE</t>
  </si>
  <si>
    <t>3007</t>
  </si>
  <si>
    <t>81189</t>
  </si>
  <si>
    <t>AUDI VENTE COMPTANT PIECES</t>
  </si>
  <si>
    <t>301</t>
  </si>
  <si>
    <t>81202</t>
  </si>
  <si>
    <t>AUDI CONTRATS EN TRANSIT</t>
  </si>
  <si>
    <t>302</t>
  </si>
  <si>
    <t>81302</t>
  </si>
  <si>
    <t>AUDI RECEV. VEHICULES</t>
  </si>
  <si>
    <t>307</t>
  </si>
  <si>
    <t>81303</t>
  </si>
  <si>
    <t>AUDI RECEV. LPA ET AU GROS</t>
  </si>
  <si>
    <t>311</t>
  </si>
  <si>
    <t>81304</t>
  </si>
  <si>
    <t>AUDI RECEV. SERVICE PIECES</t>
  </si>
  <si>
    <t>312</t>
  </si>
  <si>
    <t>81305</t>
  </si>
  <si>
    <t>AUDI RECEV. CARROSSERIE</t>
  </si>
  <si>
    <t>313</t>
  </si>
  <si>
    <t>81314</t>
  </si>
  <si>
    <t>AUDI RECEV. RESERVE</t>
  </si>
  <si>
    <t>316</t>
  </si>
  <si>
    <t>81334</t>
  </si>
  <si>
    <t>RECLAMATIONS GAR. ADVANTAGE AUDI</t>
  </si>
  <si>
    <t>3201</t>
  </si>
  <si>
    <t>81340</t>
  </si>
  <si>
    <t>RECEV GARANTIE NATIONALE</t>
  </si>
  <si>
    <t>350</t>
  </si>
  <si>
    <t>81342</t>
  </si>
  <si>
    <t>RECEV. GARANTIE LGM</t>
  </si>
  <si>
    <t>360</t>
  </si>
  <si>
    <t>81346</t>
  </si>
  <si>
    <t>AUDI RESERVE VALET</t>
  </si>
  <si>
    <t>370</t>
  </si>
  <si>
    <t>81354</t>
  </si>
  <si>
    <t>AUDI RECEV. MANUFACTURIER</t>
  </si>
  <si>
    <t>372</t>
  </si>
  <si>
    <t>81364</t>
  </si>
  <si>
    <t>AUDI RECEV. LAR</t>
  </si>
  <si>
    <t>81372</t>
  </si>
  <si>
    <t>AUDI RECEV. TAXES DE VENTES</t>
  </si>
  <si>
    <t>401</t>
  </si>
  <si>
    <t>81382</t>
  </si>
  <si>
    <t>AUDI AUTRES RECEV.</t>
  </si>
  <si>
    <t>402</t>
  </si>
  <si>
    <t>81404</t>
  </si>
  <si>
    <t>AUDI VEHIC. NEUFS</t>
  </si>
  <si>
    <t>403</t>
  </si>
  <si>
    <t>81404@</t>
  </si>
  <si>
    <t># DE AUDI VEHIC. NEUFS</t>
  </si>
  <si>
    <t>404</t>
  </si>
  <si>
    <t>81405</t>
  </si>
  <si>
    <t>AUDI BRUISING VEH. NEUFS</t>
  </si>
  <si>
    <t>405</t>
  </si>
  <si>
    <t>81415</t>
  </si>
  <si>
    <t>AUDI BRUISING VEH. USED</t>
  </si>
  <si>
    <t>406</t>
  </si>
  <si>
    <t>81418</t>
  </si>
  <si>
    <t>AUDI VEH. USAGE NON-CERTIFIE</t>
  </si>
  <si>
    <t>407</t>
  </si>
  <si>
    <t>81418@</t>
  </si>
  <si>
    <t># DE AUDI VEH. USAGE NON-CERTIFIE</t>
  </si>
  <si>
    <t>408</t>
  </si>
  <si>
    <t>81422</t>
  </si>
  <si>
    <t>INV DEMO</t>
  </si>
  <si>
    <t>409</t>
  </si>
  <si>
    <t>81422@</t>
  </si>
  <si>
    <t># DE VEHICULE DEMO</t>
  </si>
  <si>
    <t>410</t>
  </si>
  <si>
    <t>81432</t>
  </si>
  <si>
    <t>VEHICULE COURTOISIE</t>
  </si>
  <si>
    <t>81432@</t>
  </si>
  <si>
    <t># DE VEHICULE COURTOISIE</t>
  </si>
  <si>
    <t>81442</t>
  </si>
  <si>
    <t>AUDI INVENT. PIECES</t>
  </si>
  <si>
    <t>4101</t>
  </si>
  <si>
    <t>81448</t>
  </si>
  <si>
    <t>AUDI INVENT. PNEUS</t>
  </si>
  <si>
    <t>81450</t>
  </si>
  <si>
    <t>PIECES APRES VENTES</t>
  </si>
  <si>
    <t>81472</t>
  </si>
  <si>
    <t>WIP M-O AUDI</t>
  </si>
  <si>
    <t>81474</t>
  </si>
  <si>
    <t>AUDI SOUS-TRAITANT</t>
  </si>
  <si>
    <t>81492</t>
  </si>
  <si>
    <t>AUDI INVENT. HUILE</t>
  </si>
  <si>
    <t>81498</t>
  </si>
  <si>
    <t>AUDI INVENT. JOBBER PIECES</t>
  </si>
  <si>
    <t>81502</t>
  </si>
  <si>
    <t>FPA PUB. NEUFS AUDI</t>
  </si>
  <si>
    <t>81504</t>
  </si>
  <si>
    <t>FPA PUB USAGES AUDI</t>
  </si>
  <si>
    <t>81506</t>
  </si>
  <si>
    <t>FPA PUB PIECES SERVICE AUDI</t>
  </si>
  <si>
    <t>81520</t>
  </si>
  <si>
    <t>FPA PLAQUES AUDI</t>
  </si>
  <si>
    <t>81522</t>
  </si>
  <si>
    <t>FPA ASS. GARAGE AUDI</t>
  </si>
  <si>
    <t>4113</t>
  </si>
  <si>
    <t>81528</t>
  </si>
  <si>
    <t>AUDI FPA DEDUCTIBLE ASSUR.</t>
  </si>
  <si>
    <t>81530</t>
  </si>
  <si>
    <t>FPA PAPETERIE AUDI</t>
  </si>
  <si>
    <t>81532</t>
  </si>
  <si>
    <t>FPA CCAM</t>
  </si>
  <si>
    <t>81534</t>
  </si>
  <si>
    <t>FPA FOURNITURES ATELIER AUDI</t>
  </si>
  <si>
    <t>81536</t>
  </si>
  <si>
    <t>FPA HONORAIRE PROFESS. AUDI</t>
  </si>
  <si>
    <t>81538</t>
  </si>
  <si>
    <t>FPA FORMATION AUDI</t>
  </si>
  <si>
    <t>81540</t>
  </si>
  <si>
    <t>FPA CONTRAT DE SERVICE AUDI</t>
  </si>
  <si>
    <t>81544</t>
  </si>
  <si>
    <t>FPA GAZ METRO AUDI</t>
  </si>
  <si>
    <t>81546</t>
  </si>
  <si>
    <t>FPA HYDRO QUEBEC</t>
  </si>
  <si>
    <t>81552</t>
  </si>
  <si>
    <t>CSST AUDI</t>
  </si>
  <si>
    <t>81582</t>
  </si>
  <si>
    <t>FPA TAXES MUNICIPALES AUDI</t>
  </si>
  <si>
    <t>81586</t>
  </si>
  <si>
    <t>FPA TAXES SCOLAIRES AUDI</t>
  </si>
  <si>
    <t>81592</t>
  </si>
  <si>
    <t>FPA AUTRES AUDI</t>
  </si>
  <si>
    <t>81593</t>
  </si>
  <si>
    <t>81594</t>
  </si>
  <si>
    <t>FRAIS VOYAGE</t>
  </si>
  <si>
    <t>81595</t>
  </si>
  <si>
    <t>FRAIS REP NON DEDUCTIBLE</t>
  </si>
  <si>
    <t>81732</t>
  </si>
  <si>
    <t>AMEL. LOCATIVES AUDI</t>
  </si>
  <si>
    <t>81733</t>
  </si>
  <si>
    <t>AM. CUM. AMEL. LOCATIVES AUDI</t>
  </si>
  <si>
    <t>421</t>
  </si>
  <si>
    <t>81738</t>
  </si>
  <si>
    <t>AMEL LOCATIVES CPO</t>
  </si>
  <si>
    <t>81739</t>
  </si>
  <si>
    <t>AMORT AMEL LOCATIVE CPO</t>
  </si>
  <si>
    <t>81742</t>
  </si>
  <si>
    <t>EQUIP. SERVICE AUDI</t>
  </si>
  <si>
    <t>422</t>
  </si>
  <si>
    <t>81743</t>
  </si>
  <si>
    <t>AM. CUM. EQUIP. SERVICE AUDI</t>
  </si>
  <si>
    <t>423</t>
  </si>
  <si>
    <t>81744</t>
  </si>
  <si>
    <t>EQUIP. PIECES AUDI</t>
  </si>
  <si>
    <t>424</t>
  </si>
  <si>
    <t>81745</t>
  </si>
  <si>
    <t>AM. CUM. EQUIP. PIECES AUDI</t>
  </si>
  <si>
    <t>425</t>
  </si>
  <si>
    <t>81748</t>
  </si>
  <si>
    <t>EQUIP PIECE SERVICE CPO</t>
  </si>
  <si>
    <t>426</t>
  </si>
  <si>
    <t>81749</t>
  </si>
  <si>
    <t>AMORT EQUIP SERV/PIECE CPO</t>
  </si>
  <si>
    <t>427</t>
  </si>
  <si>
    <t>81760</t>
  </si>
  <si>
    <t>EQUIP. TELEPHONIQUE AUDI</t>
  </si>
  <si>
    <t>428</t>
  </si>
  <si>
    <t>81761</t>
  </si>
  <si>
    <t>AM. CUM. EQ. TELEPHONIQUE AUDI</t>
  </si>
  <si>
    <t>4285</t>
  </si>
  <si>
    <t>81762</t>
  </si>
  <si>
    <t>MOBILIER ET FIXTURE</t>
  </si>
  <si>
    <t>mobilier</t>
  </si>
  <si>
    <t>81763</t>
  </si>
  <si>
    <t>AM. CUM. MOBILIER ET FIXTURE AUDI</t>
  </si>
  <si>
    <t>429</t>
  </si>
  <si>
    <t>81768</t>
  </si>
  <si>
    <t>EQUIP TELEPHONIQUE CPO</t>
  </si>
  <si>
    <t>4291</t>
  </si>
  <si>
    <t>81769</t>
  </si>
  <si>
    <t>AMORT EQUIP TELEPHONE CPO</t>
  </si>
  <si>
    <t>81778</t>
  </si>
  <si>
    <t>MOBILIER FIXTURE CPO</t>
  </si>
  <si>
    <t>430</t>
  </si>
  <si>
    <t>81779</t>
  </si>
  <si>
    <t>AMORT MOBILIER FIXTURE CPO</t>
  </si>
  <si>
    <t>431</t>
  </si>
  <si>
    <t>81786</t>
  </si>
  <si>
    <t>EQUIP. INFORMATIQUE AUDI</t>
  </si>
  <si>
    <t>81787</t>
  </si>
  <si>
    <t>AM. CUM. EQ. INFORMATIQUE AUDI</t>
  </si>
  <si>
    <t>81788</t>
  </si>
  <si>
    <t>EQUIP INFORMATIQUE CPO</t>
  </si>
  <si>
    <t>81789</t>
  </si>
  <si>
    <t>AMORT EQUIP INFO CPO</t>
  </si>
  <si>
    <t>81792</t>
  </si>
  <si>
    <t>81793</t>
  </si>
  <si>
    <t>AM. CUM. ENSEIGNES AUDI</t>
  </si>
  <si>
    <t>enseigne</t>
  </si>
  <si>
    <t>81806</t>
  </si>
  <si>
    <t>AUDI RECEV. FINANCE</t>
  </si>
  <si>
    <t>82101</t>
  </si>
  <si>
    <t>NOTE A PAYER VEH. NEUFS AUDI</t>
  </si>
  <si>
    <t>82220</t>
  </si>
  <si>
    <t>AUDI TPA A PAYER</t>
  </si>
  <si>
    <t>4411</t>
  </si>
  <si>
    <t>82221</t>
  </si>
  <si>
    <t>AUDI TVQ A PAYER</t>
  </si>
  <si>
    <t>82222</t>
  </si>
  <si>
    <t>AUDI RTI A RECEVOIR</t>
  </si>
  <si>
    <t>4451</t>
  </si>
  <si>
    <t>82223</t>
  </si>
  <si>
    <t>AUDI TPS A PAYER</t>
  </si>
  <si>
    <t>82224</t>
  </si>
  <si>
    <t>AUDI CTI A RECEVOIR</t>
  </si>
  <si>
    <t>82225</t>
  </si>
  <si>
    <t>AUDI DROIT SUR PNEUS A PAYER</t>
  </si>
  <si>
    <t>82281</t>
  </si>
  <si>
    <t>AUDI LIEN A PAYER</t>
  </si>
  <si>
    <t>82283</t>
  </si>
  <si>
    <t>AUDI PLAQUES A PAYER</t>
  </si>
  <si>
    <t>82285</t>
  </si>
  <si>
    <t>AUDI PROTECTIONS A PAYER</t>
  </si>
  <si>
    <t>82287</t>
  </si>
  <si>
    <t>AUDI INVAPLAN A PAYER</t>
  </si>
  <si>
    <t>82291</t>
  </si>
  <si>
    <t>AUDI COMPTES A PAYER</t>
  </si>
  <si>
    <t>82292</t>
  </si>
  <si>
    <t>AUDI ECHANGE CONCESSIONNAIRE</t>
  </si>
  <si>
    <t>82293</t>
  </si>
  <si>
    <t>AUDI RESERVE GARANTIE USAGE</t>
  </si>
  <si>
    <t>82297</t>
  </si>
  <si>
    <t>AUDI RESERVE RENOUVELLEMENT</t>
  </si>
  <si>
    <t>82310</t>
  </si>
  <si>
    <t>AUDI PRET CIBC COURT TERME</t>
  </si>
  <si>
    <t>82315</t>
  </si>
  <si>
    <t>AUDI ASS. GROUPE A PAYER</t>
  </si>
  <si>
    <t>82335</t>
  </si>
  <si>
    <t>AUDI COMITE SOCIAL</t>
  </si>
  <si>
    <t>82342</t>
  </si>
  <si>
    <t>AUDI REER STANDARD LIFE</t>
  </si>
  <si>
    <t>82343</t>
  </si>
  <si>
    <t>AUDI COMITE PARITAIRE A PAYER</t>
  </si>
  <si>
    <t>82344</t>
  </si>
  <si>
    <t>82401</t>
  </si>
  <si>
    <t>AUDI DEPOTS DE CLIENTS</t>
  </si>
  <si>
    <t>82501</t>
  </si>
  <si>
    <t>AUDI COMMISSIONS A PAYER</t>
  </si>
  <si>
    <t>82503</t>
  </si>
  <si>
    <t>AUDI SALAIRE COURU A PAYER</t>
  </si>
  <si>
    <t>82505</t>
  </si>
  <si>
    <t>AUDI FERIES A PAYER</t>
  </si>
  <si>
    <t>82509</t>
  </si>
  <si>
    <t>AUDI VACANCES A PAYER</t>
  </si>
  <si>
    <t>82511</t>
  </si>
  <si>
    <t>AUDI JOURS MALADIE A PAYER</t>
  </si>
  <si>
    <t>82801</t>
  </si>
  <si>
    <t>AUDI PRET EN CAPITAUX CIBC</t>
  </si>
  <si>
    <t>4721</t>
  </si>
  <si>
    <t>82901</t>
  </si>
  <si>
    <t>83007</t>
  </si>
  <si>
    <t>AUDI ACTIONS ORDINAIRES</t>
  </si>
  <si>
    <t>83201</t>
  </si>
  <si>
    <t>AUDI B.N.R.</t>
  </si>
  <si>
    <t>84041</t>
  </si>
  <si>
    <t>VTE - A3 2.0 TFSI SURALLOCATION ESCOMPTE</t>
  </si>
  <si>
    <t>84043</t>
  </si>
  <si>
    <t>VTE - A4 2.0 TFSI BERLINE FRONT TRAK SURALLOCATIO</t>
  </si>
  <si>
    <t>84044</t>
  </si>
  <si>
    <t>VTE - A4 2.0 TSFI BERLINE QUATTRO</t>
  </si>
  <si>
    <t>84046</t>
  </si>
  <si>
    <t>VTE - A6 2.0 TFSI SURALLOCATION/ESCOMPTE</t>
  </si>
  <si>
    <t>84047</t>
  </si>
  <si>
    <t>VTE - S7 SURALLOCATION/ESCOMPTE</t>
  </si>
  <si>
    <t>84054</t>
  </si>
  <si>
    <t>VTE - RS4 BERLINE - SURALLOCATION ESCOMPTE</t>
  </si>
  <si>
    <t>84058</t>
  </si>
  <si>
    <t>VTE - ALLOC. REMISE A6 4.2 BERLINE</t>
  </si>
  <si>
    <t>84059</t>
  </si>
  <si>
    <t>VTE - A6 3.0 TFSI AVANT SURALLOC ESC</t>
  </si>
  <si>
    <t>84063</t>
  </si>
  <si>
    <t>VTE - Q7 3.0 TFSI SURALLOC ESC</t>
  </si>
  <si>
    <t>84064</t>
  </si>
  <si>
    <t>VTE - Q7 3.0 TFSI SPORT SURALLOC ESC</t>
  </si>
  <si>
    <t>84075</t>
  </si>
  <si>
    <t>VTE - R8 GT SURALLOCATION/ESCOMPTE</t>
  </si>
  <si>
    <t>4785</t>
  </si>
  <si>
    <t>84090</t>
  </si>
  <si>
    <t>VTE - Q7 3.0 TDI</t>
  </si>
  <si>
    <t>84106</t>
  </si>
  <si>
    <t>VTE - A3 SPORTBACK E-TRON</t>
  </si>
  <si>
    <t>500</t>
  </si>
  <si>
    <t>84109</t>
  </si>
  <si>
    <t>C/V - RS5 COUPE</t>
  </si>
  <si>
    <t>5100</t>
  </si>
  <si>
    <t>84110</t>
  </si>
  <si>
    <t>VTE - RS5 SPORTBACK</t>
  </si>
  <si>
    <t>5101</t>
  </si>
  <si>
    <t>84110@</t>
  </si>
  <si>
    <t># DE VTE - RS5 SPORTBACK</t>
  </si>
  <si>
    <t>5105</t>
  </si>
  <si>
    <t>84112</t>
  </si>
  <si>
    <t>VTE - Q8</t>
  </si>
  <si>
    <t>5107</t>
  </si>
  <si>
    <t>84112@</t>
  </si>
  <si>
    <t># DE VTE - Q8</t>
  </si>
  <si>
    <t>5109</t>
  </si>
  <si>
    <t>84113</t>
  </si>
  <si>
    <t>VTES -VTE- E-TRON C-SUV</t>
  </si>
  <si>
    <t>84113@</t>
  </si>
  <si>
    <t># DE VTES  E-TRON C-SUV</t>
  </si>
  <si>
    <t>5111</t>
  </si>
  <si>
    <t>84114</t>
  </si>
  <si>
    <t>VTES -VTE - A8 3.0 LWB</t>
  </si>
  <si>
    <t>5113</t>
  </si>
  <si>
    <t>84114@</t>
  </si>
  <si>
    <t># OF VTES -VTE - A8 3.0 LWB</t>
  </si>
  <si>
    <t>5115</t>
  </si>
  <si>
    <t>84117</t>
  </si>
  <si>
    <t>VTE - Q3 2.0 TFSI QUATTRO</t>
  </si>
  <si>
    <t>5119</t>
  </si>
  <si>
    <t>84117@</t>
  </si>
  <si>
    <t># DE VTE - Q3 2.0 TFSI QUATTRO</t>
  </si>
  <si>
    <t>512</t>
  </si>
  <si>
    <t>84118</t>
  </si>
  <si>
    <t>VTES -E-TRON SPORTBACK</t>
  </si>
  <si>
    <t>5127</t>
  </si>
  <si>
    <t>84118@</t>
  </si>
  <si>
    <t># OF VTES -E-TRON SPORTBACK</t>
  </si>
  <si>
    <t>5131</t>
  </si>
  <si>
    <t>84120</t>
  </si>
  <si>
    <t>VTES -VTE- A5 SPORTBACK</t>
  </si>
  <si>
    <t>5135</t>
  </si>
  <si>
    <t>84120@</t>
  </si>
  <si>
    <t># OF VTES -VTE- A5 SPORTBACK</t>
  </si>
  <si>
    <t>5137</t>
  </si>
  <si>
    <t>84121</t>
  </si>
  <si>
    <t>VTES -VTE- S5 SPORTBACK</t>
  </si>
  <si>
    <t>5139</t>
  </si>
  <si>
    <t>84121@</t>
  </si>
  <si>
    <t># OF VTES -VTE- S5 SPORTBACK</t>
  </si>
  <si>
    <t>84123</t>
  </si>
  <si>
    <t>VTE - RS3 BERLINE</t>
  </si>
  <si>
    <t>515</t>
  </si>
  <si>
    <t>84123@</t>
  </si>
  <si>
    <t># DE VTE - RS3 BERLINE</t>
  </si>
  <si>
    <t>517</t>
  </si>
  <si>
    <t>84124</t>
  </si>
  <si>
    <t>VTE - TTRS COUPE</t>
  </si>
  <si>
    <t>5201</t>
  </si>
  <si>
    <t>84124@</t>
  </si>
  <si>
    <t># DE VTE - TTRS COUPE</t>
  </si>
  <si>
    <t>5203</t>
  </si>
  <si>
    <t>84140</t>
  </si>
  <si>
    <t>VTE - A3 2.0 TDI</t>
  </si>
  <si>
    <t>521</t>
  </si>
  <si>
    <t>84141</t>
  </si>
  <si>
    <t>VTE - A3 2.0 TFSI</t>
  </si>
  <si>
    <t>5211</t>
  </si>
  <si>
    <t>84141@</t>
  </si>
  <si>
    <t># DE VTE - A3 2.0 TFSI</t>
  </si>
  <si>
    <t>5213</t>
  </si>
  <si>
    <t>84142</t>
  </si>
  <si>
    <t>VTE - RS5 CABRIOLET</t>
  </si>
  <si>
    <t>522</t>
  </si>
  <si>
    <t>84143</t>
  </si>
  <si>
    <t>VTES -VTE - A4 2.0 TSFI BERLINE QUATTRO</t>
  </si>
  <si>
    <t>524</t>
  </si>
  <si>
    <t>84144</t>
  </si>
  <si>
    <t>527</t>
  </si>
  <si>
    <t>84144@</t>
  </si>
  <si>
    <t># DE VTE - A4 2.0 TFSI BERLINE QUATTRO</t>
  </si>
  <si>
    <t>5285</t>
  </si>
  <si>
    <t>84145</t>
  </si>
  <si>
    <t>VTE - RS5</t>
  </si>
  <si>
    <t>5286</t>
  </si>
  <si>
    <t>84146</t>
  </si>
  <si>
    <t>VTE - A6 2.0 TFSI</t>
  </si>
  <si>
    <t>5291</t>
  </si>
  <si>
    <t>84146@</t>
  </si>
  <si>
    <t># DE VTE - A6 2.0 TFSI</t>
  </si>
  <si>
    <t>5401</t>
  </si>
  <si>
    <t>84147</t>
  </si>
  <si>
    <t>VTE - S7</t>
  </si>
  <si>
    <t>5402</t>
  </si>
  <si>
    <t>84148</t>
  </si>
  <si>
    <t>VTE - Q5 3.0 TDI</t>
  </si>
  <si>
    <t>5403</t>
  </si>
  <si>
    <t>84149</t>
  </si>
  <si>
    <t>VTE - RS7</t>
  </si>
  <si>
    <t>5405</t>
  </si>
  <si>
    <t>84150</t>
  </si>
  <si>
    <t>VTE - A3 2.0 TFSI QUATTRO</t>
  </si>
  <si>
    <t>541</t>
  </si>
  <si>
    <t>84151</t>
  </si>
  <si>
    <t>VTE - A4 AVANT 2.0 TFSI QUATTRO</t>
  </si>
  <si>
    <t>5416</t>
  </si>
  <si>
    <t>84151@</t>
  </si>
  <si>
    <t># DE VTE - A4 AV 2.0 TFSI QUATTRO</t>
  </si>
  <si>
    <t>542</t>
  </si>
  <si>
    <t>84152</t>
  </si>
  <si>
    <t>VTE - S5 CABRIOLET</t>
  </si>
  <si>
    <t>5451</t>
  </si>
  <si>
    <t>84153</t>
  </si>
  <si>
    <t>VTE - S4 BERLINE</t>
  </si>
  <si>
    <t>5491</t>
  </si>
  <si>
    <t>84153@</t>
  </si>
  <si>
    <t>S4 BERLINE AVANT CABRIOLET</t>
  </si>
  <si>
    <t>5493</t>
  </si>
  <si>
    <t>84154</t>
  </si>
  <si>
    <t>VTE - A8 3.0 TDI NWB &amp; LWB</t>
  </si>
  <si>
    <t>5495</t>
  </si>
  <si>
    <t>84155</t>
  </si>
  <si>
    <t>VTES -VTE - A3  2.0 FWD TFSI</t>
  </si>
  <si>
    <t>551</t>
  </si>
  <si>
    <t>84155@</t>
  </si>
  <si>
    <t># DE VTE - A3 2.0 TFSI FWD</t>
  </si>
  <si>
    <t>552</t>
  </si>
  <si>
    <t>84156</t>
  </si>
  <si>
    <t>VTE - A8 4.0 TFSI NWB &amp; LWB</t>
  </si>
  <si>
    <t>5591</t>
  </si>
  <si>
    <t>84157</t>
  </si>
  <si>
    <t>VTE - Q3 2.0 TFSI</t>
  </si>
  <si>
    <t>5593</t>
  </si>
  <si>
    <t>84158</t>
  </si>
  <si>
    <t>VTE - A6 3.0 TDI</t>
  </si>
  <si>
    <t>5595</t>
  </si>
  <si>
    <t>84159</t>
  </si>
  <si>
    <t>VTE - A7 3.0 TDI</t>
  </si>
  <si>
    <t>5701</t>
  </si>
  <si>
    <t>84160</t>
  </si>
  <si>
    <t>VTE - S6 - TOUTES</t>
  </si>
  <si>
    <t>5702</t>
  </si>
  <si>
    <t>84160@</t>
  </si>
  <si>
    <t># DE VTE - S6</t>
  </si>
  <si>
    <t>5703</t>
  </si>
  <si>
    <t>84161</t>
  </si>
  <si>
    <t>VTE - A5 2.0 TFSI CABRIOLET</t>
  </si>
  <si>
    <t>5705</t>
  </si>
  <si>
    <t>84161@</t>
  </si>
  <si>
    <t># DE VTE - A5 2.0 TFSI CABRIOLET</t>
  </si>
  <si>
    <t>5706</t>
  </si>
  <si>
    <t>84162</t>
  </si>
  <si>
    <t>VTE - Q5 2.0 TFSIE</t>
  </si>
  <si>
    <t>5711</t>
  </si>
  <si>
    <t>84162@</t>
  </si>
  <si>
    <t># DE VTE - Q5 2.0 TFSI</t>
  </si>
  <si>
    <t>5721</t>
  </si>
  <si>
    <t>84163</t>
  </si>
  <si>
    <t>VTE - Q7 3.0 TFSI</t>
  </si>
  <si>
    <t>5731</t>
  </si>
  <si>
    <t>84163@</t>
  </si>
  <si>
    <t># VTE - Q7 3.0 TFSI</t>
  </si>
  <si>
    <t>5733</t>
  </si>
  <si>
    <t>84164</t>
  </si>
  <si>
    <t>VTE - Q7 3.0 TFSI SPORT</t>
  </si>
  <si>
    <t>5735</t>
  </si>
  <si>
    <t>84165</t>
  </si>
  <si>
    <t>VTE - A8 NWB ALL</t>
  </si>
  <si>
    <t>5761</t>
  </si>
  <si>
    <t>84166</t>
  </si>
  <si>
    <t>VTE - A8 LWB</t>
  </si>
  <si>
    <t>5763</t>
  </si>
  <si>
    <t>84167</t>
  </si>
  <si>
    <t>VTE - S8 - TOUTES</t>
  </si>
  <si>
    <t>5781</t>
  </si>
  <si>
    <t>84168</t>
  </si>
  <si>
    <t>VTE - TT COUPE 2.0 TFSI</t>
  </si>
  <si>
    <t>5785</t>
  </si>
  <si>
    <t>84168@</t>
  </si>
  <si>
    <t># DE VTE - TT COUPE 2.0 TFSI</t>
  </si>
  <si>
    <t>84169</t>
  </si>
  <si>
    <t>VTE - TT ROADSTER 2.0 TSFI</t>
  </si>
  <si>
    <t>5796</t>
  </si>
  <si>
    <t>84169@</t>
  </si>
  <si>
    <t># DE VTE - TT ROADSTER 2.0 TSFI</t>
  </si>
  <si>
    <t>60</t>
  </si>
  <si>
    <t>84170</t>
  </si>
  <si>
    <t>VTE - A8 W12 LWB</t>
  </si>
  <si>
    <t>84171</t>
  </si>
  <si>
    <t>VTE - R8 COUPE</t>
  </si>
  <si>
    <t>84172</t>
  </si>
  <si>
    <t>VTE - R8 5.2 SPYDER</t>
  </si>
  <si>
    <t>84173</t>
  </si>
  <si>
    <t>VTE - A7 3.0 TFSI</t>
  </si>
  <si>
    <t>84173@</t>
  </si>
  <si>
    <t># DE VTE - A7 3.0 TFSI</t>
  </si>
  <si>
    <t>84174</t>
  </si>
  <si>
    <t>VTE - A5 2.0 TFSI COUPE</t>
  </si>
  <si>
    <t>84174@</t>
  </si>
  <si>
    <t># DE VTE - A5 2.0 TSFI COUPE</t>
  </si>
  <si>
    <t>84175</t>
  </si>
  <si>
    <t>VTE - R8 GT</t>
  </si>
  <si>
    <t>6115</t>
  </si>
  <si>
    <t>84176</t>
  </si>
  <si>
    <t>VTE - S5 COUPE</t>
  </si>
  <si>
    <t>84176@</t>
  </si>
  <si>
    <t># DE VTE - S5 TOUTES</t>
  </si>
  <si>
    <t>84177</t>
  </si>
  <si>
    <t>VTE - SQ5</t>
  </si>
  <si>
    <t>84177@</t>
  </si>
  <si>
    <t># DE VTE - SQ5</t>
  </si>
  <si>
    <t>84178</t>
  </si>
  <si>
    <t>VTE - Q5 3.0 TFSI</t>
  </si>
  <si>
    <t>84179</t>
  </si>
  <si>
    <t>VTE - Q5 2.0 TFSI HYBRIDE</t>
  </si>
  <si>
    <t>84180</t>
  </si>
  <si>
    <t>VTE - A6 3.0T BERLINE</t>
  </si>
  <si>
    <t>84180@</t>
  </si>
  <si>
    <t># DE VTE - A6 3.0 TFSI</t>
  </si>
  <si>
    <t>84182</t>
  </si>
  <si>
    <t>VTE - AUDI CARE - AUDI NEUF</t>
  </si>
  <si>
    <t>614</t>
  </si>
  <si>
    <t>84182@</t>
  </si>
  <si>
    <t># DE VTE - CONTRATS AUDI SERVICE PLUS - AUDI</t>
  </si>
  <si>
    <t>84183</t>
  </si>
  <si>
    <t>VTE - TT S COUPE</t>
  </si>
  <si>
    <t>84184</t>
  </si>
  <si>
    <t>VTE - TT S ROADSTER</t>
  </si>
  <si>
    <t>84186</t>
  </si>
  <si>
    <t>VTE - S3 2.0 TSFI</t>
  </si>
  <si>
    <t>84186@</t>
  </si>
  <si>
    <t># DE VTE - S3 2.0 TSFI</t>
  </si>
  <si>
    <t>84187</t>
  </si>
  <si>
    <t>VTE - AUDI NEUVE FLOTTE</t>
  </si>
  <si>
    <t>84187@</t>
  </si>
  <si>
    <t># DE VTE - AUDI FLOTTES</t>
  </si>
  <si>
    <t>84188</t>
  </si>
  <si>
    <t>VTE - DEMO AUTO NEUVE</t>
  </si>
  <si>
    <t>84188@</t>
  </si>
  <si>
    <t># DE VTE - DEMO AUTO NEUVE</t>
  </si>
  <si>
    <t>84189</t>
  </si>
  <si>
    <t>VTE - DEMOS CAMION NEUF</t>
  </si>
  <si>
    <t>84189@</t>
  </si>
  <si>
    <t># DE VTE - DEMO CAM NEUF</t>
  </si>
  <si>
    <t>84190</t>
  </si>
  <si>
    <t>84192</t>
  </si>
  <si>
    <t>VTE - R8 4.2</t>
  </si>
  <si>
    <t>84194</t>
  </si>
  <si>
    <t>VTES -VTE - R8 5.2 FSI COUP SPYDER V10 PERFOR</t>
  </si>
  <si>
    <t>6162</t>
  </si>
  <si>
    <t>84197</t>
  </si>
  <si>
    <t>VTE - A3 2.0 TFSI CABRIO</t>
  </si>
  <si>
    <t>84197@</t>
  </si>
  <si>
    <t># DE VTE - A3 2.0 TFSI CABRIO</t>
  </si>
  <si>
    <t>84199</t>
  </si>
  <si>
    <t>VTE - Q7 2.0 TFSI</t>
  </si>
  <si>
    <t>84199@</t>
  </si>
  <si>
    <t># DE VTE - Q7 2.0 TFSI</t>
  </si>
  <si>
    <t>84200</t>
  </si>
  <si>
    <t>VTE - AUDI RACHAT DE BAIL</t>
  </si>
  <si>
    <t>84200@</t>
  </si>
  <si>
    <t># DE VTE - AUDI RACHAT DE BAIL</t>
  </si>
  <si>
    <t>84250</t>
  </si>
  <si>
    <t>VTE - AUDI USAGE CERTIFIE</t>
  </si>
  <si>
    <t>6201</t>
  </si>
  <si>
    <t>84285</t>
  </si>
  <si>
    <t>VTE - USAGE AUTRES MARQUES</t>
  </si>
  <si>
    <t>6202</t>
  </si>
  <si>
    <t>84285@</t>
  </si>
  <si>
    <t># DE VTE - USAGE AUTRES MARQUES</t>
  </si>
  <si>
    <t>6203</t>
  </si>
  <si>
    <t>84289</t>
  </si>
  <si>
    <t>VTE - AUDI CARE - AUDI USAGE</t>
  </si>
  <si>
    <t>6206</t>
  </si>
  <si>
    <t>84289@</t>
  </si>
  <si>
    <t># DE VTE - CONTRAT SERVICE PLUS AUDI USAGEE D</t>
  </si>
  <si>
    <t>6207</t>
  </si>
  <si>
    <t>84291</t>
  </si>
  <si>
    <t>VTE - AUDI USAGE AU GROS</t>
  </si>
  <si>
    <t>6208</t>
  </si>
  <si>
    <t>84291@</t>
  </si>
  <si>
    <t># DE VTE - AUDI USAGE AU GROS</t>
  </si>
  <si>
    <t>621</t>
  </si>
  <si>
    <t>84293</t>
  </si>
  <si>
    <t>VTE - VENTES AU GROS - AUTRES MARQUES</t>
  </si>
  <si>
    <t>6214</t>
  </si>
  <si>
    <t>84293@</t>
  </si>
  <si>
    <t># DE VTE - VENTES AU GROS - AUTRES MARQUES</t>
  </si>
  <si>
    <t>6215</t>
  </si>
  <si>
    <t>84301</t>
  </si>
  <si>
    <t>VTE - A3 AUDI CERTIFIE</t>
  </si>
  <si>
    <t>622</t>
  </si>
  <si>
    <t>84303</t>
  </si>
  <si>
    <t>VTE - A4 AUDI CERTIFIE</t>
  </si>
  <si>
    <t>6221</t>
  </si>
  <si>
    <t>84307</t>
  </si>
  <si>
    <t>VTE - A6 AUDI CERTIFIE</t>
  </si>
  <si>
    <t>6222</t>
  </si>
  <si>
    <t>84315</t>
  </si>
  <si>
    <t>VTE - TT AUDI CERTIFIE</t>
  </si>
  <si>
    <t>6223</t>
  </si>
  <si>
    <t>84317</t>
  </si>
  <si>
    <t>VTE - AUTRE AUDI CERTIFIE</t>
  </si>
  <si>
    <t>6224</t>
  </si>
  <si>
    <t>6229</t>
  </si>
  <si>
    <t>84351</t>
  </si>
  <si>
    <t>VTE - A3 USAGEE DETAIL</t>
  </si>
  <si>
    <t>6231</t>
  </si>
  <si>
    <t>84353</t>
  </si>
  <si>
    <t>VTE - A4 USAGEE DETAIL</t>
  </si>
  <si>
    <t>6232</t>
  </si>
  <si>
    <t>84357</t>
  </si>
  <si>
    <t>VTE - A6 USAGEE DETAIL</t>
  </si>
  <si>
    <t>6239</t>
  </si>
  <si>
    <t>84365</t>
  </si>
  <si>
    <t>VTE - TT USAGEE DETAIL</t>
  </si>
  <si>
    <t>624</t>
  </si>
  <si>
    <t>84367</t>
  </si>
  <si>
    <t>VTE - AUTRE USAGEE AUDI DETAIL</t>
  </si>
  <si>
    <t>6242</t>
  </si>
  <si>
    <t>VTE - AUDI M.O. CLIENT</t>
  </si>
  <si>
    <t>6243</t>
  </si>
  <si>
    <t>84411@</t>
  </si>
  <si>
    <t># DE VTE - AUDI M.O. CLIENT</t>
  </si>
  <si>
    <t>6244</t>
  </si>
  <si>
    <t>84412</t>
  </si>
  <si>
    <t>VTE - AUDI ESTHETIQUE CLIENT</t>
  </si>
  <si>
    <t>6245</t>
  </si>
  <si>
    <t>84412@</t>
  </si>
  <si>
    <t># DE SLS - AUDI ESTHETIQUE CLIENT</t>
  </si>
  <si>
    <t>6247</t>
  </si>
  <si>
    <t>84413</t>
  </si>
  <si>
    <t>VTE - AUDI M.O. GARANTIE</t>
  </si>
  <si>
    <t>6251</t>
  </si>
  <si>
    <t>84413@</t>
  </si>
  <si>
    <t># DE VTE - AUDI M.O. GARANTIE</t>
  </si>
  <si>
    <t>6252</t>
  </si>
  <si>
    <t>84415</t>
  </si>
  <si>
    <t>VTE - AUDI M.O. INTERNE</t>
  </si>
  <si>
    <t>6253</t>
  </si>
  <si>
    <t>84415@</t>
  </si>
  <si>
    <t># DE VTE - AUDI M.O. INTERNE</t>
  </si>
  <si>
    <t>6255</t>
  </si>
  <si>
    <t>84417</t>
  </si>
  <si>
    <t>VTE - M.O. MEC. AVANTAGE AUDI / SERVICE +</t>
  </si>
  <si>
    <t>6256</t>
  </si>
  <si>
    <t>84417@</t>
  </si>
  <si>
    <t># DE B.R. M.O. MEC. AVANTAGE AUDI</t>
  </si>
  <si>
    <t>6259</t>
  </si>
  <si>
    <t>84431</t>
  </si>
  <si>
    <t>VTE - RECOND LAPRAIRIE</t>
  </si>
  <si>
    <t>6261</t>
  </si>
  <si>
    <t>84451</t>
  </si>
  <si>
    <t>VTE - AUDI HUILE ET GRAISSE</t>
  </si>
  <si>
    <t>6262</t>
  </si>
  <si>
    <t>84451@</t>
  </si>
  <si>
    <t># DE VTE - AUDI HUILE ET GRAISSE</t>
  </si>
  <si>
    <t>6281</t>
  </si>
  <si>
    <t>84461</t>
  </si>
  <si>
    <t>VTE - MATERIEL ATELIER LAPRAIRIE</t>
  </si>
  <si>
    <t>6282</t>
  </si>
  <si>
    <t>84491</t>
  </si>
  <si>
    <t>VTE - AUDI SOUS-TRAIT. CLIENT</t>
  </si>
  <si>
    <t>6286</t>
  </si>
  <si>
    <t>84491@</t>
  </si>
  <si>
    <t># DE VTE - AUDI SOUS-TRAIT. CLIENT</t>
  </si>
  <si>
    <t>6287</t>
  </si>
  <si>
    <t>84493</t>
  </si>
  <si>
    <t>VTE - AUDI SOUS-TRAIT. GARANTIE</t>
  </si>
  <si>
    <t>6293</t>
  </si>
  <si>
    <t>84493@</t>
  </si>
  <si>
    <t># DE VTE - AUDI SOUS-TRAIT. GARANTIE</t>
  </si>
  <si>
    <t>6294</t>
  </si>
  <si>
    <t>84495</t>
  </si>
  <si>
    <t>VTE - AUDI SOUS-TRAIT. INTERNE</t>
  </si>
  <si>
    <t>6403</t>
  </si>
  <si>
    <t>84495@</t>
  </si>
  <si>
    <t># DE VTE - AUDI SOUS-TRAIT. INTERNE</t>
  </si>
  <si>
    <t>6412</t>
  </si>
  <si>
    <t>84591</t>
  </si>
  <si>
    <t>VTE - S-TRAIT. CARROSS. CLIENT</t>
  </si>
  <si>
    <t>6414</t>
  </si>
  <si>
    <t>84591@</t>
  </si>
  <si>
    <t># DE VTE - S-TRAIT. CARROSS. CLIENT</t>
  </si>
  <si>
    <t>6421</t>
  </si>
  <si>
    <t>84593</t>
  </si>
  <si>
    <t>VTE - S-TRAIT. CARROSS. GARANTIE</t>
  </si>
  <si>
    <t>6422</t>
  </si>
  <si>
    <t>84593@</t>
  </si>
  <si>
    <t># DE VTE - S-TRAIT. CARROSS. GARANTIE</t>
  </si>
  <si>
    <t>6423</t>
  </si>
  <si>
    <t>84595</t>
  </si>
  <si>
    <t>VTE - S-TRAIT. CARROSS. INTERNE</t>
  </si>
  <si>
    <t>6424</t>
  </si>
  <si>
    <t>84595@</t>
  </si>
  <si>
    <t># DE VTE - S-TRAIT. CARROSS. INTERNE</t>
  </si>
  <si>
    <t>6425</t>
  </si>
  <si>
    <t>84600</t>
  </si>
  <si>
    <t>VTE - A3 S3 RS3 CERTIFIE</t>
  </si>
  <si>
    <t>6429</t>
  </si>
  <si>
    <t>84600@</t>
  </si>
  <si>
    <t># DE VTE - A3 S3 RS3 CERTIFIE</t>
  </si>
  <si>
    <t>6431</t>
  </si>
  <si>
    <t>84601</t>
  </si>
  <si>
    <t>VTE - A4 S4 CERTIFIE</t>
  </si>
  <si>
    <t>6432</t>
  </si>
  <si>
    <t>84601@</t>
  </si>
  <si>
    <t># DE VTE - A4 S4 CERTIFIE</t>
  </si>
  <si>
    <t>6433</t>
  </si>
  <si>
    <t>84602</t>
  </si>
  <si>
    <t>VTE - Q3 CERTIFIE</t>
  </si>
  <si>
    <t>6439</t>
  </si>
  <si>
    <t>84602@</t>
  </si>
  <si>
    <t># DE VTE - Q3 CERTIFIE</t>
  </si>
  <si>
    <t>644</t>
  </si>
  <si>
    <t>84603</t>
  </si>
  <si>
    <t>VTE - ALLROAD CERTIFIE</t>
  </si>
  <si>
    <t>6441</t>
  </si>
  <si>
    <t>84604</t>
  </si>
  <si>
    <t>VTE - A5 S5 RS5 CAB CERTIFIE</t>
  </si>
  <si>
    <t>6442</t>
  </si>
  <si>
    <t>84604@</t>
  </si>
  <si>
    <t># DE VTE - A5 S5 RS5 CAB CERTIFIE</t>
  </si>
  <si>
    <t>6443</t>
  </si>
  <si>
    <t>84605</t>
  </si>
  <si>
    <t>VTE - A5 S5 RS5 COUPE CERTIFIE</t>
  </si>
  <si>
    <t>6444</t>
  </si>
  <si>
    <t>84605@</t>
  </si>
  <si>
    <t># DE VTE - A5 S5 RS5 COUPE CERTIFIE</t>
  </si>
  <si>
    <t>6445</t>
  </si>
  <si>
    <t>84606</t>
  </si>
  <si>
    <t>VTE - A5 S5 SPORTBACK CERTIFIE</t>
  </si>
  <si>
    <t>6447</t>
  </si>
  <si>
    <t>84606@</t>
  </si>
  <si>
    <t># DE VTE - A5 S5 SPORTBACK CERTIFIE</t>
  </si>
  <si>
    <t>6451</t>
  </si>
  <si>
    <t>84607</t>
  </si>
  <si>
    <t>VTE - Q5 SQ5 CERTIFIE</t>
  </si>
  <si>
    <t>6452</t>
  </si>
  <si>
    <t>84607@</t>
  </si>
  <si>
    <t># DE VTE - Q5 SQ5 CERTIFIE</t>
  </si>
  <si>
    <t>6453</t>
  </si>
  <si>
    <t>84608</t>
  </si>
  <si>
    <t>VTES -VTE - A6/ S6/ A6 ALLROAD CERTFIEI</t>
  </si>
  <si>
    <t>6455</t>
  </si>
  <si>
    <t>84609</t>
  </si>
  <si>
    <t>VTE - A7 S7 RS7 CERTIFIE</t>
  </si>
  <si>
    <t>6456</t>
  </si>
  <si>
    <t>84609@</t>
  </si>
  <si>
    <t># DE VTE - A7 S7 RS7 CERTIFIE</t>
  </si>
  <si>
    <t>6459</t>
  </si>
  <si>
    <t>84610</t>
  </si>
  <si>
    <t>VTE - Q7 CERTIFIE</t>
  </si>
  <si>
    <t>6461</t>
  </si>
  <si>
    <t>84610@</t>
  </si>
  <si>
    <t># DE VTE - Q7 CERTIFIE</t>
  </si>
  <si>
    <t>6462</t>
  </si>
  <si>
    <t>84611</t>
  </si>
  <si>
    <t>VTE - A8 S8 CERTIFIE</t>
  </si>
  <si>
    <t>6463</t>
  </si>
  <si>
    <t>84613</t>
  </si>
  <si>
    <t>VTE - R8 SPYDER CERTIFIE</t>
  </si>
  <si>
    <t>6481</t>
  </si>
  <si>
    <t>84614</t>
  </si>
  <si>
    <t>VTE - TT TTS TTRS COUPE CERTIFIE</t>
  </si>
  <si>
    <t>6482</t>
  </si>
  <si>
    <t>84614@</t>
  </si>
  <si>
    <t># DE VTE - TT TTS TTRS COUPE CERTIFIE</t>
  </si>
  <si>
    <t>6486</t>
  </si>
  <si>
    <t>84615</t>
  </si>
  <si>
    <t>VTE - TT TTS TTRS ROADSTER CERTIFIE</t>
  </si>
  <si>
    <t>6487</t>
  </si>
  <si>
    <t>84616</t>
  </si>
  <si>
    <t>VTE - AUDI AUTRE CERTIFIE</t>
  </si>
  <si>
    <t>6493</t>
  </si>
  <si>
    <t>84620</t>
  </si>
  <si>
    <t>VTE - A3 S3 RS3 NON-CERT</t>
  </si>
  <si>
    <t>6494</t>
  </si>
  <si>
    <t>84620@</t>
  </si>
  <si>
    <t># DE VTE - A3 S3 RS3 NON-CERT</t>
  </si>
  <si>
    <t>6503</t>
  </si>
  <si>
    <t>84621</t>
  </si>
  <si>
    <t>VTE - A4 S4 NON-CERT</t>
  </si>
  <si>
    <t>651</t>
  </si>
  <si>
    <t>84622</t>
  </si>
  <si>
    <t>VTE - Q3 NON-CERT</t>
  </si>
  <si>
    <t>6514</t>
  </si>
  <si>
    <t>84622@</t>
  </si>
  <si>
    <t># DE VTE - Q3 NON-CERT</t>
  </si>
  <si>
    <t>652</t>
  </si>
  <si>
    <t>84623</t>
  </si>
  <si>
    <t>VTE - ALLROAD NON-CERT</t>
  </si>
  <si>
    <t>6521</t>
  </si>
  <si>
    <t>84624</t>
  </si>
  <si>
    <t>VTE - A4 S5 RS5 CABRIOLET NON-CERT</t>
  </si>
  <si>
    <t>6522</t>
  </si>
  <si>
    <t>84625</t>
  </si>
  <si>
    <t>VTE - A5 S5 RS5 COUPE NON-CERT</t>
  </si>
  <si>
    <t>6523</t>
  </si>
  <si>
    <t>84626</t>
  </si>
  <si>
    <t>VTE - A5 S5 SPORTBACK NON-CERT</t>
  </si>
  <si>
    <t>6524</t>
  </si>
  <si>
    <t>84627</t>
  </si>
  <si>
    <t>VTE - Q5 SQ5 NON-CERT</t>
  </si>
  <si>
    <t>6525</t>
  </si>
  <si>
    <t>84627@</t>
  </si>
  <si>
    <t># DE VTE - Q5 SQ5 NON-CERT</t>
  </si>
  <si>
    <t>6529</t>
  </si>
  <si>
    <t>84628</t>
  </si>
  <si>
    <t>VTES -VTE - A6/ S6/ A6 ALLROAD NON-CERT</t>
  </si>
  <si>
    <t>6531</t>
  </si>
  <si>
    <t>84629</t>
  </si>
  <si>
    <t>VTE - A7 S7 RS7 NON-CERT</t>
  </si>
  <si>
    <t>6532</t>
  </si>
  <si>
    <t>84630</t>
  </si>
  <si>
    <t>VTE - Q7 NON-CERT</t>
  </si>
  <si>
    <t>6539</t>
  </si>
  <si>
    <t>84632</t>
  </si>
  <si>
    <t>VTE - R8 COUPE NON-CERT</t>
  </si>
  <si>
    <t>654</t>
  </si>
  <si>
    <t>84634</t>
  </si>
  <si>
    <t>VTE - TT TTS TTRS COUPE NON-CERT</t>
  </si>
  <si>
    <t>6542</t>
  </si>
  <si>
    <t>84634@</t>
  </si>
  <si>
    <t># DE VTE - TT TTS TTRS COUPE NON-CERT</t>
  </si>
  <si>
    <t>6543</t>
  </si>
  <si>
    <t>84635</t>
  </si>
  <si>
    <t>VTE - TT TTS TTRS ROADSTER NON-CERT</t>
  </si>
  <si>
    <t>6544</t>
  </si>
  <si>
    <t>84636</t>
  </si>
  <si>
    <t>VTE - AUDI AUTRE NON-CERT</t>
  </si>
  <si>
    <t>6545</t>
  </si>
  <si>
    <t>84642</t>
  </si>
  <si>
    <t>VTES -A4 / S4 / A4 ALLROAD CERTIFIE</t>
  </si>
  <si>
    <t>6547</t>
  </si>
  <si>
    <t>84642@</t>
  </si>
  <si>
    <t>A4 / S4 / A4 ALLROAD CERTIFIE</t>
  </si>
  <si>
    <t>84643</t>
  </si>
  <si>
    <t>VTES -E-TRON SPORTBACK CERTIFIE</t>
  </si>
  <si>
    <t>6551</t>
  </si>
  <si>
    <t>84643@</t>
  </si>
  <si>
    <t>E-TRON SPORTBACK CERTIFIE</t>
  </si>
  <si>
    <t>6552</t>
  </si>
  <si>
    <t>84652</t>
  </si>
  <si>
    <t>VTES -A4 / S4 /A4 ALLROAD NON CERTIFIE</t>
  </si>
  <si>
    <t>6553</t>
  </si>
  <si>
    <t>84652@</t>
  </si>
  <si>
    <t>A4/ S4 / A4 ALLROAD NON CERTIFIE</t>
  </si>
  <si>
    <t>6555</t>
  </si>
  <si>
    <t>84653</t>
  </si>
  <si>
    <t>VTES -E-TRON SPORTBACK NON CERTIFIE</t>
  </si>
  <si>
    <t>6556</t>
  </si>
  <si>
    <t>84653@</t>
  </si>
  <si>
    <t>E-TRON SPORTBACK NON CERTIFIE</t>
  </si>
  <si>
    <t>6559</t>
  </si>
  <si>
    <t>VTE - PIECES R.O. CLIENTS</t>
  </si>
  <si>
    <t>6561</t>
  </si>
  <si>
    <t>84711@</t>
  </si>
  <si>
    <t># DE VTE - PIECES R.O. CLIENTS</t>
  </si>
  <si>
    <t>6562</t>
  </si>
  <si>
    <t>84712</t>
  </si>
  <si>
    <t>VTE - FOURNITURE ATELIER</t>
  </si>
  <si>
    <t>657</t>
  </si>
  <si>
    <t>84713</t>
  </si>
  <si>
    <t>VTE - PIECES R.O.GARANTIE</t>
  </si>
  <si>
    <t>6581</t>
  </si>
  <si>
    <t>84713@</t>
  </si>
  <si>
    <t># DE VTE - PIECES R.O.GARANTIE</t>
  </si>
  <si>
    <t>6582</t>
  </si>
  <si>
    <t>84714</t>
  </si>
  <si>
    <t>6586</t>
  </si>
  <si>
    <t>VTE - PIECES R.O. INTERNE</t>
  </si>
  <si>
    <t>6587</t>
  </si>
  <si>
    <t>84715@</t>
  </si>
  <si>
    <t># DE VTE - PIECES R.O. INTERNE</t>
  </si>
  <si>
    <t>6593</t>
  </si>
  <si>
    <t>84716</t>
  </si>
  <si>
    <t>6594</t>
  </si>
  <si>
    <t>84717</t>
  </si>
  <si>
    <t>VTE - PIECES AUDI AVANTAGE / SERVICE +</t>
  </si>
  <si>
    <t>661</t>
  </si>
  <si>
    <t>84717@</t>
  </si>
  <si>
    <t># DE B.R. PIECES AVANTAGE / SERVICE +</t>
  </si>
  <si>
    <t>662</t>
  </si>
  <si>
    <t>84718</t>
  </si>
  <si>
    <t>VTE - PIECES RO CLIENT JOBBER</t>
  </si>
  <si>
    <t>664</t>
  </si>
  <si>
    <t>84721</t>
  </si>
  <si>
    <t>VTE - AUTOSTOCK</t>
  </si>
  <si>
    <t>667</t>
  </si>
  <si>
    <t>84721@</t>
  </si>
  <si>
    <t># DE VTE - AUTOSTOCK</t>
  </si>
  <si>
    <t>6703</t>
  </si>
  <si>
    <t>84731</t>
  </si>
  <si>
    <t>VTE - PIECES RECOND LAPRAIRIE</t>
  </si>
  <si>
    <t>6712</t>
  </si>
  <si>
    <t>84741</t>
  </si>
  <si>
    <t>VTE - PIECES CARROSS. CLIENT</t>
  </si>
  <si>
    <t>6714</t>
  </si>
  <si>
    <t>84741@</t>
  </si>
  <si>
    <t># DE VTE - PIECES CARROSS. CLIENT</t>
  </si>
  <si>
    <t>6721</t>
  </si>
  <si>
    <t>84743</t>
  </si>
  <si>
    <t>VTE - PIECES CARROSS. GARANTIE</t>
  </si>
  <si>
    <t>6722</t>
  </si>
  <si>
    <t>84743@</t>
  </si>
  <si>
    <t># DE VTE - PIECES CARROSS. GARANTIE</t>
  </si>
  <si>
    <t>6723</t>
  </si>
  <si>
    <t>84745</t>
  </si>
  <si>
    <t>VTE - PIECES CARROSS. INTERNE</t>
  </si>
  <si>
    <t>6724</t>
  </si>
  <si>
    <t>84745@</t>
  </si>
  <si>
    <t># DE VTE - PIECES CARROSS. INTERNE</t>
  </si>
  <si>
    <t>6729</t>
  </si>
  <si>
    <t>84771</t>
  </si>
  <si>
    <t>VTE - PIECES AUDI DETAIL</t>
  </si>
  <si>
    <t>6731</t>
  </si>
  <si>
    <t>84771@</t>
  </si>
  <si>
    <t># DE VTE - PIECES AUDI DETAIL</t>
  </si>
  <si>
    <t>6732</t>
  </si>
  <si>
    <t>84772</t>
  </si>
  <si>
    <t>VTE - BOUTIQUES</t>
  </si>
  <si>
    <t>6733</t>
  </si>
  <si>
    <t>84772@</t>
  </si>
  <si>
    <t># DE VTE - BOUTIQUES</t>
  </si>
  <si>
    <t>6739</t>
  </si>
  <si>
    <t>84773</t>
  </si>
  <si>
    <t>VTE - PIECES AUDI AU GROS</t>
  </si>
  <si>
    <t>ventes de gros</t>
  </si>
  <si>
    <t>6742</t>
  </si>
  <si>
    <t>84773@</t>
  </si>
  <si>
    <t># DE VTE - PIECES AUDI AU GROS</t>
  </si>
  <si>
    <t>6743</t>
  </si>
  <si>
    <t>84781</t>
  </si>
  <si>
    <t>VTE - AUDI PNEUS</t>
  </si>
  <si>
    <t>6744</t>
  </si>
  <si>
    <t>84781@</t>
  </si>
  <si>
    <t># DE VTE - AUDI PNEUS</t>
  </si>
  <si>
    <t>6745</t>
  </si>
  <si>
    <t>85106</t>
  </si>
  <si>
    <t>C/V - A3 SPORTBACK E-TRON</t>
  </si>
  <si>
    <t>6747</t>
  </si>
  <si>
    <t>85109</t>
  </si>
  <si>
    <t>6751</t>
  </si>
  <si>
    <t>85110</t>
  </si>
  <si>
    <t>C/V - RS5 SPORTBACK</t>
  </si>
  <si>
    <t>6752</t>
  </si>
  <si>
    <t>85112</t>
  </si>
  <si>
    <t>C/V - Q8</t>
  </si>
  <si>
    <t>6753</t>
  </si>
  <si>
    <t>85113</t>
  </si>
  <si>
    <t>C/V - E-TRON C-SUV</t>
  </si>
  <si>
    <t>6755</t>
  </si>
  <si>
    <t>85114</t>
  </si>
  <si>
    <t>C/V - A8 3.0 LWB</t>
  </si>
  <si>
    <t>6756</t>
  </si>
  <si>
    <t>85117</t>
  </si>
  <si>
    <t>C/V - Q3 2.0 TFSI QUATTRO</t>
  </si>
  <si>
    <t>6759</t>
  </si>
  <si>
    <t>85118</t>
  </si>
  <si>
    <t>C/V - E-TRON SPORTBACK</t>
  </si>
  <si>
    <t>6761</t>
  </si>
  <si>
    <t>85120</t>
  </si>
  <si>
    <t>C/V - A5 SPORTBACK</t>
  </si>
  <si>
    <t>6762</t>
  </si>
  <si>
    <t>85121</t>
  </si>
  <si>
    <t>C/V S5 SPORTBACK</t>
  </si>
  <si>
    <t>677</t>
  </si>
  <si>
    <t>85123</t>
  </si>
  <si>
    <t>C/V - RS3 BERLINE</t>
  </si>
  <si>
    <t>6781</t>
  </si>
  <si>
    <t>85124</t>
  </si>
  <si>
    <t>C/V - TTRS COUPE</t>
  </si>
  <si>
    <t>6782</t>
  </si>
  <si>
    <t>85140</t>
  </si>
  <si>
    <t>C/V - A3 2.0 TDI</t>
  </si>
  <si>
    <t>6786</t>
  </si>
  <si>
    <t>85141</t>
  </si>
  <si>
    <t>C/V - A3 2.0 TFSI</t>
  </si>
  <si>
    <t>6787</t>
  </si>
  <si>
    <t>85142</t>
  </si>
  <si>
    <t>C/V - RS5 CABRIOLET</t>
  </si>
  <si>
    <t>6793</t>
  </si>
  <si>
    <t>85143</t>
  </si>
  <si>
    <t>C/V - A4 2.0 TFSI BERLINE QUATTRO</t>
  </si>
  <si>
    <t>6794</t>
  </si>
  <si>
    <t>85144</t>
  </si>
  <si>
    <t>70</t>
  </si>
  <si>
    <t>85145</t>
  </si>
  <si>
    <t>C/V - RS5</t>
  </si>
  <si>
    <t>80</t>
  </si>
  <si>
    <t>85146</t>
  </si>
  <si>
    <t>C/V - A6 2.0 TFSI</t>
  </si>
  <si>
    <t>90</t>
  </si>
  <si>
    <t>85147</t>
  </si>
  <si>
    <t>C/V - S7</t>
  </si>
  <si>
    <t>9149</t>
  </si>
  <si>
    <t>85148</t>
  </si>
  <si>
    <t>C/V - Q5 3.0 TDI</t>
  </si>
  <si>
    <t>85149</t>
  </si>
  <si>
    <t>C/V - RS7</t>
  </si>
  <si>
    <t>9157</t>
  </si>
  <si>
    <t>85150</t>
  </si>
  <si>
    <t>C/V - A3 2.0 TFSI QUATTRO</t>
  </si>
  <si>
    <t>85151</t>
  </si>
  <si>
    <t>C/V - A4 AVANT 2.0 TFSI QUATTRO</t>
  </si>
  <si>
    <t>85152</t>
  </si>
  <si>
    <t>C/V - S5 CABRIOLET</t>
  </si>
  <si>
    <t>9165</t>
  </si>
  <si>
    <t>85153</t>
  </si>
  <si>
    <t>C/V - S4 BERLINE</t>
  </si>
  <si>
    <t>9167</t>
  </si>
  <si>
    <t>85154</t>
  </si>
  <si>
    <t>C/V - A8 3.0 TDI NWB &amp; LWB</t>
  </si>
  <si>
    <t>9169</t>
  </si>
  <si>
    <t>85155</t>
  </si>
  <si>
    <t>C/V - A3 2.0 FWD TFSI</t>
  </si>
  <si>
    <t>9170</t>
  </si>
  <si>
    <t>85156</t>
  </si>
  <si>
    <t>C/V - A8 4.0 TFSI NWB &amp; LWB</t>
  </si>
  <si>
    <t>9171</t>
  </si>
  <si>
    <t>85157</t>
  </si>
  <si>
    <t>C/V - Q3 2.0 TFSI FWD</t>
  </si>
  <si>
    <t>9172</t>
  </si>
  <si>
    <t>85158</t>
  </si>
  <si>
    <t>C/V - A6 3.0 TDI</t>
  </si>
  <si>
    <t>9173</t>
  </si>
  <si>
    <t>85159</t>
  </si>
  <si>
    <t>C/V - A7 3.0 TDI</t>
  </si>
  <si>
    <t>85160</t>
  </si>
  <si>
    <t>C/V - S6 TOUTES</t>
  </si>
  <si>
    <t>85161</t>
  </si>
  <si>
    <t>C/V - A5 2.0 TFSI CABRIOLET</t>
  </si>
  <si>
    <t>9403</t>
  </si>
  <si>
    <t>85162</t>
  </si>
  <si>
    <t>C/V - Q5 2.0 TFSI</t>
  </si>
  <si>
    <t>9404</t>
  </si>
  <si>
    <t>85163</t>
  </si>
  <si>
    <t>C/V - Q7 3.0 TFSI</t>
  </si>
  <si>
    <t>9406</t>
  </si>
  <si>
    <t>85164</t>
  </si>
  <si>
    <t>C/V - Q7 3.0 TFSI SPORT</t>
  </si>
  <si>
    <t>85165</t>
  </si>
  <si>
    <t>C/V - A8 NWB ALL</t>
  </si>
  <si>
    <t>85166</t>
  </si>
  <si>
    <t>C/V - A8 LWB</t>
  </si>
  <si>
    <t>85167</t>
  </si>
  <si>
    <t>C/V - S8 - TOUTES</t>
  </si>
  <si>
    <t>85168</t>
  </si>
  <si>
    <t>C/V - TT COUPE 2.0 TFSI</t>
  </si>
  <si>
    <t>85169</t>
  </si>
  <si>
    <t>C/V - TT ROADSTER 2.0 TSFI</t>
  </si>
  <si>
    <t>85170</t>
  </si>
  <si>
    <t>C/V - A8 W12 LWB</t>
  </si>
  <si>
    <t>85171</t>
  </si>
  <si>
    <t>C/V - R8 5.2 V10 PLUS</t>
  </si>
  <si>
    <t>85172</t>
  </si>
  <si>
    <t>C/V - R8 5.2 SPYDER</t>
  </si>
  <si>
    <t>85173</t>
  </si>
  <si>
    <t>C/V - A7 3.0 TFSI</t>
  </si>
  <si>
    <t>85174</t>
  </si>
  <si>
    <t>C/V - A5 2.0 TSFI COUPE</t>
  </si>
  <si>
    <t>85175</t>
  </si>
  <si>
    <t>C/V - R8 GT</t>
  </si>
  <si>
    <t>85176</t>
  </si>
  <si>
    <t>C/V - S5 COUPE</t>
  </si>
  <si>
    <t>85177</t>
  </si>
  <si>
    <t>C/V - SQ5</t>
  </si>
  <si>
    <t>85178</t>
  </si>
  <si>
    <t>C/V - Q5 3.0 TFSI</t>
  </si>
  <si>
    <t>85179</t>
  </si>
  <si>
    <t>C/V - Q5 2.0 TFSI HYBRIDE</t>
  </si>
  <si>
    <t>85180</t>
  </si>
  <si>
    <t>C/V - A6 3.0 TFSI</t>
  </si>
  <si>
    <t>85182</t>
  </si>
  <si>
    <t>C/V - AUDI CARE - AUDI NEUF</t>
  </si>
  <si>
    <t>85183</t>
  </si>
  <si>
    <t>C/V - TT S COUPE</t>
  </si>
  <si>
    <t>85184</t>
  </si>
  <si>
    <t>C/V - TT S ROADSTER</t>
  </si>
  <si>
    <t>85186</t>
  </si>
  <si>
    <t>C/V - S3 2.0 TFSI</t>
  </si>
  <si>
    <t>85187</t>
  </si>
  <si>
    <t>C/V - AUDI NEUVE FLOTTE</t>
  </si>
  <si>
    <t>85188</t>
  </si>
  <si>
    <t>C/V - DEMO AUTO NEUVE</t>
  </si>
  <si>
    <t>85189</t>
  </si>
  <si>
    <t>C/V - DEMO CAMION NEUF</t>
  </si>
  <si>
    <t>85190</t>
  </si>
  <si>
    <t>C/V - Q7 3.0 TDI</t>
  </si>
  <si>
    <t>85192</t>
  </si>
  <si>
    <t>C/V - R8 4.2</t>
  </si>
  <si>
    <t>85194</t>
  </si>
  <si>
    <t>C/V - R8 5.2 FST COUP SPYDER V10 PERFORMENCE</t>
  </si>
  <si>
    <t>85197</t>
  </si>
  <si>
    <t>C/V - A3 2.0 TFSI CABRIO</t>
  </si>
  <si>
    <t>85199</t>
  </si>
  <si>
    <t>C/V - Q7 2.0 TFSI</t>
  </si>
  <si>
    <t>85250</t>
  </si>
  <si>
    <t>C/V - AUDI USAGE CERTIFIE</t>
  </si>
  <si>
    <t>85285</t>
  </si>
  <si>
    <t>C/V - USAGE AUTRES MARQUES</t>
  </si>
  <si>
    <t>85286</t>
  </si>
  <si>
    <t>C/V - AUTRES MARQUES REMISE A NEUF DETAIL</t>
  </si>
  <si>
    <t>85289</t>
  </si>
  <si>
    <t>C/V - AUDI CARE - AUDI USAGE</t>
  </si>
  <si>
    <t>85291</t>
  </si>
  <si>
    <t>C/V - AUDI USAGE AU GROS</t>
  </si>
  <si>
    <t>85293</t>
  </si>
  <si>
    <t>C/V - VENTES AU GROS - AUTRES MARQUES</t>
  </si>
  <si>
    <t>85301</t>
  </si>
  <si>
    <t>C/V - A3 AUDI CERTIFIE</t>
  </si>
  <si>
    <t>85302</t>
  </si>
  <si>
    <t>C/V - A3 AUDI CERTIFIE REMISE A NEUF</t>
  </si>
  <si>
    <t>85303</t>
  </si>
  <si>
    <t>C/V - A4 AUDI CERTIFIE</t>
  </si>
  <si>
    <t>85304</t>
  </si>
  <si>
    <t>C/V - A4 AUDI CERTIFIE REMISE A NEUF</t>
  </si>
  <si>
    <t>85307</t>
  </si>
  <si>
    <t>C/V - A6 AUDI CERTIFIE</t>
  </si>
  <si>
    <t>85308</t>
  </si>
  <si>
    <t>C/V - A6 AUDI CERTIFIE REMISE A NEUF</t>
  </si>
  <si>
    <t>85315</t>
  </si>
  <si>
    <t>C/V - TT AUDI CERTIFIE</t>
  </si>
  <si>
    <t>85316</t>
  </si>
  <si>
    <t>C/V - TT AUDI CERTIFIE REMISE A NEUF</t>
  </si>
  <si>
    <t>85317</t>
  </si>
  <si>
    <t>C/V - AUTRE AUDI CERTIFIE</t>
  </si>
  <si>
    <t>85318</t>
  </si>
  <si>
    <t>C/V - AUTRE AUDI CERTIFIE REMISE A NEUF</t>
  </si>
  <si>
    <t>85350</t>
  </si>
  <si>
    <t>C/V - AUDI USED CERTIFIE RECOND.</t>
  </si>
  <si>
    <t>85351</t>
  </si>
  <si>
    <t>C/V - A3 USAGEE DETAIL</t>
  </si>
  <si>
    <t>85352</t>
  </si>
  <si>
    <t>C/V - A3 USAGEE DETAIL REMISE A NEUF</t>
  </si>
  <si>
    <t>85353</t>
  </si>
  <si>
    <t>C/V - A4 USAGEE DETAIL</t>
  </si>
  <si>
    <t>85354</t>
  </si>
  <si>
    <t>C/V - A4 USAGEE DETAIL REMISE A NEUF</t>
  </si>
  <si>
    <t>85357</t>
  </si>
  <si>
    <t>C/V - A6 USAGEE DETAIL</t>
  </si>
  <si>
    <t>85358</t>
  </si>
  <si>
    <t>C/V - A6 USAGEE DETAIL REMISE A NEUF</t>
  </si>
  <si>
    <t>85365</t>
  </si>
  <si>
    <t>C/V - TT USAGEE DETAIL</t>
  </si>
  <si>
    <t>85366</t>
  </si>
  <si>
    <t>C/V - TT USAGEE DETAIL REMISE A NEUF</t>
  </si>
  <si>
    <t>85367</t>
  </si>
  <si>
    <t>C/V - AUTRE AUDI USAGEE DETAIL</t>
  </si>
  <si>
    <t>85368</t>
  </si>
  <si>
    <t>C/V - AUTRE USAGEE AUDI DETAIL REMISE A NEUF</t>
  </si>
  <si>
    <t>85411</t>
  </si>
  <si>
    <t>C/V - AUDI M.O. CLIENT</t>
  </si>
  <si>
    <t>85412</t>
  </si>
  <si>
    <t>C/V - AUDI ESTHETIQUE CLIENT</t>
  </si>
  <si>
    <t>85413</t>
  </si>
  <si>
    <t>C/V - AUDI M.O. GARANTIE</t>
  </si>
  <si>
    <t>85415</t>
  </si>
  <si>
    <t>C/V - AUDI M.O. INTERNE.</t>
  </si>
  <si>
    <t>85416</t>
  </si>
  <si>
    <t>C/V - AUDI TEMPS MORT M.O.</t>
  </si>
  <si>
    <t>85417</t>
  </si>
  <si>
    <t>C/V - M.O. MEC. - AVANTAGE AUDI SERVICE +</t>
  </si>
  <si>
    <t>85431</t>
  </si>
  <si>
    <t>C/V - RECOND LAPRAIRIE</t>
  </si>
  <si>
    <t>85451</t>
  </si>
  <si>
    <t>C/V - AUDI HUILE ET GRAISSE</t>
  </si>
  <si>
    <t>85461</t>
  </si>
  <si>
    <t>C/V - MATERIEL ATELIER LAPRAIRIE</t>
  </si>
  <si>
    <t>85491</t>
  </si>
  <si>
    <t>C/V - AUDI SOUS-TRAIT. CLIENT</t>
  </si>
  <si>
    <t>85493</t>
  </si>
  <si>
    <t>C/V - AUDI SOUS-TRAIT. GARANTIE</t>
  </si>
  <si>
    <t>85495</t>
  </si>
  <si>
    <t>C/V - AUDI SOUS-TRAIT. INTERNE</t>
  </si>
  <si>
    <t>85591</t>
  </si>
  <si>
    <t>C/V - S-TRAIT. CARROSS. CLIENT</t>
  </si>
  <si>
    <t>85593</t>
  </si>
  <si>
    <t>C/V - S-TRAIT. CARROSS. GARANTIE</t>
  </si>
  <si>
    <t>85595</t>
  </si>
  <si>
    <t>C/V - S-TRAIT. CARROSS. INTERNE</t>
  </si>
  <si>
    <t>85600</t>
  </si>
  <si>
    <t>C/V - A3 S3 RS3 CERTIFIE</t>
  </si>
  <si>
    <t>85601</t>
  </si>
  <si>
    <t>C/V - A4 S4 CERTIFIE</t>
  </si>
  <si>
    <t>85602</t>
  </si>
  <si>
    <t>C/V - Q3 CERTIFIE</t>
  </si>
  <si>
    <t>85603</t>
  </si>
  <si>
    <t>C/V - ALLROAD CERTIFIE</t>
  </si>
  <si>
    <t>85604</t>
  </si>
  <si>
    <t>C/V - A5 S5 RS5 CAB CERTIFIE</t>
  </si>
  <si>
    <t>85605</t>
  </si>
  <si>
    <t>C/V - A5 S5 RS5 COUPE CERTIFIE</t>
  </si>
  <si>
    <t>85606</t>
  </si>
  <si>
    <t>C/V - A5 S5 SPORTBACK CERTIFIE</t>
  </si>
  <si>
    <t>85607</t>
  </si>
  <si>
    <t>C/V - Q5 SQ5 CERTIFIE</t>
  </si>
  <si>
    <t>85608</t>
  </si>
  <si>
    <t>C/V - A6/ S6/ A6 ALLROAD CERTIFIE</t>
  </si>
  <si>
    <t>85609</t>
  </si>
  <si>
    <t>C/V - A7 S7 RS7 CERTIFIE</t>
  </si>
  <si>
    <t>85610</t>
  </si>
  <si>
    <t>C/V - Q7 CERTIFIE</t>
  </si>
  <si>
    <t>85611</t>
  </si>
  <si>
    <t>C/V - A8 S8 CERTIFIE</t>
  </si>
  <si>
    <t>85613</t>
  </si>
  <si>
    <t>C/V - R8 SPYDER CERTIFIE</t>
  </si>
  <si>
    <t>85614</t>
  </si>
  <si>
    <t>C/V - TT TTS TTRS COUPE CERTIFIE</t>
  </si>
  <si>
    <t>85615</t>
  </si>
  <si>
    <t>C/V - TT TTS TTRS ROADSTER CERTIFIE</t>
  </si>
  <si>
    <t>85616</t>
  </si>
  <si>
    <t>C/V - AUDI AUTRE CERTIFIE</t>
  </si>
  <si>
    <t>85620</t>
  </si>
  <si>
    <t>C/V - A3 S3 RS3 NON-CERT</t>
  </si>
  <si>
    <t>85621</t>
  </si>
  <si>
    <t>C/V - A4 S4 NON-CERT</t>
  </si>
  <si>
    <t>85622</t>
  </si>
  <si>
    <t>C/V - Q3 NON-CERT</t>
  </si>
  <si>
    <t>85623</t>
  </si>
  <si>
    <t>C/V - ALLROAD NON-CERT</t>
  </si>
  <si>
    <t>85624</t>
  </si>
  <si>
    <t>C/V - A5 S5 RS5 CABRIOLET NON-CERT</t>
  </si>
  <si>
    <t>85625</t>
  </si>
  <si>
    <t>C/V - A5 S5 RS5 COUPE NON-CERT</t>
  </si>
  <si>
    <t>85626</t>
  </si>
  <si>
    <t>C/V - A5 S5 SPORTBACK NON-CERT</t>
  </si>
  <si>
    <t>85627</t>
  </si>
  <si>
    <t>C/V - Q5 SQ5 NON-CERT</t>
  </si>
  <si>
    <t>85629</t>
  </si>
  <si>
    <t>C/V - A7 S7 RS7 NON-CERT</t>
  </si>
  <si>
    <t>85630</t>
  </si>
  <si>
    <t>C/V - Q7 NON-CERT</t>
  </si>
  <si>
    <t>85634</t>
  </si>
  <si>
    <t>C/V - TT TTS TTRS COUPE NON-CERT</t>
  </si>
  <si>
    <t>85635</t>
  </si>
  <si>
    <t>C/V - TT TTS TTRS ROADSTER NON-CERT</t>
  </si>
  <si>
    <t>85636</t>
  </si>
  <si>
    <t>C/V - AUDI AUTRE NON-CERT</t>
  </si>
  <si>
    <t>85642</t>
  </si>
  <si>
    <t>C/V - A4 / S4 / A4 ALLROAD CERTIFIE</t>
  </si>
  <si>
    <t>85643</t>
  </si>
  <si>
    <t>C/V - E-TRON SPORTBACK CERTIFIE</t>
  </si>
  <si>
    <t>85653</t>
  </si>
  <si>
    <t>C/V - E-TRON SPORTBACK NON CERTIFIE</t>
  </si>
  <si>
    <t>85711</t>
  </si>
  <si>
    <t>C/V - PIECES R.O. CLIENT</t>
  </si>
  <si>
    <t>85712</t>
  </si>
  <si>
    <t>C/V - FOURNITURE ATELIER</t>
  </si>
  <si>
    <t>85713</t>
  </si>
  <si>
    <t>C/V - PIECES R.O. GARANTIE</t>
  </si>
  <si>
    <t>85714</t>
  </si>
  <si>
    <t>85715</t>
  </si>
  <si>
    <t>C/V - PIECES R.O. INTERNE</t>
  </si>
  <si>
    <t>85716</t>
  </si>
  <si>
    <t>85717</t>
  </si>
  <si>
    <t>C/V - PIECES AUDI AVANTAGE / SERVICE +</t>
  </si>
  <si>
    <t>85718</t>
  </si>
  <si>
    <t>C/V - PIECES RO CLIENT JOBBER</t>
  </si>
  <si>
    <t>85721</t>
  </si>
  <si>
    <t>C/V - AUTOSTOCK</t>
  </si>
  <si>
    <t>85731</t>
  </si>
  <si>
    <t>85741</t>
  </si>
  <si>
    <t>C/V - PIECES CARROSS. CLIENT</t>
  </si>
  <si>
    <t>85743</t>
  </si>
  <si>
    <t>C/V - PIECES CARROSS. GARANTIE</t>
  </si>
  <si>
    <t>85745</t>
  </si>
  <si>
    <t>C/V - PIECES CARROSS. INTERNE</t>
  </si>
  <si>
    <t>85771</t>
  </si>
  <si>
    <t>C/V - PIECES AUDI DETAIL</t>
  </si>
  <si>
    <t>85772</t>
  </si>
  <si>
    <t>C/V - BOUTIQUES</t>
  </si>
  <si>
    <t>85773</t>
  </si>
  <si>
    <t>C/V - PIECES AUDI AU GROS</t>
  </si>
  <si>
    <t>85781</t>
  </si>
  <si>
    <t>C/V - AUDI PNEUS</t>
  </si>
  <si>
    <t>85792</t>
  </si>
  <si>
    <t>C/V - AUDI AJUST. INVENTAIRE PIECES</t>
  </si>
  <si>
    <t>85796</t>
  </si>
  <si>
    <t>C/V - ESCOMPTE PIECES AUDI</t>
  </si>
  <si>
    <t>85800</t>
  </si>
  <si>
    <t>85801</t>
  </si>
  <si>
    <t>85802</t>
  </si>
  <si>
    <t>85803</t>
  </si>
  <si>
    <t>85804</t>
  </si>
  <si>
    <t>85805</t>
  </si>
  <si>
    <t>85806</t>
  </si>
  <si>
    <t>85807</t>
  </si>
  <si>
    <t>85808</t>
  </si>
  <si>
    <t>85809</t>
  </si>
  <si>
    <t>85810</t>
  </si>
  <si>
    <t>85811</t>
  </si>
  <si>
    <t>85813</t>
  </si>
  <si>
    <t>85814</t>
  </si>
  <si>
    <t>85815</t>
  </si>
  <si>
    <t>85827</t>
  </si>
  <si>
    <t>85828</t>
  </si>
  <si>
    <t>C/V - A6/ S6/ A6 ALLRAOD  NON-CERT</t>
  </si>
  <si>
    <t>85832</t>
  </si>
  <si>
    <t>C/V - R8 COUPE NON-CERT</t>
  </si>
  <si>
    <t>85842</t>
  </si>
  <si>
    <t>C/V - A4 / S4 / A4 ALLROAD</t>
  </si>
  <si>
    <t>85843</t>
  </si>
  <si>
    <t>85852</t>
  </si>
  <si>
    <t>C/V - A4 /S4 /A4 ALLROAD NON CERTIFIE</t>
  </si>
  <si>
    <t>85853</t>
  </si>
  <si>
    <t>86101</t>
  </si>
  <si>
    <t>86102</t>
  </si>
  <si>
    <t>86103</t>
  </si>
  <si>
    <t>86106</t>
  </si>
  <si>
    <t>ENTRETIEN DES STOCK</t>
  </si>
  <si>
    <t>86107</t>
  </si>
  <si>
    <t>86108</t>
  </si>
  <si>
    <t>86114</t>
  </si>
  <si>
    <t>86115</t>
  </si>
  <si>
    <t>CREDIT PUB VENTE NEUF</t>
  </si>
  <si>
    <t>86116</t>
  </si>
  <si>
    <t>REMBOURSEMENT PUBLICITE - NEUFS AUDI</t>
  </si>
  <si>
    <t>86121</t>
  </si>
  <si>
    <t>86122</t>
  </si>
  <si>
    <t>SALAIRE SUPERVISION</t>
  </si>
  <si>
    <t>86123</t>
  </si>
  <si>
    <t>86124</t>
  </si>
  <si>
    <t>86129</t>
  </si>
  <si>
    <t>86131</t>
  </si>
  <si>
    <t>86132</t>
  </si>
  <si>
    <t>86139</t>
  </si>
  <si>
    <t>86142</t>
  </si>
  <si>
    <t>86143</t>
  </si>
  <si>
    <t>86144</t>
  </si>
  <si>
    <t>86145</t>
  </si>
  <si>
    <t>86147</t>
  </si>
  <si>
    <t>86151</t>
  </si>
  <si>
    <t>86152</t>
  </si>
  <si>
    <t>86153</t>
  </si>
  <si>
    <t>86155</t>
  </si>
  <si>
    <t>86156</t>
  </si>
  <si>
    <t>86159</t>
  </si>
  <si>
    <t>86161</t>
  </si>
  <si>
    <t>86162</t>
  </si>
  <si>
    <t>86181</t>
  </si>
  <si>
    <t>86182</t>
  </si>
  <si>
    <t>86186</t>
  </si>
  <si>
    <t>86187</t>
  </si>
  <si>
    <t>86189</t>
  </si>
  <si>
    <t>TAXE CAPITAL NEUF</t>
  </si>
  <si>
    <t>86193</t>
  </si>
  <si>
    <t>86194</t>
  </si>
  <si>
    <t>86195</t>
  </si>
  <si>
    <t>86201</t>
  </si>
  <si>
    <t>86202</t>
  </si>
  <si>
    <t>86203</t>
  </si>
  <si>
    <t>86206</t>
  </si>
  <si>
    <t>86207</t>
  </si>
  <si>
    <t>86208</t>
  </si>
  <si>
    <t>86214</t>
  </si>
  <si>
    <t>86215</t>
  </si>
  <si>
    <t>CREDIT PUB VENTE USED</t>
  </si>
  <si>
    <t>86221</t>
  </si>
  <si>
    <t>86222</t>
  </si>
  <si>
    <t>86223</t>
  </si>
  <si>
    <t>86224</t>
  </si>
  <si>
    <t>86229</t>
  </si>
  <si>
    <t>86231</t>
  </si>
  <si>
    <t>86232</t>
  </si>
  <si>
    <t>86239</t>
  </si>
  <si>
    <t>86242</t>
  </si>
  <si>
    <t>86243</t>
  </si>
  <si>
    <t>86244</t>
  </si>
  <si>
    <t>86245</t>
  </si>
  <si>
    <t>86247</t>
  </si>
  <si>
    <t>86251</t>
  </si>
  <si>
    <t>86252</t>
  </si>
  <si>
    <t>86253</t>
  </si>
  <si>
    <t>86255</t>
  </si>
  <si>
    <t>véhicules usagés</t>
  </si>
  <si>
    <t>86256</t>
  </si>
  <si>
    <t>86259</t>
  </si>
  <si>
    <t>86261</t>
  </si>
  <si>
    <t>86262</t>
  </si>
  <si>
    <t>86281</t>
  </si>
  <si>
    <t>86282</t>
  </si>
  <si>
    <t>86286</t>
  </si>
  <si>
    <t>86287</t>
  </si>
  <si>
    <t>86289</t>
  </si>
  <si>
    <t>TAXE CAPITAL USAGE</t>
  </si>
  <si>
    <t>86293</t>
  </si>
  <si>
    <t>86294</t>
  </si>
  <si>
    <t>86295</t>
  </si>
  <si>
    <t>86403</t>
  </si>
  <si>
    <t>86412</t>
  </si>
  <si>
    <t>86414</t>
  </si>
  <si>
    <t>86421</t>
  </si>
  <si>
    <t>86422</t>
  </si>
  <si>
    <t>86423</t>
  </si>
  <si>
    <t>86424</t>
  </si>
  <si>
    <t>86425</t>
  </si>
  <si>
    <t>86429</t>
  </si>
  <si>
    <t>86431</t>
  </si>
  <si>
    <t>86432</t>
  </si>
  <si>
    <t>86433</t>
  </si>
  <si>
    <t>86439</t>
  </si>
  <si>
    <t>86441</t>
  </si>
  <si>
    <t>86442</t>
  </si>
  <si>
    <t>86443</t>
  </si>
  <si>
    <t>86444</t>
  </si>
  <si>
    <t>86445</t>
  </si>
  <si>
    <t>86447</t>
  </si>
  <si>
    <t>86451</t>
  </si>
  <si>
    <t>86452</t>
  </si>
  <si>
    <t>86453</t>
  </si>
  <si>
    <t>86455</t>
  </si>
  <si>
    <t>86456</t>
  </si>
  <si>
    <t>86459</t>
  </si>
  <si>
    <t>86461</t>
  </si>
  <si>
    <t>86462</t>
  </si>
  <si>
    <t>86463</t>
  </si>
  <si>
    <t>86481</t>
  </si>
  <si>
    <t>86482</t>
  </si>
  <si>
    <t>86486</t>
  </si>
  <si>
    <t>86487</t>
  </si>
  <si>
    <t>86489</t>
  </si>
  <si>
    <t>TAXE CAPITAL SERVICE</t>
  </si>
  <si>
    <t>86493</t>
  </si>
  <si>
    <t>86494</t>
  </si>
  <si>
    <t>86495</t>
  </si>
  <si>
    <t>86503</t>
  </si>
  <si>
    <t>86512</t>
  </si>
  <si>
    <t>86521</t>
  </si>
  <si>
    <t>86522</t>
  </si>
  <si>
    <t>86523</t>
  </si>
  <si>
    <t>86524</t>
  </si>
  <si>
    <t>86525</t>
  </si>
  <si>
    <t>86529</t>
  </si>
  <si>
    <t>86531</t>
  </si>
  <si>
    <t>86532</t>
  </si>
  <si>
    <t>86539</t>
  </si>
  <si>
    <t>86541</t>
  </si>
  <si>
    <t>86542</t>
  </si>
  <si>
    <t>86543</t>
  </si>
  <si>
    <t>86544</t>
  </si>
  <si>
    <t>86545</t>
  </si>
  <si>
    <t>86547</t>
  </si>
  <si>
    <t>86551</t>
  </si>
  <si>
    <t>86552</t>
  </si>
  <si>
    <t>86553</t>
  </si>
  <si>
    <t>86555</t>
  </si>
  <si>
    <t>86556</t>
  </si>
  <si>
    <t>86559</t>
  </si>
  <si>
    <t>86561</t>
  </si>
  <si>
    <t>86562</t>
  </si>
  <si>
    <t>86581</t>
  </si>
  <si>
    <t>86582</t>
  </si>
  <si>
    <t>86586</t>
  </si>
  <si>
    <t>86587</t>
  </si>
  <si>
    <t>86589</t>
  </si>
  <si>
    <t>TAXE CAPITAL CARROSSERIE</t>
  </si>
  <si>
    <t>86593</t>
  </si>
  <si>
    <t>86594</t>
  </si>
  <si>
    <t>86595</t>
  </si>
  <si>
    <t>86703</t>
  </si>
  <si>
    <t>86712</t>
  </si>
  <si>
    <t>86714</t>
  </si>
  <si>
    <t>86721</t>
  </si>
  <si>
    <t>86722</t>
  </si>
  <si>
    <t>86723</t>
  </si>
  <si>
    <t>86724</t>
  </si>
  <si>
    <t>86729</t>
  </si>
  <si>
    <t>86731</t>
  </si>
  <si>
    <t>86732</t>
  </si>
  <si>
    <t>86733</t>
  </si>
  <si>
    <t>86739</t>
  </si>
  <si>
    <t>86742</t>
  </si>
  <si>
    <t>86743</t>
  </si>
  <si>
    <t>86744</t>
  </si>
  <si>
    <t>86745</t>
  </si>
  <si>
    <t>86747</t>
  </si>
  <si>
    <t>86751</t>
  </si>
  <si>
    <t>86752</t>
  </si>
  <si>
    <t>86753</t>
  </si>
  <si>
    <t>86755</t>
  </si>
  <si>
    <t>86756</t>
  </si>
  <si>
    <t>86759</t>
  </si>
  <si>
    <t>86761</t>
  </si>
  <si>
    <t>86762</t>
  </si>
  <si>
    <t>86781</t>
  </si>
  <si>
    <t>86782</t>
  </si>
  <si>
    <t>86786</t>
  </si>
  <si>
    <t>86787</t>
  </si>
  <si>
    <t>86789</t>
  </si>
  <si>
    <t>TAXE CAPITAL PIECES</t>
  </si>
  <si>
    <t>86793</t>
  </si>
  <si>
    <t>86794</t>
  </si>
  <si>
    <t>86795</t>
  </si>
  <si>
    <t>89101</t>
  </si>
  <si>
    <t>AUDI INTERETS GAGNES</t>
  </si>
  <si>
    <t>89131</t>
  </si>
  <si>
    <t>AUDI ESCOMPTE GANEE</t>
  </si>
  <si>
    <t>89144</t>
  </si>
  <si>
    <t>AUTRE REVENU AUDI SPORT</t>
  </si>
  <si>
    <t>Revenus Autres</t>
  </si>
  <si>
    <t>89145</t>
  </si>
  <si>
    <t>AUDI BONUS PERFORMANCE VARIABLE (TOT)</t>
  </si>
  <si>
    <t>89147</t>
  </si>
  <si>
    <t>REVENU RESERVE AUDI</t>
  </si>
  <si>
    <t>89148</t>
  </si>
  <si>
    <t>REV. SOUTIEN FINANCIER BBP</t>
  </si>
  <si>
    <t>89160</t>
  </si>
  <si>
    <t>REV FINANCE AUDI NEUF</t>
  </si>
  <si>
    <t>89161</t>
  </si>
  <si>
    <t>REV FINANCE VEH NEUF AUTRES MARQUES</t>
  </si>
  <si>
    <t>89161@</t>
  </si>
  <si>
    <t>REV FINANCE VEH NEUF AUTRE MARQUE</t>
  </si>
  <si>
    <t>89163</t>
  </si>
  <si>
    <t>REV. FINANCE VEH. USAGE</t>
  </si>
  <si>
    <t>89163@</t>
  </si>
  <si>
    <t># DE REV. FINANCE VEH. USAGE</t>
  </si>
  <si>
    <t>89164</t>
  </si>
  <si>
    <t>REVENU FINANCE USAGEE DETAIL</t>
  </si>
  <si>
    <t>89165</t>
  </si>
  <si>
    <t>REV. ASSURANCE NEUF AUDI</t>
  </si>
  <si>
    <t>89165@</t>
  </si>
  <si>
    <t># DE REV. ASSURANCE NEUF AUDI</t>
  </si>
  <si>
    <t>89167</t>
  </si>
  <si>
    <t>REV. ASSURANCE VEH. USAGE</t>
  </si>
  <si>
    <t>89167@</t>
  </si>
  <si>
    <t># DE REV. ASSURANCE VEH. USAGE</t>
  </si>
  <si>
    <t>89169</t>
  </si>
  <si>
    <t>GAR. PROLONGEE NEUF AUDI</t>
  </si>
  <si>
    <t>89169@</t>
  </si>
  <si>
    <t># DE GAR. PROLONGEE NEUF AUDI</t>
  </si>
  <si>
    <t>89170</t>
  </si>
  <si>
    <t>REV. PROTECTIONS NEUF AUDI</t>
  </si>
  <si>
    <t>89170@</t>
  </si>
  <si>
    <t># DE REV. PROTECTIONS NEUF AUDI</t>
  </si>
  <si>
    <t>89171</t>
  </si>
  <si>
    <t>GAR. PROLONGEE VEH. USAGE</t>
  </si>
  <si>
    <t>89171@</t>
  </si>
  <si>
    <t># DE GAR. PROLONGEE VEH. USAGE</t>
  </si>
  <si>
    <t>89172</t>
  </si>
  <si>
    <t>REV. PROTECTION USED CPO</t>
  </si>
  <si>
    <t>89172@</t>
  </si>
  <si>
    <t># DE REV. PROTECTIONS VEH. USAGE</t>
  </si>
  <si>
    <t>89173</t>
  </si>
  <si>
    <t>FRAIS ADMIN. AUDI</t>
  </si>
  <si>
    <t>89191</t>
  </si>
  <si>
    <t>AUTRES REVENUS AUDI</t>
  </si>
  <si>
    <t>89402</t>
  </si>
  <si>
    <t>DEPENSES D'INTERETS</t>
  </si>
  <si>
    <t>89403</t>
  </si>
  <si>
    <t>INTERET SUR MARGE</t>
  </si>
  <si>
    <t>89404</t>
  </si>
  <si>
    <t>89406</t>
  </si>
  <si>
    <t>TOTAL DES REVENUS ET DÉPENSES</t>
  </si>
  <si>
    <t>ÉCART réel / Budget</t>
  </si>
  <si>
    <t>$PROFFTS</t>
  </si>
  <si>
    <t>ECART (réel/ Ann.Préc.)</t>
  </si>
  <si>
    <t>Intérêts à payer</t>
  </si>
  <si>
    <t>Frais banque à payer</t>
  </si>
  <si>
    <t>Mauvaise créances usagé</t>
  </si>
  <si>
    <t>Mauvaise créances Carrosse</t>
  </si>
  <si>
    <t>Pacing du 30</t>
  </si>
  <si>
    <t>UNITÉS</t>
  </si>
  <si>
    <t>Plus de 90 jrs</t>
  </si>
  <si>
    <t>Avances Complexe</t>
  </si>
  <si>
    <t>Avances GPA</t>
  </si>
  <si>
    <t>1</t>
  </si>
  <si>
    <t>23</t>
  </si>
  <si>
    <t>24</t>
  </si>
  <si>
    <t>31</t>
  </si>
  <si>
    <t>35</t>
  </si>
  <si>
    <t>36</t>
  </si>
  <si>
    <t>37</t>
  </si>
  <si>
    <t>42</t>
  </si>
  <si>
    <t>54</t>
  </si>
  <si>
    <t>61</t>
  </si>
  <si>
    <t>64</t>
  </si>
  <si>
    <t>67</t>
  </si>
  <si>
    <t>4503</t>
  </si>
  <si>
    <t>AVANCES COMPLEXE INTERCO</t>
  </si>
  <si>
    <t>FUTA ASSURANCE EMPLOYE</t>
  </si>
  <si>
    <t>2305</t>
  </si>
  <si>
    <t>FUTA Assurances Employés</t>
  </si>
  <si>
    <t>675</t>
  </si>
  <si>
    <t>2015</t>
  </si>
  <si>
    <t>230251A</t>
  </si>
  <si>
    <t>WVWPR7AU0LW907198</t>
  </si>
  <si>
    <t>Plus de 180 jrs</t>
  </si>
  <si>
    <t>1360</t>
  </si>
  <si>
    <t>VENTES PEINTURE</t>
  </si>
  <si>
    <t>9169@</t>
  </si>
  <si>
    <t># DE PROFIT PROTECTIONS - NEUFS</t>
  </si>
  <si>
    <t>9170@</t>
  </si>
  <si>
    <t>4121</t>
  </si>
  <si>
    <t>AMELIOR. LOCATIVES CPO</t>
  </si>
  <si>
    <t>AUDI</t>
  </si>
  <si>
    <t>120</t>
  </si>
  <si>
    <t>412</t>
  </si>
  <si>
    <t>432</t>
  </si>
  <si>
    <t>564</t>
  </si>
  <si>
    <t>1103</t>
  </si>
  <si>
    <t>1104</t>
  </si>
  <si>
    <t>1105</t>
  </si>
  <si>
    <t>1107</t>
  </si>
  <si>
    <t>1111</t>
  </si>
  <si>
    <t>1188</t>
  </si>
  <si>
    <t>1189</t>
  </si>
  <si>
    <t>1306</t>
  </si>
  <si>
    <t>1307</t>
  </si>
  <si>
    <t>1362</t>
  </si>
  <si>
    <t>1433</t>
  </si>
  <si>
    <t>1448</t>
  </si>
  <si>
    <t>1496</t>
  </si>
  <si>
    <t>1524</t>
  </si>
  <si>
    <t>1553</t>
  </si>
  <si>
    <t>1591</t>
  </si>
  <si>
    <t>1734</t>
  </si>
  <si>
    <t>1805</t>
  </si>
  <si>
    <t>2105</t>
  </si>
  <si>
    <t>2113</t>
  </si>
  <si>
    <t>2294</t>
  </si>
  <si>
    <t>2296</t>
  </si>
  <si>
    <t>2502</t>
  </si>
  <si>
    <t>2562</t>
  </si>
  <si>
    <t>4118</t>
  </si>
  <si>
    <t>4144</t>
  </si>
  <si>
    <t>4200</t>
  </si>
  <si>
    <t>4715</t>
  </si>
  <si>
    <t>5118</t>
  </si>
  <si>
    <t>5121</t>
  </si>
  <si>
    <t>5144</t>
  </si>
  <si>
    <t>5715</t>
  </si>
  <si>
    <t>6157</t>
  </si>
  <si>
    <t>6195</t>
  </si>
  <si>
    <t>6233</t>
  </si>
  <si>
    <t>6257</t>
  </si>
  <si>
    <t>6295</t>
  </si>
  <si>
    <t>6296</t>
  </si>
  <si>
    <t>6457</t>
  </si>
  <si>
    <t>6495</t>
  </si>
  <si>
    <t>6496</t>
  </si>
  <si>
    <t>6533</t>
  </si>
  <si>
    <t>6557</t>
  </si>
  <si>
    <t>6595</t>
  </si>
  <si>
    <t>6596</t>
  </si>
  <si>
    <t>6757</t>
  </si>
  <si>
    <t>6795</t>
  </si>
  <si>
    <t>9143</t>
  </si>
  <si>
    <t>9174</t>
  </si>
  <si>
    <t>9192</t>
  </si>
  <si>
    <t>PROJET VOLKS - RENOVATION</t>
  </si>
  <si>
    <t>1740</t>
  </si>
  <si>
    <t>BEETLE CONVERTI</t>
  </si>
  <si>
    <t>5407P</t>
  </si>
  <si>
    <t>GMC</t>
  </si>
  <si>
    <t>1GTW7BFP1K1340423</t>
  </si>
  <si>
    <t>CUC/Mémo solde début</t>
  </si>
  <si>
    <t>CUC/Mémo solde actuel</t>
  </si>
  <si>
    <t>CUC/Mémo solde fin</t>
  </si>
  <si>
    <t>BONUS EXPERIENCE + - NV</t>
  </si>
  <si>
    <t>915</t>
  </si>
  <si>
    <t>4704</t>
  </si>
  <si>
    <t>5704</t>
  </si>
  <si>
    <t>230425A</t>
  </si>
  <si>
    <t>1V2LC2CAXMC211536</t>
  </si>
  <si>
    <t>230365A</t>
  </si>
  <si>
    <t>3VW5DAAT2JM518129</t>
  </si>
  <si>
    <t>"Pacing" du 30</t>
  </si>
  <si>
    <t>VTE - M.O. MECANIQUE INTERNE AUDI</t>
  </si>
  <si>
    <t>4415</t>
  </si>
  <si>
    <t>VTE - M.O. INTERNE CARROSSERIE</t>
  </si>
  <si>
    <t>4505</t>
  </si>
  <si>
    <t>C/V - M.O. INTERNE CARROSSERIE</t>
  </si>
  <si>
    <t>5505</t>
  </si>
  <si>
    <t># DE VTE - M.O. INTERNE CARROSSERIE</t>
  </si>
  <si>
    <t>4505@</t>
  </si>
  <si>
    <t>TOYOTA</t>
  </si>
  <si>
    <t>HONDA</t>
  </si>
  <si>
    <t>NISSAN</t>
  </si>
  <si>
    <t>240001</t>
  </si>
  <si>
    <t>1V2BR2CA6RC502911</t>
  </si>
  <si>
    <t>230536</t>
  </si>
  <si>
    <t>3VW2T7BU7PM053775</t>
  </si>
  <si>
    <t>2024</t>
  </si>
  <si>
    <t>JETTA GLI</t>
  </si>
  <si>
    <t>5485P</t>
  </si>
  <si>
    <t>1V2NR2CA5JC509107</t>
  </si>
  <si>
    <t>2010</t>
  </si>
  <si>
    <t>5488P</t>
  </si>
  <si>
    <t>2V4RW3DX0AR228009</t>
  </si>
  <si>
    <t>240016</t>
  </si>
  <si>
    <t>1V2BE2CA1RC206996</t>
  </si>
  <si>
    <t>240009</t>
  </si>
  <si>
    <t>1V2BE2CA7RC206484</t>
  </si>
  <si>
    <t>240003</t>
  </si>
  <si>
    <t>1V2LR2CA2RC511786</t>
  </si>
  <si>
    <t>240011</t>
  </si>
  <si>
    <t>1V2LE2CA3RC208611</t>
  </si>
  <si>
    <t>230581</t>
  </si>
  <si>
    <t>3VV4X7B27PM374246</t>
  </si>
  <si>
    <t>230574</t>
  </si>
  <si>
    <t>3VWGM7BU3PM060824</t>
  </si>
  <si>
    <t>ATLAS CROSS SPT</t>
  </si>
  <si>
    <t>240013A</t>
  </si>
  <si>
    <t>3VV4B7AX3NM051496</t>
  </si>
  <si>
    <t>230392A</t>
  </si>
  <si>
    <t>3VV4B7AX2LM114164</t>
  </si>
  <si>
    <t>230567A</t>
  </si>
  <si>
    <t>3VV2B7AX6MM155874</t>
  </si>
  <si>
    <t>MAZDA</t>
  </si>
  <si>
    <t>230599A</t>
  </si>
  <si>
    <t>3VWE57BU6KM254342</t>
  </si>
  <si>
    <t>230606A</t>
  </si>
  <si>
    <t>CHEVROLET</t>
  </si>
  <si>
    <t>VOLT</t>
  </si>
  <si>
    <t>1G1RA6S50JU104989</t>
  </si>
  <si>
    <t>2016</t>
  </si>
  <si>
    <t>JEEP</t>
  </si>
  <si>
    <t>COMPASS</t>
  </si>
  <si>
    <t>230643</t>
  </si>
  <si>
    <t>3VV4X7B2XPM382549</t>
  </si>
  <si>
    <t>230639</t>
  </si>
  <si>
    <t>3VVEX7B23PM379190</t>
  </si>
  <si>
    <t>230650</t>
  </si>
  <si>
    <t>3VVCX7B24PM381294</t>
  </si>
  <si>
    <t>240022</t>
  </si>
  <si>
    <t>1V2BR2CA4RC506228</t>
  </si>
  <si>
    <t>240027</t>
  </si>
  <si>
    <t>1V2BR2CA1RC517137</t>
  </si>
  <si>
    <t>240021</t>
  </si>
  <si>
    <t>1V2LR2CA8RC516197</t>
  </si>
  <si>
    <t>240030</t>
  </si>
  <si>
    <t>1V2FE2CAXRC211373</t>
  </si>
  <si>
    <t>240042</t>
  </si>
  <si>
    <t>1V2FE2CA4RC210672</t>
  </si>
  <si>
    <t>240047</t>
  </si>
  <si>
    <t>1V2FE2CA0RC211429</t>
  </si>
  <si>
    <t>240052</t>
  </si>
  <si>
    <t>1V2FE2CAXRC211504</t>
  </si>
  <si>
    <t>240020</t>
  </si>
  <si>
    <t>1V2BE2CA5RC210341</t>
  </si>
  <si>
    <t>240070</t>
  </si>
  <si>
    <t>1V2BE2CA9RC212335</t>
  </si>
  <si>
    <t>240026</t>
  </si>
  <si>
    <t>WVWGA7CD7RW121198</t>
  </si>
  <si>
    <t>240067</t>
  </si>
  <si>
    <t>WVWGA7CD1RW121181</t>
  </si>
  <si>
    <t>240061</t>
  </si>
  <si>
    <t>3VW9T7BUXRM015328</t>
  </si>
  <si>
    <t>240083</t>
  </si>
  <si>
    <t>3VWGM7BU7RM015582</t>
  </si>
  <si>
    <t>240050</t>
  </si>
  <si>
    <t>3VWSM7BU4RM014707</t>
  </si>
  <si>
    <t>240045</t>
  </si>
  <si>
    <t>3VWWM7BU5RM010702</t>
  </si>
  <si>
    <t>5511P</t>
  </si>
  <si>
    <t>1V2BE2CA6NC212111</t>
  </si>
  <si>
    <t>5523P</t>
  </si>
  <si>
    <t>3VV2B7AX2MM078047</t>
  </si>
  <si>
    <t>240036A</t>
  </si>
  <si>
    <t>1V2FR2CA8MC595926</t>
  </si>
  <si>
    <t>240079A</t>
  </si>
  <si>
    <t>3VV4B7AX5LM110786</t>
  </si>
  <si>
    <t>230596A</t>
  </si>
  <si>
    <t>3VV2B7AX4LM005048</t>
  </si>
  <si>
    <t>5518P</t>
  </si>
  <si>
    <t>3VV4B7AX0LM106225</t>
  </si>
  <si>
    <t>240056A</t>
  </si>
  <si>
    <t>3VWN57BU2LM040420</t>
  </si>
  <si>
    <t>240019A</t>
  </si>
  <si>
    <t>1V2TE2CA8LC219420</t>
  </si>
  <si>
    <t>230649A</t>
  </si>
  <si>
    <t>ROGUE</t>
  </si>
  <si>
    <t>5N1AT2MT7LC775762</t>
  </si>
  <si>
    <t>230564B</t>
  </si>
  <si>
    <t>3C4NJDDBXLT155667</t>
  </si>
  <si>
    <t>230593A</t>
  </si>
  <si>
    <t>3VV4B7AX3KM183332</t>
  </si>
  <si>
    <t>240015A</t>
  </si>
  <si>
    <t>3VW6T7AU5KM024755</t>
  </si>
  <si>
    <t>240044A</t>
  </si>
  <si>
    <t>1V2MR2CA6KC587280</t>
  </si>
  <si>
    <t>230626A</t>
  </si>
  <si>
    <t>3VV4B7AX2JM130250</t>
  </si>
  <si>
    <t>GOLF ALLTRACK</t>
  </si>
  <si>
    <t>240041A</t>
  </si>
  <si>
    <t>3VWG17AU2JM291103</t>
  </si>
  <si>
    <t>SUBARU</t>
  </si>
  <si>
    <t>WRX</t>
  </si>
  <si>
    <t>5509PA</t>
  </si>
  <si>
    <t>A3 E-TRON</t>
  </si>
  <si>
    <t>WAUSPBFF5HA099610</t>
  </si>
  <si>
    <t>230554A</t>
  </si>
  <si>
    <t>2014</t>
  </si>
  <si>
    <t>JF1GR8H60EL238082</t>
  </si>
  <si>
    <t>C/V - M.O. CARROSSERIE GARANTIE</t>
  </si>
  <si>
    <t>5503</t>
  </si>
  <si>
    <t>SOLDE PAR DECALAGE SOURCE</t>
  </si>
  <si>
    <t>99999</t>
  </si>
  <si>
    <t>240197</t>
  </si>
  <si>
    <t>240125</t>
  </si>
  <si>
    <t>240203</t>
  </si>
  <si>
    <t>240173</t>
  </si>
  <si>
    <t>240156</t>
  </si>
  <si>
    <t>240137</t>
  </si>
  <si>
    <t>240206</t>
  </si>
  <si>
    <t>240171</t>
  </si>
  <si>
    <t>3VW8T7BU7RM014696</t>
  </si>
  <si>
    <t>3VVEX7B22RM012347</t>
  </si>
  <si>
    <t>1V2FE2CA6RC216828</t>
  </si>
  <si>
    <t>1V2LR2CA9RC529461</t>
  </si>
  <si>
    <t>240147</t>
  </si>
  <si>
    <t>1V2BR2CAXRC525513</t>
  </si>
  <si>
    <t>1V2BE2CA8RC216649</t>
  </si>
  <si>
    <t>240207</t>
  </si>
  <si>
    <t>3VWEM7BU2RM001760</t>
  </si>
  <si>
    <t>240190</t>
  </si>
  <si>
    <t>GOLF R</t>
  </si>
  <si>
    <t>1V2BR2CA7RC532368</t>
  </si>
  <si>
    <t>240141</t>
  </si>
  <si>
    <t>1V2FR2CA7RC531156</t>
  </si>
  <si>
    <t>3VV4B7AX2RM023873</t>
  </si>
  <si>
    <t>3VV4B7AX6RM025190</t>
  </si>
  <si>
    <t>240138</t>
  </si>
  <si>
    <t>3VV4X7B25RM012063</t>
  </si>
  <si>
    <t>1V2BR2CA4RC531890</t>
  </si>
  <si>
    <t>5519P</t>
  </si>
  <si>
    <t>3VV2B7AX4MM068281</t>
  </si>
  <si>
    <t>240086A</t>
  </si>
  <si>
    <t>3VV4B7AX9NM096457</t>
  </si>
  <si>
    <t>5522P</t>
  </si>
  <si>
    <t>3VV2B7AX7LM099068</t>
  </si>
  <si>
    <t>5521P</t>
  </si>
  <si>
    <t>3VWG57AU3KM018998</t>
  </si>
  <si>
    <t>240089A</t>
  </si>
  <si>
    <t>3VWW57BU9LM006236</t>
  </si>
  <si>
    <t>240059A</t>
  </si>
  <si>
    <t>3VV2B7AX7KM049091</t>
  </si>
  <si>
    <t>240099A</t>
  </si>
  <si>
    <t>3VWN57BU9LM077965</t>
  </si>
  <si>
    <t>240098A</t>
  </si>
  <si>
    <t>3VWG57AU0KM034477</t>
  </si>
  <si>
    <t>240038B</t>
  </si>
  <si>
    <t>3VWG17AU9JM275867</t>
  </si>
  <si>
    <t>240091A</t>
  </si>
  <si>
    <t>1V2FR2CA7NC504226</t>
  </si>
  <si>
    <t>5526P</t>
  </si>
  <si>
    <t>3VV2B7AX9LM002520</t>
  </si>
  <si>
    <t>240109A</t>
  </si>
  <si>
    <t>3VWG57AU6KM028375</t>
  </si>
  <si>
    <t>240111A</t>
  </si>
  <si>
    <t>3VWW57AU1MM000790</t>
  </si>
  <si>
    <t>240108A</t>
  </si>
  <si>
    <t>3VWG57BU3KM143398</t>
  </si>
  <si>
    <t>240100A</t>
  </si>
  <si>
    <t>3VWCB7BU1LM050033</t>
  </si>
  <si>
    <t>5527P</t>
  </si>
  <si>
    <t>3VV2B7AX0JM078401</t>
  </si>
  <si>
    <t>240062A</t>
  </si>
  <si>
    <t>3VWEB7BU9LM051228</t>
  </si>
  <si>
    <t>5528P</t>
  </si>
  <si>
    <t>3VWE57BU8MM046465</t>
  </si>
  <si>
    <t>240153A</t>
  </si>
  <si>
    <t>3VV0B7AX5LM117185</t>
  </si>
  <si>
    <t>240127A</t>
  </si>
  <si>
    <t>3VV4B7AX2KM185248</t>
  </si>
  <si>
    <t>240169A</t>
  </si>
  <si>
    <t>3VWE57BU7MM077268</t>
  </si>
  <si>
    <t>240143A</t>
  </si>
  <si>
    <t>2008</t>
  </si>
  <si>
    <t>GTI</t>
  </si>
  <si>
    <t>WVWHV91K48W093414</t>
  </si>
  <si>
    <t>240090A</t>
  </si>
  <si>
    <t>3VWW57BU7KM135400</t>
  </si>
  <si>
    <t>240183A</t>
  </si>
  <si>
    <t>3VWE57BU5MM022575</t>
  </si>
  <si>
    <t>5530P</t>
  </si>
  <si>
    <t>3VWG57AU5KM019568</t>
  </si>
  <si>
    <t>2012</t>
  </si>
  <si>
    <t>HYUNDAY</t>
  </si>
  <si>
    <t>240200A</t>
  </si>
  <si>
    <t>3VV2B7AX7MM017972</t>
  </si>
  <si>
    <t>240105A</t>
  </si>
  <si>
    <t>3VW5T7AU9MM015944</t>
  </si>
  <si>
    <t>240120A</t>
  </si>
  <si>
    <t>3VV2B7AX5LM134416</t>
  </si>
  <si>
    <t>240151A</t>
  </si>
  <si>
    <t>PASSAT</t>
  </si>
  <si>
    <t>1VWBA7A31LC005280</t>
  </si>
  <si>
    <t>240123A</t>
  </si>
  <si>
    <t>3VV2B7AX9MM038886</t>
  </si>
  <si>
    <t>240198A</t>
  </si>
  <si>
    <t>3VV4B7AX7LM138623</t>
  </si>
  <si>
    <t>5531P</t>
  </si>
  <si>
    <t>3VV2B7AX5KM174266</t>
  </si>
  <si>
    <t>240195A</t>
  </si>
  <si>
    <t>3VWH17AU4KM517860</t>
  </si>
  <si>
    <t>240031A</t>
  </si>
  <si>
    <t>3VWG57AU6KM019319</t>
  </si>
  <si>
    <t>240208A</t>
  </si>
  <si>
    <t>5N1AT2MT2KC789311</t>
  </si>
  <si>
    <t>SAVANA CARGO VA</t>
  </si>
  <si>
    <t>TAUX MAIN D'OEUVRE - VW - MCI - CLIENT</t>
  </si>
  <si>
    <t>TAUX MAIN D'OEUVRE - VW - MCI - GARANTIE</t>
  </si>
  <si>
    <t>TAUX MAIN D'OEUVRE - VW - MCI - INTERNE</t>
  </si>
  <si>
    <t>TAUX MAIN D'OEUVRE - VW - MCI - CARROSSERIE</t>
  </si>
  <si>
    <t>HEURES VENDUES - SVC - VW - MCI - CLIENT</t>
  </si>
  <si>
    <t>HEURES VENDUES - SVC - VW - MCI - GARANTIE</t>
  </si>
  <si>
    <t>HEURES VENDUES - SVC - VW - MCI - INTERNE</t>
  </si>
  <si>
    <t>UNITES USAGES DET./ DEC</t>
  </si>
  <si>
    <t>VENTE AU COMPTANT (PIECES)</t>
  </si>
  <si>
    <t>INTERET FP A PAYER</t>
  </si>
  <si>
    <t>210</t>
  </si>
  <si>
    <t>FRAIS BANCAIRE A PAYER</t>
  </si>
  <si>
    <t>211</t>
  </si>
  <si>
    <t>MAIN-D'OEUVRE - CLIENT VW - MCI</t>
  </si>
  <si>
    <t>MAIN-D'OEUVRE - GARANTIE VW - MCI</t>
  </si>
  <si>
    <t>MAIN-D'OEUVRE - INTERNE VW - MCI</t>
  </si>
  <si>
    <t>VW P&amp;A - BR - CLIENT - MCI</t>
  </si>
  <si>
    <t>VW P&amp;A - BR - GARANTIE - MCI</t>
  </si>
  <si>
    <t>VW P&amp;A - BR - INTERNE - MCI</t>
  </si>
  <si>
    <t>VW P&amp;A - BR - CLIENT - VEB</t>
  </si>
  <si>
    <t>VW-P&amp;A-P&amp;BRO-CLIENT - MCI</t>
  </si>
  <si>
    <t>VW-P&amp;A-P&amp;BRO-GARANTIE - MCI</t>
  </si>
  <si>
    <t>VW-P&amp;A-P&amp;BRO-INTERNE - MCI</t>
  </si>
  <si>
    <t>C/V - MAIN D'OEUVRE SVC NON APP - TOUS</t>
  </si>
  <si>
    <t>PRIMES DE PERFORMANCE VW</t>
  </si>
  <si>
    <t>C/V - P&amp;A - COMPTOIR - ENGROS - AUDI</t>
  </si>
  <si>
    <t>5773</t>
  </si>
  <si>
    <t>4773</t>
  </si>
  <si>
    <t>6541</t>
  </si>
  <si>
    <t>240129</t>
  </si>
  <si>
    <t>3VW8T7BU8RM016912</t>
  </si>
  <si>
    <t>240139</t>
  </si>
  <si>
    <t>1V2BE2CAXRC212764</t>
  </si>
  <si>
    <t>240212</t>
  </si>
  <si>
    <t>1V2FE2CA5RC219798</t>
  </si>
  <si>
    <t>240213</t>
  </si>
  <si>
    <t>3VV4B7AX1RM023721</t>
  </si>
  <si>
    <t>240221</t>
  </si>
  <si>
    <t>3VV4X7B20RM013248</t>
  </si>
  <si>
    <t>240220</t>
  </si>
  <si>
    <t>3VVEX7B2XRM013066</t>
  </si>
  <si>
    <t>240223</t>
  </si>
  <si>
    <t>3VVEX7B25RM012259</t>
  </si>
  <si>
    <t>240219</t>
  </si>
  <si>
    <t>3VVEX7B20RM012928</t>
  </si>
  <si>
    <t>240232</t>
  </si>
  <si>
    <t>3VVVX7B23RM011742</t>
  </si>
  <si>
    <t>240230</t>
  </si>
  <si>
    <t>3VV4B7AX4RM047169</t>
  </si>
  <si>
    <t>240238</t>
  </si>
  <si>
    <t>3VV4X7B26RM014615</t>
  </si>
  <si>
    <t>240248</t>
  </si>
  <si>
    <t>WVWRA7CD4RW133320</t>
  </si>
  <si>
    <t>240241</t>
  </si>
  <si>
    <t>3VV4X7B2XRM023463</t>
  </si>
  <si>
    <t>240243</t>
  </si>
  <si>
    <t>3VV4X7B23RM025278</t>
  </si>
  <si>
    <t>240242</t>
  </si>
  <si>
    <t>3VVUX7B20RM026050</t>
  </si>
  <si>
    <t>240259</t>
  </si>
  <si>
    <t>WVWWA7CD4RW139864</t>
  </si>
  <si>
    <t>240256</t>
  </si>
  <si>
    <t>WVWEB7CD9RW139691</t>
  </si>
  <si>
    <t>240257</t>
  </si>
  <si>
    <t>WVWEB7CD9RW140162</t>
  </si>
  <si>
    <t>240255</t>
  </si>
  <si>
    <t>3VVVX7B24RM026699</t>
  </si>
  <si>
    <t>240254</t>
  </si>
  <si>
    <t>3VVUX7B25RM026254</t>
  </si>
  <si>
    <t>240250</t>
  </si>
  <si>
    <t>3VVCX7B23RM011327</t>
  </si>
  <si>
    <t>240253</t>
  </si>
  <si>
    <t>3VV4B7AX0RM043880</t>
  </si>
  <si>
    <t>240262</t>
  </si>
  <si>
    <t>3VV8B7AX4RM058738</t>
  </si>
  <si>
    <t>240266</t>
  </si>
  <si>
    <t>WVWRA7CD7RW142545</t>
  </si>
  <si>
    <t>240270</t>
  </si>
  <si>
    <t>3VV4B7AXXRM065708</t>
  </si>
  <si>
    <t>240263</t>
  </si>
  <si>
    <t>3VV4B7AXXRM047399</t>
  </si>
  <si>
    <t>240268</t>
  </si>
  <si>
    <t>3VV4B7AX3RM061712</t>
  </si>
  <si>
    <t>240264</t>
  </si>
  <si>
    <t>3VV4B7AX7RM058599</t>
  </si>
  <si>
    <t>240267</t>
  </si>
  <si>
    <t>3VV4B7AX9RM059415</t>
  </si>
  <si>
    <t>240269</t>
  </si>
  <si>
    <t>3VV8B7AX7RM066865</t>
  </si>
  <si>
    <t>240265</t>
  </si>
  <si>
    <t>3VVMB7AX2RM024991</t>
  </si>
  <si>
    <t>240273</t>
  </si>
  <si>
    <t>3VV4B7AX9RM059835</t>
  </si>
  <si>
    <t>5525P</t>
  </si>
  <si>
    <t>3VV4B7AX1MM155614</t>
  </si>
  <si>
    <t>240121A</t>
  </si>
  <si>
    <t>CHEROKEE</t>
  </si>
  <si>
    <t>1C4PJMBBXFW775848</t>
  </si>
  <si>
    <t>5532P</t>
  </si>
  <si>
    <t>3VV2B7AXXKM175526</t>
  </si>
  <si>
    <t>5536P</t>
  </si>
  <si>
    <t>WVWEB7CD1RW113067</t>
  </si>
  <si>
    <t>5535P</t>
  </si>
  <si>
    <t>3VVMB7AX1PM006494</t>
  </si>
  <si>
    <t>5534P</t>
  </si>
  <si>
    <t>3VV2B7AX0MM070822</t>
  </si>
  <si>
    <t>5539P</t>
  </si>
  <si>
    <t>WVWPR7AUXLW900758</t>
  </si>
  <si>
    <t>5537P</t>
  </si>
  <si>
    <t>WVGNV7AX9HW500724</t>
  </si>
  <si>
    <t>5540P</t>
  </si>
  <si>
    <t>3VV2B7AX5LM104042</t>
  </si>
  <si>
    <t>240154A</t>
  </si>
  <si>
    <t>SANTA CRUZ</t>
  </si>
  <si>
    <t>5NTJEDAF3PH073751</t>
  </si>
  <si>
    <t>5542P</t>
  </si>
  <si>
    <t>3VV2B7AX9LM116727</t>
  </si>
  <si>
    <t>5543P</t>
  </si>
  <si>
    <t>3VV4B7AX3MM043848</t>
  </si>
  <si>
    <t>240222A</t>
  </si>
  <si>
    <t>3VWE57BU8MM023008</t>
  </si>
  <si>
    <t>5544P</t>
  </si>
  <si>
    <t>3VV2B7AX7LM009577</t>
  </si>
  <si>
    <t>240210A</t>
  </si>
  <si>
    <t>DODGE</t>
  </si>
  <si>
    <t>RAM 1500</t>
  </si>
  <si>
    <t>1C6SRFFT2LN407190</t>
  </si>
  <si>
    <t>240226A</t>
  </si>
  <si>
    <t>3VWG57AU7KM033052</t>
  </si>
  <si>
    <t>240172A</t>
  </si>
  <si>
    <t>3VWG07AJ8FM218642</t>
  </si>
  <si>
    <t>5529PA</t>
  </si>
  <si>
    <t>TRUCK PATHFINDER</t>
  </si>
  <si>
    <t>5N1AR2MM1EC693147</t>
  </si>
  <si>
    <t>5545P</t>
  </si>
  <si>
    <t>WVWEB7CD8NW157948</t>
  </si>
  <si>
    <t>240231A</t>
  </si>
  <si>
    <t>3VWE57BU8KM269358</t>
  </si>
  <si>
    <t>240215A</t>
  </si>
  <si>
    <t>3VWW57AU6KM035788</t>
  </si>
  <si>
    <t>5546P</t>
  </si>
  <si>
    <t>BMW</t>
  </si>
  <si>
    <t>SAV X5</t>
  </si>
  <si>
    <t>5UXKR0C55G0S87415</t>
  </si>
  <si>
    <t>0925RA</t>
  </si>
  <si>
    <t>COROLLA</t>
  </si>
  <si>
    <t>2T1BU4EE1AC231280</t>
  </si>
  <si>
    <t>240191A</t>
  </si>
  <si>
    <t>3VV2B7AX1KM022551</t>
  </si>
  <si>
    <t>240194A</t>
  </si>
  <si>
    <t>WVGJV7AX1FW576563</t>
  </si>
  <si>
    <t>240261A</t>
  </si>
  <si>
    <t>3VV2B7AXXLM100701</t>
  </si>
  <si>
    <t>240035A</t>
  </si>
  <si>
    <t>PILOT</t>
  </si>
  <si>
    <t>5FNYF6H72LB500902</t>
  </si>
  <si>
    <t>240229A</t>
  </si>
  <si>
    <t>3VWW57AU0KM035463</t>
  </si>
  <si>
    <t>240178A</t>
  </si>
  <si>
    <t>3VV8B7AX7NM005591</t>
  </si>
  <si>
    <t>5548P</t>
  </si>
  <si>
    <t>1V2SR2CA7PC517706</t>
  </si>
  <si>
    <t>240058A</t>
  </si>
  <si>
    <t>3VW6T7BU9MM023626</t>
  </si>
  <si>
    <t>240252A</t>
  </si>
  <si>
    <t>3VV4B7AX5LM169272</t>
  </si>
  <si>
    <t>240211A</t>
  </si>
  <si>
    <t>3VWCB7BU6LM036242</t>
  </si>
  <si>
    <t>5549P</t>
  </si>
  <si>
    <t>3VV2B7AX2MM094183</t>
  </si>
  <si>
    <t>240260A</t>
  </si>
  <si>
    <t>3VWCB7BU1LM034348</t>
  </si>
  <si>
    <t>240258B</t>
  </si>
  <si>
    <t>RS 3 SEDAN</t>
  </si>
  <si>
    <t>WUABWGFF4LA902874</t>
  </si>
  <si>
    <t>240246A</t>
  </si>
  <si>
    <t>FORD</t>
  </si>
  <si>
    <t>TRUCK ESCAPE</t>
  </si>
  <si>
    <t>1FMCU9G93HUB31594</t>
  </si>
  <si>
    <t>240227A</t>
  </si>
  <si>
    <t>1VWBH7A3XCC007783</t>
  </si>
  <si>
    <t>240236A</t>
  </si>
  <si>
    <t>MAZDA3</t>
  </si>
  <si>
    <t>JM1BL1UF1C1511395</t>
  </si>
  <si>
    <t>240007A</t>
  </si>
  <si>
    <t>3VV8B7AX2PM076703</t>
  </si>
  <si>
    <t>240187A</t>
  </si>
  <si>
    <t>3VV4B7AX1NM053652</t>
  </si>
  <si>
    <t>5541PA</t>
  </si>
  <si>
    <t>IMPREZA</t>
  </si>
  <si>
    <t>4S3GTAB64N3719321</t>
  </si>
  <si>
    <t>240234A</t>
  </si>
  <si>
    <t>3VV2B7AX1MM061112</t>
  </si>
  <si>
    <t>240068A</t>
  </si>
  <si>
    <t>JF1VA1G67M8820592</t>
  </si>
  <si>
    <t>240034A</t>
  </si>
  <si>
    <t>TRUCK SILVERADO 1500</t>
  </si>
  <si>
    <t>1GCUYHEL1KZ236506</t>
  </si>
  <si>
    <t>5449PB</t>
  </si>
  <si>
    <t>3VWDA7AJ8FM287752</t>
  </si>
  <si>
    <t>Autres marques</t>
  </si>
  <si>
    <t>Autres Marques</t>
  </si>
  <si>
    <t>Pièces recond. MCPA</t>
  </si>
  <si>
    <t>Revenus d'intérêts floor plan</t>
  </si>
  <si>
    <t>▲2023</t>
  </si>
  <si>
    <t>% ▲ 2023</t>
  </si>
  <si>
    <t xml:space="preserve">Budget </t>
  </si>
  <si>
    <t>▲ $</t>
  </si>
  <si>
    <t>▲ %</t>
  </si>
  <si>
    <t>NB de livraisons</t>
  </si>
  <si>
    <t>pièces</t>
  </si>
  <si>
    <t>Coûts</t>
  </si>
  <si>
    <t>% avant redevances</t>
  </si>
  <si>
    <t>Coûts de redevance</t>
  </si>
  <si>
    <t>Profit</t>
  </si>
  <si>
    <t>Coûts de livraison</t>
  </si>
  <si>
    <t>Profit net</t>
  </si>
  <si>
    <t>% net</t>
  </si>
  <si>
    <t>Inscrire les GL</t>
  </si>
  <si>
    <t>Couts de redevance</t>
  </si>
  <si>
    <t>Contrôle mois</t>
  </si>
  <si>
    <t>frais de livraison doit être de 25$ / livraison</t>
  </si>
  <si>
    <t>Contrôle YTD</t>
  </si>
  <si>
    <t>GL livraison</t>
  </si>
  <si>
    <t>Coût / livraison</t>
  </si>
  <si>
    <t>NB de livraison</t>
  </si>
  <si>
    <t>Budgeté</t>
  </si>
  <si>
    <t>Coûts de redevance budgeté</t>
  </si>
  <si>
    <t>Outils Spécialisés Volks</t>
  </si>
  <si>
    <t>KIMOBY</t>
  </si>
  <si>
    <t>1109</t>
  </si>
  <si>
    <t>FRAIS DE LIVRAISON PIECES</t>
  </si>
  <si>
    <t>6758</t>
  </si>
  <si>
    <t>Revenus d'interets floor plan</t>
  </si>
  <si>
    <t>9405</t>
  </si>
  <si>
    <t>VTES -VTE - ID4</t>
  </si>
  <si>
    <t>4141</t>
  </si>
  <si>
    <t>C/V - ID4</t>
  </si>
  <si>
    <t>5141</t>
  </si>
  <si>
    <t># DE VTW - ID4</t>
  </si>
  <si>
    <t>4141@</t>
  </si>
  <si>
    <t>Suivi de Démo</t>
  </si>
  <si>
    <t># Stock</t>
  </si>
  <si>
    <t>$ Valeur</t>
  </si>
  <si>
    <t xml:space="preserve">Nom </t>
  </si>
  <si>
    <t>Prénom</t>
  </si>
  <si>
    <t>Titre / Fonction</t>
  </si>
  <si>
    <t>C/V - BONI CPO</t>
  </si>
  <si>
    <t>5208</t>
  </si>
  <si>
    <t>6512</t>
  </si>
  <si>
    <t>FREDERIC</t>
  </si>
  <si>
    <t>BEAUVAIS</t>
  </si>
  <si>
    <t>CONSEILLER VENTE</t>
  </si>
  <si>
    <t>DG</t>
  </si>
  <si>
    <t>JUAN ANDRES</t>
  </si>
  <si>
    <t>CABALLERO</t>
  </si>
  <si>
    <t>940</t>
  </si>
  <si>
    <t>BAIIA Corpo</t>
  </si>
  <si>
    <t>PARADIS</t>
  </si>
  <si>
    <t>ALEXANDRE</t>
  </si>
  <si>
    <t>DIRECTEUR ADJ VENTE</t>
  </si>
  <si>
    <t>C/V - AUTRES PNEUS</t>
  </si>
  <si>
    <t>5786</t>
  </si>
  <si>
    <t xml:space="preserve">L'arrêt des livraisons ID4 a eu un impact significatif sur le mois de septembre.
Les profits unitaires au budget n'en tenaient pas tant compte mais la comptétion tant inter-dealers qu'inter-marques a relancé les négociations sur les prix.
Notre bureau commercial est encore sous le coup du turnover.
Les autres revenus sont la conséquence directe de la baisse de volume d'unités livrées.
</t>
  </si>
  <si>
    <t>Le volume et les résultats du bureau commercial sont maintenant en ligne avec les attentes.
Le profit unitaire "front" est le dernier sujet d'ajustement côté chiffre en même temps que la prise de contrôle des leads, du temps de réponse et de ce que l'on en fait !
Invenaire sain, marchandisage optimisé. Il nous reste à être extrèmement vigilants et rigoureux dans le suivi de ces opérations.</t>
  </si>
  <si>
    <t>Très belle progression versus 2023, autant sur le fait de voir monter le brut globalement que sur le contrôle des dépenses.
Le modèle de fonctionnement de la mixité de véhicules de courtoisies, Uber Pro et chauffeurs fonctionne.
Bon mois de Csi à côté de la performance financière.</t>
  </si>
  <si>
    <t>Le wholesale est LA machine du département. Analyse rapide mais son point le plus avantageux est la portion de booster le volume d'achats chez l'OEM. Car en fait de $ de ventes, on mobilise quasiment 1 employé, beaucoup d'espace et la quasi-totalité de nos crédits de retour gratuits chez VW.
Notre commis sénior n'a pas la maturité analytique pour faire des choix d'anticipation stratégique. Sujet à creuser avant fin q4.</t>
  </si>
  <si>
    <t>Malgré une baisse des bruts aux ventes nous restons forts sur nos coût et donc cela génère une amélioration légère de notre EBITDA versus 2023, c'est notre objectif qui sera aussi celui des derniers mois de 2024.</t>
  </si>
  <si>
    <t>NOORI</t>
  </si>
  <si>
    <t>KARIM</t>
  </si>
  <si>
    <t>AMORT. CUM. AMEL. LOCAT. CPO</t>
  </si>
  <si>
    <t>1735</t>
  </si>
  <si>
    <t>AMORT.CUMUL.PROJET VOLKS</t>
  </si>
  <si>
    <t>1741</t>
  </si>
  <si>
    <t>Forecast Immobilisation 2025</t>
  </si>
  <si>
    <t>Équipement informatique</t>
  </si>
  <si>
    <t>Budget 2025</t>
  </si>
  <si>
    <t>Budget 2025 Mensuel VOLKS</t>
  </si>
  <si>
    <t>Intérêts sur hypothèque</t>
  </si>
  <si>
    <t>Réel 2024</t>
  </si>
  <si>
    <t>Revenus d'intérêts Floor plan</t>
  </si>
  <si>
    <t>FPA FLOORPLAN</t>
  </si>
  <si>
    <t>Nouveau building</t>
  </si>
  <si>
    <t>FLEURY</t>
  </si>
  <si>
    <t>SEBASTIEN</t>
  </si>
  <si>
    <t>DGV</t>
  </si>
  <si>
    <t xml:space="preserve"> AAJ</t>
  </si>
  <si>
    <t>TAUX MAIN D'OEUVRE - CLIENT - VW - VEB</t>
  </si>
  <si>
    <t>266</t>
  </si>
  <si>
    <t>26</t>
  </si>
  <si>
    <t>TAUX MAIN D'OEUVRE - GARANTIE - VW - VEB</t>
  </si>
  <si>
    <t>267</t>
  </si>
  <si>
    <t>TAUX MAIN D'OEUVRE - INTERNE - VW - VEB</t>
  </si>
  <si>
    <t>268</t>
  </si>
  <si>
    <t>TAUX MAIN D'OEUVRE - BODY - VW - VEB</t>
  </si>
  <si>
    <t>269</t>
  </si>
  <si>
    <t>FPA recours coll</t>
  </si>
  <si>
    <t>Bonis cadres ?</t>
  </si>
</sst>
</file>

<file path=xl/styles.xml><?xml version="1.0" encoding="utf-8"?>
<styleSheet xmlns="http://schemas.openxmlformats.org/spreadsheetml/2006/main" xmlns:mc="http://schemas.openxmlformats.org/markup-compatibility/2006" xmlns:x14ac="http://schemas.microsoft.com/office/spreadsheetml/2009/9/ac" mc:Ignorable="x14ac">
  <numFmts count="27">
    <numFmt numFmtId="6" formatCode="#,##0\ &quot;$&quot;_);[Red]\(#,##0\ &quot;$&quot;\)"/>
    <numFmt numFmtId="8" formatCode="#,##0.00\ &quot;$&quot;_);[Red]\(#,##0.00\ &quot;$&quot;\)"/>
    <numFmt numFmtId="41" formatCode="_ * #,##0_)\ _$_ ;_ * \(#,##0\)\ _$_ ;_ * &quot;-&quot;_)\ _$_ ;_ @_ "/>
    <numFmt numFmtId="44" formatCode="_ * #,##0.00_)\ &quot;$&quot;_ ;_ * \(#,##0.00\)\ &quot;$&quot;_ ;_ * &quot;-&quot;??_)\ &quot;$&quot;_ ;_ @_ "/>
    <numFmt numFmtId="43" formatCode="_ * #,##0.00_)\ _$_ ;_ * \(#,##0.00\)\ _$_ ;_ * &quot;-&quot;??_)\ _$_ ;_ @_ "/>
    <numFmt numFmtId="164" formatCode="&quot;$&quot;#,##0_);[Red]\(&quot;$&quot;#,##0\)"/>
    <numFmt numFmtId="165" formatCode="_(&quot;$&quot;* #,##0.00_);_(&quot;$&quot;* \(#,##0.00\);_(&quot;$&quot;* &quot;-&quot;??_);_(@_)"/>
    <numFmt numFmtId="166" formatCode="_(* #,##0.00_);_(* \(#,##0.00\);_(* &quot;-&quot;??_);_(@_)"/>
    <numFmt numFmtId="167" formatCode="_-&quot;$&quot;* #,##0.00_-;\-&quot;$&quot;* #,##0.00_-;_-&quot;$&quot;* &quot;-&quot;??_-;_-@_-"/>
    <numFmt numFmtId="168" formatCode="_-* #,##0.00_-;\-* #,##0.00_-;_-* &quot;-&quot;??_-;_-@_-"/>
    <numFmt numFmtId="169" formatCode="&quot;$&quot;#,##0"/>
    <numFmt numFmtId="170" formatCode="_-* #,##0\ _$_-;_-* #,##0\ _$\-;_-* &quot;-&quot;??\ _$_-;_-@"/>
    <numFmt numFmtId="171" formatCode="_(* #,##0_);_(* \(#,##0\);_(* &quot;-&quot;??_);_(@_)"/>
    <numFmt numFmtId="172" formatCode="dd\/mm\/yy_)"/>
    <numFmt numFmtId="173" formatCode="0_)"/>
    <numFmt numFmtId="174" formatCode="0.0%"/>
    <numFmt numFmtId="175" formatCode="0.00_)"/>
    <numFmt numFmtId="176" formatCode="d/m/yyyy"/>
    <numFmt numFmtId="177" formatCode="_ * #,##0_)\ _$_ ;_ * \(#,##0\)\ _$_ ;_ * &quot;-&quot;??_)\ _$_ ;_ @_ "/>
    <numFmt numFmtId="178" formatCode="0.00000000000000%"/>
    <numFmt numFmtId="179" formatCode="#,###.00;\-#,###.00;.00"/>
    <numFmt numFmtId="180" formatCode="[$-F400]h:mm:ss\ AM/PM"/>
    <numFmt numFmtId="181" formatCode="#.00;\-#.00;.00"/>
    <numFmt numFmtId="182" formatCode="_ * #,##0_)\ &quot;$&quot;_ ;_ * \(#,##0\)\ &quot;$&quot;_ ;_ * &quot;-&quot;??_)\ &quot;$&quot;_ ;_ @_ "/>
    <numFmt numFmtId="183" formatCode="#,###.00;\-#,###.00;.00;@"/>
    <numFmt numFmtId="184" formatCode="#;#;0;@"/>
    <numFmt numFmtId="185" formatCode="&quot;$&quot;#,##0.00"/>
  </numFmts>
  <fonts count="182">
    <font>
      <sz val="11"/>
      <color theme="1"/>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1"/>
      <color theme="1"/>
      <name val="Calibri"/>
      <family val="2"/>
    </font>
    <font>
      <sz val="11"/>
      <color theme="1"/>
      <name val="Calibri"/>
      <family val="2"/>
    </font>
    <font>
      <sz val="11"/>
      <color theme="1"/>
      <name val="Arial"/>
      <family val="2"/>
    </font>
    <font>
      <sz val="11"/>
      <color theme="1"/>
      <name val="Arial"/>
      <family val="2"/>
      <scheme val="minor"/>
    </font>
    <font>
      <b/>
      <sz val="16"/>
      <color theme="1"/>
      <name val="Arial"/>
      <family val="2"/>
    </font>
    <font>
      <b/>
      <sz val="28"/>
      <color theme="1"/>
      <name val="Arial"/>
      <family val="2"/>
    </font>
    <font>
      <sz val="10"/>
      <color theme="1"/>
      <name val="Arial"/>
      <family val="2"/>
    </font>
    <font>
      <b/>
      <sz val="10"/>
      <color theme="1"/>
      <name val="Arial"/>
      <family val="2"/>
    </font>
    <font>
      <sz val="11"/>
      <name val="Arial"/>
      <family val="2"/>
    </font>
    <font>
      <b/>
      <sz val="20"/>
      <color theme="1"/>
      <name val="Arial"/>
      <family val="2"/>
    </font>
    <font>
      <sz val="12"/>
      <color theme="1"/>
      <name val="Arial"/>
      <family val="2"/>
    </font>
    <font>
      <sz val="16"/>
      <color theme="1"/>
      <name val="Arial"/>
      <family val="2"/>
    </font>
    <font>
      <sz val="14"/>
      <color theme="1"/>
      <name val="Arial"/>
      <family val="2"/>
    </font>
    <font>
      <sz val="18"/>
      <color theme="1"/>
      <name val="Arial"/>
      <family val="2"/>
    </font>
    <font>
      <b/>
      <sz val="14"/>
      <color theme="1"/>
      <name val="Arial"/>
      <family val="2"/>
    </font>
    <font>
      <b/>
      <sz val="12"/>
      <color theme="1"/>
      <name val="Arial"/>
      <family val="2"/>
    </font>
    <font>
      <b/>
      <i/>
      <sz val="12"/>
      <color theme="1"/>
      <name val="Arial"/>
      <family val="2"/>
    </font>
    <font>
      <b/>
      <sz val="14"/>
      <color theme="1"/>
      <name val="Times New Roman"/>
      <family val="1"/>
    </font>
    <font>
      <sz val="12"/>
      <color theme="1"/>
      <name val="Times New Roman"/>
      <family val="1"/>
    </font>
    <font>
      <b/>
      <sz val="24"/>
      <color theme="1"/>
      <name val="Times New Roman"/>
      <family val="1"/>
    </font>
    <font>
      <sz val="12"/>
      <color rgb="FF0000FF"/>
      <name val="Arial"/>
      <family val="2"/>
    </font>
    <font>
      <sz val="24"/>
      <color theme="1"/>
      <name val="Calibri"/>
      <family val="2"/>
    </font>
    <font>
      <sz val="16"/>
      <color theme="1"/>
      <name val="Calibri"/>
      <family val="2"/>
    </font>
    <font>
      <sz val="16"/>
      <color theme="0"/>
      <name val="Calibri"/>
      <family val="2"/>
    </font>
    <font>
      <b/>
      <sz val="12"/>
      <color theme="1"/>
      <name val="Calibri"/>
      <family val="2"/>
    </font>
    <font>
      <b/>
      <u/>
      <sz val="11"/>
      <color theme="1"/>
      <name val="Calibri"/>
      <family val="2"/>
    </font>
    <font>
      <b/>
      <sz val="11"/>
      <color rgb="FFFF0000"/>
      <name val="Arial"/>
      <family val="2"/>
    </font>
    <font>
      <i/>
      <sz val="9"/>
      <color theme="1"/>
      <name val="Calibri"/>
      <family val="2"/>
    </font>
    <font>
      <b/>
      <u/>
      <sz val="11"/>
      <color theme="1"/>
      <name val="Calibri"/>
      <family val="2"/>
    </font>
    <font>
      <b/>
      <sz val="11"/>
      <color rgb="FFFFFF00"/>
      <name val="Arial"/>
      <family val="2"/>
    </font>
    <font>
      <sz val="11"/>
      <color rgb="FFFFFFFF"/>
      <name val="Arial"/>
      <family val="2"/>
    </font>
    <font>
      <sz val="10"/>
      <color rgb="FFFFFFFF"/>
      <name val="Calibri"/>
      <family val="2"/>
    </font>
    <font>
      <b/>
      <sz val="28"/>
      <color theme="0"/>
      <name val="Arial"/>
      <family val="2"/>
    </font>
    <font>
      <sz val="20"/>
      <color rgb="FFFF0000"/>
      <name val="Arial"/>
      <family val="2"/>
    </font>
    <font>
      <sz val="22"/>
      <color rgb="FFFF0000"/>
      <name val="Arial"/>
      <family val="2"/>
    </font>
    <font>
      <b/>
      <sz val="11"/>
      <color rgb="FF002060"/>
      <name val="Arial"/>
      <family val="2"/>
    </font>
    <font>
      <b/>
      <sz val="11"/>
      <color theme="0"/>
      <name val="Calibri"/>
      <family val="2"/>
    </font>
    <font>
      <b/>
      <sz val="11"/>
      <color rgb="FF000000"/>
      <name val="Calibri"/>
      <family val="2"/>
    </font>
    <font>
      <sz val="8"/>
      <color theme="1"/>
      <name val="Calibri"/>
      <family val="2"/>
    </font>
    <font>
      <sz val="9"/>
      <color theme="1"/>
      <name val="Calibri"/>
      <family val="2"/>
    </font>
    <font>
      <sz val="10"/>
      <color theme="1"/>
      <name val="Calibri"/>
      <family val="2"/>
    </font>
    <font>
      <b/>
      <sz val="12"/>
      <color rgb="FFFF0000"/>
      <name val="Arial"/>
      <family val="2"/>
    </font>
    <font>
      <b/>
      <sz val="12"/>
      <color theme="1"/>
      <name val="Times New Roman"/>
      <family val="1"/>
    </font>
    <font>
      <b/>
      <u/>
      <sz val="11"/>
      <color theme="1"/>
      <name val="Calibri"/>
      <family val="2"/>
    </font>
    <font>
      <b/>
      <u/>
      <sz val="11"/>
      <color theme="1"/>
      <name val="Calibri"/>
      <family val="2"/>
    </font>
    <font>
      <b/>
      <sz val="8"/>
      <color rgb="FF1F2021"/>
      <name val="Verdana"/>
      <family val="2"/>
    </font>
    <font>
      <u/>
      <sz val="11"/>
      <color theme="1"/>
      <name val="Calibri"/>
      <family val="2"/>
    </font>
    <font>
      <sz val="8"/>
      <color theme="1"/>
      <name val="Verdana"/>
      <family val="2"/>
    </font>
    <font>
      <sz val="8"/>
      <color rgb="FF000000"/>
      <name val="Verdana"/>
      <family val="2"/>
    </font>
    <font>
      <b/>
      <sz val="11"/>
      <color theme="1"/>
      <name val="Arial"/>
      <family val="2"/>
    </font>
    <font>
      <u/>
      <sz val="8"/>
      <color theme="1"/>
      <name val="Verdana"/>
      <family val="2"/>
    </font>
    <font>
      <u/>
      <sz val="8"/>
      <color rgb="FF000000"/>
      <name val="Verdana"/>
      <family val="2"/>
    </font>
    <font>
      <u/>
      <sz val="8"/>
      <color rgb="FF0066F4"/>
      <name val="Verdana"/>
      <family val="2"/>
    </font>
    <font>
      <u/>
      <sz val="8"/>
      <color rgb="FF0066F4"/>
      <name val="Verdana"/>
      <family val="2"/>
    </font>
    <font>
      <b/>
      <sz val="16"/>
      <name val="Arial"/>
      <family val="2"/>
    </font>
    <font>
      <sz val="16"/>
      <name val="Arial"/>
      <family val="2"/>
    </font>
    <font>
      <sz val="18"/>
      <name val="Arial"/>
      <family val="2"/>
    </font>
    <font>
      <sz val="12"/>
      <name val="Arial"/>
      <family val="2"/>
    </font>
    <font>
      <b/>
      <sz val="28"/>
      <name val="Arial MT"/>
    </font>
    <font>
      <sz val="14"/>
      <name val="Arial"/>
      <family val="2"/>
    </font>
    <font>
      <b/>
      <sz val="14"/>
      <name val="Arial"/>
      <family val="2"/>
    </font>
    <font>
      <sz val="14"/>
      <color theme="0" tint="-4.9989318521683403E-2"/>
      <name val="Arial"/>
      <family val="2"/>
    </font>
    <font>
      <b/>
      <sz val="14"/>
      <color theme="0" tint="-4.9989318521683403E-2"/>
      <name val="Arial"/>
      <family val="2"/>
    </font>
    <font>
      <sz val="12"/>
      <name val="Arial MT"/>
    </font>
    <font>
      <b/>
      <sz val="18"/>
      <color theme="1"/>
      <name val="Arial"/>
      <family val="2"/>
    </font>
    <font>
      <sz val="11"/>
      <color theme="1"/>
      <name val="Arial"/>
      <family val="2"/>
      <scheme val="minor"/>
    </font>
    <font>
      <b/>
      <u/>
      <sz val="11"/>
      <color theme="1"/>
      <name val="Arial"/>
      <family val="2"/>
      <scheme val="minor"/>
    </font>
    <font>
      <sz val="14"/>
      <color rgb="FFFF0000"/>
      <name val="Arial"/>
      <family val="2"/>
    </font>
    <font>
      <sz val="11"/>
      <color rgb="FFFF0000"/>
      <name val="Arial"/>
      <family val="2"/>
      <scheme val="minor"/>
    </font>
    <font>
      <b/>
      <sz val="11"/>
      <color theme="1"/>
      <name val="Arial"/>
      <family val="2"/>
      <scheme val="minor"/>
    </font>
    <font>
      <sz val="11"/>
      <color theme="0"/>
      <name val="Arial"/>
      <family val="2"/>
      <scheme val="minor"/>
    </font>
    <font>
      <b/>
      <sz val="16"/>
      <color theme="1"/>
      <name val="Arial"/>
      <family val="2"/>
      <scheme val="minor"/>
    </font>
    <font>
      <sz val="11"/>
      <name val="Arial"/>
      <family val="2"/>
      <scheme val="minor"/>
    </font>
    <font>
      <b/>
      <sz val="11"/>
      <name val="Arial"/>
      <family val="2"/>
      <scheme val="minor"/>
    </font>
    <font>
      <sz val="9"/>
      <color indexed="81"/>
      <name val="Tahoma"/>
      <family val="2"/>
    </font>
    <font>
      <u/>
      <sz val="11"/>
      <color theme="10"/>
      <name val="Arial"/>
      <family val="2"/>
      <scheme val="minor"/>
    </font>
  </fonts>
  <fills count="43">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D6E3BC"/>
        <bgColor rgb="FFD6E3BC"/>
      </patternFill>
    </fill>
    <fill>
      <patternFill patternType="solid">
        <fgColor rgb="FFFBD4B4"/>
        <bgColor rgb="FFFBD4B4"/>
      </patternFill>
    </fill>
    <fill>
      <patternFill patternType="solid">
        <fgColor rgb="FFBFBFBF"/>
        <bgColor rgb="FFBFBFBF"/>
      </patternFill>
    </fill>
    <fill>
      <patternFill patternType="solid">
        <fgColor rgb="FFFFC000"/>
        <bgColor rgb="FFFFC000"/>
      </patternFill>
    </fill>
    <fill>
      <patternFill patternType="solid">
        <fgColor rgb="FFB6DDE8"/>
        <bgColor rgb="FFB6DDE8"/>
      </patternFill>
    </fill>
    <fill>
      <patternFill patternType="solid">
        <fgColor rgb="FFD99594"/>
        <bgColor rgb="FFD99594"/>
      </patternFill>
    </fill>
    <fill>
      <patternFill patternType="solid">
        <fgColor rgb="FFDEEAF6"/>
        <bgColor rgb="FFDEEAF6"/>
      </patternFill>
    </fill>
    <fill>
      <patternFill patternType="solid">
        <fgColor rgb="FF92CDDC"/>
        <bgColor rgb="FF92CDDC"/>
      </patternFill>
    </fill>
    <fill>
      <patternFill patternType="solid">
        <fgColor rgb="FF9CC2E5"/>
        <bgColor rgb="FF9CC2E5"/>
      </patternFill>
    </fill>
    <fill>
      <patternFill patternType="solid">
        <fgColor rgb="FFC5E0B3"/>
        <bgColor rgb="FFC5E0B3"/>
      </patternFill>
    </fill>
    <fill>
      <patternFill patternType="solid">
        <fgColor rgb="FFCCC0D9"/>
        <bgColor rgb="FFCCC0D9"/>
      </patternFill>
    </fill>
    <fill>
      <patternFill patternType="solid">
        <fgColor rgb="FFFFE598"/>
        <bgColor rgb="FFFFE598"/>
      </patternFill>
    </fill>
    <fill>
      <patternFill patternType="solid">
        <fgColor rgb="FFB8CCE4"/>
        <bgColor rgb="FFB8CCE4"/>
      </patternFill>
    </fill>
    <fill>
      <patternFill patternType="solid">
        <fgColor rgb="FFB4C6E7"/>
        <bgColor rgb="FFB4C6E7"/>
      </patternFill>
    </fill>
    <fill>
      <patternFill patternType="solid">
        <fgColor rgb="FFFF0000"/>
        <bgColor rgb="FFFF0000"/>
      </patternFill>
    </fill>
    <fill>
      <patternFill patternType="solid">
        <fgColor theme="1"/>
        <bgColor theme="1"/>
      </patternFill>
    </fill>
    <fill>
      <patternFill patternType="solid">
        <fgColor rgb="FFDBE5F1"/>
        <bgColor rgb="FFDBE5F1"/>
      </patternFill>
    </fill>
    <fill>
      <patternFill patternType="solid">
        <fgColor rgb="FFC9CDD1"/>
        <bgColor rgb="FFC9CDD1"/>
      </patternFill>
    </fill>
    <fill>
      <patternFill patternType="solid">
        <fgColor rgb="FF00B0F0"/>
        <bgColor rgb="FF00B0F0"/>
      </patternFill>
    </fill>
    <fill>
      <patternFill patternType="solid">
        <fgColor rgb="FFFABF8F"/>
        <bgColor rgb="FFFABF8F"/>
      </patternFill>
    </fill>
    <fill>
      <patternFill patternType="solid">
        <fgColor theme="4"/>
        <bgColor theme="4"/>
      </patternFill>
    </fill>
    <fill>
      <patternFill patternType="solid">
        <fgColor rgb="FFF9F9F9"/>
        <bgColor rgb="FFF9F9F9"/>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1"/>
        <bgColor rgb="FFFFC000"/>
      </patternFill>
    </fill>
    <fill>
      <patternFill patternType="solid">
        <fgColor rgb="FFFFC00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rgb="FFFFFF00"/>
        <bgColor rgb="FFFBD4B4"/>
      </patternFill>
    </fill>
    <fill>
      <patternFill patternType="solid">
        <fgColor theme="4" tint="0.59999389629810485"/>
        <bgColor indexed="64"/>
      </patternFill>
    </fill>
    <fill>
      <patternFill patternType="solid">
        <fgColor rgb="FF92D050"/>
        <bgColor rgb="FFDBE5F1"/>
      </patternFill>
    </fill>
    <fill>
      <patternFill patternType="solid">
        <fgColor rgb="FFFF0000"/>
        <bgColor indexed="64"/>
      </patternFill>
    </fill>
    <fill>
      <patternFill patternType="solid">
        <fgColor rgb="FF00B050"/>
        <bgColor indexed="64"/>
      </patternFill>
    </fill>
    <fill>
      <patternFill patternType="solid">
        <fgColor rgb="FF00B050"/>
        <bgColor rgb="FFC0C0C0"/>
      </patternFill>
    </fill>
  </fills>
  <borders count="237">
    <border>
      <left/>
      <right/>
      <top/>
      <bottom/>
      <diagonal/>
    </border>
    <border>
      <left/>
      <right/>
      <top/>
      <bottom/>
      <diagonal/>
    </border>
    <border>
      <left/>
      <right/>
      <top/>
      <bottom style="thick">
        <color rgb="FF000000"/>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right style="thick">
        <color rgb="FF000000"/>
      </right>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right/>
      <top/>
      <bottom style="thin">
        <color rgb="FF000000"/>
      </bottom>
      <diagonal/>
    </border>
    <border>
      <left/>
      <right/>
      <top style="thin">
        <color rgb="FF000000"/>
      </top>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ck">
        <color rgb="FF000000"/>
      </right>
      <top style="thin">
        <color rgb="FF000000"/>
      </top>
      <bottom/>
      <diagonal/>
    </border>
    <border>
      <left/>
      <right/>
      <top style="thick">
        <color rgb="FF000000"/>
      </top>
      <bottom/>
      <diagonal/>
    </border>
    <border>
      <left/>
      <right/>
      <top/>
      <bottom style="thick">
        <color rgb="FF000000"/>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ck">
        <color rgb="FF000000"/>
      </left>
      <right/>
      <top style="thin">
        <color rgb="FF000000"/>
      </top>
      <bottom style="medium">
        <color rgb="FF000000"/>
      </bottom>
      <diagonal/>
    </border>
    <border>
      <left style="thick">
        <color rgb="FF000000"/>
      </left>
      <right style="thick">
        <color rgb="FF000000"/>
      </right>
      <top style="thin">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ck">
        <color rgb="FF000000"/>
      </right>
      <top style="thick">
        <color rgb="FF000000"/>
      </top>
      <bottom style="thin">
        <color rgb="FF000000"/>
      </bottom>
      <diagonal/>
    </border>
    <border>
      <left style="thick">
        <color rgb="FF000000"/>
      </left>
      <right style="thick">
        <color rgb="FF000000"/>
      </right>
      <top/>
      <bottom/>
      <diagonal/>
    </border>
    <border>
      <left style="thick">
        <color rgb="FF000000"/>
      </left>
      <right style="thick">
        <color rgb="FF000000"/>
      </right>
      <top/>
      <bottom style="thin">
        <color rgb="FF000000"/>
      </bottom>
      <diagonal/>
    </border>
    <border>
      <left style="thick">
        <color rgb="FF000000"/>
      </left>
      <right style="thick">
        <color rgb="FF000000"/>
      </right>
      <top style="thick">
        <color rgb="FF000000"/>
      </top>
      <bottom style="thick">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dotted">
        <color rgb="FF000000"/>
      </bottom>
      <diagonal/>
    </border>
    <border>
      <left/>
      <right/>
      <top style="thin">
        <color rgb="FF000000"/>
      </top>
      <bottom style="thin">
        <color rgb="FF000000"/>
      </bottom>
      <diagonal/>
    </border>
    <border>
      <left/>
      <right/>
      <top/>
      <bottom style="double">
        <color rgb="FF000000"/>
      </bottom>
      <diagonal/>
    </border>
    <border>
      <left style="thin">
        <color rgb="FF000000"/>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hair">
        <color rgb="FF000000"/>
      </right>
      <top/>
      <bottom/>
      <diagonal/>
    </border>
    <border>
      <left style="thin">
        <color rgb="FF000000"/>
      </left>
      <right/>
      <top/>
      <bottom/>
      <diagonal/>
    </border>
    <border>
      <left style="hair">
        <color rgb="FF000000"/>
      </left>
      <right style="hair">
        <color rgb="FF000000"/>
      </right>
      <top/>
      <bottom/>
      <diagonal/>
    </border>
    <border>
      <left/>
      <right style="thin">
        <color rgb="FF000000"/>
      </right>
      <top/>
      <bottom/>
      <diagonal/>
    </border>
    <border>
      <left style="hair">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hair">
        <color rgb="FF000000"/>
      </left>
      <right style="thin">
        <color rgb="FF000000"/>
      </right>
      <top/>
      <bottom/>
      <diagonal/>
    </border>
    <border>
      <left style="thin">
        <color rgb="FF000000"/>
      </left>
      <right style="thin">
        <color rgb="FF000000"/>
      </right>
      <top style="hair">
        <color rgb="FF000000"/>
      </top>
      <bottom/>
      <diagonal/>
    </border>
    <border>
      <left style="thin">
        <color rgb="FF000000"/>
      </left>
      <right style="hair">
        <color rgb="FF000000"/>
      </right>
      <top style="hair">
        <color rgb="FF000000"/>
      </top>
      <bottom/>
      <diagonal/>
    </border>
    <border>
      <left style="hair">
        <color rgb="FF000000"/>
      </left>
      <right style="hair">
        <color rgb="FF000000"/>
      </right>
      <top style="hair">
        <color rgb="FF000000"/>
      </top>
      <bottom/>
      <diagonal/>
    </border>
    <border>
      <left/>
      <right style="thin">
        <color rgb="FF000000"/>
      </right>
      <top style="hair">
        <color rgb="FF000000"/>
      </top>
      <bottom/>
      <diagonal/>
    </border>
    <border>
      <left style="hair">
        <color rgb="FF000000"/>
      </left>
      <right style="thin">
        <color rgb="FF000000"/>
      </right>
      <top style="hair">
        <color rgb="FF000000"/>
      </top>
      <bottom/>
      <diagonal/>
    </border>
    <border>
      <left style="thin">
        <color rgb="FF000000"/>
      </left>
      <right style="thin">
        <color rgb="FF000000"/>
      </right>
      <top/>
      <bottom style="thin">
        <color rgb="FF000000"/>
      </bottom>
      <diagonal/>
    </border>
    <border>
      <left style="thin">
        <color rgb="FF000000"/>
      </left>
      <right style="hair">
        <color rgb="FF000000"/>
      </right>
      <top/>
      <bottom style="thin">
        <color rgb="FF000000"/>
      </bottom>
      <diagonal/>
    </border>
    <border>
      <left style="thin">
        <color rgb="FF000000"/>
      </left>
      <right/>
      <top/>
      <bottom style="thin">
        <color rgb="FF000000"/>
      </bottom>
      <diagonal/>
    </border>
    <border>
      <left style="hair">
        <color rgb="FF000000"/>
      </left>
      <right style="hair">
        <color rgb="FF000000"/>
      </right>
      <top/>
      <bottom style="thin">
        <color rgb="FF000000"/>
      </bottom>
      <diagonal/>
    </border>
    <border>
      <left/>
      <right style="thin">
        <color rgb="FF000000"/>
      </right>
      <top/>
      <bottom style="thin">
        <color rgb="FF000000"/>
      </bottom>
      <diagonal/>
    </border>
    <border>
      <left style="hair">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ck">
        <color rgb="FF000000"/>
      </left>
      <right/>
      <top/>
      <bottom style="thin">
        <color rgb="FF000000"/>
      </bottom>
      <diagonal/>
    </border>
    <border>
      <left/>
      <right style="medium">
        <color rgb="FF000000"/>
      </right>
      <top style="thin">
        <color rgb="FF000000"/>
      </top>
      <bottom/>
      <diagonal/>
    </border>
    <border>
      <left/>
      <right style="medium">
        <color rgb="FF000000"/>
      </right>
      <top/>
      <bottom/>
      <diagonal/>
    </border>
    <border>
      <left/>
      <right style="medium">
        <color rgb="FF000000"/>
      </right>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style="thick">
        <color rgb="FF000000"/>
      </right>
      <top style="thick">
        <color rgb="FF000000"/>
      </top>
      <bottom/>
      <diagonal/>
    </border>
    <border>
      <left style="thick">
        <color rgb="FF000000"/>
      </left>
      <right/>
      <top style="thick">
        <color rgb="FF000000"/>
      </top>
      <bottom style="medium">
        <color rgb="FF000000"/>
      </bottom>
      <diagonal/>
    </border>
    <border>
      <left/>
      <right/>
      <top style="thick">
        <color rgb="FF000000"/>
      </top>
      <bottom style="medium">
        <color rgb="FF000000"/>
      </bottom>
      <diagonal/>
    </border>
    <border>
      <left/>
      <right style="thin">
        <color rgb="FF000000"/>
      </right>
      <top style="thick">
        <color rgb="FF000000"/>
      </top>
      <bottom style="medium">
        <color rgb="FF000000"/>
      </bottom>
      <diagonal/>
    </border>
    <border>
      <left style="thin">
        <color rgb="FF000000"/>
      </left>
      <right/>
      <top style="thick">
        <color rgb="FF000000"/>
      </top>
      <bottom style="medium">
        <color rgb="FF000000"/>
      </bottom>
      <diagonal/>
    </border>
    <border>
      <left/>
      <right style="thick">
        <color rgb="FF000000"/>
      </right>
      <top style="thick">
        <color rgb="FF000000"/>
      </top>
      <bottom style="medium">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right style="thin">
        <color rgb="FF000000"/>
      </right>
      <top/>
      <bottom/>
      <diagonal/>
    </border>
    <border>
      <left style="thin">
        <color rgb="FF000000"/>
      </left>
      <right/>
      <top/>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right style="thick">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medium">
        <color rgb="FF000000"/>
      </left>
      <right/>
      <top style="thin">
        <color rgb="FF000000"/>
      </top>
      <bottom/>
      <diagonal/>
    </border>
    <border>
      <left/>
      <right style="thin">
        <color rgb="FF000000"/>
      </right>
      <top style="thick">
        <color rgb="FF000000"/>
      </top>
      <bottom style="thick">
        <color rgb="FF000000"/>
      </bottom>
      <diagonal/>
    </border>
    <border>
      <left style="thin">
        <color rgb="FF000000"/>
      </left>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medium">
        <color rgb="FF000000"/>
      </left>
      <right/>
      <top style="thick">
        <color rgb="FF000000"/>
      </top>
      <bottom style="thick">
        <color rgb="FF000000"/>
      </bottom>
      <diagonal/>
    </border>
    <border>
      <left/>
      <right style="medium">
        <color rgb="FF000000"/>
      </right>
      <top style="thick">
        <color rgb="FF000000"/>
      </top>
      <bottom style="thick">
        <color rgb="FF000000"/>
      </bottom>
      <diagonal/>
    </border>
    <border>
      <left style="medium">
        <color rgb="FF000000"/>
      </left>
      <right/>
      <top style="thick">
        <color rgb="FF000000"/>
      </top>
      <bottom style="medium">
        <color rgb="FF000000"/>
      </bottom>
      <diagonal/>
    </border>
    <border>
      <left/>
      <right/>
      <top style="thick">
        <color rgb="FF000000"/>
      </top>
      <bottom style="medium">
        <color rgb="FF000000"/>
      </bottom>
      <diagonal/>
    </border>
    <border>
      <left/>
      <right style="thick">
        <color rgb="FF000000"/>
      </right>
      <top style="thick">
        <color rgb="FF000000"/>
      </top>
      <bottom style="medium">
        <color rgb="FF000000"/>
      </bottom>
      <diagonal/>
    </border>
    <border>
      <left/>
      <right/>
      <top style="thin">
        <color rgb="FF000000"/>
      </top>
      <bottom style="double">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style="medium">
        <color rgb="FF000000"/>
      </top>
      <bottom style="medium">
        <color rgb="FF000000"/>
      </bottom>
      <diagonal/>
    </border>
    <border>
      <left/>
      <right style="medium">
        <color rgb="FF000000"/>
      </right>
      <top/>
      <bottom style="thin">
        <color rgb="FF000000"/>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right style="medium">
        <color rgb="FF000000"/>
      </right>
      <top style="thin">
        <color rgb="FF000000"/>
      </top>
      <bottom/>
      <diagonal/>
    </border>
    <border>
      <left style="medium">
        <color rgb="FF000000"/>
      </left>
      <right style="thin">
        <color rgb="FF000000"/>
      </right>
      <top style="thick">
        <color rgb="FF000000"/>
      </top>
      <bottom style="thick">
        <color rgb="FF000000"/>
      </bottom>
      <diagonal/>
    </border>
    <border>
      <left/>
      <right style="medium">
        <color rgb="FF000000"/>
      </right>
      <top style="thick">
        <color rgb="FF000000"/>
      </top>
      <bottom style="medium">
        <color rgb="FF000000"/>
      </bottom>
      <diagonal/>
    </border>
    <border>
      <left style="thin">
        <color rgb="FFDDDDDD"/>
      </left>
      <right/>
      <top/>
      <bottom/>
      <diagonal/>
    </border>
    <border>
      <left/>
      <right/>
      <top style="thin">
        <color rgb="FF95B3D7"/>
      </top>
      <bottom/>
      <diagonal/>
    </border>
    <border>
      <left style="thin">
        <color rgb="FFDDDDDD"/>
      </left>
      <right/>
      <top style="thin">
        <color rgb="FFDDDDDD"/>
      </top>
      <bottom/>
      <diagonal/>
    </border>
    <border>
      <left style="thin">
        <color rgb="FFDDDDDD"/>
      </left>
      <right/>
      <top style="thin">
        <color rgb="FF95B3D7"/>
      </top>
      <bottom/>
      <diagonal/>
    </border>
    <border>
      <left/>
      <right/>
      <top style="thin">
        <color rgb="FFDDDDDD"/>
      </top>
      <bottom/>
      <diagonal/>
    </border>
    <border>
      <left style="thin">
        <color rgb="FFDDDDDD"/>
      </left>
      <right style="thin">
        <color rgb="FFDDDDDD"/>
      </right>
      <top style="thin">
        <color rgb="FFDDDDDD"/>
      </top>
      <bottom style="thin">
        <color rgb="FFDDDDDD"/>
      </bottom>
      <diagonal/>
    </border>
    <border>
      <left/>
      <right/>
      <top style="thin">
        <color rgb="FF95B3D7"/>
      </top>
      <bottom style="thin">
        <color rgb="FFDDDDDD"/>
      </bottom>
      <diagonal/>
    </border>
    <border>
      <left/>
      <right/>
      <top style="thin">
        <color rgb="FFDDDDDD"/>
      </top>
      <bottom style="thin">
        <color rgb="FFDDDDDD"/>
      </bottom>
      <diagonal/>
    </border>
    <border>
      <left style="thin">
        <color rgb="FFDDDDDD"/>
      </left>
      <right/>
      <top style="thin">
        <color rgb="FFDDDDDD"/>
      </top>
      <bottom style="thin">
        <color rgb="FFDDDDDD"/>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top/>
      <bottom style="thin">
        <color indexed="8"/>
      </bottom>
      <diagonal/>
    </border>
    <border>
      <left/>
      <right style="thick">
        <color indexed="8"/>
      </right>
      <top/>
      <bottom style="thin">
        <color indexed="8"/>
      </bottom>
      <diagonal/>
    </border>
    <border>
      <left style="thick">
        <color indexed="8"/>
      </left>
      <right/>
      <top style="thin">
        <color indexed="8"/>
      </top>
      <bottom/>
      <diagonal/>
    </border>
    <border>
      <left/>
      <right/>
      <top style="thin">
        <color indexed="8"/>
      </top>
      <bottom/>
      <diagonal/>
    </border>
    <border>
      <left/>
      <right style="thick">
        <color indexed="8"/>
      </right>
      <top style="thin">
        <color indexed="8"/>
      </top>
      <bottom/>
      <diagonal/>
    </border>
    <border>
      <left style="thick">
        <color indexed="8"/>
      </left>
      <right/>
      <top/>
      <bottom style="thin">
        <color indexed="64"/>
      </bottom>
      <diagonal/>
    </border>
    <border>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right style="thick">
        <color indexed="8"/>
      </right>
      <top style="thin">
        <color indexed="8"/>
      </top>
      <bottom style="thin">
        <color indexed="64"/>
      </bottom>
      <diagonal/>
    </border>
    <border>
      <left style="thick">
        <color indexed="8"/>
      </left>
      <right/>
      <top style="thin">
        <color indexed="64"/>
      </top>
      <bottom style="thin">
        <color indexed="64"/>
      </bottom>
      <diagonal/>
    </border>
    <border>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style="thick">
        <color indexed="8"/>
      </left>
      <right/>
      <top style="thin">
        <color indexed="8"/>
      </top>
      <bottom style="thin">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bottom/>
      <diagonal/>
    </border>
    <border>
      <left/>
      <right style="thick">
        <color indexed="64"/>
      </right>
      <top/>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top/>
      <bottom style="thin">
        <color indexed="64"/>
      </bottom>
      <diagonal/>
    </border>
    <border>
      <left/>
      <right style="thick">
        <color indexed="64"/>
      </right>
      <top/>
      <bottom style="thin">
        <color indexed="64"/>
      </bottom>
      <diagonal/>
    </border>
    <border>
      <left style="thick">
        <color indexed="64"/>
      </left>
      <right/>
      <top style="thin">
        <color indexed="64"/>
      </top>
      <bottom/>
      <diagonal/>
    </border>
    <border>
      <left/>
      <right/>
      <top style="thin">
        <color indexed="64"/>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auto="1"/>
      </left>
      <right/>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1327">
    <xf numFmtId="0" fontId="0" fillId="0" borderId="0"/>
    <xf numFmtId="166" fontId="109" fillId="0" borderId="0" applyFont="0" applyFill="0" applyBorder="0" applyAlignment="0" applyProtection="0"/>
    <xf numFmtId="9" fontId="109" fillId="0" borderId="0" applyFont="0" applyFill="0" applyBorder="0" applyAlignment="0" applyProtection="0"/>
    <xf numFmtId="44" fontId="171" fillId="0" borderId="0" applyFont="0" applyFill="0" applyBorder="0" applyAlignment="0" applyProtection="0"/>
    <xf numFmtId="0" fontId="105" fillId="0" borderId="1"/>
    <xf numFmtId="168" fontId="105" fillId="0" borderId="1" applyFont="0" applyFill="0" applyBorder="0" applyAlignment="0" applyProtection="0"/>
    <xf numFmtId="0" fontId="104" fillId="0" borderId="1"/>
    <xf numFmtId="168" fontId="104" fillId="0" borderId="1" applyFont="0" applyFill="0" applyBorder="0" applyAlignment="0" applyProtection="0"/>
    <xf numFmtId="0" fontId="103" fillId="0" borderId="1"/>
    <xf numFmtId="168" fontId="103" fillId="0" borderId="1" applyFont="0" applyFill="0" applyBorder="0" applyAlignment="0" applyProtection="0"/>
    <xf numFmtId="0" fontId="102" fillId="0" borderId="1"/>
    <xf numFmtId="0" fontId="101" fillId="0" borderId="1"/>
    <xf numFmtId="168" fontId="101" fillId="0" borderId="1" applyFont="0" applyFill="0" applyBorder="0" applyAlignment="0" applyProtection="0"/>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99" fillId="0" borderId="1"/>
    <xf numFmtId="168" fontId="99" fillId="0" borderId="1" applyFont="0" applyFill="0" applyBorder="0" applyAlignment="0" applyProtection="0"/>
    <xf numFmtId="0" fontId="98" fillId="0" borderId="1"/>
    <xf numFmtId="168" fontId="98" fillId="0" borderId="1" applyFont="0" applyFill="0" applyBorder="0" applyAlignment="0" applyProtection="0"/>
    <xf numFmtId="0" fontId="97" fillId="0" borderId="1"/>
    <xf numFmtId="168" fontId="97" fillId="0" borderId="1" applyFont="0" applyFill="0" applyBorder="0" applyAlignment="0" applyProtection="0"/>
    <xf numFmtId="0" fontId="96" fillId="0" borderId="1"/>
    <xf numFmtId="168" fontId="96" fillId="0" borderId="1" applyFont="0" applyFill="0" applyBorder="0" applyAlignment="0" applyProtection="0"/>
    <xf numFmtId="0" fontId="95" fillId="0" borderId="1"/>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0" fontId="95" fillId="0" borderId="1"/>
    <xf numFmtId="168" fontId="95" fillId="0" borderId="1" applyFont="0" applyFill="0" applyBorder="0" applyAlignment="0" applyProtection="0"/>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44" fontId="95" fillId="0" borderId="1" applyFont="0" applyFill="0" applyBorder="0" applyAlignment="0" applyProtection="0"/>
    <xf numFmtId="0" fontId="94" fillId="0" borderId="1"/>
    <xf numFmtId="168" fontId="94" fillId="0" borderId="1" applyFont="0" applyFill="0" applyBorder="0" applyAlignment="0" applyProtection="0"/>
    <xf numFmtId="0" fontId="93" fillId="0" borderId="1"/>
    <xf numFmtId="168" fontId="93" fillId="0" borderId="1" applyFont="0" applyFill="0" applyBorder="0" applyAlignment="0" applyProtection="0"/>
    <xf numFmtId="0" fontId="92" fillId="0" borderId="1"/>
    <xf numFmtId="168" fontId="92" fillId="0" borderId="1" applyFont="0" applyFill="0" applyBorder="0" applyAlignment="0" applyProtection="0"/>
    <xf numFmtId="0" fontId="91" fillId="0" borderId="1"/>
    <xf numFmtId="168" fontId="91" fillId="0" borderId="1" applyFont="0" applyFill="0" applyBorder="0" applyAlignment="0" applyProtection="0"/>
    <xf numFmtId="0" fontId="90" fillId="0" borderId="1"/>
    <xf numFmtId="168" fontId="90" fillId="0" borderId="1" applyFont="0" applyFill="0" applyBorder="0" applyAlignment="0" applyProtection="0"/>
    <xf numFmtId="0" fontId="89" fillId="0" borderId="1"/>
    <xf numFmtId="168" fontId="89" fillId="0" borderId="1" applyFont="0" applyFill="0" applyBorder="0" applyAlignment="0" applyProtection="0"/>
    <xf numFmtId="0" fontId="88" fillId="0" borderId="1"/>
    <xf numFmtId="168" fontId="88"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6" fillId="0" borderId="1"/>
    <xf numFmtId="168" fontId="86" fillId="0" borderId="1" applyFont="0" applyFill="0" applyBorder="0" applyAlignment="0" applyProtection="0"/>
    <xf numFmtId="0" fontId="85" fillId="0" borderId="1"/>
    <xf numFmtId="168" fontId="85" fillId="0" borderId="1" applyFont="0" applyFill="0" applyBorder="0" applyAlignment="0" applyProtection="0"/>
    <xf numFmtId="0" fontId="84" fillId="0" borderId="1"/>
    <xf numFmtId="168" fontId="84" fillId="0" borderId="1" applyFont="0" applyFill="0" applyBorder="0" applyAlignment="0" applyProtection="0"/>
    <xf numFmtId="0" fontId="83" fillId="0" borderId="1"/>
    <xf numFmtId="168" fontId="83" fillId="0" borderId="1" applyFont="0" applyFill="0" applyBorder="0" applyAlignment="0" applyProtection="0"/>
    <xf numFmtId="0" fontId="82" fillId="0" borderId="1"/>
    <xf numFmtId="168" fontId="82" fillId="0" borderId="1" applyFont="0" applyFill="0" applyBorder="0" applyAlignment="0" applyProtection="0"/>
    <xf numFmtId="0" fontId="81" fillId="0" borderId="1"/>
    <xf numFmtId="168" fontId="81" fillId="0" borderId="1" applyFont="0" applyFill="0" applyBorder="0" applyAlignment="0" applyProtection="0"/>
    <xf numFmtId="9"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0" fillId="0" borderId="1"/>
    <xf numFmtId="168" fontId="80" fillId="0" borderId="1" applyFont="0" applyFill="0" applyBorder="0" applyAlignment="0" applyProtection="0"/>
    <xf numFmtId="9"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9"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79" fillId="0" borderId="1"/>
    <xf numFmtId="168" fontId="79" fillId="0" borderId="1" applyFont="0" applyFill="0" applyBorder="0" applyAlignment="0" applyProtection="0"/>
    <xf numFmtId="0" fontId="78" fillId="0" borderId="1"/>
    <xf numFmtId="168" fontId="78" fillId="0" borderId="1" applyFont="0" applyFill="0" applyBorder="0" applyAlignment="0" applyProtection="0"/>
    <xf numFmtId="0" fontId="77" fillId="0" borderId="1"/>
    <xf numFmtId="168" fontId="77" fillId="0" borderId="1" applyFont="0" applyFill="0" applyBorder="0" applyAlignment="0" applyProtection="0"/>
    <xf numFmtId="0" fontId="76" fillId="0" borderId="1"/>
    <xf numFmtId="168" fontId="76" fillId="0" borderId="1" applyFont="0" applyFill="0" applyBorder="0" applyAlignment="0" applyProtection="0"/>
    <xf numFmtId="0" fontId="75" fillId="0" borderId="1"/>
    <xf numFmtId="168" fontId="75" fillId="0" borderId="1" applyFont="0" applyFill="0" applyBorder="0" applyAlignment="0" applyProtection="0"/>
    <xf numFmtId="9"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9"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9"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9"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168" fontId="75" fillId="0" borderId="1" applyFont="0" applyFill="0" applyBorder="0" applyAlignment="0" applyProtection="0"/>
    <xf numFmtId="9" fontId="75" fillId="0" borderId="1" applyFont="0" applyFill="0" applyBorder="0" applyAlignment="0" applyProtection="0"/>
    <xf numFmtId="44" fontId="75" fillId="0" borderId="1" applyFont="0" applyFill="0" applyBorder="0" applyAlignment="0" applyProtection="0"/>
    <xf numFmtId="0" fontId="74" fillId="0" borderId="1"/>
    <xf numFmtId="168" fontId="74" fillId="0" borderId="1" applyFont="0" applyFill="0" applyBorder="0" applyAlignment="0" applyProtection="0"/>
    <xf numFmtId="0" fontId="73" fillId="0" borderId="1"/>
    <xf numFmtId="168" fontId="73" fillId="0" borderId="1" applyFont="0" applyFill="0" applyBorder="0" applyAlignment="0" applyProtection="0"/>
    <xf numFmtId="0" fontId="72" fillId="0" borderId="1"/>
    <xf numFmtId="168" fontId="72" fillId="0" borderId="1" applyFont="0" applyFill="0" applyBorder="0" applyAlignment="0" applyProtection="0"/>
    <xf numFmtId="0" fontId="71" fillId="0" borderId="1"/>
    <xf numFmtId="168" fontId="71" fillId="0" borderId="1" applyFont="0" applyFill="0" applyBorder="0" applyAlignment="0" applyProtection="0"/>
    <xf numFmtId="9"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9"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9"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9"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9"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9"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9"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9"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168" fontId="71" fillId="0" borderId="1" applyFont="0" applyFill="0" applyBorder="0" applyAlignment="0" applyProtection="0"/>
    <xf numFmtId="9"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168" fontId="71" fillId="0" borderId="1" applyFont="0" applyFill="0" applyBorder="0" applyAlignment="0" applyProtection="0"/>
    <xf numFmtId="9" fontId="71" fillId="0" borderId="1" applyFont="0" applyFill="0" applyBorder="0" applyAlignment="0" applyProtection="0"/>
    <xf numFmtId="44" fontId="71" fillId="0" borderId="1" applyFont="0" applyFill="0" applyBorder="0" applyAlignment="0" applyProtection="0"/>
    <xf numFmtId="0" fontId="70" fillId="0" borderId="1"/>
    <xf numFmtId="168" fontId="70" fillId="0" borderId="1" applyFont="0" applyFill="0" applyBorder="0" applyAlignment="0" applyProtection="0"/>
    <xf numFmtId="0" fontId="69" fillId="0" borderId="1"/>
    <xf numFmtId="168" fontId="69" fillId="0" borderId="1" applyFont="0" applyFill="0" applyBorder="0" applyAlignment="0" applyProtection="0"/>
    <xf numFmtId="0" fontId="68" fillId="0" borderId="1"/>
    <xf numFmtId="168" fontId="68"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9"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9"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9"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9"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9"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9"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9"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168" fontId="67" fillId="0" borderId="1" applyFont="0" applyFill="0" applyBorder="0" applyAlignment="0" applyProtection="0"/>
    <xf numFmtId="9"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9"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9"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9"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9"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9"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9"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9"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9"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168" fontId="67" fillId="0" borderId="1" applyFont="0" applyFill="0" applyBorder="0" applyAlignment="0" applyProtection="0"/>
    <xf numFmtId="9"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168" fontId="67" fillId="0" borderId="1" applyFont="0" applyFill="0" applyBorder="0" applyAlignment="0" applyProtection="0"/>
    <xf numFmtId="9"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6" fillId="0" borderId="1"/>
    <xf numFmtId="168" fontId="66" fillId="0" borderId="1" applyFont="0" applyFill="0" applyBorder="0" applyAlignment="0" applyProtection="0"/>
    <xf numFmtId="0" fontId="65" fillId="0" borderId="1"/>
    <xf numFmtId="168" fontId="65" fillId="0" borderId="1" applyFont="0" applyFill="0" applyBorder="0" applyAlignment="0" applyProtection="0"/>
    <xf numFmtId="0" fontId="64" fillId="0" borderId="1"/>
    <xf numFmtId="0" fontId="64" fillId="0" borderId="1"/>
    <xf numFmtId="9" fontId="64" fillId="0" borderId="1" applyFont="0" applyFill="0" applyBorder="0" applyAlignment="0" applyProtection="0"/>
    <xf numFmtId="165" fontId="64" fillId="0" borderId="1" applyFont="0" applyFill="0" applyBorder="0" applyAlignment="0" applyProtection="0"/>
    <xf numFmtId="0" fontId="63" fillId="0" borderId="1"/>
    <xf numFmtId="168" fontId="63" fillId="0" borderId="1" applyFont="0" applyFill="0" applyBorder="0" applyAlignment="0" applyProtection="0"/>
    <xf numFmtId="0" fontId="62" fillId="0" borderId="1"/>
    <xf numFmtId="0" fontId="61" fillId="0" borderId="1"/>
    <xf numFmtId="0" fontId="60" fillId="0" borderId="1"/>
    <xf numFmtId="0" fontId="59" fillId="0" borderId="1"/>
    <xf numFmtId="0" fontId="58" fillId="0" borderId="1"/>
    <xf numFmtId="168" fontId="58" fillId="0" borderId="1" applyFont="0" applyFill="0" applyBorder="0" applyAlignment="0" applyProtection="0"/>
    <xf numFmtId="9"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9"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9"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9"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9"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9"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9"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9"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168" fontId="58" fillId="0" borderId="1" applyFont="0" applyFill="0" applyBorder="0" applyAlignment="0" applyProtection="0"/>
    <xf numFmtId="9"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9"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9"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9"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9"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9"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9"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9"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9"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168" fontId="58" fillId="0" borderId="1" applyFont="0" applyFill="0" applyBorder="0" applyAlignment="0" applyProtection="0"/>
    <xf numFmtId="9"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168" fontId="58" fillId="0" borderId="1" applyFont="0" applyFill="0" applyBorder="0" applyAlignment="0" applyProtection="0"/>
    <xf numFmtId="9"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9"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9"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9"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9"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9"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9"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9"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168" fontId="58" fillId="0" borderId="1" applyFont="0" applyFill="0" applyBorder="0" applyAlignment="0" applyProtection="0"/>
    <xf numFmtId="9"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9"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9"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9"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9"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9"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9"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9"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9"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168" fontId="58" fillId="0" borderId="1" applyFont="0" applyFill="0" applyBorder="0" applyAlignment="0" applyProtection="0"/>
    <xf numFmtId="9"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168" fontId="58" fillId="0" borderId="1" applyFont="0" applyFill="0" applyBorder="0" applyAlignment="0" applyProtection="0"/>
    <xf numFmtId="9"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9" fontId="58" fillId="0" borderId="1" applyFont="0" applyFill="0" applyBorder="0" applyAlignment="0" applyProtection="0"/>
    <xf numFmtId="167"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0" fontId="58" fillId="0" borderId="1"/>
    <xf numFmtId="0" fontId="58" fillId="0" borderId="1"/>
    <xf numFmtId="0" fontId="181" fillId="0" borderId="0" applyNumberFormat="0" applyFill="0" applyBorder="0" applyAlignment="0" applyProtection="0"/>
    <xf numFmtId="0" fontId="57" fillId="0" borderId="1"/>
    <xf numFmtId="0" fontId="56" fillId="0" borderId="1"/>
    <xf numFmtId="0" fontId="55" fillId="0" borderId="1"/>
    <xf numFmtId="0" fontId="54" fillId="0" borderId="1"/>
    <xf numFmtId="0" fontId="53" fillId="0" borderId="1"/>
    <xf numFmtId="0" fontId="51" fillId="0" borderId="1"/>
    <xf numFmtId="0" fontId="50" fillId="0" borderId="1"/>
    <xf numFmtId="0" fontId="49" fillId="0" borderId="1"/>
    <xf numFmtId="0" fontId="47" fillId="0" borderId="1"/>
    <xf numFmtId="0" fontId="46" fillId="0" borderId="1"/>
    <xf numFmtId="0" fontId="45" fillId="0" borderId="1"/>
    <xf numFmtId="0" fontId="44" fillId="0" borderId="1"/>
    <xf numFmtId="0" fontId="43" fillId="0" borderId="1"/>
    <xf numFmtId="0" fontId="42" fillId="0" borderId="1"/>
    <xf numFmtId="0" fontId="41" fillId="0" borderId="1"/>
    <xf numFmtId="0" fontId="40" fillId="0" borderId="1"/>
    <xf numFmtId="0" fontId="39" fillId="0" borderId="1"/>
    <xf numFmtId="0" fontId="38" fillId="0" borderId="1"/>
    <xf numFmtId="0" fontId="37" fillId="0" borderId="1"/>
    <xf numFmtId="0" fontId="36" fillId="0" borderId="1"/>
    <xf numFmtId="0" fontId="35" fillId="0" borderId="1"/>
    <xf numFmtId="0" fontId="34" fillId="0" borderId="1"/>
    <xf numFmtId="0" fontId="33" fillId="0" borderId="1"/>
    <xf numFmtId="0" fontId="32" fillId="0" borderId="1"/>
    <xf numFmtId="0" fontId="31" fillId="0" borderId="1"/>
    <xf numFmtId="0" fontId="30" fillId="0" borderId="1"/>
    <xf numFmtId="0" fontId="29" fillId="0" borderId="1"/>
    <xf numFmtId="0" fontId="28" fillId="0" borderId="1"/>
    <xf numFmtId="0" fontId="27" fillId="0" borderId="1"/>
    <xf numFmtId="0" fontId="26" fillId="0" borderId="1"/>
    <xf numFmtId="0" fontId="25" fillId="0" borderId="1"/>
    <xf numFmtId="0" fontId="24" fillId="0" borderId="1"/>
    <xf numFmtId="0" fontId="23" fillId="0" borderId="1"/>
    <xf numFmtId="0" fontId="21" fillId="0" borderId="1"/>
    <xf numFmtId="0" fontId="20" fillId="0" borderId="1"/>
    <xf numFmtId="0" fontId="19" fillId="0" borderId="1"/>
    <xf numFmtId="0" fontId="18" fillId="0" borderId="1"/>
    <xf numFmtId="0" fontId="17" fillId="0" borderId="1"/>
    <xf numFmtId="0" fontId="16" fillId="0" borderId="1"/>
    <xf numFmtId="0" fontId="15" fillId="0" borderId="1"/>
    <xf numFmtId="0" fontId="14" fillId="0" borderId="1"/>
    <xf numFmtId="0" fontId="13" fillId="0" borderId="1"/>
    <xf numFmtId="0" fontId="12" fillId="0" borderId="1"/>
    <xf numFmtId="0" fontId="11" fillId="0" borderId="1"/>
    <xf numFmtId="0" fontId="10" fillId="0" borderId="1"/>
    <xf numFmtId="0" fontId="9" fillId="0" borderId="1"/>
    <xf numFmtId="0" fontId="8" fillId="0" borderId="1"/>
    <xf numFmtId="0" fontId="7" fillId="0" borderId="1"/>
    <xf numFmtId="0" fontId="6" fillId="0" borderId="1"/>
    <xf numFmtId="0" fontId="5" fillId="0" borderId="1"/>
    <xf numFmtId="0" fontId="4" fillId="0" borderId="1"/>
    <xf numFmtId="0" fontId="3" fillId="0" borderId="1"/>
    <xf numFmtId="0" fontId="2" fillId="0" borderId="1"/>
    <xf numFmtId="0" fontId="1" fillId="0" borderId="1"/>
  </cellStyleXfs>
  <cellXfs count="1271">
    <xf numFmtId="0" fontId="0" fillId="0" borderId="0" xfId="0"/>
    <xf numFmtId="0" fontId="106" fillId="0" borderId="0" xfId="0" applyFont="1"/>
    <xf numFmtId="0" fontId="107" fillId="2" borderId="1" xfId="0" applyFont="1" applyFill="1" applyBorder="1" applyAlignment="1">
      <alignment horizontal="center"/>
    </xf>
    <xf numFmtId="0" fontId="107" fillId="0" borderId="0" xfId="0" applyFont="1"/>
    <xf numFmtId="0" fontId="108" fillId="0" borderId="0" xfId="0" applyFont="1" applyAlignment="1">
      <alignment horizontal="center"/>
    </xf>
    <xf numFmtId="0" fontId="109" fillId="0" borderId="0" xfId="0" applyFont="1"/>
    <xf numFmtId="0" fontId="106" fillId="0" borderId="0" xfId="0" applyFont="1" applyAlignment="1">
      <alignment horizontal="center"/>
    </xf>
    <xf numFmtId="169" fontId="107" fillId="0" borderId="0" xfId="0" applyNumberFormat="1" applyFont="1" applyAlignment="1">
      <alignment horizontal="center"/>
    </xf>
    <xf numFmtId="0" fontId="110" fillId="0" borderId="0" xfId="0" applyFont="1" applyAlignment="1">
      <alignment horizontal="left"/>
    </xf>
    <xf numFmtId="0" fontId="111" fillId="0" borderId="0" xfId="0" applyFont="1" applyAlignment="1">
      <alignment horizontal="center"/>
    </xf>
    <xf numFmtId="0" fontId="111" fillId="0" borderId="0" xfId="0" applyFont="1" applyAlignment="1">
      <alignment horizontal="right"/>
    </xf>
    <xf numFmtId="0" fontId="110" fillId="0" borderId="0" xfId="0" applyFont="1"/>
    <xf numFmtId="0" fontId="107" fillId="0" borderId="2" xfId="0" applyFont="1" applyBorder="1"/>
    <xf numFmtId="0" fontId="112" fillId="0" borderId="3" xfId="0" applyFont="1" applyBorder="1"/>
    <xf numFmtId="41" fontId="112" fillId="0" borderId="4" xfId="0" applyNumberFormat="1" applyFont="1" applyBorder="1"/>
    <xf numFmtId="170" fontId="112" fillId="0" borderId="0" xfId="0" applyNumberFormat="1" applyFont="1"/>
    <xf numFmtId="170" fontId="112" fillId="0" borderId="5" xfId="0" applyNumberFormat="1" applyFont="1" applyBorder="1"/>
    <xf numFmtId="0" fontId="113" fillId="0" borderId="6" xfId="0" applyFont="1" applyBorder="1"/>
    <xf numFmtId="41" fontId="113" fillId="0" borderId="7" xfId="0" applyNumberFormat="1" applyFont="1" applyBorder="1"/>
    <xf numFmtId="170" fontId="113" fillId="0" borderId="0" xfId="0" applyNumberFormat="1" applyFont="1"/>
    <xf numFmtId="0" fontId="112" fillId="0" borderId="8" xfId="0" applyFont="1" applyBorder="1"/>
    <xf numFmtId="41" fontId="112" fillId="0" borderId="9" xfId="0" applyNumberFormat="1" applyFont="1" applyBorder="1"/>
    <xf numFmtId="0" fontId="113" fillId="0" borderId="8" xfId="0" applyFont="1" applyBorder="1"/>
    <xf numFmtId="0" fontId="113" fillId="3" borderId="10" xfId="0" applyFont="1" applyFill="1" applyBorder="1"/>
    <xf numFmtId="41" fontId="113" fillId="3" borderId="11" xfId="0" applyNumberFormat="1" applyFont="1" applyFill="1" applyBorder="1"/>
    <xf numFmtId="0" fontId="113" fillId="3" borderId="12" xfId="0" applyFont="1" applyFill="1" applyBorder="1"/>
    <xf numFmtId="41" fontId="113" fillId="3" borderId="13" xfId="0" applyNumberFormat="1" applyFont="1" applyFill="1" applyBorder="1"/>
    <xf numFmtId="0" fontId="113" fillId="0" borderId="0" xfId="0" applyFont="1"/>
    <xf numFmtId="41" fontId="112" fillId="0" borderId="7" xfId="0" applyNumberFormat="1" applyFont="1" applyBorder="1"/>
    <xf numFmtId="170" fontId="107" fillId="0" borderId="0" xfId="0" applyNumberFormat="1" applyFont="1"/>
    <xf numFmtId="0" fontId="107" fillId="0" borderId="8" xfId="0" applyFont="1" applyBorder="1"/>
    <xf numFmtId="41" fontId="107" fillId="0" borderId="9" xfId="0" applyNumberFormat="1" applyFont="1" applyBorder="1"/>
    <xf numFmtId="171" fontId="107" fillId="0" borderId="0" xfId="0" applyNumberFormat="1" applyFont="1"/>
    <xf numFmtId="0" fontId="107" fillId="0" borderId="0" xfId="0" applyFont="1" applyAlignment="1">
      <alignment horizontal="center"/>
    </xf>
    <xf numFmtId="0" fontId="115" fillId="0" borderId="0" xfId="0" applyFont="1" applyAlignment="1">
      <alignment horizontal="center"/>
    </xf>
    <xf numFmtId="0" fontId="111" fillId="4" borderId="15" xfId="0" applyFont="1" applyFill="1" applyBorder="1" applyAlignment="1">
      <alignment horizontal="center"/>
    </xf>
    <xf numFmtId="0" fontId="111" fillId="0" borderId="0" xfId="0" applyFont="1"/>
    <xf numFmtId="172" fontId="116" fillId="0" borderId="0" xfId="0" applyNumberFormat="1" applyFont="1" applyAlignment="1">
      <alignment horizontal="left"/>
    </xf>
    <xf numFmtId="0" fontId="116" fillId="0" borderId="0" xfId="0" applyFont="1"/>
    <xf numFmtId="0" fontId="117" fillId="0" borderId="0" xfId="0" applyFont="1" applyAlignment="1">
      <alignment horizontal="center"/>
    </xf>
    <xf numFmtId="0" fontId="110" fillId="5" borderId="16" xfId="0" applyFont="1" applyFill="1" applyBorder="1" applyAlignment="1">
      <alignment horizontal="center"/>
    </xf>
    <xf numFmtId="0" fontId="117" fillId="0" borderId="0" xfId="0" applyFont="1"/>
    <xf numFmtId="0" fontId="117" fillId="5" borderId="19" xfId="0" applyFont="1" applyFill="1" applyBorder="1"/>
    <xf numFmtId="0" fontId="117" fillId="5" borderId="22" xfId="0" applyFont="1" applyFill="1" applyBorder="1"/>
    <xf numFmtId="0" fontId="117" fillId="5" borderId="20" xfId="0" applyFont="1" applyFill="1" applyBorder="1"/>
    <xf numFmtId="0" fontId="110" fillId="5" borderId="19" xfId="0" applyFont="1" applyFill="1" applyBorder="1"/>
    <xf numFmtId="0" fontId="110" fillId="5" borderId="22" xfId="0" applyFont="1" applyFill="1" applyBorder="1"/>
    <xf numFmtId="0" fontId="110" fillId="5" borderId="20" xfId="0" applyFont="1" applyFill="1" applyBorder="1"/>
    <xf numFmtId="0" fontId="117" fillId="5" borderId="1" xfId="0" applyFont="1" applyFill="1" applyBorder="1"/>
    <xf numFmtId="0" fontId="110" fillId="5" borderId="10" xfId="0" applyFont="1" applyFill="1" applyBorder="1"/>
    <xf numFmtId="0" fontId="110" fillId="5" borderId="12" xfId="0" applyFont="1" applyFill="1" applyBorder="1"/>
    <xf numFmtId="0" fontId="110" fillId="5" borderId="1" xfId="0" applyFont="1" applyFill="1" applyBorder="1"/>
    <xf numFmtId="0" fontId="110" fillId="5" borderId="20" xfId="0" applyFont="1" applyFill="1" applyBorder="1" applyAlignment="1">
      <alignment horizontal="left"/>
    </xf>
    <xf numFmtId="0" fontId="110" fillId="5" borderId="28" xfId="0" applyFont="1" applyFill="1" applyBorder="1"/>
    <xf numFmtId="0" fontId="118" fillId="5" borderId="20" xfId="0" applyFont="1" applyFill="1" applyBorder="1"/>
    <xf numFmtId="0" fontId="118" fillId="5" borderId="22" xfId="0" applyFont="1" applyFill="1" applyBorder="1"/>
    <xf numFmtId="0" fontId="110" fillId="5" borderId="31" xfId="0" applyFont="1" applyFill="1" applyBorder="1"/>
    <xf numFmtId="0" fontId="110" fillId="5" borderId="32" xfId="0" applyFont="1" applyFill="1" applyBorder="1"/>
    <xf numFmtId="0" fontId="119" fillId="5" borderId="1" xfId="0" applyFont="1" applyFill="1" applyBorder="1"/>
    <xf numFmtId="0" fontId="119" fillId="0" borderId="0" xfId="0" applyFont="1"/>
    <xf numFmtId="0" fontId="116" fillId="5" borderId="1" xfId="0" applyFont="1" applyFill="1" applyBorder="1"/>
    <xf numFmtId="0" fontId="111" fillId="5" borderId="1" xfId="0" applyFont="1" applyFill="1" applyBorder="1"/>
    <xf numFmtId="172" fontId="116" fillId="5" borderId="1" xfId="0" applyNumberFormat="1" applyFont="1" applyFill="1" applyBorder="1" applyAlignment="1">
      <alignment horizontal="left"/>
    </xf>
    <xf numFmtId="0" fontId="118" fillId="5" borderId="19" xfId="0" applyFont="1" applyFill="1" applyBorder="1"/>
    <xf numFmtId="0" fontId="110" fillId="5" borderId="33" xfId="0" applyFont="1" applyFill="1" applyBorder="1"/>
    <xf numFmtId="0" fontId="110" fillId="5" borderId="34" xfId="0" applyFont="1" applyFill="1" applyBorder="1"/>
    <xf numFmtId="0" fontId="110" fillId="5" borderId="37" xfId="0" applyFont="1" applyFill="1" applyBorder="1"/>
    <xf numFmtId="0" fontId="120" fillId="5" borderId="1" xfId="0" applyFont="1" applyFill="1" applyBorder="1" applyAlignment="1">
      <alignment horizontal="center" vertical="center"/>
    </xf>
    <xf numFmtId="0" fontId="120" fillId="5" borderId="22" xfId="0" applyFont="1" applyFill="1" applyBorder="1"/>
    <xf numFmtId="0" fontId="120" fillId="5" borderId="20" xfId="0" applyFont="1" applyFill="1" applyBorder="1"/>
    <xf numFmtId="0" fontId="120" fillId="5" borderId="28" xfId="0" applyFont="1" applyFill="1" applyBorder="1"/>
    <xf numFmtId="0" fontId="120" fillId="5" borderId="19" xfId="0" applyFont="1" applyFill="1" applyBorder="1"/>
    <xf numFmtId="0" fontId="120" fillId="5" borderId="37" xfId="0" applyFont="1" applyFill="1" applyBorder="1"/>
    <xf numFmtId="0" fontId="120" fillId="5" borderId="40" xfId="0" applyFont="1" applyFill="1" applyBorder="1"/>
    <xf numFmtId="0" fontId="116" fillId="5" borderId="41" xfId="0" applyFont="1" applyFill="1" applyBorder="1"/>
    <xf numFmtId="0" fontId="118" fillId="5" borderId="41" xfId="0" applyFont="1" applyFill="1" applyBorder="1"/>
    <xf numFmtId="0" fontId="117" fillId="5" borderId="41" xfId="0" applyFont="1" applyFill="1" applyBorder="1"/>
    <xf numFmtId="0" fontId="117" fillId="5" borderId="42" xfId="0" applyFont="1" applyFill="1" applyBorder="1"/>
    <xf numFmtId="0" fontId="120" fillId="5" borderId="43" xfId="0" applyFont="1" applyFill="1" applyBorder="1"/>
    <xf numFmtId="0" fontId="121" fillId="6" borderId="1" xfId="0" applyFont="1" applyFill="1" applyBorder="1"/>
    <xf numFmtId="0" fontId="116" fillId="6" borderId="1" xfId="0" applyFont="1" applyFill="1" applyBorder="1"/>
    <xf numFmtId="0" fontId="122" fillId="6" borderId="1" xfId="0" applyFont="1" applyFill="1" applyBorder="1"/>
    <xf numFmtId="0" fontId="123" fillId="6" borderId="1" xfId="0" applyFont="1" applyFill="1" applyBorder="1" applyAlignment="1">
      <alignment horizontal="center" vertical="center"/>
    </xf>
    <xf numFmtId="0" fontId="116" fillId="6" borderId="1" xfId="0" applyFont="1" applyFill="1" applyBorder="1" applyAlignment="1">
      <alignment horizontal="center" vertical="center"/>
    </xf>
    <xf numFmtId="0" fontId="121" fillId="6" borderId="1" xfId="0" applyFont="1" applyFill="1" applyBorder="1" applyAlignment="1">
      <alignment horizontal="center"/>
    </xf>
    <xf numFmtId="0" fontId="116" fillId="6" borderId="1" xfId="0" applyFont="1" applyFill="1" applyBorder="1" applyAlignment="1">
      <alignment horizontal="center"/>
    </xf>
    <xf numFmtId="0" fontId="124" fillId="6" borderId="1" xfId="0" applyFont="1" applyFill="1" applyBorder="1" applyAlignment="1">
      <alignment horizontal="center"/>
    </xf>
    <xf numFmtId="174" fontId="116" fillId="6" borderId="1" xfId="0" applyNumberFormat="1" applyFont="1" applyFill="1" applyBorder="1"/>
    <xf numFmtId="37" fontId="116" fillId="6" borderId="1" xfId="0" applyNumberFormat="1" applyFont="1" applyFill="1" applyBorder="1"/>
    <xf numFmtId="174" fontId="121" fillId="6" borderId="1" xfId="0" applyNumberFormat="1" applyFont="1" applyFill="1" applyBorder="1"/>
    <xf numFmtId="37" fontId="121" fillId="6" borderId="1" xfId="0" applyNumberFormat="1" applyFont="1" applyFill="1" applyBorder="1"/>
    <xf numFmtId="0" fontId="125" fillId="6" borderId="1" xfId="0" applyFont="1" applyFill="1" applyBorder="1"/>
    <xf numFmtId="0" fontId="124" fillId="6" borderId="1" xfId="0" applyFont="1" applyFill="1" applyBorder="1" applyAlignment="1">
      <alignment horizontal="left"/>
    </xf>
    <xf numFmtId="0" fontId="126" fillId="6" borderId="1" xfId="0" applyFont="1" applyFill="1" applyBorder="1"/>
    <xf numFmtId="37" fontId="116" fillId="0" borderId="0" xfId="0" applyNumberFormat="1" applyFont="1"/>
    <xf numFmtId="0" fontId="127" fillId="0" borderId="0" xfId="0" applyFont="1"/>
    <xf numFmtId="0" fontId="128" fillId="0" borderId="0" xfId="0" applyFont="1"/>
    <xf numFmtId="0" fontId="129" fillId="0" borderId="0" xfId="0" applyFont="1" applyAlignment="1">
      <alignment horizontal="center"/>
    </xf>
    <xf numFmtId="0" fontId="106" fillId="7" borderId="1" xfId="0" applyFont="1" applyFill="1" applyBorder="1" applyAlignment="1">
      <alignment horizontal="center"/>
    </xf>
    <xf numFmtId="0" fontId="106" fillId="8" borderId="45" xfId="0" applyFont="1" applyFill="1" applyBorder="1" applyAlignment="1">
      <alignment horizontal="center" vertical="center" wrapText="1"/>
    </xf>
    <xf numFmtId="0" fontId="106" fillId="8" borderId="46" xfId="0" applyFont="1" applyFill="1" applyBorder="1" applyAlignment="1">
      <alignment horizontal="center" vertical="center" wrapText="1"/>
    </xf>
    <xf numFmtId="0" fontId="106" fillId="8" borderId="47" xfId="0" applyFont="1" applyFill="1" applyBorder="1" applyAlignment="1">
      <alignment horizontal="center" vertical="center" wrapText="1"/>
    </xf>
    <xf numFmtId="0" fontId="106" fillId="8" borderId="48" xfId="0" applyFont="1" applyFill="1" applyBorder="1" applyAlignment="1">
      <alignment horizontal="center" vertical="center" wrapText="1"/>
    </xf>
    <xf numFmtId="169" fontId="130" fillId="9" borderId="52" xfId="0" applyNumberFormat="1" applyFont="1" applyFill="1" applyBorder="1" applyAlignment="1">
      <alignment horizontal="center" vertical="center"/>
    </xf>
    <xf numFmtId="169" fontId="130" fillId="9" borderId="53" xfId="0" applyNumberFormat="1" applyFont="1" applyFill="1" applyBorder="1" applyAlignment="1">
      <alignment horizontal="center" vertical="center"/>
    </xf>
    <xf numFmtId="3" fontId="106" fillId="9" borderId="52" xfId="0" applyNumberFormat="1" applyFont="1" applyFill="1" applyBorder="1" applyAlignment="1">
      <alignment horizontal="center" vertical="center"/>
    </xf>
    <xf numFmtId="3" fontId="106" fillId="9" borderId="53" xfId="0" applyNumberFormat="1" applyFont="1" applyFill="1" applyBorder="1" applyAlignment="1">
      <alignment horizontal="center" vertical="center"/>
    </xf>
    <xf numFmtId="0" fontId="107" fillId="9" borderId="54" xfId="0" applyFont="1" applyFill="1" applyBorder="1" applyAlignment="1">
      <alignment wrapText="1"/>
    </xf>
    <xf numFmtId="0" fontId="107" fillId="0" borderId="44" xfId="0" applyFont="1" applyBorder="1" applyAlignment="1">
      <alignment horizontal="center" vertical="center" wrapText="1"/>
    </xf>
    <xf numFmtId="0" fontId="107" fillId="0" borderId="44" xfId="0" applyFont="1" applyBorder="1" applyAlignment="1">
      <alignment horizontal="center" vertical="center"/>
    </xf>
    <xf numFmtId="0" fontId="107" fillId="0" borderId="55" xfId="0" applyFont="1" applyBorder="1" applyAlignment="1">
      <alignment horizontal="left" vertical="center" wrapText="1"/>
    </xf>
    <xf numFmtId="37" fontId="107" fillId="0" borderId="0" xfId="0" applyNumberFormat="1" applyFont="1" applyAlignment="1">
      <alignment horizontal="center" vertical="center"/>
    </xf>
    <xf numFmtId="37" fontId="107" fillId="0" borderId="56" xfId="0" applyNumberFormat="1" applyFont="1" applyBorder="1" applyAlignment="1">
      <alignment horizontal="center" vertical="center"/>
    </xf>
    <xf numFmtId="0" fontId="107" fillId="0" borderId="57" xfId="0" applyFont="1" applyBorder="1" applyAlignment="1">
      <alignment horizontal="center" vertical="center" wrapText="1"/>
    </xf>
    <xf numFmtId="0" fontId="107" fillId="0" borderId="57" xfId="0" applyFont="1" applyBorder="1" applyAlignment="1">
      <alignment horizontal="center" vertical="center"/>
    </xf>
    <xf numFmtId="0" fontId="107" fillId="0" borderId="56" xfId="0" applyFont="1" applyBorder="1" applyAlignment="1">
      <alignment horizontal="left" vertical="center" wrapText="1"/>
    </xf>
    <xf numFmtId="0" fontId="107" fillId="0" borderId="55" xfId="0" applyFont="1" applyBorder="1" applyAlignment="1">
      <alignment horizontal="center" vertical="center" wrapText="1"/>
    </xf>
    <xf numFmtId="0" fontId="107" fillId="0" borderId="56" xfId="0" applyFont="1" applyBorder="1" applyAlignment="1">
      <alignment horizontal="center" vertical="center" wrapText="1"/>
    </xf>
    <xf numFmtId="0" fontId="107" fillId="0" borderId="49" xfId="0" applyFont="1" applyBorder="1" applyAlignment="1">
      <alignment horizontal="center" vertical="center" wrapText="1"/>
    </xf>
    <xf numFmtId="0" fontId="107" fillId="0" borderId="49" xfId="0" applyFont="1" applyBorder="1" applyAlignment="1">
      <alignment horizontal="center" vertical="center"/>
    </xf>
    <xf numFmtId="0" fontId="107" fillId="0" borderId="58" xfId="0" applyFont="1" applyBorder="1" applyAlignment="1">
      <alignment horizontal="center" vertical="center" wrapText="1"/>
    </xf>
    <xf numFmtId="0" fontId="107" fillId="0" borderId="59" xfId="0" applyFont="1" applyBorder="1" applyAlignment="1">
      <alignment horizontal="center" vertical="center" wrapText="1"/>
    </xf>
    <xf numFmtId="37" fontId="107" fillId="0" borderId="58" xfId="0" applyNumberFormat="1" applyFont="1" applyBorder="1" applyAlignment="1">
      <alignment horizontal="center" vertical="center"/>
    </xf>
    <xf numFmtId="37" fontId="107" fillId="0" borderId="60" xfId="0" applyNumberFormat="1" applyFont="1" applyBorder="1" applyAlignment="1">
      <alignment horizontal="center" vertical="center"/>
    </xf>
    <xf numFmtId="0" fontId="107" fillId="0" borderId="0" xfId="0" applyFont="1" applyAlignment="1">
      <alignment wrapText="1"/>
    </xf>
    <xf numFmtId="0" fontId="107" fillId="0" borderId="0" xfId="0" applyFont="1" applyAlignment="1">
      <alignment horizontal="center" wrapText="1"/>
    </xf>
    <xf numFmtId="0" fontId="107" fillId="0" borderId="0" xfId="0" applyFont="1" applyAlignment="1">
      <alignment horizontal="right"/>
    </xf>
    <xf numFmtId="166" fontId="107" fillId="0" borderId="0" xfId="0" applyNumberFormat="1" applyFont="1" applyAlignment="1">
      <alignment horizontal="center"/>
    </xf>
    <xf numFmtId="0" fontId="107" fillId="0" borderId="61" xfId="0" applyFont="1" applyBorder="1" applyAlignment="1">
      <alignment horizontal="right" vertical="center"/>
    </xf>
    <xf numFmtId="0" fontId="107" fillId="0" borderId="61" xfId="0" applyFont="1" applyBorder="1" applyAlignment="1">
      <alignment vertical="center"/>
    </xf>
    <xf numFmtId="0" fontId="107" fillId="7" borderId="61" xfId="0" applyFont="1" applyFill="1" applyBorder="1" applyAlignment="1">
      <alignment horizontal="right" vertical="center" wrapText="1"/>
    </xf>
    <xf numFmtId="0" fontId="107" fillId="0" borderId="61" xfId="0" applyFont="1" applyBorder="1" applyAlignment="1">
      <alignment horizontal="center" vertical="center"/>
    </xf>
    <xf numFmtId="0" fontId="107" fillId="0" borderId="61" xfId="0" applyFont="1" applyBorder="1" applyAlignment="1">
      <alignment horizontal="center" vertical="center" wrapText="1"/>
    </xf>
    <xf numFmtId="0" fontId="107" fillId="0" borderId="0" xfId="0" applyFont="1" applyAlignment="1">
      <alignment horizontal="left"/>
    </xf>
    <xf numFmtId="166" fontId="107" fillId="0" borderId="0" xfId="0" applyNumberFormat="1" applyFont="1"/>
    <xf numFmtId="166" fontId="107" fillId="0" borderId="62" xfId="0" applyNumberFormat="1" applyFont="1" applyBorder="1"/>
    <xf numFmtId="166" fontId="107" fillId="0" borderId="63" xfId="0" applyNumberFormat="1" applyFont="1" applyBorder="1"/>
    <xf numFmtId="43" fontId="107" fillId="0" borderId="64" xfId="0" applyNumberFormat="1" applyFont="1" applyBorder="1"/>
    <xf numFmtId="0" fontId="108" fillId="0" borderId="0" xfId="0" applyFont="1"/>
    <xf numFmtId="176" fontId="108" fillId="0" borderId="0" xfId="0" applyNumberFormat="1" applyFont="1" applyAlignment="1">
      <alignment horizontal="left"/>
    </xf>
    <xf numFmtId="0" fontId="132" fillId="0" borderId="0" xfId="0" applyFont="1" applyAlignment="1">
      <alignment horizontal="center"/>
    </xf>
    <xf numFmtId="49" fontId="108" fillId="0" borderId="0" xfId="0" applyNumberFormat="1" applyFont="1" applyAlignment="1">
      <alignment horizontal="center" vertical="center"/>
    </xf>
    <xf numFmtId="171" fontId="108" fillId="10" borderId="1" xfId="0" applyNumberFormat="1" applyFont="1" applyFill="1" applyBorder="1" applyAlignment="1">
      <alignment horizontal="center" vertical="center"/>
    </xf>
    <xf numFmtId="171" fontId="108" fillId="10" borderId="1" xfId="0" applyNumberFormat="1" applyFont="1" applyFill="1" applyBorder="1" applyAlignment="1">
      <alignment horizontal="center"/>
    </xf>
    <xf numFmtId="174" fontId="108" fillId="0" borderId="0" xfId="0" applyNumberFormat="1" applyFont="1" applyAlignment="1">
      <alignment horizontal="center"/>
    </xf>
    <xf numFmtId="171" fontId="108" fillId="0" borderId="0" xfId="0" applyNumberFormat="1" applyFont="1"/>
    <xf numFmtId="166" fontId="108" fillId="0" borderId="0" xfId="0" applyNumberFormat="1" applyFont="1" applyAlignment="1">
      <alignment horizontal="center"/>
    </xf>
    <xf numFmtId="166" fontId="108" fillId="0" borderId="0" xfId="0" applyNumberFormat="1" applyFont="1"/>
    <xf numFmtId="0" fontId="108" fillId="11" borderId="1" xfId="0" applyFont="1" applyFill="1" applyBorder="1" applyAlignment="1">
      <alignment horizontal="center"/>
    </xf>
    <xf numFmtId="177" fontId="108" fillId="0" borderId="0" xfId="0" applyNumberFormat="1" applyFont="1"/>
    <xf numFmtId="165" fontId="108" fillId="0" borderId="0" xfId="0" applyNumberFormat="1" applyFont="1"/>
    <xf numFmtId="0" fontId="108" fillId="11" borderId="1" xfId="0" applyFont="1" applyFill="1" applyBorder="1" applyAlignment="1">
      <alignment horizontal="right"/>
    </xf>
    <xf numFmtId="166" fontId="108" fillId="11" borderId="1" xfId="0" applyNumberFormat="1" applyFont="1" applyFill="1" applyBorder="1"/>
    <xf numFmtId="0" fontId="108" fillId="10" borderId="1" xfId="0" applyFont="1" applyFill="1" applyBorder="1"/>
    <xf numFmtId="0" fontId="106" fillId="12" borderId="61" xfId="0" applyFont="1" applyFill="1" applyBorder="1" applyAlignment="1">
      <alignment horizontal="center"/>
    </xf>
    <xf numFmtId="0" fontId="106" fillId="12" borderId="65" xfId="0" applyFont="1" applyFill="1" applyBorder="1" applyAlignment="1">
      <alignment horizontal="center"/>
    </xf>
    <xf numFmtId="0" fontId="106" fillId="12" borderId="66" xfId="0" applyFont="1" applyFill="1" applyBorder="1" applyAlignment="1">
      <alignment horizontal="center"/>
    </xf>
    <xf numFmtId="0" fontId="106" fillId="12" borderId="67" xfId="0" applyFont="1" applyFill="1" applyBorder="1" applyAlignment="1">
      <alignment horizontal="center"/>
    </xf>
    <xf numFmtId="0" fontId="106" fillId="12" borderId="68" xfId="0" applyFont="1" applyFill="1" applyBorder="1" applyAlignment="1">
      <alignment horizontal="center"/>
    </xf>
    <xf numFmtId="0" fontId="106" fillId="0" borderId="69" xfId="0" applyFont="1" applyBorder="1"/>
    <xf numFmtId="37" fontId="106" fillId="0" borderId="70" xfId="0" applyNumberFormat="1" applyFont="1" applyBorder="1" applyAlignment="1">
      <alignment horizontal="center"/>
    </xf>
    <xf numFmtId="1" fontId="106" fillId="0" borderId="72" xfId="0" applyNumberFormat="1" applyFont="1" applyBorder="1" applyAlignment="1">
      <alignment horizontal="center"/>
    </xf>
    <xf numFmtId="1" fontId="106" fillId="0" borderId="73" xfId="0" applyNumberFormat="1" applyFont="1" applyBorder="1" applyAlignment="1">
      <alignment horizontal="center"/>
    </xf>
    <xf numFmtId="9" fontId="106" fillId="0" borderId="74" xfId="0" applyNumberFormat="1" applyFont="1" applyBorder="1" applyAlignment="1">
      <alignment horizontal="center"/>
    </xf>
    <xf numFmtId="9" fontId="106" fillId="0" borderId="75" xfId="0" applyNumberFormat="1" applyFont="1" applyBorder="1" applyAlignment="1">
      <alignment horizontal="center"/>
    </xf>
    <xf numFmtId="0" fontId="107" fillId="0" borderId="69" xfId="0" applyFont="1" applyBorder="1"/>
    <xf numFmtId="169" fontId="107" fillId="0" borderId="70" xfId="0" applyNumberFormat="1" applyFont="1" applyBorder="1" applyAlignment="1">
      <alignment horizontal="center"/>
    </xf>
    <xf numFmtId="169" fontId="107" fillId="0" borderId="72" xfId="0" applyNumberFormat="1" applyFont="1" applyBorder="1" applyAlignment="1">
      <alignment horizontal="center"/>
    </xf>
    <xf numFmtId="169" fontId="107" fillId="0" borderId="73" xfId="0" applyNumberFormat="1" applyFont="1" applyBorder="1" applyAlignment="1">
      <alignment horizontal="center"/>
    </xf>
    <xf numFmtId="9" fontId="107" fillId="0" borderId="70" xfId="0" applyNumberFormat="1" applyFont="1" applyBorder="1" applyAlignment="1">
      <alignment horizontal="center"/>
    </xf>
    <xf numFmtId="9" fontId="107" fillId="0" borderId="72" xfId="0" applyNumberFormat="1" applyFont="1" applyBorder="1" applyAlignment="1">
      <alignment horizontal="center"/>
    </xf>
    <xf numFmtId="9" fontId="107" fillId="0" borderId="77" xfId="0" applyNumberFormat="1" applyFont="1" applyBorder="1" applyAlignment="1">
      <alignment horizontal="center"/>
    </xf>
    <xf numFmtId="2" fontId="107" fillId="0" borderId="72" xfId="0" applyNumberFormat="1" applyFont="1" applyBorder="1" applyAlignment="1">
      <alignment horizontal="center"/>
    </xf>
    <xf numFmtId="2" fontId="107" fillId="0" borderId="73" xfId="0" applyNumberFormat="1" applyFont="1" applyBorder="1" applyAlignment="1">
      <alignment horizontal="center"/>
    </xf>
    <xf numFmtId="9" fontId="107" fillId="0" borderId="73" xfId="0" applyNumberFormat="1" applyFont="1" applyBorder="1" applyAlignment="1">
      <alignment horizontal="center"/>
    </xf>
    <xf numFmtId="0" fontId="106" fillId="0" borderId="78" xfId="0" applyFont="1" applyBorder="1"/>
    <xf numFmtId="0" fontId="107" fillId="0" borderId="79" xfId="0" applyFont="1" applyBorder="1"/>
    <xf numFmtId="169" fontId="107" fillId="0" borderId="80" xfId="0" applyNumberFormat="1" applyFont="1" applyBorder="1" applyAlignment="1">
      <alignment horizontal="center"/>
    </xf>
    <xf numFmtId="169" fontId="107" fillId="0" borderId="81" xfId="0" applyNumberFormat="1" applyFont="1" applyBorder="1" applyAlignment="1">
      <alignment horizontal="center"/>
    </xf>
    <xf numFmtId="9" fontId="107" fillId="0" borderId="80" xfId="0" applyNumberFormat="1" applyFont="1" applyBorder="1" applyAlignment="1">
      <alignment horizontal="center"/>
    </xf>
    <xf numFmtId="9" fontId="107" fillId="0" borderId="82" xfId="0" applyNumberFormat="1" applyFont="1" applyBorder="1" applyAlignment="1">
      <alignment horizontal="center"/>
    </xf>
    <xf numFmtId="0" fontId="107" fillId="0" borderId="69" xfId="0" applyFont="1" applyBorder="1" applyAlignment="1">
      <alignment horizontal="left"/>
    </xf>
    <xf numFmtId="0" fontId="107" fillId="0" borderId="70" xfId="0" applyFont="1" applyBorder="1" applyAlignment="1">
      <alignment horizontal="center"/>
    </xf>
    <xf numFmtId="0" fontId="107" fillId="0" borderId="83" xfId="0" applyFont="1" applyBorder="1" applyAlignment="1">
      <alignment horizontal="left"/>
    </xf>
    <xf numFmtId="169" fontId="107" fillId="0" borderId="84" xfId="0" applyNumberFormat="1" applyFont="1" applyBorder="1" applyAlignment="1">
      <alignment horizontal="center"/>
    </xf>
    <xf numFmtId="169" fontId="107" fillId="0" borderId="86" xfId="0" applyNumberFormat="1" applyFont="1" applyBorder="1" applyAlignment="1">
      <alignment horizontal="center"/>
    </xf>
    <xf numFmtId="169" fontId="107" fillId="0" borderId="87" xfId="0" applyNumberFormat="1" applyFont="1" applyBorder="1" applyAlignment="1">
      <alignment horizontal="center"/>
    </xf>
    <xf numFmtId="9" fontId="107" fillId="0" borderId="86" xfId="0" applyNumberFormat="1" applyFont="1" applyBorder="1" applyAlignment="1">
      <alignment horizontal="center"/>
    </xf>
    <xf numFmtId="9" fontId="107" fillId="0" borderId="88" xfId="0" applyNumberFormat="1" applyFont="1" applyBorder="1" applyAlignment="1">
      <alignment horizontal="center"/>
    </xf>
    <xf numFmtId="169" fontId="107" fillId="0" borderId="0" xfId="0" applyNumberFormat="1" applyFont="1"/>
    <xf numFmtId="0" fontId="106" fillId="14" borderId="61" xfId="0" applyFont="1" applyFill="1" applyBorder="1" applyAlignment="1">
      <alignment horizontal="center"/>
    </xf>
    <xf numFmtId="0" fontId="106" fillId="14" borderId="65" xfId="0" applyFont="1" applyFill="1" applyBorder="1" applyAlignment="1">
      <alignment horizontal="center"/>
    </xf>
    <xf numFmtId="0" fontId="106" fillId="14" borderId="66" xfId="0" applyFont="1" applyFill="1" applyBorder="1" applyAlignment="1">
      <alignment horizontal="center"/>
    </xf>
    <xf numFmtId="0" fontId="106" fillId="14" borderId="68" xfId="0" applyFont="1" applyFill="1" applyBorder="1" applyAlignment="1">
      <alignment horizontal="center"/>
    </xf>
    <xf numFmtId="0" fontId="106" fillId="15" borderId="61" xfId="0" applyFont="1" applyFill="1" applyBorder="1" applyAlignment="1">
      <alignment horizontal="center"/>
    </xf>
    <xf numFmtId="177" fontId="107" fillId="0" borderId="70" xfId="0" applyNumberFormat="1" applyFont="1" applyBorder="1" applyAlignment="1">
      <alignment horizontal="center"/>
    </xf>
    <xf numFmtId="0" fontId="106" fillId="9" borderId="61" xfId="0" applyFont="1" applyFill="1" applyBorder="1" applyAlignment="1">
      <alignment horizontal="center"/>
    </xf>
    <xf numFmtId="0" fontId="106" fillId="9" borderId="65" xfId="0" applyFont="1" applyFill="1" applyBorder="1" applyAlignment="1">
      <alignment horizontal="center"/>
    </xf>
    <xf numFmtId="0" fontId="106" fillId="9" borderId="66" xfId="0" applyFont="1" applyFill="1" applyBorder="1" applyAlignment="1">
      <alignment horizontal="center"/>
    </xf>
    <xf numFmtId="0" fontId="106" fillId="9" borderId="68" xfId="0" applyFont="1" applyFill="1" applyBorder="1" applyAlignment="1">
      <alignment horizontal="center"/>
    </xf>
    <xf numFmtId="169" fontId="106" fillId="0" borderId="70" xfId="0" applyNumberFormat="1" applyFont="1" applyBorder="1" applyAlignment="1">
      <alignment horizontal="center"/>
    </xf>
    <xf numFmtId="169" fontId="106" fillId="0" borderId="72" xfId="0" applyNumberFormat="1" applyFont="1" applyBorder="1" applyAlignment="1">
      <alignment horizontal="center"/>
    </xf>
    <xf numFmtId="169" fontId="106" fillId="0" borderId="73" xfId="0" applyNumberFormat="1" applyFont="1" applyBorder="1" applyAlignment="1">
      <alignment horizontal="center"/>
    </xf>
    <xf numFmtId="9" fontId="106" fillId="0" borderId="72" xfId="0" applyNumberFormat="1" applyFont="1" applyBorder="1" applyAlignment="1">
      <alignment horizontal="center"/>
    </xf>
    <xf numFmtId="9" fontId="106" fillId="0" borderId="77" xfId="0" applyNumberFormat="1" applyFont="1" applyBorder="1" applyAlignment="1">
      <alignment horizontal="center"/>
    </xf>
    <xf numFmtId="0" fontId="107" fillId="0" borderId="83" xfId="0" applyFont="1" applyBorder="1"/>
    <xf numFmtId="0" fontId="106" fillId="8" borderId="61" xfId="0" applyFont="1" applyFill="1" applyBorder="1" applyAlignment="1">
      <alignment horizontal="center"/>
    </xf>
    <xf numFmtId="0" fontId="106" fillId="8" borderId="65" xfId="0" applyFont="1" applyFill="1" applyBorder="1" applyAlignment="1">
      <alignment horizontal="center"/>
    </xf>
    <xf numFmtId="0" fontId="106" fillId="8" borderId="66" xfId="0" applyFont="1" applyFill="1" applyBorder="1" applyAlignment="1">
      <alignment horizontal="center"/>
    </xf>
    <xf numFmtId="0" fontId="106" fillId="8" borderId="68" xfId="0" applyFont="1" applyFill="1" applyBorder="1" applyAlignment="1">
      <alignment horizontal="center"/>
    </xf>
    <xf numFmtId="0" fontId="106" fillId="16" borderId="61" xfId="0" applyFont="1" applyFill="1" applyBorder="1" applyAlignment="1">
      <alignment horizontal="center"/>
    </xf>
    <xf numFmtId="0" fontId="106" fillId="0" borderId="69" xfId="0" applyFont="1" applyBorder="1" applyAlignment="1">
      <alignment horizontal="left"/>
    </xf>
    <xf numFmtId="0" fontId="106" fillId="17" borderId="61" xfId="0" applyFont="1" applyFill="1" applyBorder="1" applyAlignment="1">
      <alignment horizontal="center"/>
    </xf>
    <xf numFmtId="0" fontId="106" fillId="17" borderId="65" xfId="0" applyFont="1" applyFill="1" applyBorder="1" applyAlignment="1">
      <alignment horizontal="center"/>
    </xf>
    <xf numFmtId="0" fontId="106" fillId="17" borderId="66" xfId="0" applyFont="1" applyFill="1" applyBorder="1" applyAlignment="1">
      <alignment horizontal="center"/>
    </xf>
    <xf numFmtId="0" fontId="106" fillId="17" borderId="68" xfId="0" applyFont="1" applyFill="1" applyBorder="1" applyAlignment="1">
      <alignment horizontal="center"/>
    </xf>
    <xf numFmtId="0" fontId="106" fillId="18" borderId="89" xfId="0" applyFont="1" applyFill="1" applyBorder="1" applyAlignment="1">
      <alignment horizontal="center"/>
    </xf>
    <xf numFmtId="1" fontId="107" fillId="0" borderId="70" xfId="0" applyNumberFormat="1" applyFont="1" applyBorder="1" applyAlignment="1">
      <alignment horizontal="center"/>
    </xf>
    <xf numFmtId="1" fontId="107" fillId="0" borderId="72" xfId="0" applyNumberFormat="1" applyFont="1" applyBorder="1" applyAlignment="1">
      <alignment horizontal="center"/>
    </xf>
    <xf numFmtId="1" fontId="107" fillId="0" borderId="73" xfId="0" applyNumberFormat="1" applyFont="1" applyBorder="1" applyAlignment="1">
      <alignment horizontal="center"/>
    </xf>
    <xf numFmtId="0" fontId="106" fillId="19" borderId="61" xfId="0" applyFont="1" applyFill="1" applyBorder="1" applyAlignment="1">
      <alignment horizontal="center"/>
    </xf>
    <xf numFmtId="0" fontId="106" fillId="19" borderId="65" xfId="0" applyFont="1" applyFill="1" applyBorder="1" applyAlignment="1">
      <alignment horizontal="center"/>
    </xf>
    <xf numFmtId="0" fontId="106" fillId="19" borderId="66" xfId="0" applyFont="1" applyFill="1" applyBorder="1" applyAlignment="1">
      <alignment horizontal="center"/>
    </xf>
    <xf numFmtId="0" fontId="106" fillId="19" borderId="68" xfId="0" applyFont="1" applyFill="1" applyBorder="1" applyAlignment="1">
      <alignment horizontal="center"/>
    </xf>
    <xf numFmtId="0" fontId="106" fillId="20" borderId="61" xfId="0" applyFont="1" applyFill="1" applyBorder="1" applyAlignment="1">
      <alignment horizontal="center"/>
    </xf>
    <xf numFmtId="169" fontId="107" fillId="0" borderId="74" xfId="0" applyNumberFormat="1" applyFont="1" applyBorder="1" applyAlignment="1">
      <alignment horizontal="center"/>
    </xf>
    <xf numFmtId="169" fontId="107" fillId="0" borderId="91" xfId="0" applyNumberFormat="1" applyFont="1" applyBorder="1" applyAlignment="1">
      <alignment horizontal="center"/>
    </xf>
    <xf numFmtId="174" fontId="107" fillId="0" borderId="70" xfId="0" applyNumberFormat="1" applyFont="1" applyBorder="1" applyAlignment="1">
      <alignment horizontal="center"/>
    </xf>
    <xf numFmtId="174" fontId="107" fillId="0" borderId="84" xfId="0" applyNumberFormat="1" applyFont="1" applyBorder="1" applyAlignment="1">
      <alignment horizontal="center"/>
    </xf>
    <xf numFmtId="2" fontId="107" fillId="0" borderId="86" xfId="0" applyNumberFormat="1" applyFont="1" applyBorder="1" applyAlignment="1">
      <alignment horizontal="center"/>
    </xf>
    <xf numFmtId="2" fontId="107" fillId="0" borderId="87" xfId="0" applyNumberFormat="1" applyFont="1" applyBorder="1" applyAlignment="1">
      <alignment horizontal="center"/>
    </xf>
    <xf numFmtId="0" fontId="106" fillId="0" borderId="0" xfId="0" applyFont="1" applyAlignment="1">
      <alignment horizontal="left"/>
    </xf>
    <xf numFmtId="0" fontId="111" fillId="0" borderId="0" xfId="0" applyFont="1" applyAlignment="1">
      <alignment horizontal="center" vertical="center"/>
    </xf>
    <xf numFmtId="0" fontId="116" fillId="0" borderId="0" xfId="0" applyFont="1" applyAlignment="1">
      <alignment horizontal="left" vertical="center"/>
    </xf>
    <xf numFmtId="3" fontId="111" fillId="0" borderId="0" xfId="0" applyNumberFormat="1" applyFont="1"/>
    <xf numFmtId="0" fontId="116" fillId="0" borderId="0" xfId="0" applyFont="1" applyAlignment="1">
      <alignment horizontal="center"/>
    </xf>
    <xf numFmtId="0" fontId="135" fillId="21" borderId="10" xfId="0" applyFont="1" applyFill="1" applyBorder="1"/>
    <xf numFmtId="0" fontId="136" fillId="21" borderId="11" xfId="0" applyFont="1" applyFill="1" applyBorder="1"/>
    <xf numFmtId="0" fontId="117" fillId="0" borderId="3" xfId="0" applyFont="1" applyBorder="1"/>
    <xf numFmtId="0" fontId="137" fillId="21" borderId="20" xfId="0" applyFont="1" applyFill="1" applyBorder="1"/>
    <xf numFmtId="10" fontId="137" fillId="21" borderId="21" xfId="0" applyNumberFormat="1" applyFont="1" applyFill="1" applyBorder="1"/>
    <xf numFmtId="0" fontId="117" fillId="0" borderId="6" xfId="0" applyFont="1" applyBorder="1"/>
    <xf numFmtId="3" fontId="117" fillId="0" borderId="92" xfId="0" applyNumberFormat="1" applyFont="1" applyBorder="1" applyAlignment="1">
      <alignment horizontal="center"/>
    </xf>
    <xf numFmtId="3" fontId="117" fillId="0" borderId="0" xfId="0" applyNumberFormat="1" applyFont="1" applyAlignment="1">
      <alignment horizontal="center"/>
    </xf>
    <xf numFmtId="3" fontId="117" fillId="0" borderId="9" xfId="0" applyNumberFormat="1" applyFont="1" applyBorder="1" applyAlignment="1">
      <alignment horizontal="center"/>
    </xf>
    <xf numFmtId="3" fontId="117" fillId="0" borderId="8" xfId="0" applyNumberFormat="1" applyFont="1" applyBorder="1" applyAlignment="1">
      <alignment horizontal="center"/>
    </xf>
    <xf numFmtId="0" fontId="117" fillId="0" borderId="93" xfId="0" applyFont="1" applyBorder="1"/>
    <xf numFmtId="3" fontId="117" fillId="0" borderId="14" xfId="0" applyNumberFormat="1" applyFont="1" applyBorder="1" applyAlignment="1">
      <alignment horizontal="center"/>
    </xf>
    <xf numFmtId="3" fontId="117" fillId="0" borderId="5" xfId="0" applyNumberFormat="1" applyFont="1" applyBorder="1"/>
    <xf numFmtId="3" fontId="117" fillId="0" borderId="14" xfId="0" applyNumberFormat="1" applyFont="1" applyBorder="1" applyAlignment="1">
      <alignment horizontal="right"/>
    </xf>
    <xf numFmtId="3" fontId="117" fillId="0" borderId="14" xfId="0" applyNumberFormat="1" applyFont="1" applyBorder="1"/>
    <xf numFmtId="3" fontId="117" fillId="0" borderId="93" xfId="0" applyNumberFormat="1" applyFont="1" applyBorder="1" applyAlignment="1">
      <alignment horizontal="center"/>
    </xf>
    <xf numFmtId="3" fontId="117" fillId="0" borderId="5" xfId="0" applyNumberFormat="1" applyFont="1" applyBorder="1" applyAlignment="1">
      <alignment horizontal="center"/>
    </xf>
    <xf numFmtId="0" fontId="117" fillId="0" borderId="8" xfId="0" applyFont="1" applyBorder="1"/>
    <xf numFmtId="3" fontId="117" fillId="0" borderId="0" xfId="0" applyNumberFormat="1" applyFont="1"/>
    <xf numFmtId="3" fontId="117" fillId="0" borderId="8" xfId="0" applyNumberFormat="1" applyFont="1" applyBorder="1"/>
    <xf numFmtId="3" fontId="117" fillId="0" borderId="9" xfId="0" applyNumberFormat="1" applyFont="1" applyBorder="1"/>
    <xf numFmtId="0" fontId="136" fillId="21" borderId="12" xfId="0" applyFont="1" applyFill="1" applyBorder="1"/>
    <xf numFmtId="10" fontId="137" fillId="21" borderId="13" xfId="0" applyNumberFormat="1" applyFont="1" applyFill="1" applyBorder="1"/>
    <xf numFmtId="0" fontId="110" fillId="0" borderId="6" xfId="0" applyFont="1" applyBorder="1"/>
    <xf numFmtId="3" fontId="110" fillId="0" borderId="92" xfId="0" applyNumberFormat="1" applyFont="1" applyBorder="1"/>
    <xf numFmtId="3" fontId="110" fillId="0" borderId="7" xfId="0" applyNumberFormat="1" applyFont="1" applyBorder="1"/>
    <xf numFmtId="3" fontId="110" fillId="0" borderId="6" xfId="0" applyNumberFormat="1" applyFont="1" applyBorder="1"/>
    <xf numFmtId="0" fontId="117" fillId="0" borderId="9" xfId="0" applyFont="1" applyBorder="1"/>
    <xf numFmtId="174" fontId="110" fillId="0" borderId="8" xfId="0" applyNumberFormat="1" applyFont="1" applyBorder="1"/>
    <xf numFmtId="174" fontId="110" fillId="0" borderId="9" xfId="0" applyNumberFormat="1" applyFont="1" applyBorder="1"/>
    <xf numFmtId="0" fontId="110" fillId="0" borderId="93" xfId="0" applyFont="1" applyBorder="1"/>
    <xf numFmtId="3" fontId="117" fillId="0" borderId="93" xfId="0" applyNumberFormat="1" applyFont="1" applyBorder="1"/>
    <xf numFmtId="3" fontId="110" fillId="0" borderId="93" xfId="0" applyNumberFormat="1" applyFont="1" applyBorder="1"/>
    <xf numFmtId="3" fontId="110" fillId="0" borderId="14" xfId="0" applyNumberFormat="1" applyFont="1" applyBorder="1"/>
    <xf numFmtId="0" fontId="110" fillId="0" borderId="8" xfId="0" applyFont="1" applyBorder="1"/>
    <xf numFmtId="3" fontId="117" fillId="0" borderId="92" xfId="0" applyNumberFormat="1" applyFont="1" applyBorder="1"/>
    <xf numFmtId="3" fontId="117" fillId="0" borderId="7" xfId="0" applyNumberFormat="1" applyFont="1" applyBorder="1"/>
    <xf numFmtId="3" fontId="117" fillId="0" borderId="6" xfId="0" applyNumberFormat="1" applyFont="1" applyBorder="1"/>
    <xf numFmtId="166" fontId="117" fillId="0" borderId="0" xfId="0" applyNumberFormat="1" applyFont="1"/>
    <xf numFmtId="3" fontId="110" fillId="0" borderId="8" xfId="0" applyNumberFormat="1" applyFont="1" applyBorder="1"/>
    <xf numFmtId="37" fontId="117" fillId="0" borderId="9" xfId="0" applyNumberFormat="1" applyFont="1" applyBorder="1"/>
    <xf numFmtId="37" fontId="117" fillId="0" borderId="8" xfId="0" applyNumberFormat="1" applyFont="1" applyBorder="1"/>
    <xf numFmtId="0" fontId="110" fillId="3" borderId="10" xfId="0" applyFont="1" applyFill="1" applyBorder="1"/>
    <xf numFmtId="37" fontId="110" fillId="3" borderId="26" xfId="0" applyNumberFormat="1" applyFont="1" applyFill="1" applyBorder="1"/>
    <xf numFmtId="3" fontId="110" fillId="3" borderId="26" xfId="0" applyNumberFormat="1" applyFont="1" applyFill="1" applyBorder="1"/>
    <xf numFmtId="37" fontId="110" fillId="3" borderId="11" xfId="0" applyNumberFormat="1" applyFont="1" applyFill="1" applyBorder="1"/>
    <xf numFmtId="37" fontId="110" fillId="3" borderId="10" xfId="0" applyNumberFormat="1" applyFont="1" applyFill="1" applyBorder="1"/>
    <xf numFmtId="0" fontId="110" fillId="3" borderId="12" xfId="0" applyFont="1" applyFill="1" applyBorder="1"/>
    <xf numFmtId="0" fontId="110" fillId="3" borderId="27" xfId="0" applyFont="1" applyFill="1" applyBorder="1"/>
    <xf numFmtId="0" fontId="110" fillId="3" borderId="13" xfId="0" applyFont="1" applyFill="1" applyBorder="1"/>
    <xf numFmtId="174" fontId="110" fillId="3" borderId="12" xfId="0" applyNumberFormat="1" applyFont="1" applyFill="1" applyBorder="1"/>
    <xf numFmtId="174" fontId="110" fillId="3" borderId="13" xfId="0" applyNumberFormat="1" applyFont="1" applyFill="1" applyBorder="1"/>
    <xf numFmtId="0" fontId="110" fillId="0" borderId="9" xfId="0" applyFont="1" applyBorder="1"/>
    <xf numFmtId="0" fontId="110" fillId="0" borderId="8" xfId="0" applyFont="1" applyBorder="1" applyAlignment="1">
      <alignment horizontal="left"/>
    </xf>
    <xf numFmtId="174" fontId="117" fillId="0" borderId="0" xfId="0" applyNumberFormat="1" applyFont="1" applyAlignment="1">
      <alignment horizontal="right"/>
    </xf>
    <xf numFmtId="37" fontId="117" fillId="0" borderId="0" xfId="0" applyNumberFormat="1" applyFont="1"/>
    <xf numFmtId="174" fontId="117" fillId="0" borderId="8" xfId="0" applyNumberFormat="1" applyFont="1" applyBorder="1"/>
    <xf numFmtId="174" fontId="117" fillId="0" borderId="14" xfId="0" applyNumberFormat="1" applyFont="1" applyBorder="1" applyAlignment="1">
      <alignment horizontal="right"/>
    </xf>
    <xf numFmtId="37" fontId="117" fillId="0" borderId="14" xfId="0" applyNumberFormat="1" applyFont="1" applyBorder="1"/>
    <xf numFmtId="174" fontId="117" fillId="0" borderId="93" xfId="0" applyNumberFormat="1" applyFont="1" applyBorder="1"/>
    <xf numFmtId="37" fontId="117" fillId="0" borderId="5" xfId="0" applyNumberFormat="1" applyFont="1" applyBorder="1"/>
    <xf numFmtId="0" fontId="117" fillId="0" borderId="0" xfId="0" applyFont="1" applyAlignment="1">
      <alignment horizontal="right"/>
    </xf>
    <xf numFmtId="0" fontId="117" fillId="0" borderId="8" xfId="0" applyFont="1" applyBorder="1" applyAlignment="1">
      <alignment horizontal="right"/>
    </xf>
    <xf numFmtId="0" fontId="117" fillId="0" borderId="14" xfId="0" applyFont="1" applyBorder="1" applyAlignment="1">
      <alignment horizontal="right"/>
    </xf>
    <xf numFmtId="0" fontId="117" fillId="0" borderId="93" xfId="0" applyFont="1" applyBorder="1" applyAlignment="1">
      <alignment horizontal="right"/>
    </xf>
    <xf numFmtId="3" fontId="117" fillId="0" borderId="94" xfId="0" applyNumberFormat="1" applyFont="1" applyBorder="1"/>
    <xf numFmtId="3" fontId="117" fillId="0" borderId="55" xfId="0" applyNumberFormat="1" applyFont="1" applyBorder="1"/>
    <xf numFmtId="3" fontId="117" fillId="0" borderId="96" xfId="0" applyNumberFormat="1" applyFont="1" applyBorder="1"/>
    <xf numFmtId="0" fontId="110" fillId="3" borderId="28" xfId="0" applyFont="1" applyFill="1" applyBorder="1"/>
    <xf numFmtId="0" fontId="110" fillId="3" borderId="29" xfId="0" applyFont="1" applyFill="1" applyBorder="1" applyAlignment="1">
      <alignment horizontal="center"/>
    </xf>
    <xf numFmtId="174" fontId="110" fillId="3" borderId="29" xfId="0" applyNumberFormat="1" applyFont="1" applyFill="1" applyBorder="1"/>
    <xf numFmtId="37" fontId="110" fillId="3" borderId="30" xfId="0" applyNumberFormat="1" applyFont="1" applyFill="1" applyBorder="1"/>
    <xf numFmtId="0" fontId="110" fillId="3" borderId="28" xfId="0" applyFont="1" applyFill="1" applyBorder="1" applyAlignment="1">
      <alignment horizontal="center"/>
    </xf>
    <xf numFmtId="0" fontId="117" fillId="3" borderId="31" xfId="0" applyFont="1" applyFill="1" applyBorder="1"/>
    <xf numFmtId="37" fontId="110" fillId="3" borderId="29" xfId="0" applyNumberFormat="1" applyFont="1" applyFill="1" applyBorder="1"/>
    <xf numFmtId="0" fontId="117" fillId="3" borderId="28" xfId="0" applyFont="1" applyFill="1" applyBorder="1"/>
    <xf numFmtId="0" fontId="118" fillId="0" borderId="8" xfId="0" applyFont="1" applyBorder="1"/>
    <xf numFmtId="0" fontId="118" fillId="0" borderId="93" xfId="0" applyFont="1" applyBorder="1"/>
    <xf numFmtId="0" fontId="117" fillId="0" borderId="92" xfId="0" applyFont="1" applyBorder="1" applyAlignment="1">
      <alignment horizontal="right"/>
    </xf>
    <xf numFmtId="0" fontId="117" fillId="0" borderId="92" xfId="0" applyFont="1" applyBorder="1"/>
    <xf numFmtId="0" fontId="117" fillId="0" borderId="6" xfId="0" applyFont="1" applyBorder="1" applyAlignment="1">
      <alignment horizontal="right"/>
    </xf>
    <xf numFmtId="37" fontId="117" fillId="0" borderId="7" xfId="0" applyNumberFormat="1" applyFont="1" applyBorder="1"/>
    <xf numFmtId="0" fontId="117" fillId="0" borderId="14" xfId="0" applyFont="1" applyBorder="1"/>
    <xf numFmtId="37" fontId="110" fillId="0" borderId="0" xfId="0" applyNumberFormat="1" applyFont="1"/>
    <xf numFmtId="37" fontId="110" fillId="3" borderId="24" xfId="0" applyNumberFormat="1" applyFont="1" applyFill="1" applyBorder="1"/>
    <xf numFmtId="0" fontId="117" fillId="10" borderId="1" xfId="0" applyFont="1" applyFill="1" applyBorder="1"/>
    <xf numFmtId="1" fontId="117" fillId="0" borderId="8" xfId="0" applyNumberFormat="1" applyFont="1" applyBorder="1"/>
    <xf numFmtId="171" fontId="117" fillId="0" borderId="0" xfId="0" applyNumberFormat="1" applyFont="1"/>
    <xf numFmtId="0" fontId="110" fillId="6" borderId="20" xfId="0" applyFont="1" applyFill="1" applyBorder="1"/>
    <xf numFmtId="0" fontId="117" fillId="6" borderId="1" xfId="0" applyFont="1" applyFill="1" applyBorder="1"/>
    <xf numFmtId="0" fontId="110" fillId="6" borderId="1" xfId="0" applyFont="1" applyFill="1" applyBorder="1"/>
    <xf numFmtId="37" fontId="110" fillId="6" borderId="21" xfId="0" applyNumberFormat="1" applyFont="1" applyFill="1" applyBorder="1"/>
    <xf numFmtId="0" fontId="117" fillId="6" borderId="20" xfId="0" applyFont="1" applyFill="1" applyBorder="1"/>
    <xf numFmtId="0" fontId="117" fillId="6" borderId="22" xfId="0" applyFont="1" applyFill="1" applyBorder="1"/>
    <xf numFmtId="0" fontId="117" fillId="6" borderId="23" xfId="0" applyFont="1" applyFill="1" applyBorder="1"/>
    <xf numFmtId="37" fontId="110" fillId="6" borderId="24" xfId="0" applyNumberFormat="1" applyFont="1" applyFill="1" applyBorder="1"/>
    <xf numFmtId="0" fontId="110" fillId="3" borderId="34" xfId="0" applyFont="1" applyFill="1" applyBorder="1"/>
    <xf numFmtId="0" fontId="117" fillId="3" borderId="35" xfId="0" applyFont="1" applyFill="1" applyBorder="1"/>
    <xf numFmtId="0" fontId="110" fillId="3" borderId="35" xfId="0" applyFont="1" applyFill="1" applyBorder="1"/>
    <xf numFmtId="37" fontId="110" fillId="3" borderId="36" xfId="0" applyNumberFormat="1" applyFont="1" applyFill="1" applyBorder="1"/>
    <xf numFmtId="0" fontId="117" fillId="3" borderId="34" xfId="0" applyFont="1" applyFill="1" applyBorder="1"/>
    <xf numFmtId="1" fontId="119" fillId="0" borderId="0" xfId="0" applyNumberFormat="1" applyFont="1"/>
    <xf numFmtId="37" fontId="119" fillId="0" borderId="0" xfId="0" applyNumberFormat="1" applyFont="1"/>
    <xf numFmtId="0" fontId="138" fillId="22" borderId="1" xfId="0" applyFont="1" applyFill="1" applyBorder="1"/>
    <xf numFmtId="0" fontId="117" fillId="0" borderId="9" xfId="0" applyFont="1" applyBorder="1" applyAlignment="1">
      <alignment horizontal="center"/>
    </xf>
    <xf numFmtId="0" fontId="117" fillId="0" borderId="8" xfId="0" applyFont="1" applyBorder="1" applyAlignment="1">
      <alignment horizontal="center"/>
    </xf>
    <xf numFmtId="0" fontId="117" fillId="0" borderId="93" xfId="0" applyFont="1" applyBorder="1" applyAlignment="1">
      <alignment horizontal="center"/>
    </xf>
    <xf numFmtId="0" fontId="117" fillId="0" borderId="5" xfId="0" applyFont="1" applyBorder="1" applyAlignment="1">
      <alignment horizontal="center"/>
    </xf>
    <xf numFmtId="0" fontId="139" fillId="0" borderId="0" xfId="0" applyFont="1"/>
    <xf numFmtId="174" fontId="120" fillId="0" borderId="8" xfId="0" applyNumberFormat="1" applyFont="1" applyBorder="1"/>
    <xf numFmtId="174" fontId="120" fillId="0" borderId="9" xfId="0" applyNumberFormat="1" applyFont="1" applyBorder="1"/>
    <xf numFmtId="39" fontId="117" fillId="0" borderId="0" xfId="0" applyNumberFormat="1" applyFont="1"/>
    <xf numFmtId="3" fontId="110" fillId="0" borderId="5" xfId="0" applyNumberFormat="1" applyFont="1" applyBorder="1"/>
    <xf numFmtId="173" fontId="117" fillId="0" borderId="0" xfId="0" applyNumberFormat="1" applyFont="1"/>
    <xf numFmtId="173" fontId="110" fillId="3" borderId="26" xfId="0" applyNumberFormat="1" applyFont="1" applyFill="1" applyBorder="1"/>
    <xf numFmtId="9" fontId="110" fillId="3" borderId="12" xfId="0" applyNumberFormat="1" applyFont="1" applyFill="1" applyBorder="1"/>
    <xf numFmtId="174" fontId="110" fillId="9" borderId="13" xfId="0" applyNumberFormat="1" applyFont="1" applyFill="1" applyBorder="1"/>
    <xf numFmtId="174" fontId="117" fillId="0" borderId="0" xfId="0" applyNumberFormat="1" applyFont="1"/>
    <xf numFmtId="174" fontId="117" fillId="0" borderId="14" xfId="0" applyNumberFormat="1" applyFont="1" applyBorder="1"/>
    <xf numFmtId="0" fontId="117" fillId="3" borderId="22" xfId="0" applyFont="1" applyFill="1" applyBorder="1"/>
    <xf numFmtId="0" fontId="110" fillId="0" borderId="0" xfId="0" applyFont="1" applyAlignment="1">
      <alignment horizontal="center"/>
    </xf>
    <xf numFmtId="174" fontId="110" fillId="0" borderId="0" xfId="0" applyNumberFormat="1" applyFont="1"/>
    <xf numFmtId="0" fontId="110" fillId="0" borderId="8" xfId="0" applyFont="1" applyBorder="1" applyAlignment="1">
      <alignment horizontal="center"/>
    </xf>
    <xf numFmtId="1" fontId="117" fillId="0" borderId="0" xfId="0" applyNumberFormat="1" applyFont="1"/>
    <xf numFmtId="0" fontId="117" fillId="3" borderId="35" xfId="0" applyFont="1" applyFill="1" applyBorder="1" applyAlignment="1">
      <alignment horizontal="right"/>
    </xf>
    <xf numFmtId="0" fontId="117" fillId="3" borderId="34" xfId="0" applyFont="1" applyFill="1" applyBorder="1" applyAlignment="1">
      <alignment horizontal="right"/>
    </xf>
    <xf numFmtId="174" fontId="117" fillId="0" borderId="9" xfId="0" applyNumberFormat="1" applyFont="1" applyBorder="1"/>
    <xf numFmtId="39" fontId="117" fillId="0" borderId="14" xfId="0" applyNumberFormat="1" applyFont="1" applyBorder="1" applyAlignment="1">
      <alignment horizontal="center"/>
    </xf>
    <xf numFmtId="174" fontId="117" fillId="0" borderId="5" xfId="0" applyNumberFormat="1" applyFont="1" applyBorder="1"/>
    <xf numFmtId="37" fontId="117" fillId="0" borderId="93" xfId="0" applyNumberFormat="1" applyFont="1" applyBorder="1"/>
    <xf numFmtId="37" fontId="117" fillId="0" borderId="92" xfId="0" applyNumberFormat="1" applyFont="1" applyBorder="1"/>
    <xf numFmtId="37" fontId="117" fillId="0" borderId="6" xfId="0" applyNumberFormat="1" applyFont="1" applyBorder="1"/>
    <xf numFmtId="10" fontId="117" fillId="0" borderId="0" xfId="0" applyNumberFormat="1" applyFont="1"/>
    <xf numFmtId="174" fontId="110" fillId="0" borderId="93" xfId="0" applyNumberFormat="1" applyFont="1" applyBorder="1"/>
    <xf numFmtId="174" fontId="110" fillId="0" borderId="5" xfId="0" applyNumberFormat="1" applyFont="1" applyBorder="1"/>
    <xf numFmtId="174" fontId="117" fillId="0" borderId="6" xfId="0" applyNumberFormat="1" applyFont="1" applyBorder="1"/>
    <xf numFmtId="173" fontId="110" fillId="0" borderId="0" xfId="0" applyNumberFormat="1" applyFont="1"/>
    <xf numFmtId="37" fontId="110" fillId="0" borderId="8" xfId="0" applyNumberFormat="1" applyFont="1" applyBorder="1"/>
    <xf numFmtId="37" fontId="110" fillId="0" borderId="9" xfId="0" applyNumberFormat="1" applyFont="1" applyBorder="1"/>
    <xf numFmtId="0" fontId="110" fillId="0" borderId="14" xfId="0" applyFont="1" applyBorder="1"/>
    <xf numFmtId="173" fontId="110" fillId="0" borderId="14" xfId="0" applyNumberFormat="1" applyFont="1" applyBorder="1"/>
    <xf numFmtId="37" fontId="110" fillId="0" borderId="93" xfId="0" applyNumberFormat="1" applyFont="1" applyBorder="1"/>
    <xf numFmtId="37" fontId="110" fillId="0" borderId="5" xfId="0" applyNumberFormat="1" applyFont="1" applyBorder="1"/>
    <xf numFmtId="37" fontId="117" fillId="0" borderId="97" xfId="0" applyNumberFormat="1" applyFont="1" applyBorder="1"/>
    <xf numFmtId="0" fontId="110" fillId="6" borderId="10" xfId="0" applyFont="1" applyFill="1" applyBorder="1"/>
    <xf numFmtId="37" fontId="110" fillId="6" borderId="26" xfId="0" applyNumberFormat="1" applyFont="1" applyFill="1" applyBorder="1"/>
    <xf numFmtId="37" fontId="110" fillId="6" borderId="11" xfId="0" applyNumberFormat="1" applyFont="1" applyFill="1" applyBorder="1"/>
    <xf numFmtId="37" fontId="110" fillId="6" borderId="10" xfId="0" applyNumberFormat="1" applyFont="1" applyFill="1" applyBorder="1"/>
    <xf numFmtId="174" fontId="110" fillId="6" borderId="10" xfId="0" applyNumberFormat="1" applyFont="1" applyFill="1" applyBorder="1"/>
    <xf numFmtId="0" fontId="110" fillId="6" borderId="22" xfId="0" applyFont="1" applyFill="1" applyBorder="1"/>
    <xf numFmtId="37" fontId="110" fillId="6" borderId="23" xfId="0" applyNumberFormat="1" applyFont="1" applyFill="1" applyBorder="1"/>
    <xf numFmtId="39" fontId="110" fillId="6" borderId="23" xfId="0" applyNumberFormat="1" applyFont="1" applyFill="1" applyBorder="1" applyAlignment="1">
      <alignment horizontal="center"/>
    </xf>
    <xf numFmtId="174" fontId="110" fillId="6" borderId="24" xfId="0" applyNumberFormat="1" applyFont="1" applyFill="1" applyBorder="1"/>
    <xf numFmtId="37" fontId="110" fillId="6" borderId="22" xfId="0" applyNumberFormat="1" applyFont="1" applyFill="1" applyBorder="1"/>
    <xf numFmtId="37" fontId="110" fillId="0" borderId="92" xfId="0" applyNumberFormat="1" applyFont="1" applyBorder="1"/>
    <xf numFmtId="173" fontId="110" fillId="0" borderId="92" xfId="0" applyNumberFormat="1" applyFont="1" applyBorder="1"/>
    <xf numFmtId="37" fontId="110" fillId="0" borderId="7" xfId="0" applyNumberFormat="1" applyFont="1" applyBorder="1"/>
    <xf numFmtId="37" fontId="110" fillId="0" borderId="6" xfId="0" applyNumberFormat="1" applyFont="1" applyBorder="1"/>
    <xf numFmtId="0" fontId="110" fillId="6" borderId="19" xfId="0" applyFont="1" applyFill="1" applyBorder="1"/>
    <xf numFmtId="37" fontId="110" fillId="6" borderId="15" xfId="0" applyNumberFormat="1" applyFont="1" applyFill="1" applyBorder="1"/>
    <xf numFmtId="173" fontId="110" fillId="6" borderId="15" xfId="0" applyNumberFormat="1" applyFont="1" applyFill="1" applyBorder="1"/>
    <xf numFmtId="37" fontId="110" fillId="6" borderId="25" xfId="0" applyNumberFormat="1" applyFont="1" applyFill="1" applyBorder="1"/>
    <xf numFmtId="37" fontId="110" fillId="6" borderId="19" xfId="0" applyNumberFormat="1" applyFont="1" applyFill="1" applyBorder="1"/>
    <xf numFmtId="174" fontId="110" fillId="3" borderId="10" xfId="0" applyNumberFormat="1" applyFont="1" applyFill="1" applyBorder="1"/>
    <xf numFmtId="37" fontId="117" fillId="0" borderId="0" xfId="0" applyNumberFormat="1" applyFont="1" applyAlignment="1">
      <alignment horizontal="center"/>
    </xf>
    <xf numFmtId="0" fontId="117" fillId="0" borderId="14" xfId="0" applyFont="1" applyBorder="1" applyAlignment="1">
      <alignment horizontal="center"/>
    </xf>
    <xf numFmtId="1" fontId="117" fillId="0" borderId="6" xfId="0" applyNumberFormat="1" applyFont="1" applyBorder="1"/>
    <xf numFmtId="173" fontId="117" fillId="0" borderId="14" xfId="0" applyNumberFormat="1" applyFont="1" applyBorder="1"/>
    <xf numFmtId="2" fontId="117" fillId="0" borderId="14" xfId="0" applyNumberFormat="1" applyFont="1" applyBorder="1"/>
    <xf numFmtId="10" fontId="110" fillId="3" borderId="10" xfId="0" applyNumberFormat="1" applyFont="1" applyFill="1" applyBorder="1"/>
    <xf numFmtId="0" fontId="118" fillId="0" borderId="6" xfId="0" applyFont="1" applyBorder="1"/>
    <xf numFmtId="174" fontId="110" fillId="0" borderId="92" xfId="0" applyNumberFormat="1" applyFont="1" applyBorder="1"/>
    <xf numFmtId="174" fontId="110" fillId="0" borderId="6" xfId="0" applyNumberFormat="1" applyFont="1" applyBorder="1"/>
    <xf numFmtId="0" fontId="117" fillId="0" borderId="5" xfId="0" applyFont="1" applyBorder="1"/>
    <xf numFmtId="174" fontId="110" fillId="3" borderId="26" xfId="0" applyNumberFormat="1" applyFont="1" applyFill="1" applyBorder="1"/>
    <xf numFmtId="174" fontId="110" fillId="3" borderId="16" xfId="0" applyNumberFormat="1" applyFont="1" applyFill="1" applyBorder="1"/>
    <xf numFmtId="37" fontId="110" fillId="3" borderId="18" xfId="0" applyNumberFormat="1" applyFont="1" applyFill="1" applyBorder="1"/>
    <xf numFmtId="37" fontId="110" fillId="3" borderId="35" xfId="0" applyNumberFormat="1" applyFont="1" applyFill="1" applyBorder="1"/>
    <xf numFmtId="173" fontId="110" fillId="3" borderId="35" xfId="0" applyNumberFormat="1" applyFont="1" applyFill="1" applyBorder="1"/>
    <xf numFmtId="37" fontId="110" fillId="3" borderId="34" xfId="0" applyNumberFormat="1" applyFont="1" applyFill="1" applyBorder="1"/>
    <xf numFmtId="0" fontId="117" fillId="3" borderId="12" xfId="0" applyFont="1" applyFill="1" applyBorder="1"/>
    <xf numFmtId="164" fontId="117" fillId="0" borderId="0" xfId="0" applyNumberFormat="1" applyFont="1"/>
    <xf numFmtId="0" fontId="117" fillId="0" borderId="98" xfId="0" applyFont="1" applyBorder="1" applyAlignment="1">
      <alignment horizontal="center"/>
    </xf>
    <xf numFmtId="0" fontId="117" fillId="0" borderId="99" xfId="0" applyFont="1" applyBorder="1" applyAlignment="1">
      <alignment horizontal="center"/>
    </xf>
    <xf numFmtId="0" fontId="117" fillId="0" borderId="97" xfId="0" applyFont="1" applyBorder="1" applyAlignment="1">
      <alignment horizontal="center"/>
    </xf>
    <xf numFmtId="37" fontId="117" fillId="9" borderId="1" xfId="0" applyNumberFormat="1" applyFont="1" applyFill="1" applyBorder="1"/>
    <xf numFmtId="174" fontId="110" fillId="3" borderId="1" xfId="0" applyNumberFormat="1" applyFont="1" applyFill="1" applyBorder="1"/>
    <xf numFmtId="37" fontId="117" fillId="9" borderId="18" xfId="0" applyNumberFormat="1" applyFont="1" applyFill="1" applyBorder="1"/>
    <xf numFmtId="3" fontId="117" fillId="9" borderId="16" xfId="0" applyNumberFormat="1" applyFont="1" applyFill="1" applyBorder="1"/>
    <xf numFmtId="3" fontId="117" fillId="9" borderId="18" xfId="0" applyNumberFormat="1" applyFont="1" applyFill="1" applyBorder="1"/>
    <xf numFmtId="0" fontId="140" fillId="0" borderId="0" xfId="0" applyFont="1"/>
    <xf numFmtId="174" fontId="110" fillId="0" borderId="100" xfId="0" applyNumberFormat="1" applyFont="1" applyBorder="1"/>
    <xf numFmtId="0" fontId="110" fillId="3" borderId="37" xfId="0" applyFont="1" applyFill="1" applyBorder="1"/>
    <xf numFmtId="0" fontId="110" fillId="3" borderId="38" xfId="0" applyFont="1" applyFill="1" applyBorder="1"/>
    <xf numFmtId="37" fontId="110" fillId="3" borderId="39" xfId="0" applyNumberFormat="1" applyFont="1" applyFill="1" applyBorder="1"/>
    <xf numFmtId="0" fontId="117" fillId="3" borderId="37" xfId="0" applyFont="1" applyFill="1" applyBorder="1"/>
    <xf numFmtId="0" fontId="117" fillId="3" borderId="38" xfId="0" applyFont="1" applyFill="1" applyBorder="1"/>
    <xf numFmtId="0" fontId="141" fillId="23" borderId="1" xfId="0" applyFont="1" applyFill="1" applyBorder="1"/>
    <xf numFmtId="0" fontId="120" fillId="0" borderId="0" xfId="0" applyFont="1" applyAlignment="1">
      <alignment horizontal="center" vertical="center"/>
    </xf>
    <xf numFmtId="0" fontId="117" fillId="0" borderId="101" xfId="0" applyFont="1" applyBorder="1" applyAlignment="1">
      <alignment horizontal="left"/>
    </xf>
    <xf numFmtId="0" fontId="110" fillId="0" borderId="102" xfId="0" applyFont="1" applyBorder="1" applyAlignment="1">
      <alignment horizontal="center" vertical="center"/>
    </xf>
    <xf numFmtId="0" fontId="117" fillId="0" borderId="87" xfId="0" applyFont="1" applyBorder="1" applyAlignment="1">
      <alignment horizontal="center"/>
    </xf>
    <xf numFmtId="0" fontId="117" fillId="0" borderId="85" xfId="0" applyFont="1" applyBorder="1" applyAlignment="1">
      <alignment horizontal="center"/>
    </xf>
    <xf numFmtId="0" fontId="117" fillId="0" borderId="106" xfId="0" applyFont="1" applyBorder="1" applyAlignment="1">
      <alignment horizontal="center"/>
    </xf>
    <xf numFmtId="0" fontId="118" fillId="0" borderId="14" xfId="0" applyFont="1" applyBorder="1"/>
    <xf numFmtId="37" fontId="118" fillId="0" borderId="87" xfId="0" applyNumberFormat="1" applyFont="1" applyBorder="1"/>
    <xf numFmtId="37" fontId="118" fillId="0" borderId="85" xfId="0" applyNumberFormat="1" applyFont="1" applyBorder="1"/>
    <xf numFmtId="37" fontId="118" fillId="0" borderId="14" xfId="0" applyNumberFormat="1" applyFont="1" applyBorder="1"/>
    <xf numFmtId="174" fontId="118" fillId="0" borderId="14" xfId="0" applyNumberFormat="1" applyFont="1" applyBorder="1"/>
    <xf numFmtId="37" fontId="118" fillId="0" borderId="106" xfId="0" applyNumberFormat="1" applyFont="1" applyBorder="1"/>
    <xf numFmtId="174" fontId="118" fillId="0" borderId="5" xfId="0" applyNumberFormat="1" applyFont="1" applyBorder="1"/>
    <xf numFmtId="0" fontId="120" fillId="3" borderId="22" xfId="0" applyFont="1" applyFill="1" applyBorder="1"/>
    <xf numFmtId="0" fontId="120" fillId="3" borderId="23" xfId="0" applyFont="1" applyFill="1" applyBorder="1"/>
    <xf numFmtId="37" fontId="120" fillId="3" borderId="107" xfId="0" applyNumberFormat="1" applyFont="1" applyFill="1" applyBorder="1"/>
    <xf numFmtId="37" fontId="120" fillId="3" borderId="108" xfId="0" applyNumberFormat="1" applyFont="1" applyFill="1" applyBorder="1"/>
    <xf numFmtId="37" fontId="120" fillId="3" borderId="23" xfId="0" applyNumberFormat="1" applyFont="1" applyFill="1" applyBorder="1"/>
    <xf numFmtId="174" fontId="120" fillId="3" borderId="23" xfId="0" applyNumberFormat="1" applyFont="1" applyFill="1" applyBorder="1"/>
    <xf numFmtId="37" fontId="120" fillId="3" borderId="109" xfId="0" applyNumberFormat="1" applyFont="1" applyFill="1" applyBorder="1"/>
    <xf numFmtId="174" fontId="120" fillId="3" borderId="24" xfId="0" applyNumberFormat="1" applyFont="1" applyFill="1" applyBorder="1"/>
    <xf numFmtId="0" fontId="120" fillId="0" borderId="8" xfId="0" applyFont="1" applyBorder="1"/>
    <xf numFmtId="0" fontId="118" fillId="0" borderId="0" xfId="0" applyFont="1"/>
    <xf numFmtId="37" fontId="118" fillId="0" borderId="73" xfId="0" applyNumberFormat="1" applyFont="1" applyBorder="1"/>
    <xf numFmtId="37" fontId="118" fillId="0" borderId="71" xfId="0" applyNumberFormat="1" applyFont="1" applyBorder="1"/>
    <xf numFmtId="37" fontId="118" fillId="0" borderId="0" xfId="0" applyNumberFormat="1" applyFont="1"/>
    <xf numFmtId="174" fontId="118" fillId="0" borderId="0" xfId="0" applyNumberFormat="1" applyFont="1"/>
    <xf numFmtId="37" fontId="118" fillId="0" borderId="56" xfId="0" applyNumberFormat="1" applyFont="1" applyBorder="1"/>
    <xf numFmtId="174" fontId="118" fillId="0" borderId="7" xfId="0" applyNumberFormat="1" applyFont="1" applyBorder="1"/>
    <xf numFmtId="0" fontId="118" fillId="0" borderId="0" xfId="0" applyFont="1" applyAlignment="1">
      <alignment horizontal="right"/>
    </xf>
    <xf numFmtId="173" fontId="118" fillId="0" borderId="0" xfId="0" applyNumberFormat="1" applyFont="1"/>
    <xf numFmtId="0" fontId="118" fillId="0" borderId="71" xfId="0" applyFont="1" applyBorder="1"/>
    <xf numFmtId="174" fontId="118" fillId="0" borderId="9" xfId="0" applyNumberFormat="1" applyFont="1" applyBorder="1"/>
    <xf numFmtId="0" fontId="118" fillId="0" borderId="14" xfId="0" applyFont="1" applyBorder="1" applyAlignment="1">
      <alignment horizontal="right"/>
    </xf>
    <xf numFmtId="173" fontId="118" fillId="0" borderId="14" xfId="0" applyNumberFormat="1" applyFont="1" applyBorder="1"/>
    <xf numFmtId="0" fontId="118" fillId="0" borderId="85" xfId="0" applyFont="1" applyBorder="1"/>
    <xf numFmtId="174" fontId="118" fillId="0" borderId="87" xfId="0" applyNumberFormat="1" applyFont="1" applyBorder="1"/>
    <xf numFmtId="0" fontId="120" fillId="3" borderId="28" xfId="0" applyFont="1" applyFill="1" applyBorder="1"/>
    <xf numFmtId="0" fontId="120" fillId="3" borderId="29" xfId="0" applyFont="1" applyFill="1" applyBorder="1"/>
    <xf numFmtId="174" fontId="120" fillId="3" borderId="29" xfId="0" applyNumberFormat="1" applyFont="1" applyFill="1" applyBorder="1"/>
    <xf numFmtId="37" fontId="120" fillId="3" borderId="68" xfId="0" applyNumberFormat="1" applyFont="1" applyFill="1" applyBorder="1"/>
    <xf numFmtId="174" fontId="120" fillId="3" borderId="31" xfId="0" applyNumberFormat="1" applyFont="1" applyFill="1" applyBorder="1"/>
    <xf numFmtId="0" fontId="120" fillId="3" borderId="31" xfId="0" applyFont="1" applyFill="1" applyBorder="1"/>
    <xf numFmtId="37" fontId="120" fillId="3" borderId="29" xfId="0" applyNumberFormat="1" applyFont="1" applyFill="1" applyBorder="1"/>
    <xf numFmtId="0" fontId="120" fillId="3" borderId="112" xfId="0" applyFont="1" applyFill="1" applyBorder="1"/>
    <xf numFmtId="174" fontId="118" fillId="0" borderId="73" xfId="0" applyNumberFormat="1" applyFont="1" applyBorder="1"/>
    <xf numFmtId="173" fontId="120" fillId="3" borderId="29" xfId="0" applyNumberFormat="1" applyFont="1" applyFill="1" applyBorder="1"/>
    <xf numFmtId="37" fontId="120" fillId="3" borderId="31" xfId="0" applyNumberFormat="1" applyFont="1" applyFill="1" applyBorder="1"/>
    <xf numFmtId="37" fontId="120" fillId="3" borderId="112" xfId="0" applyNumberFormat="1" applyFont="1" applyFill="1" applyBorder="1"/>
    <xf numFmtId="0" fontId="118" fillId="0" borderId="92" xfId="0" applyFont="1" applyBorder="1" applyAlignment="1">
      <alignment horizontal="right"/>
    </xf>
    <xf numFmtId="0" fontId="118" fillId="0" borderId="92" xfId="0" applyFont="1" applyBorder="1"/>
    <xf numFmtId="37" fontId="118" fillId="0" borderId="91" xfId="0" applyNumberFormat="1" applyFont="1" applyBorder="1"/>
    <xf numFmtId="0" fontId="118" fillId="0" borderId="90" xfId="0" applyFont="1" applyBorder="1"/>
    <xf numFmtId="173" fontId="118" fillId="0" borderId="92" xfId="0" applyNumberFormat="1" applyFont="1" applyBorder="1"/>
    <xf numFmtId="37" fontId="118" fillId="0" borderId="92" xfId="0" applyNumberFormat="1" applyFont="1" applyBorder="1"/>
    <xf numFmtId="174" fontId="118" fillId="0" borderId="92" xfId="0" applyNumberFormat="1" applyFont="1" applyBorder="1"/>
    <xf numFmtId="37" fontId="118" fillId="0" borderId="113" xfId="0" applyNumberFormat="1" applyFont="1" applyBorder="1"/>
    <xf numFmtId="9" fontId="108" fillId="0" borderId="0" xfId="0" applyNumberFormat="1" applyFont="1"/>
    <xf numFmtId="37" fontId="118" fillId="0" borderId="90" xfId="0" applyNumberFormat="1" applyFont="1" applyBorder="1"/>
    <xf numFmtId="0" fontId="118" fillId="3" borderId="29" xfId="0" applyFont="1" applyFill="1" applyBorder="1"/>
    <xf numFmtId="3" fontId="120" fillId="3" borderId="29" xfId="0" applyNumberFormat="1" applyFont="1" applyFill="1" applyBorder="1" applyAlignment="1">
      <alignment horizontal="center"/>
    </xf>
    <xf numFmtId="174" fontId="120" fillId="3" borderId="30" xfId="0" applyNumberFormat="1" applyFont="1" applyFill="1" applyBorder="1"/>
    <xf numFmtId="174" fontId="120" fillId="0" borderId="0" xfId="0" applyNumberFormat="1" applyFont="1"/>
    <xf numFmtId="0" fontId="120" fillId="0" borderId="0" xfId="0" applyFont="1"/>
    <xf numFmtId="174" fontId="118" fillId="0" borderId="91" xfId="0" applyNumberFormat="1" applyFont="1" applyBorder="1"/>
    <xf numFmtId="0" fontId="118" fillId="0" borderId="73" xfId="0" applyFont="1" applyBorder="1"/>
    <xf numFmtId="0" fontId="118" fillId="0" borderId="56" xfId="0" applyFont="1" applyBorder="1"/>
    <xf numFmtId="174" fontId="118" fillId="0" borderId="114" xfId="0" applyNumberFormat="1" applyFont="1" applyBorder="1"/>
    <xf numFmtId="174" fontId="120" fillId="0" borderId="92" xfId="0" applyNumberFormat="1" applyFont="1" applyBorder="1"/>
    <xf numFmtId="0" fontId="120" fillId="0" borderId="92" xfId="0" applyFont="1" applyBorder="1"/>
    <xf numFmtId="174" fontId="120" fillId="0" borderId="90" xfId="0" applyNumberFormat="1" applyFont="1" applyBorder="1"/>
    <xf numFmtId="37" fontId="120" fillId="0" borderId="90" xfId="0" applyNumberFormat="1" applyFont="1" applyBorder="1"/>
    <xf numFmtId="37" fontId="118" fillId="0" borderId="94" xfId="0" applyNumberFormat="1" applyFont="1" applyBorder="1"/>
    <xf numFmtId="37" fontId="120" fillId="0" borderId="92" xfId="0" applyNumberFormat="1" applyFont="1" applyBorder="1"/>
    <xf numFmtId="37" fontId="120" fillId="0" borderId="0" xfId="0" applyNumberFormat="1" applyFont="1"/>
    <xf numFmtId="1" fontId="120" fillId="0" borderId="0" xfId="0" applyNumberFormat="1" applyFont="1"/>
    <xf numFmtId="37" fontId="120" fillId="0" borderId="71" xfId="0" applyNumberFormat="1" applyFont="1" applyBorder="1"/>
    <xf numFmtId="174" fontId="120" fillId="0" borderId="71" xfId="0" applyNumberFormat="1" applyFont="1" applyBorder="1"/>
    <xf numFmtId="37" fontId="118" fillId="0" borderId="55" xfId="0" applyNumberFormat="1" applyFont="1" applyBorder="1"/>
    <xf numFmtId="166" fontId="120" fillId="0" borderId="71" xfId="0" applyNumberFormat="1" applyFont="1" applyBorder="1"/>
    <xf numFmtId="174" fontId="118" fillId="3" borderId="31" xfId="0" applyNumberFormat="1" applyFont="1" applyFill="1" applyBorder="1"/>
    <xf numFmtId="174" fontId="118" fillId="3" borderId="29" xfId="0" applyNumberFormat="1" applyFont="1" applyFill="1" applyBorder="1"/>
    <xf numFmtId="37" fontId="118" fillId="3" borderId="112" xfId="0" applyNumberFormat="1" applyFont="1" applyFill="1" applyBorder="1"/>
    <xf numFmtId="0" fontId="120" fillId="6" borderId="19" xfId="0" applyFont="1" applyFill="1" applyBorder="1"/>
    <xf numFmtId="0" fontId="120" fillId="6" borderId="15" xfId="0" applyFont="1" applyFill="1" applyBorder="1"/>
    <xf numFmtId="37" fontId="120" fillId="6" borderId="15" xfId="0" applyNumberFormat="1" applyFont="1" applyFill="1" applyBorder="1"/>
    <xf numFmtId="37" fontId="118" fillId="6" borderId="115" xfId="0" applyNumberFormat="1" applyFont="1" applyFill="1" applyBorder="1"/>
    <xf numFmtId="0" fontId="118" fillId="6" borderId="15" xfId="0" applyFont="1" applyFill="1" applyBorder="1"/>
    <xf numFmtId="37" fontId="118" fillId="6" borderId="15" xfId="0" applyNumberFormat="1" applyFont="1" applyFill="1" applyBorder="1"/>
    <xf numFmtId="37" fontId="118" fillId="6" borderId="116" xfId="0" applyNumberFormat="1" applyFont="1" applyFill="1" applyBorder="1"/>
    <xf numFmtId="37" fontId="118" fillId="6" borderId="1" xfId="0" applyNumberFormat="1" applyFont="1" applyFill="1" applyBorder="1"/>
    <xf numFmtId="174" fontId="118" fillId="6" borderId="1" xfId="0" applyNumberFormat="1" applyFont="1" applyFill="1" applyBorder="1"/>
    <xf numFmtId="174" fontId="118" fillId="6" borderId="116" xfId="0" applyNumberFormat="1" applyFont="1" applyFill="1" applyBorder="1"/>
    <xf numFmtId="174" fontId="118" fillId="6" borderId="15" xfId="0" applyNumberFormat="1" applyFont="1" applyFill="1" applyBorder="1"/>
    <xf numFmtId="37" fontId="118" fillId="6" borderId="117" xfId="0" applyNumberFormat="1" applyFont="1" applyFill="1" applyBorder="1"/>
    <xf numFmtId="174" fontId="118" fillId="0" borderId="99" xfId="0" applyNumberFormat="1" applyFont="1" applyBorder="1"/>
    <xf numFmtId="0" fontId="120" fillId="3" borderId="37" xfId="0" applyFont="1" applyFill="1" applyBorder="1"/>
    <xf numFmtId="0" fontId="120" fillId="3" borderId="38" xfId="0" applyFont="1" applyFill="1" applyBorder="1"/>
    <xf numFmtId="0" fontId="120" fillId="3" borderId="38" xfId="0" applyFont="1" applyFill="1" applyBorder="1" applyAlignment="1">
      <alignment horizontal="center"/>
    </xf>
    <xf numFmtId="174" fontId="120" fillId="3" borderId="38" xfId="0" applyNumberFormat="1" applyFont="1" applyFill="1" applyBorder="1"/>
    <xf numFmtId="37" fontId="120" fillId="3" borderId="118" xfId="0" applyNumberFormat="1" applyFont="1" applyFill="1" applyBorder="1"/>
    <xf numFmtId="37" fontId="120" fillId="3" borderId="38" xfId="0" applyNumberFormat="1" applyFont="1" applyFill="1" applyBorder="1"/>
    <xf numFmtId="37" fontId="120" fillId="3" borderId="119" xfId="0" applyNumberFormat="1" applyFont="1" applyFill="1" applyBorder="1"/>
    <xf numFmtId="174" fontId="120" fillId="3" borderId="120" xfId="0" applyNumberFormat="1" applyFont="1" applyFill="1" applyBorder="1"/>
    <xf numFmtId="0" fontId="120" fillId="3" borderId="119" xfId="0" applyFont="1" applyFill="1" applyBorder="1" applyAlignment="1">
      <alignment horizontal="center"/>
    </xf>
    <xf numFmtId="37" fontId="120" fillId="3" borderId="121" xfId="0" applyNumberFormat="1" applyFont="1" applyFill="1" applyBorder="1"/>
    <xf numFmtId="174" fontId="120" fillId="3" borderId="13" xfId="0" applyNumberFormat="1" applyFont="1" applyFill="1" applyBorder="1"/>
    <xf numFmtId="39" fontId="118" fillId="0" borderId="0" xfId="0" applyNumberFormat="1" applyFont="1"/>
    <xf numFmtId="0" fontId="111" fillId="0" borderId="0" xfId="0" applyFont="1" applyAlignment="1">
      <alignment horizontal="right" vertical="center"/>
    </xf>
    <xf numFmtId="37" fontId="120" fillId="3" borderId="122" xfId="0" applyNumberFormat="1" applyFont="1" applyFill="1" applyBorder="1"/>
    <xf numFmtId="37" fontId="120" fillId="3" borderId="123" xfId="0" applyNumberFormat="1" applyFont="1" applyFill="1" applyBorder="1"/>
    <xf numFmtId="37" fontId="120" fillId="3" borderId="124" xfId="0" applyNumberFormat="1" applyFont="1" applyFill="1" applyBorder="1"/>
    <xf numFmtId="174" fontId="120" fillId="3" borderId="125" xfId="0" applyNumberFormat="1" applyFont="1" applyFill="1" applyBorder="1"/>
    <xf numFmtId="0" fontId="116" fillId="0" borderId="8" xfId="0" applyFont="1" applyBorder="1"/>
    <xf numFmtId="37" fontId="116" fillId="0" borderId="73" xfId="0" applyNumberFormat="1" applyFont="1" applyBorder="1"/>
    <xf numFmtId="0" fontId="116" fillId="0" borderId="73" xfId="0" applyFont="1" applyBorder="1"/>
    <xf numFmtId="0" fontId="116" fillId="0" borderId="55" xfId="0" applyFont="1" applyBorder="1"/>
    <xf numFmtId="0" fontId="116" fillId="0" borderId="56" xfId="0" applyFont="1" applyBorder="1"/>
    <xf numFmtId="0" fontId="116" fillId="0" borderId="9" xfId="0" applyFont="1" applyBorder="1"/>
    <xf numFmtId="174" fontId="120" fillId="3" borderId="39" xfId="0" applyNumberFormat="1" applyFont="1" applyFill="1" applyBorder="1"/>
    <xf numFmtId="176" fontId="116" fillId="0" borderId="0" xfId="0" applyNumberFormat="1" applyFont="1" applyAlignment="1">
      <alignment horizontal="right"/>
    </xf>
    <xf numFmtId="166" fontId="116" fillId="0" borderId="0" xfId="0" applyNumberFormat="1" applyFont="1"/>
    <xf numFmtId="0" fontId="142" fillId="22" borderId="1" xfId="0" applyFont="1" applyFill="1" applyBorder="1"/>
    <xf numFmtId="0" fontId="107" fillId="0" borderId="61" xfId="0" applyFont="1" applyBorder="1" applyAlignment="1">
      <alignment horizontal="center"/>
    </xf>
    <xf numFmtId="0" fontId="107" fillId="0" borderId="61" xfId="0" applyFont="1" applyBorder="1"/>
    <xf numFmtId="1" fontId="106" fillId="2" borderId="1" xfId="0" applyNumberFormat="1" applyFont="1" applyFill="1" applyBorder="1" applyAlignment="1">
      <alignment horizontal="right"/>
    </xf>
    <xf numFmtId="6" fontId="106" fillId="2" borderId="1" xfId="0" applyNumberFormat="1" applyFont="1" applyFill="1" applyBorder="1"/>
    <xf numFmtId="6" fontId="106" fillId="0" borderId="0" xfId="0" applyNumberFormat="1" applyFont="1"/>
    <xf numFmtId="174" fontId="106" fillId="0" borderId="0" xfId="0" applyNumberFormat="1" applyFont="1" applyAlignment="1">
      <alignment horizontal="center"/>
    </xf>
    <xf numFmtId="3" fontId="106" fillId="2" borderId="1" xfId="0" applyNumberFormat="1" applyFont="1" applyFill="1" applyBorder="1" applyAlignment="1">
      <alignment horizontal="right"/>
    </xf>
    <xf numFmtId="1" fontId="107" fillId="2" borderId="1" xfId="0" applyNumberFormat="1" applyFont="1" applyFill="1" applyBorder="1" applyAlignment="1">
      <alignment horizontal="right"/>
    </xf>
    <xf numFmtId="6" fontId="107" fillId="2" borderId="1" xfId="0" applyNumberFormat="1" applyFont="1" applyFill="1" applyBorder="1"/>
    <xf numFmtId="6" fontId="107" fillId="0" borderId="0" xfId="0" applyNumberFormat="1" applyFont="1"/>
    <xf numFmtId="174" fontId="107" fillId="0" borderId="0" xfId="0" applyNumberFormat="1" applyFont="1" applyAlignment="1">
      <alignment horizontal="center"/>
    </xf>
    <xf numFmtId="3" fontId="107" fillId="2" borderId="1" xfId="0" applyNumberFormat="1" applyFont="1" applyFill="1" applyBorder="1" applyAlignment="1">
      <alignment horizontal="right"/>
    </xf>
    <xf numFmtId="1" fontId="107" fillId="0" borderId="126" xfId="0" applyNumberFormat="1" applyFont="1" applyBorder="1" applyAlignment="1">
      <alignment horizontal="right"/>
    </xf>
    <xf numFmtId="6" fontId="107" fillId="0" borderId="126" xfId="0" applyNumberFormat="1" applyFont="1" applyBorder="1"/>
    <xf numFmtId="6" fontId="143" fillId="0" borderId="126" xfId="0" applyNumberFormat="1" applyFont="1" applyBorder="1"/>
    <xf numFmtId="174" fontId="107" fillId="0" borderId="126" xfId="0" applyNumberFormat="1" applyFont="1" applyBorder="1" applyAlignment="1">
      <alignment horizontal="center"/>
    </xf>
    <xf numFmtId="3" fontId="107" fillId="0" borderId="126" xfId="0" applyNumberFormat="1" applyFont="1" applyBorder="1" applyAlignment="1">
      <alignment horizontal="right"/>
    </xf>
    <xf numFmtId="6" fontId="106" fillId="0" borderId="126" xfId="0" applyNumberFormat="1" applyFont="1" applyBorder="1"/>
    <xf numFmtId="174" fontId="144" fillId="0" borderId="0" xfId="0" applyNumberFormat="1" applyFont="1" applyAlignment="1">
      <alignment horizontal="center" vertical="top"/>
    </xf>
    <xf numFmtId="1" fontId="107" fillId="0" borderId="0" xfId="0" applyNumberFormat="1" applyFont="1"/>
    <xf numFmtId="1" fontId="106" fillId="0" borderId="0" xfId="0" applyNumberFormat="1" applyFont="1" applyAlignment="1">
      <alignment horizontal="right"/>
    </xf>
    <xf numFmtId="3" fontId="106" fillId="0" borderId="0" xfId="0" applyNumberFormat="1" applyFont="1" applyAlignment="1">
      <alignment horizontal="right"/>
    </xf>
    <xf numFmtId="1" fontId="107" fillId="0" borderId="0" xfId="0" applyNumberFormat="1" applyFont="1" applyAlignment="1">
      <alignment horizontal="right"/>
    </xf>
    <xf numFmtId="3" fontId="107" fillId="0" borderId="0" xfId="0" applyNumberFormat="1" applyFont="1" applyAlignment="1">
      <alignment horizontal="right"/>
    </xf>
    <xf numFmtId="6" fontId="145" fillId="0" borderId="0" xfId="0" applyNumberFormat="1" applyFont="1" applyAlignment="1">
      <alignment horizontal="center" vertical="center"/>
    </xf>
    <xf numFmtId="0" fontId="107" fillId="0" borderId="61" xfId="0" applyFont="1" applyBorder="1" applyAlignment="1">
      <alignment horizontal="left"/>
    </xf>
    <xf numFmtId="6" fontId="107" fillId="0" borderId="0" xfId="0" applyNumberFormat="1" applyFont="1" applyAlignment="1">
      <alignment horizontal="center"/>
    </xf>
    <xf numFmtId="174" fontId="107" fillId="0" borderId="0" xfId="0" applyNumberFormat="1" applyFont="1" applyAlignment="1">
      <alignment horizontal="right"/>
    </xf>
    <xf numFmtId="0" fontId="107" fillId="0" borderId="130" xfId="0" applyFont="1" applyBorder="1"/>
    <xf numFmtId="0" fontId="107" fillId="0" borderId="63" xfId="0" applyFont="1" applyBorder="1"/>
    <xf numFmtId="0" fontId="107" fillId="0" borderId="131" xfId="0" applyFont="1" applyBorder="1"/>
    <xf numFmtId="1" fontId="107" fillId="0" borderId="0" xfId="0" applyNumberFormat="1" applyFont="1" applyAlignment="1">
      <alignment horizontal="center"/>
    </xf>
    <xf numFmtId="0" fontId="107" fillId="0" borderId="76" xfId="0" applyFont="1" applyBorder="1" applyAlignment="1">
      <alignment horizontal="center"/>
    </xf>
    <xf numFmtId="174" fontId="107" fillId="2" borderId="1" xfId="0" applyNumberFormat="1" applyFont="1" applyFill="1" applyBorder="1" applyAlignment="1">
      <alignment horizontal="center"/>
    </xf>
    <xf numFmtId="6" fontId="107" fillId="0" borderId="62" xfId="0" applyNumberFormat="1" applyFont="1" applyBorder="1"/>
    <xf numFmtId="174" fontId="107" fillId="0" borderId="62" xfId="0" applyNumberFormat="1" applyFont="1" applyBorder="1" applyAlignment="1">
      <alignment horizontal="center"/>
    </xf>
    <xf numFmtId="6" fontId="107" fillId="0" borderId="63" xfId="0" applyNumberFormat="1" applyFont="1" applyBorder="1"/>
    <xf numFmtId="174" fontId="107" fillId="0" borderId="63" xfId="0" applyNumberFormat="1" applyFont="1" applyBorder="1" applyAlignment="1">
      <alignment horizontal="center"/>
    </xf>
    <xf numFmtId="6" fontId="107" fillId="0" borderId="64" xfId="0" applyNumberFormat="1" applyFont="1" applyBorder="1"/>
    <xf numFmtId="174" fontId="107" fillId="0" borderId="64" xfId="0" applyNumberFormat="1" applyFont="1" applyBorder="1" applyAlignment="1">
      <alignment horizontal="center"/>
    </xf>
    <xf numFmtId="3" fontId="107" fillId="0" borderId="0" xfId="0" applyNumberFormat="1" applyFont="1"/>
    <xf numFmtId="174" fontId="107" fillId="0" borderId="0" xfId="0" applyNumberFormat="1" applyFont="1"/>
    <xf numFmtId="10" fontId="108" fillId="0" borderId="0" xfId="0" applyNumberFormat="1" applyFont="1"/>
    <xf numFmtId="0" fontId="146" fillId="0" borderId="0" xfId="0" applyFont="1"/>
    <xf numFmtId="10" fontId="146" fillId="0" borderId="0" xfId="0" applyNumberFormat="1" applyFont="1"/>
    <xf numFmtId="37" fontId="110" fillId="3" borderId="12" xfId="0" applyNumberFormat="1" applyFont="1" applyFill="1" applyBorder="1"/>
    <xf numFmtId="9" fontId="117" fillId="0" borderId="0" xfId="0" applyNumberFormat="1" applyFont="1"/>
    <xf numFmtId="178" fontId="117" fillId="0" borderId="0" xfId="0" applyNumberFormat="1" applyFont="1"/>
    <xf numFmtId="0" fontId="117" fillId="21" borderId="1" xfId="0" applyFont="1" applyFill="1" applyBorder="1"/>
    <xf numFmtId="39" fontId="117" fillId="0" borderId="14" xfId="0" applyNumberFormat="1" applyFont="1" applyBorder="1"/>
    <xf numFmtId="2" fontId="117" fillId="0" borderId="0" xfId="0" applyNumberFormat="1" applyFont="1"/>
    <xf numFmtId="175" fontId="117" fillId="0" borderId="0" xfId="0" applyNumberFormat="1" applyFont="1"/>
    <xf numFmtId="39" fontId="110" fillId="6" borderId="23" xfId="0" applyNumberFormat="1" applyFont="1" applyFill="1" applyBorder="1"/>
    <xf numFmtId="171" fontId="117" fillId="0" borderId="9" xfId="0" applyNumberFormat="1" applyFont="1" applyBorder="1"/>
    <xf numFmtId="39" fontId="110" fillId="0" borderId="0" xfId="0" applyNumberFormat="1" applyFont="1"/>
    <xf numFmtId="174" fontId="116" fillId="0" borderId="0" xfId="0" applyNumberFormat="1" applyFont="1"/>
    <xf numFmtId="3" fontId="116" fillId="0" borderId="0" xfId="0" applyNumberFormat="1" applyFont="1"/>
    <xf numFmtId="4" fontId="116" fillId="0" borderId="0" xfId="0" applyNumberFormat="1" applyFont="1"/>
    <xf numFmtId="9" fontId="116" fillId="0" borderId="0" xfId="0" applyNumberFormat="1" applyFont="1"/>
    <xf numFmtId="2" fontId="108" fillId="0" borderId="0" xfId="0" applyNumberFormat="1" applyFont="1"/>
    <xf numFmtId="0" fontId="120" fillId="10" borderId="52" xfId="0" applyFont="1" applyFill="1" applyBorder="1" applyAlignment="1">
      <alignment horizontal="center"/>
    </xf>
    <xf numFmtId="0" fontId="120" fillId="10" borderId="132" xfId="0" applyFont="1" applyFill="1" applyBorder="1" applyAlignment="1">
      <alignment horizontal="center"/>
    </xf>
    <xf numFmtId="3" fontId="108" fillId="0" borderId="0" xfId="0" applyNumberFormat="1" applyFont="1"/>
    <xf numFmtId="37" fontId="118" fillId="0" borderId="96" xfId="0" applyNumberFormat="1" applyFont="1" applyBorder="1"/>
    <xf numFmtId="37" fontId="120" fillId="3" borderId="133" xfId="0" applyNumberFormat="1" applyFont="1" applyFill="1" applyBorder="1"/>
    <xf numFmtId="37" fontId="118" fillId="0" borderId="134" xfId="0" applyNumberFormat="1" applyFont="1" applyBorder="1"/>
    <xf numFmtId="37" fontId="118" fillId="0" borderId="135" xfId="0" applyNumberFormat="1" applyFont="1" applyBorder="1"/>
    <xf numFmtId="37" fontId="120" fillId="3" borderId="136" xfId="0" applyNumberFormat="1" applyFont="1" applyFill="1" applyBorder="1"/>
    <xf numFmtId="37" fontId="120" fillId="3" borderId="137" xfId="0" applyNumberFormat="1" applyFont="1" applyFill="1" applyBorder="1"/>
    <xf numFmtId="4" fontId="108" fillId="0" borderId="0" xfId="0" applyNumberFormat="1" applyFont="1"/>
    <xf numFmtId="174" fontId="108" fillId="0" borderId="0" xfId="0" applyNumberFormat="1" applyFont="1"/>
    <xf numFmtId="37" fontId="118" fillId="0" borderId="138" xfId="0" applyNumberFormat="1" applyFont="1" applyBorder="1"/>
    <xf numFmtId="171" fontId="116" fillId="0" borderId="0" xfId="0" applyNumberFormat="1" applyFont="1"/>
    <xf numFmtId="0" fontId="118" fillId="0" borderId="134" xfId="0" applyFont="1" applyBorder="1"/>
    <xf numFmtId="0" fontId="118" fillId="0" borderId="55" xfId="0" applyFont="1" applyBorder="1"/>
    <xf numFmtId="37" fontId="118" fillId="6" borderId="139" xfId="0" applyNumberFormat="1" applyFont="1" applyFill="1" applyBorder="1"/>
    <xf numFmtId="39" fontId="118" fillId="0" borderId="56" xfId="0" applyNumberFormat="1" applyFont="1" applyBorder="1"/>
    <xf numFmtId="39" fontId="118" fillId="0" borderId="55" xfId="0" applyNumberFormat="1" applyFont="1" applyBorder="1"/>
    <xf numFmtId="0" fontId="111" fillId="0" borderId="56" xfId="0" applyFont="1" applyBorder="1"/>
    <xf numFmtId="0" fontId="111" fillId="0" borderId="55" xfId="0" applyFont="1" applyBorder="1"/>
    <xf numFmtId="37" fontId="120" fillId="3" borderId="140" xfId="0" applyNumberFormat="1" applyFont="1" applyFill="1" applyBorder="1"/>
    <xf numFmtId="0" fontId="116" fillId="0" borderId="134" xfId="0" applyFont="1" applyBorder="1"/>
    <xf numFmtId="37" fontId="120" fillId="3" borderId="141" xfId="0" applyNumberFormat="1" applyFont="1" applyFill="1" applyBorder="1"/>
    <xf numFmtId="37" fontId="147" fillId="0" borderId="0" xfId="0" applyNumberFormat="1" applyFont="1"/>
    <xf numFmtId="172" fontId="124" fillId="6" borderId="1" xfId="0" applyNumberFormat="1" applyFont="1" applyFill="1" applyBorder="1" applyAlignment="1">
      <alignment horizontal="right"/>
    </xf>
    <xf numFmtId="0" fontId="124" fillId="6" borderId="1" xfId="0" applyFont="1" applyFill="1" applyBorder="1"/>
    <xf numFmtId="9" fontId="116" fillId="6" borderId="1" xfId="0" applyNumberFormat="1" applyFont="1" applyFill="1" applyBorder="1"/>
    <xf numFmtId="0" fontId="123" fillId="6" borderId="1" xfId="0" applyFont="1" applyFill="1" applyBorder="1" applyAlignment="1">
      <alignment horizontal="center"/>
    </xf>
    <xf numFmtId="172" fontId="116" fillId="6" borderId="1" xfId="0" applyNumberFormat="1" applyFont="1" applyFill="1" applyBorder="1" applyAlignment="1">
      <alignment horizontal="center"/>
    </xf>
    <xf numFmtId="0" fontId="148" fillId="6" borderId="1" xfId="0" applyFont="1" applyFill="1" applyBorder="1" applyAlignment="1">
      <alignment horizontal="center"/>
    </xf>
    <xf numFmtId="0" fontId="149" fillId="0" borderId="0" xfId="0" applyFont="1" applyAlignment="1">
      <alignment horizontal="center" vertical="top"/>
    </xf>
    <xf numFmtId="169" fontId="150" fillId="0" borderId="0" xfId="0" applyNumberFormat="1" applyFont="1" applyAlignment="1">
      <alignment horizontal="center" vertical="top"/>
    </xf>
    <xf numFmtId="0" fontId="151" fillId="24" borderId="142" xfId="0" applyFont="1" applyFill="1" applyBorder="1" applyAlignment="1">
      <alignment horizontal="center" vertical="center" wrapText="1"/>
    </xf>
    <xf numFmtId="49" fontId="107" fillId="4" borderId="1" xfId="0" applyNumberFormat="1" applyFont="1" applyFill="1" applyBorder="1" applyAlignment="1">
      <alignment horizontal="left" vertical="center"/>
    </xf>
    <xf numFmtId="0" fontId="107" fillId="4" borderId="1" xfId="0" applyFont="1" applyFill="1" applyBorder="1"/>
    <xf numFmtId="179" fontId="107" fillId="4" borderId="1" xfId="0" applyNumberFormat="1" applyFont="1" applyFill="1" applyBorder="1" applyAlignment="1">
      <alignment horizontal="right" vertical="center"/>
    </xf>
    <xf numFmtId="1" fontId="107" fillId="0" borderId="0" xfId="0" applyNumberFormat="1" applyFont="1" applyAlignment="1">
      <alignment horizontal="left" vertical="top"/>
    </xf>
    <xf numFmtId="49" fontId="107" fillId="0" borderId="0" xfId="0" applyNumberFormat="1" applyFont="1" applyAlignment="1">
      <alignment horizontal="left" vertical="top"/>
    </xf>
    <xf numFmtId="4" fontId="107" fillId="0" borderId="0" xfId="0" applyNumberFormat="1" applyFont="1" applyAlignment="1">
      <alignment horizontal="center" vertical="top"/>
    </xf>
    <xf numFmtId="0" fontId="107" fillId="8" borderId="1" xfId="0" applyFont="1" applyFill="1" applyBorder="1" applyAlignment="1">
      <alignment horizontal="center"/>
    </xf>
    <xf numFmtId="176" fontId="108" fillId="0" borderId="0" xfId="0" applyNumberFormat="1" applyFont="1" applyAlignment="1">
      <alignment horizontal="center"/>
    </xf>
    <xf numFmtId="180" fontId="108" fillId="0" borderId="0" xfId="0" applyNumberFormat="1" applyFont="1" applyAlignment="1">
      <alignment horizontal="center"/>
    </xf>
    <xf numFmtId="169" fontId="107" fillId="0" borderId="0" xfId="0" applyNumberFormat="1" applyFont="1" applyAlignment="1">
      <alignment horizontal="center" vertical="top"/>
    </xf>
    <xf numFmtId="8" fontId="107" fillId="4" borderId="1" xfId="0" applyNumberFormat="1" applyFont="1" applyFill="1" applyBorder="1"/>
    <xf numFmtId="4" fontId="107" fillId="25" borderId="1" xfId="0" applyNumberFormat="1" applyFont="1" applyFill="1" applyBorder="1" applyAlignment="1">
      <alignment horizontal="center" vertical="top"/>
    </xf>
    <xf numFmtId="4" fontId="107" fillId="10" borderId="1" xfId="0" applyNumberFormat="1" applyFont="1" applyFill="1" applyBorder="1" applyAlignment="1">
      <alignment horizontal="center" vertical="top"/>
    </xf>
    <xf numFmtId="0" fontId="107" fillId="4" borderId="1" xfId="0" applyFont="1" applyFill="1" applyBorder="1" applyAlignment="1">
      <alignment horizontal="left" vertical="top"/>
    </xf>
    <xf numFmtId="8" fontId="107" fillId="4" borderId="1" xfId="0" applyNumberFormat="1" applyFont="1" applyFill="1" applyBorder="1" applyAlignment="1">
      <alignment horizontal="left" vertical="top"/>
    </xf>
    <xf numFmtId="1" fontId="107" fillId="4" borderId="1" xfId="0" applyNumberFormat="1" applyFont="1" applyFill="1" applyBorder="1" applyAlignment="1">
      <alignment horizontal="center" vertical="top"/>
    </xf>
    <xf numFmtId="1" fontId="107" fillId="4" borderId="1" xfId="0" applyNumberFormat="1" applyFont="1" applyFill="1" applyBorder="1" applyAlignment="1">
      <alignment horizontal="center"/>
    </xf>
    <xf numFmtId="1" fontId="107" fillId="4" borderId="1" xfId="0" applyNumberFormat="1" applyFont="1" applyFill="1" applyBorder="1" applyAlignment="1">
      <alignment horizontal="center" vertical="center"/>
    </xf>
    <xf numFmtId="49" fontId="107" fillId="26" borderId="1" xfId="0" applyNumberFormat="1" applyFont="1" applyFill="1" applyBorder="1" applyAlignment="1">
      <alignment horizontal="left" vertical="top"/>
    </xf>
    <xf numFmtId="4" fontId="107" fillId="26" borderId="1" xfId="0" applyNumberFormat="1" applyFont="1" applyFill="1" applyBorder="1" applyAlignment="1">
      <alignment horizontal="center" vertical="top"/>
    </xf>
    <xf numFmtId="4" fontId="107" fillId="4" borderId="1" xfId="0" applyNumberFormat="1" applyFont="1" applyFill="1" applyBorder="1"/>
    <xf numFmtId="0" fontId="152" fillId="8" borderId="1" xfId="0" applyFont="1" applyFill="1" applyBorder="1" applyAlignment="1">
      <alignment horizontal="center"/>
    </xf>
    <xf numFmtId="4" fontId="107" fillId="4" borderId="1" xfId="0" applyNumberFormat="1" applyFont="1" applyFill="1" applyBorder="1" applyAlignment="1">
      <alignment horizontal="left" vertical="top"/>
    </xf>
    <xf numFmtId="169" fontId="108" fillId="0" borderId="0" xfId="0" applyNumberFormat="1" applyFont="1"/>
    <xf numFmtId="0" fontId="151" fillId="27" borderId="1" xfId="0" applyFont="1" applyFill="1" applyBorder="1" applyAlignment="1">
      <alignment horizontal="left" vertical="top"/>
    </xf>
    <xf numFmtId="0" fontId="108" fillId="27" borderId="1" xfId="0" applyFont="1" applyFill="1" applyBorder="1" applyAlignment="1">
      <alignment horizontal="center"/>
    </xf>
    <xf numFmtId="0" fontId="106" fillId="7" borderId="1" xfId="0" applyFont="1" applyFill="1" applyBorder="1"/>
    <xf numFmtId="0" fontId="153" fillId="23" borderId="143" xfId="0" applyFont="1" applyFill="1" applyBorder="1" applyAlignment="1">
      <alignment horizontal="left" vertical="top"/>
    </xf>
    <xf numFmtId="49" fontId="154" fillId="23" borderId="143" xfId="0" applyNumberFormat="1" applyFont="1" applyFill="1" applyBorder="1" applyAlignment="1">
      <alignment horizontal="left" vertical="top"/>
    </xf>
    <xf numFmtId="0" fontId="154" fillId="23" borderId="1" xfId="0" applyFont="1" applyFill="1" applyBorder="1" applyAlignment="1">
      <alignment horizontal="left" vertical="top"/>
    </xf>
    <xf numFmtId="0" fontId="107" fillId="23" borderId="1" xfId="0" applyFont="1" applyFill="1" applyBorder="1" applyAlignment="1">
      <alignment horizontal="center"/>
    </xf>
    <xf numFmtId="0" fontId="107" fillId="23" borderId="1" xfId="0" applyFont="1" applyFill="1" applyBorder="1"/>
    <xf numFmtId="49" fontId="107" fillId="23" borderId="1" xfId="0" applyNumberFormat="1" applyFont="1" applyFill="1" applyBorder="1" applyAlignment="1">
      <alignment horizontal="center"/>
    </xf>
    <xf numFmtId="0" fontId="107" fillId="7" borderId="1" xfId="0" applyFont="1" applyFill="1" applyBorder="1"/>
    <xf numFmtId="0" fontId="155" fillId="0" borderId="0" xfId="0" applyFont="1"/>
    <xf numFmtId="0" fontId="154" fillId="23" borderId="143" xfId="0" applyFont="1" applyFill="1" applyBorder="1" applyAlignment="1">
      <alignment horizontal="left" vertical="top"/>
    </xf>
    <xf numFmtId="0" fontId="108" fillId="23" borderId="1" xfId="0" applyFont="1" applyFill="1" applyBorder="1" applyAlignment="1">
      <alignment horizontal="center"/>
    </xf>
    <xf numFmtId="49" fontId="107" fillId="4" borderId="143" xfId="0" applyNumberFormat="1" applyFont="1" applyFill="1" applyBorder="1" applyAlignment="1">
      <alignment horizontal="left" vertical="center"/>
    </xf>
    <xf numFmtId="39" fontId="154" fillId="23" borderId="143" xfId="0" applyNumberFormat="1" applyFont="1" applyFill="1" applyBorder="1" applyAlignment="1">
      <alignment horizontal="left" vertical="top"/>
    </xf>
    <xf numFmtId="1" fontId="153" fillId="23" borderId="143" xfId="0" applyNumberFormat="1" applyFont="1" applyFill="1" applyBorder="1" applyAlignment="1">
      <alignment horizontal="left" vertical="top"/>
    </xf>
    <xf numFmtId="49" fontId="153" fillId="23" borderId="143" xfId="0" applyNumberFormat="1" applyFont="1" applyFill="1" applyBorder="1" applyAlignment="1">
      <alignment horizontal="left" vertical="top"/>
    </xf>
    <xf numFmtId="0" fontId="153" fillId="23" borderId="144" xfId="0" applyFont="1" applyFill="1" applyBorder="1" applyAlignment="1">
      <alignment horizontal="left" vertical="top"/>
    </xf>
    <xf numFmtId="49" fontId="154" fillId="23" borderId="144" xfId="0" applyNumberFormat="1" applyFont="1" applyFill="1" applyBorder="1" applyAlignment="1">
      <alignment horizontal="left" vertical="top"/>
    </xf>
    <xf numFmtId="0" fontId="154" fillId="23" borderId="142" xfId="0" applyFont="1" applyFill="1" applyBorder="1" applyAlignment="1">
      <alignment horizontal="left" vertical="top"/>
    </xf>
    <xf numFmtId="0" fontId="154" fillId="23" borderId="145" xfId="0" applyFont="1" applyFill="1" applyBorder="1" applyAlignment="1">
      <alignment horizontal="left" vertical="top"/>
    </xf>
    <xf numFmtId="0" fontId="154" fillId="23" borderId="144" xfId="0" applyFont="1" applyFill="1" applyBorder="1" applyAlignment="1">
      <alignment horizontal="left" vertical="top"/>
    </xf>
    <xf numFmtId="49" fontId="154" fillId="26" borderId="143" xfId="0" applyNumberFormat="1" applyFont="1" applyFill="1" applyBorder="1" applyAlignment="1">
      <alignment horizontal="left" vertical="top"/>
    </xf>
    <xf numFmtId="49" fontId="154" fillId="23" borderId="1" xfId="0" applyNumberFormat="1" applyFont="1" applyFill="1" applyBorder="1" applyAlignment="1">
      <alignment horizontal="left" vertical="top"/>
    </xf>
    <xf numFmtId="49" fontId="153" fillId="23" borderId="1" xfId="0" applyNumberFormat="1" applyFont="1" applyFill="1" applyBorder="1" applyAlignment="1">
      <alignment horizontal="left" vertical="top"/>
    </xf>
    <xf numFmtId="49" fontId="107" fillId="10" borderId="1" xfId="0" applyNumberFormat="1" applyFont="1" applyFill="1" applyBorder="1" applyAlignment="1">
      <alignment horizontal="left" vertical="top"/>
    </xf>
    <xf numFmtId="39" fontId="154" fillId="23" borderId="146" xfId="0" applyNumberFormat="1" applyFont="1" applyFill="1" applyBorder="1" applyAlignment="1">
      <alignment horizontal="left" vertical="top"/>
    </xf>
    <xf numFmtId="39" fontId="154" fillId="23" borderId="144" xfId="0" applyNumberFormat="1" applyFont="1" applyFill="1" applyBorder="1" applyAlignment="1">
      <alignment horizontal="left" vertical="top"/>
    </xf>
    <xf numFmtId="0" fontId="153" fillId="23" borderId="1" xfId="0" applyFont="1" applyFill="1" applyBorder="1" applyAlignment="1">
      <alignment horizontal="left" vertical="top"/>
    </xf>
    <xf numFmtId="39" fontId="154" fillId="23" borderId="1" xfId="0" applyNumberFormat="1" applyFont="1" applyFill="1" applyBorder="1" applyAlignment="1">
      <alignment horizontal="left" vertical="top"/>
    </xf>
    <xf numFmtId="0" fontId="158" fillId="23" borderId="143" xfId="0" applyFont="1" applyFill="1" applyBorder="1" applyAlignment="1">
      <alignment horizontal="left" vertical="top"/>
    </xf>
    <xf numFmtId="0" fontId="154" fillId="23" borderId="146" xfId="0" applyFont="1" applyFill="1" applyBorder="1" applyAlignment="1">
      <alignment horizontal="left" vertical="top"/>
    </xf>
    <xf numFmtId="0" fontId="159" fillId="28" borderId="143" xfId="0" applyFont="1" applyFill="1" applyBorder="1" applyAlignment="1">
      <alignment horizontal="left" vertical="top"/>
    </xf>
    <xf numFmtId="0" fontId="154" fillId="28" borderId="143" xfId="0" applyFont="1" applyFill="1" applyBorder="1" applyAlignment="1">
      <alignment horizontal="left" vertical="top"/>
    </xf>
    <xf numFmtId="0" fontId="153" fillId="4" borderId="143" xfId="0" applyFont="1" applyFill="1" applyBorder="1" applyAlignment="1">
      <alignment horizontal="left" vertical="top"/>
    </xf>
    <xf numFmtId="0" fontId="154" fillId="4" borderId="143" xfId="0" applyFont="1" applyFill="1" applyBorder="1" applyAlignment="1">
      <alignment horizontal="left" vertical="top"/>
    </xf>
    <xf numFmtId="0" fontId="154" fillId="4" borderId="1" xfId="0" applyFont="1" applyFill="1" applyBorder="1" applyAlignment="1">
      <alignment horizontal="left" vertical="top"/>
    </xf>
    <xf numFmtId="169" fontId="107" fillId="4" borderId="1" xfId="0" applyNumberFormat="1" applyFont="1" applyFill="1" applyBorder="1" applyAlignment="1">
      <alignment horizontal="center" vertical="top"/>
    </xf>
    <xf numFmtId="169" fontId="107" fillId="26" borderId="1" xfId="0" applyNumberFormat="1" applyFont="1" applyFill="1" applyBorder="1" applyAlignment="1">
      <alignment horizontal="center" vertical="top"/>
    </xf>
    <xf numFmtId="4" fontId="107" fillId="4" borderId="1" xfId="0" applyNumberFormat="1" applyFont="1" applyFill="1" applyBorder="1" applyAlignment="1">
      <alignment horizontal="center" vertical="top"/>
    </xf>
    <xf numFmtId="49" fontId="107" fillId="0" borderId="0" xfId="0" applyNumberFormat="1" applyFont="1" applyAlignment="1">
      <alignment horizontal="left" vertical="center"/>
    </xf>
    <xf numFmtId="179" fontId="107" fillId="0" borderId="0" xfId="0" applyNumberFormat="1" applyFont="1" applyAlignment="1">
      <alignment horizontal="right" vertical="center"/>
    </xf>
    <xf numFmtId="0" fontId="107" fillId="0" borderId="0" xfId="0" applyFont="1" applyAlignment="1">
      <alignment horizontal="left" vertical="top"/>
    </xf>
    <xf numFmtId="181" fontId="107" fillId="0" borderId="0" xfId="0" applyNumberFormat="1" applyFont="1" applyAlignment="1">
      <alignment horizontal="right" vertical="top"/>
    </xf>
    <xf numFmtId="1" fontId="153" fillId="23" borderId="147" xfId="0" applyNumberFormat="1" applyFont="1" applyFill="1" applyBorder="1" applyAlignment="1">
      <alignment horizontal="left" vertical="top"/>
    </xf>
    <xf numFmtId="49" fontId="154" fillId="23" borderId="147" xfId="0" applyNumberFormat="1" applyFont="1" applyFill="1" applyBorder="1" applyAlignment="1">
      <alignment horizontal="left" vertical="top"/>
    </xf>
    <xf numFmtId="49" fontId="153" fillId="23" borderId="147" xfId="0" applyNumberFormat="1" applyFont="1" applyFill="1" applyBorder="1" applyAlignment="1">
      <alignment horizontal="left" vertical="top"/>
    </xf>
    <xf numFmtId="1" fontId="153" fillId="4" borderId="143" xfId="0" applyNumberFormat="1" applyFont="1" applyFill="1" applyBorder="1" applyAlignment="1">
      <alignment horizontal="left" vertical="top"/>
    </xf>
    <xf numFmtId="0" fontId="154" fillId="23" borderId="147" xfId="0" applyFont="1" applyFill="1" applyBorder="1" applyAlignment="1">
      <alignment horizontal="left" vertical="top"/>
    </xf>
    <xf numFmtId="0" fontId="154" fillId="23" borderId="148" xfId="0" applyFont="1" applyFill="1" applyBorder="1" applyAlignment="1">
      <alignment horizontal="left" vertical="top"/>
    </xf>
    <xf numFmtId="0" fontId="154" fillId="23" borderId="149" xfId="0" applyFont="1" applyFill="1" applyBorder="1" applyAlignment="1">
      <alignment horizontal="left" vertical="top"/>
    </xf>
    <xf numFmtId="0" fontId="153" fillId="23" borderId="150" xfId="0" applyFont="1" applyFill="1" applyBorder="1" applyAlignment="1">
      <alignment horizontal="left" vertical="top"/>
    </xf>
    <xf numFmtId="39" fontId="154" fillId="23" borderId="149" xfId="0" applyNumberFormat="1" applyFont="1" applyFill="1" applyBorder="1" applyAlignment="1">
      <alignment horizontal="left" vertical="top"/>
    </xf>
    <xf numFmtId="39" fontId="154" fillId="23" borderId="147" xfId="0" applyNumberFormat="1" applyFont="1" applyFill="1" applyBorder="1" applyAlignment="1">
      <alignment horizontal="left" vertical="top"/>
    </xf>
    <xf numFmtId="0" fontId="153" fillId="23" borderId="147" xfId="0" applyFont="1" applyFill="1" applyBorder="1" applyAlignment="1">
      <alignment horizontal="left" vertical="top"/>
    </xf>
    <xf numFmtId="0" fontId="160" fillId="29" borderId="151" xfId="0" applyFont="1" applyFill="1" applyBorder="1"/>
    <xf numFmtId="0" fontId="160" fillId="29" borderId="152" xfId="0" applyFont="1" applyFill="1" applyBorder="1"/>
    <xf numFmtId="0" fontId="160" fillId="29" borderId="153" xfId="0" applyFont="1" applyFill="1" applyBorder="1"/>
    <xf numFmtId="3" fontId="161" fillId="29" borderId="154" xfId="0" applyNumberFormat="1" applyFont="1" applyFill="1" applyBorder="1" applyAlignment="1">
      <alignment horizontal="center"/>
    </xf>
    <xf numFmtId="3" fontId="161" fillId="29" borderId="0" xfId="0" applyNumberFormat="1" applyFont="1" applyFill="1" applyAlignment="1">
      <alignment horizontal="center"/>
    </xf>
    <xf numFmtId="3" fontId="161" fillId="29" borderId="155" xfId="0" applyNumberFormat="1" applyFont="1" applyFill="1" applyBorder="1" applyAlignment="1">
      <alignment horizontal="center"/>
    </xf>
    <xf numFmtId="3" fontId="161" fillId="29" borderId="156" xfId="0" applyNumberFormat="1" applyFont="1" applyFill="1" applyBorder="1" applyAlignment="1">
      <alignment horizontal="center"/>
    </xf>
    <xf numFmtId="3" fontId="161" fillId="29" borderId="157" xfId="0" applyNumberFormat="1" applyFont="1" applyFill="1" applyBorder="1" applyAlignment="1">
      <alignment horizontal="center"/>
    </xf>
    <xf numFmtId="3" fontId="161" fillId="29" borderId="158" xfId="0" applyNumberFormat="1" applyFont="1" applyFill="1" applyBorder="1" applyAlignment="1">
      <alignment horizontal="right"/>
    </xf>
    <xf numFmtId="3" fontId="161" fillId="29" borderId="158" xfId="0" applyNumberFormat="1" applyFont="1" applyFill="1" applyBorder="1" applyAlignment="1" applyProtection="1">
      <alignment horizontal="right"/>
      <protection locked="0"/>
    </xf>
    <xf numFmtId="3" fontId="161" fillId="29" borderId="154" xfId="0" applyNumberFormat="1" applyFont="1" applyFill="1" applyBorder="1"/>
    <xf numFmtId="3" fontId="161" fillId="29" borderId="0" xfId="0" applyNumberFormat="1" applyFont="1" applyFill="1"/>
    <xf numFmtId="3" fontId="161" fillId="29" borderId="155" xfId="0" applyNumberFormat="1" applyFont="1" applyFill="1" applyBorder="1"/>
    <xf numFmtId="3" fontId="161" fillId="29" borderId="154" xfId="0" applyNumberFormat="1" applyFont="1" applyFill="1" applyBorder="1" applyProtection="1">
      <protection locked="0"/>
    </xf>
    <xf numFmtId="3" fontId="161" fillId="29" borderId="155" xfId="0" applyNumberFormat="1" applyFont="1" applyFill="1" applyBorder="1" applyProtection="1">
      <protection locked="0"/>
    </xf>
    <xf numFmtId="3" fontId="160" fillId="29" borderId="159" xfId="0" applyNumberFormat="1" applyFont="1" applyFill="1" applyBorder="1"/>
    <xf numFmtId="3" fontId="160" fillId="29" borderId="160" xfId="0" applyNumberFormat="1" applyFont="1" applyFill="1" applyBorder="1"/>
    <xf numFmtId="3" fontId="160" fillId="29" borderId="161" xfId="0" applyNumberFormat="1" applyFont="1" applyFill="1" applyBorder="1"/>
    <xf numFmtId="0" fontId="161" fillId="29" borderId="154" xfId="0" applyFont="1" applyFill="1" applyBorder="1"/>
    <xf numFmtId="0" fontId="161" fillId="29" borderId="155" xfId="0" applyFont="1" applyFill="1" applyBorder="1"/>
    <xf numFmtId="3" fontId="161" fillId="29" borderId="162" xfId="0" applyNumberFormat="1" applyFont="1" applyFill="1" applyBorder="1"/>
    <xf numFmtId="3" fontId="161" fillId="29" borderId="163" xfId="0" applyNumberFormat="1" applyFont="1" applyFill="1" applyBorder="1"/>
    <xf numFmtId="3" fontId="161" fillId="29" borderId="164" xfId="0" applyNumberFormat="1" applyFont="1" applyFill="1" applyBorder="1"/>
    <xf numFmtId="3" fontId="161" fillId="29" borderId="162" xfId="0" applyNumberFormat="1" applyFont="1" applyFill="1" applyBorder="1" applyProtection="1">
      <protection locked="0"/>
    </xf>
    <xf numFmtId="3" fontId="161" fillId="29" borderId="164" xfId="0" applyNumberFormat="1" applyFont="1" applyFill="1" applyBorder="1" applyProtection="1">
      <protection locked="0"/>
    </xf>
    <xf numFmtId="3" fontId="161" fillId="29" borderId="159" xfId="0" applyNumberFormat="1" applyFont="1" applyFill="1" applyBorder="1"/>
    <xf numFmtId="3" fontId="161" fillId="29" borderId="160" xfId="0" applyNumberFormat="1" applyFont="1" applyFill="1" applyBorder="1"/>
    <xf numFmtId="3" fontId="161" fillId="29" borderId="161" xfId="0" applyNumberFormat="1" applyFont="1" applyFill="1" applyBorder="1"/>
    <xf numFmtId="0" fontId="161" fillId="29" borderId="0" xfId="0" applyFont="1" applyFill="1"/>
    <xf numFmtId="37" fontId="161" fillId="29" borderId="155" xfId="0" applyNumberFormat="1" applyFont="1" applyFill="1" applyBorder="1"/>
    <xf numFmtId="37" fontId="160" fillId="30" borderId="165" xfId="0" applyNumberFormat="1" applyFont="1" applyFill="1" applyBorder="1"/>
    <xf numFmtId="173" fontId="160" fillId="30" borderId="166" xfId="0" applyNumberFormat="1" applyFont="1" applyFill="1" applyBorder="1"/>
    <xf numFmtId="37" fontId="160" fillId="30" borderId="167" xfId="0" applyNumberFormat="1" applyFont="1" applyFill="1" applyBorder="1"/>
    <xf numFmtId="0" fontId="160" fillId="30" borderId="168" xfId="0" applyFont="1" applyFill="1" applyBorder="1"/>
    <xf numFmtId="0" fontId="160" fillId="30" borderId="169" xfId="0" applyFont="1" applyFill="1" applyBorder="1"/>
    <xf numFmtId="0" fontId="160" fillId="30" borderId="170" xfId="0" applyFont="1" applyFill="1" applyBorder="1"/>
    <xf numFmtId="0" fontId="160" fillId="31" borderId="154" xfId="0" applyFont="1" applyFill="1" applyBorder="1"/>
    <xf numFmtId="0" fontId="160" fillId="31" borderId="0" xfId="0" applyFont="1" applyFill="1"/>
    <xf numFmtId="0" fontId="160" fillId="31" borderId="155" xfId="0" applyFont="1" applyFill="1" applyBorder="1"/>
    <xf numFmtId="0" fontId="161" fillId="29" borderId="0" xfId="0" applyFont="1" applyFill="1" applyAlignment="1">
      <alignment horizontal="center"/>
    </xf>
    <xf numFmtId="9" fontId="161" fillId="29" borderId="154" xfId="2" applyFont="1" applyFill="1" applyBorder="1"/>
    <xf numFmtId="37" fontId="161" fillId="29" borderId="0" xfId="0" applyNumberFormat="1" applyFont="1" applyFill="1"/>
    <xf numFmtId="37" fontId="161" fillId="29" borderId="155" xfId="0" applyNumberFormat="1" applyFont="1" applyFill="1" applyBorder="1" applyProtection="1">
      <protection locked="0"/>
    </xf>
    <xf numFmtId="9" fontId="161" fillId="29" borderId="156" xfId="2" applyFont="1" applyFill="1" applyBorder="1"/>
    <xf numFmtId="37" fontId="161" fillId="29" borderId="157" xfId="0" applyNumberFormat="1" applyFont="1" applyFill="1" applyBorder="1"/>
    <xf numFmtId="37" fontId="161" fillId="29" borderId="158" xfId="0" applyNumberFormat="1" applyFont="1" applyFill="1" applyBorder="1"/>
    <xf numFmtId="37" fontId="161" fillId="29" borderId="158" xfId="0" applyNumberFormat="1" applyFont="1" applyFill="1" applyBorder="1" applyProtection="1">
      <protection locked="0"/>
    </xf>
    <xf numFmtId="0" fontId="161" fillId="29" borderId="156" xfId="0" applyFont="1" applyFill="1" applyBorder="1"/>
    <xf numFmtId="0" fontId="160" fillId="30" borderId="171" xfId="0" applyFont="1" applyFill="1" applyBorder="1" applyAlignment="1">
      <alignment horizontal="center"/>
    </xf>
    <xf numFmtId="174" fontId="160" fillId="30" borderId="172" xfId="0" applyNumberFormat="1" applyFont="1" applyFill="1" applyBorder="1"/>
    <xf numFmtId="37" fontId="160" fillId="30" borderId="173" xfId="0" applyNumberFormat="1" applyFont="1" applyFill="1" applyBorder="1"/>
    <xf numFmtId="0" fontId="161" fillId="29" borderId="159" xfId="0" applyFont="1" applyFill="1" applyBorder="1"/>
    <xf numFmtId="0" fontId="161" fillId="29" borderId="160" xfId="0" applyFont="1" applyFill="1" applyBorder="1"/>
    <xf numFmtId="37" fontId="161" fillId="29" borderId="161" xfId="0" applyNumberFormat="1" applyFont="1" applyFill="1" applyBorder="1"/>
    <xf numFmtId="37" fontId="161" fillId="29" borderId="161" xfId="0" applyNumberFormat="1" applyFont="1" applyFill="1" applyBorder="1" applyProtection="1">
      <protection locked="0"/>
    </xf>
    <xf numFmtId="0" fontId="161" fillId="29" borderId="157" xfId="0" applyFont="1" applyFill="1" applyBorder="1"/>
    <xf numFmtId="0" fontId="161" fillId="29" borderId="162" xfId="0" applyFont="1" applyFill="1" applyBorder="1"/>
    <xf numFmtId="0" fontId="161" fillId="29" borderId="163" xfId="0" applyFont="1" applyFill="1" applyBorder="1"/>
    <xf numFmtId="37" fontId="161" fillId="29" borderId="164" xfId="0" applyNumberFormat="1" applyFont="1" applyFill="1" applyBorder="1"/>
    <xf numFmtId="37" fontId="161" fillId="29" borderId="164" xfId="0" applyNumberFormat="1" applyFont="1" applyFill="1" applyBorder="1" applyProtection="1">
      <protection locked="0"/>
    </xf>
    <xf numFmtId="37" fontId="160" fillId="30" borderId="174" xfId="0" applyNumberFormat="1" applyFont="1" applyFill="1" applyBorder="1"/>
    <xf numFmtId="0" fontId="160" fillId="30" borderId="175" xfId="0" applyFont="1" applyFill="1" applyBorder="1" applyAlignment="1">
      <alignment horizontal="center"/>
    </xf>
    <xf numFmtId="174" fontId="160" fillId="30" borderId="176" xfId="0" applyNumberFormat="1" applyFont="1" applyFill="1" applyBorder="1"/>
    <xf numFmtId="37" fontId="160" fillId="30" borderId="177" xfId="0" applyNumberFormat="1" applyFont="1" applyFill="1" applyBorder="1"/>
    <xf numFmtId="0" fontId="161" fillId="31" borderId="156" xfId="0" applyFont="1" applyFill="1" applyBorder="1"/>
    <xf numFmtId="0" fontId="161" fillId="31" borderId="157" xfId="0" applyFont="1" applyFill="1" applyBorder="1"/>
    <xf numFmtId="37" fontId="160" fillId="31" borderId="155" xfId="0" applyNumberFormat="1" applyFont="1" applyFill="1" applyBorder="1"/>
    <xf numFmtId="0" fontId="161" fillId="30" borderId="178" xfId="0" applyFont="1" applyFill="1" applyBorder="1"/>
    <xf numFmtId="0" fontId="161" fillId="30" borderId="179" xfId="0" applyFont="1" applyFill="1" applyBorder="1"/>
    <xf numFmtId="37" fontId="160" fillId="30" borderId="180" xfId="0" applyNumberFormat="1" applyFont="1" applyFill="1" applyBorder="1"/>
    <xf numFmtId="0" fontId="162" fillId="29" borderId="0" xfId="0" applyFont="1" applyFill="1"/>
    <xf numFmtId="37" fontId="162" fillId="29" borderId="0" xfId="0" applyNumberFormat="1" applyFont="1" applyFill="1"/>
    <xf numFmtId="0" fontId="163" fillId="29" borderId="0" xfId="0" applyFont="1" applyFill="1"/>
    <xf numFmtId="0" fontId="164" fillId="29" borderId="0" xfId="0" applyFont="1" applyFill="1"/>
    <xf numFmtId="0" fontId="161" fillId="29" borderId="154" xfId="0" applyFont="1" applyFill="1" applyBorder="1" applyAlignment="1">
      <alignment horizontal="center"/>
    </xf>
    <xf numFmtId="0" fontId="161" fillId="29" borderId="155" xfId="0" applyFont="1" applyFill="1" applyBorder="1" applyAlignment="1">
      <alignment horizontal="center"/>
    </xf>
    <xf numFmtId="3" fontId="161" fillId="29" borderId="158" xfId="0" applyNumberFormat="1" applyFont="1" applyFill="1" applyBorder="1" applyAlignment="1" applyProtection="1">
      <alignment horizontal="center"/>
      <protection locked="0"/>
    </xf>
    <xf numFmtId="3" fontId="161" fillId="29" borderId="156" xfId="0" applyNumberFormat="1" applyFont="1" applyFill="1" applyBorder="1"/>
    <xf numFmtId="3" fontId="161" fillId="29" borderId="157" xfId="0" applyNumberFormat="1" applyFont="1" applyFill="1" applyBorder="1"/>
    <xf numFmtId="3" fontId="161" fillId="29" borderId="158" xfId="0" applyNumberFormat="1" applyFont="1" applyFill="1" applyBorder="1"/>
    <xf numFmtId="0" fontId="160" fillId="29" borderId="154" xfId="0" applyFont="1" applyFill="1" applyBorder="1"/>
    <xf numFmtId="0" fontId="160" fillId="29" borderId="0" xfId="0" applyFont="1" applyFill="1"/>
    <xf numFmtId="0" fontId="160" fillId="29" borderId="155" xfId="0" applyFont="1" applyFill="1" applyBorder="1"/>
    <xf numFmtId="0" fontId="161" fillId="29" borderId="154" xfId="0" applyFont="1" applyFill="1" applyBorder="1" applyAlignment="1">
      <alignment horizontal="right"/>
    </xf>
    <xf numFmtId="174" fontId="161" fillId="29" borderId="0" xfId="0" applyNumberFormat="1" applyFont="1" applyFill="1"/>
    <xf numFmtId="0" fontId="160" fillId="30" borderId="181" xfId="0" applyFont="1" applyFill="1" applyBorder="1" applyAlignment="1">
      <alignment horizontal="center"/>
    </xf>
    <xf numFmtId="174" fontId="160" fillId="30" borderId="182" xfId="0" applyNumberFormat="1" applyFont="1" applyFill="1" applyBorder="1"/>
    <xf numFmtId="0" fontId="160" fillId="30" borderId="178" xfId="0" applyFont="1" applyFill="1" applyBorder="1"/>
    <xf numFmtId="0" fontId="160" fillId="30" borderId="179" xfId="0" applyFont="1" applyFill="1" applyBorder="1"/>
    <xf numFmtId="37" fontId="163" fillId="29" borderId="0" xfId="0" applyNumberFormat="1" applyFont="1" applyFill="1"/>
    <xf numFmtId="37" fontId="161" fillId="29" borderId="154" xfId="0" applyNumberFormat="1" applyFont="1" applyFill="1" applyBorder="1"/>
    <xf numFmtId="37" fontId="161" fillId="29" borderId="154" xfId="0" applyNumberFormat="1" applyFont="1" applyFill="1" applyBorder="1" applyProtection="1">
      <protection locked="0"/>
    </xf>
    <xf numFmtId="37" fontId="161" fillId="29" borderId="0" xfId="0" applyNumberFormat="1" applyFont="1" applyFill="1" applyProtection="1">
      <protection locked="0"/>
    </xf>
    <xf numFmtId="174" fontId="161" fillId="29" borderId="155" xfId="0" applyNumberFormat="1" applyFont="1" applyFill="1" applyBorder="1"/>
    <xf numFmtId="37" fontId="161" fillId="29" borderId="156" xfId="0" applyNumberFormat="1" applyFont="1" applyFill="1" applyBorder="1"/>
    <xf numFmtId="2" fontId="161" fillId="29" borderId="157" xfId="0" applyNumberFormat="1" applyFont="1" applyFill="1" applyBorder="1"/>
    <xf numFmtId="174" fontId="161" fillId="29" borderId="158" xfId="0" applyNumberFormat="1" applyFont="1" applyFill="1" applyBorder="1"/>
    <xf numFmtId="37" fontId="161" fillId="29" borderId="159" xfId="0" applyNumberFormat="1" applyFont="1" applyFill="1" applyBorder="1"/>
    <xf numFmtId="37" fontId="161" fillId="29" borderId="160" xfId="0" applyNumberFormat="1" applyFont="1" applyFill="1" applyBorder="1"/>
    <xf numFmtId="37" fontId="161" fillId="29" borderId="159" xfId="0" applyNumberFormat="1" applyFont="1" applyFill="1" applyBorder="1" applyProtection="1">
      <protection locked="0"/>
    </xf>
    <xf numFmtId="37" fontId="161" fillId="29" borderId="160" xfId="0" applyNumberFormat="1" applyFont="1" applyFill="1" applyBorder="1" applyProtection="1">
      <protection locked="0"/>
    </xf>
    <xf numFmtId="173" fontId="161" fillId="29" borderId="0" xfId="0" applyNumberFormat="1" applyFont="1" applyFill="1"/>
    <xf numFmtId="175" fontId="161" fillId="29" borderId="0" xfId="0" applyNumberFormat="1" applyFont="1" applyFill="1"/>
    <xf numFmtId="37" fontId="160" fillId="29" borderId="154" xfId="0" applyNumberFormat="1" applyFont="1" applyFill="1" applyBorder="1"/>
    <xf numFmtId="173" fontId="160" fillId="29" borderId="0" xfId="0" applyNumberFormat="1" applyFont="1" applyFill="1"/>
    <xf numFmtId="37" fontId="160" fillId="29" borderId="156" xfId="0" applyNumberFormat="1" applyFont="1" applyFill="1" applyBorder="1"/>
    <xf numFmtId="175" fontId="161" fillId="29" borderId="157" xfId="0" applyNumberFormat="1" applyFont="1" applyFill="1" applyBorder="1"/>
    <xf numFmtId="37" fontId="160" fillId="31" borderId="165" xfId="0" applyNumberFormat="1" applyFont="1" applyFill="1" applyBorder="1"/>
    <xf numFmtId="37" fontId="160" fillId="31" borderId="166" xfId="0" applyNumberFormat="1" applyFont="1" applyFill="1" applyBorder="1"/>
    <xf numFmtId="37" fontId="160" fillId="31" borderId="167" xfId="0" applyNumberFormat="1" applyFont="1" applyFill="1" applyBorder="1"/>
    <xf numFmtId="37" fontId="160" fillId="31" borderId="156" xfId="0" applyNumberFormat="1" applyFont="1" applyFill="1" applyBorder="1"/>
    <xf numFmtId="39" fontId="160" fillId="31" borderId="157" xfId="0" applyNumberFormat="1" applyFont="1" applyFill="1" applyBorder="1"/>
    <xf numFmtId="174" fontId="160" fillId="29" borderId="155" xfId="0" applyNumberFormat="1" applyFont="1" applyFill="1" applyBorder="1"/>
    <xf numFmtId="37" fontId="161" fillId="29" borderId="183" xfId="0" applyNumberFormat="1" applyFont="1" applyFill="1" applyBorder="1"/>
    <xf numFmtId="173" fontId="161" fillId="29" borderId="0" xfId="0" applyNumberFormat="1" applyFont="1" applyFill="1" applyProtection="1">
      <protection locked="0"/>
    </xf>
    <xf numFmtId="173" fontId="161" fillId="29" borderId="160" xfId="0" applyNumberFormat="1" applyFont="1" applyFill="1" applyBorder="1"/>
    <xf numFmtId="173" fontId="161" fillId="29" borderId="160" xfId="0" applyNumberFormat="1" applyFont="1" applyFill="1" applyBorder="1" applyProtection="1">
      <protection locked="0"/>
    </xf>
    <xf numFmtId="173" fontId="161" fillId="29" borderId="157" xfId="0" applyNumberFormat="1" applyFont="1" applyFill="1" applyBorder="1"/>
    <xf numFmtId="37" fontId="160" fillId="31" borderId="159" xfId="0" applyNumberFormat="1" applyFont="1" applyFill="1" applyBorder="1"/>
    <xf numFmtId="173" fontId="160" fillId="31" borderId="160" xfId="0" applyNumberFormat="1" applyFont="1" applyFill="1" applyBorder="1"/>
    <xf numFmtId="37" fontId="160" fillId="31" borderId="161" xfId="0" applyNumberFormat="1" applyFont="1" applyFill="1" applyBorder="1"/>
    <xf numFmtId="37" fontId="160" fillId="30" borderId="166" xfId="0" applyNumberFormat="1" applyFont="1" applyFill="1" applyBorder="1"/>
    <xf numFmtId="174" fontId="160" fillId="30" borderId="170" xfId="0" applyNumberFormat="1" applyFont="1" applyFill="1" applyBorder="1"/>
    <xf numFmtId="174" fontId="160" fillId="31" borderId="155" xfId="0" applyNumberFormat="1" applyFont="1" applyFill="1" applyBorder="1"/>
    <xf numFmtId="37" fontId="160" fillId="29" borderId="159" xfId="0" applyNumberFormat="1" applyFont="1" applyFill="1" applyBorder="1"/>
    <xf numFmtId="174" fontId="160" fillId="29" borderId="160" xfId="0" applyNumberFormat="1" applyFont="1" applyFill="1" applyBorder="1"/>
    <xf numFmtId="37" fontId="160" fillId="29" borderId="161" xfId="0" applyNumberFormat="1" applyFont="1" applyFill="1" applyBorder="1"/>
    <xf numFmtId="0" fontId="161" fillId="29" borderId="158" xfId="0" applyFont="1" applyFill="1" applyBorder="1"/>
    <xf numFmtId="174" fontId="161" fillId="29" borderId="0" xfId="2" applyNumberFormat="1" applyFont="1" applyFill="1"/>
    <xf numFmtId="37" fontId="161" fillId="29" borderId="162" xfId="0" applyNumberFormat="1" applyFont="1" applyFill="1" applyBorder="1"/>
    <xf numFmtId="174" fontId="161" fillId="29" borderId="163" xfId="0" applyNumberFormat="1" applyFont="1" applyFill="1" applyBorder="1"/>
    <xf numFmtId="37" fontId="161" fillId="29" borderId="162" xfId="0" applyNumberFormat="1" applyFont="1" applyFill="1" applyBorder="1" applyProtection="1">
      <protection locked="0"/>
    </xf>
    <xf numFmtId="174" fontId="160" fillId="30" borderId="166" xfId="0" applyNumberFormat="1" applyFont="1" applyFill="1" applyBorder="1"/>
    <xf numFmtId="37" fontId="160" fillId="30" borderId="184" xfId="0" applyNumberFormat="1" applyFont="1" applyFill="1" applyBorder="1"/>
    <xf numFmtId="173" fontId="160" fillId="30" borderId="185" xfId="0" applyNumberFormat="1" applyFont="1" applyFill="1" applyBorder="1"/>
    <xf numFmtId="37" fontId="160" fillId="30" borderId="186" xfId="0" applyNumberFormat="1" applyFont="1" applyFill="1" applyBorder="1"/>
    <xf numFmtId="37" fontId="160" fillId="31" borderId="154" xfId="0" applyNumberFormat="1" applyFont="1" applyFill="1" applyBorder="1"/>
    <xf numFmtId="173" fontId="160" fillId="31" borderId="0" xfId="0" applyNumberFormat="1" applyFont="1" applyFill="1"/>
    <xf numFmtId="37" fontId="160" fillId="29" borderId="0" xfId="0" applyNumberFormat="1" applyFont="1" applyFill="1"/>
    <xf numFmtId="0" fontId="161" fillId="30" borderId="187" xfId="0" applyFont="1" applyFill="1" applyBorder="1"/>
    <xf numFmtId="0" fontId="161" fillId="30" borderId="188" xfId="0" applyFont="1" applyFill="1" applyBorder="1"/>
    <xf numFmtId="37" fontId="160" fillId="30" borderId="189" xfId="0" applyNumberFormat="1" applyFont="1" applyFill="1" applyBorder="1"/>
    <xf numFmtId="37" fontId="164" fillId="29" borderId="0" xfId="0" applyNumberFormat="1" applyFont="1" applyFill="1"/>
    <xf numFmtId="0" fontId="163" fillId="29" borderId="0" xfId="0" applyFont="1" applyFill="1" applyAlignment="1">
      <alignment horizontal="center"/>
    </xf>
    <xf numFmtId="0" fontId="163" fillId="29" borderId="169" xfId="0" applyFont="1" applyFill="1" applyBorder="1" applyAlignment="1">
      <alignment horizontal="center"/>
    </xf>
    <xf numFmtId="37" fontId="163" fillId="29" borderId="169" xfId="0" applyNumberFormat="1" applyFont="1" applyFill="1" applyBorder="1" applyAlignment="1">
      <alignment horizontal="center"/>
    </xf>
    <xf numFmtId="0" fontId="161" fillId="29" borderId="190" xfId="0" applyFont="1" applyFill="1" applyBorder="1" applyAlignment="1">
      <alignment horizontal="center"/>
    </xf>
    <xf numFmtId="0" fontId="161" fillId="29" borderId="157" xfId="0" applyFont="1" applyFill="1" applyBorder="1" applyAlignment="1">
      <alignment horizontal="center"/>
    </xf>
    <xf numFmtId="0" fontId="161" fillId="29" borderId="191" xfId="0" applyFont="1" applyFill="1" applyBorder="1" applyAlignment="1">
      <alignment horizontal="center"/>
    </xf>
    <xf numFmtId="37" fontId="165" fillId="29" borderId="190" xfId="0" applyNumberFormat="1" applyFont="1" applyFill="1" applyBorder="1"/>
    <xf numFmtId="37" fontId="165" fillId="29" borderId="157" xfId="0" applyNumberFormat="1" applyFont="1" applyFill="1" applyBorder="1"/>
    <xf numFmtId="37" fontId="165" fillId="29" borderId="191" xfId="0" applyNumberFormat="1" applyFont="1" applyFill="1" applyBorder="1"/>
    <xf numFmtId="37" fontId="166" fillId="30" borderId="190" xfId="0" applyNumberFormat="1" applyFont="1" applyFill="1" applyBorder="1"/>
    <xf numFmtId="37" fontId="166" fillId="30" borderId="157" xfId="0" applyNumberFormat="1" applyFont="1" applyFill="1" applyBorder="1"/>
    <xf numFmtId="37" fontId="166" fillId="30" borderId="191" xfId="0" applyNumberFormat="1" applyFont="1" applyFill="1" applyBorder="1"/>
    <xf numFmtId="37" fontId="165" fillId="29" borderId="192" xfId="0" applyNumberFormat="1" applyFont="1" applyFill="1" applyBorder="1"/>
    <xf numFmtId="0" fontId="165" fillId="29" borderId="0" xfId="0" applyFont="1" applyFill="1"/>
    <xf numFmtId="37" fontId="165" fillId="29" borderId="193" xfId="0" applyNumberFormat="1" applyFont="1" applyFill="1" applyBorder="1"/>
    <xf numFmtId="174" fontId="165" fillId="29" borderId="192" xfId="2" applyNumberFormat="1" applyFont="1" applyFill="1" applyBorder="1"/>
    <xf numFmtId="173" fontId="165" fillId="29" borderId="0" xfId="0" applyNumberFormat="1" applyFont="1" applyFill="1"/>
    <xf numFmtId="0" fontId="165" fillId="29" borderId="192" xfId="0" applyFont="1" applyFill="1" applyBorder="1"/>
    <xf numFmtId="174" fontId="165" fillId="29" borderId="190" xfId="2" applyNumberFormat="1" applyFont="1" applyFill="1" applyBorder="1"/>
    <xf numFmtId="173" fontId="165" fillId="29" borderId="157" xfId="0" applyNumberFormat="1" applyFont="1" applyFill="1" applyBorder="1"/>
    <xf numFmtId="0" fontId="165" fillId="29" borderId="190" xfId="0" applyFont="1" applyFill="1" applyBorder="1"/>
    <xf numFmtId="174" fontId="166" fillId="30" borderId="194" xfId="0" applyNumberFormat="1" applyFont="1" applyFill="1" applyBorder="1"/>
    <xf numFmtId="171" fontId="166" fillId="30" borderId="172" xfId="1" applyNumberFormat="1" applyFont="1" applyFill="1" applyBorder="1"/>
    <xf numFmtId="37" fontId="166" fillId="30" borderId="195" xfId="0" applyNumberFormat="1" applyFont="1" applyFill="1" applyBorder="1"/>
    <xf numFmtId="0" fontId="166" fillId="30" borderId="172" xfId="0" applyFont="1" applyFill="1" applyBorder="1"/>
    <xf numFmtId="37" fontId="165" fillId="29" borderId="193" xfId="0" applyNumberFormat="1" applyFont="1" applyFill="1" applyBorder="1" applyProtection="1">
      <protection locked="0"/>
    </xf>
    <xf numFmtId="174" fontId="165" fillId="29" borderId="157" xfId="2" applyNumberFormat="1" applyFont="1" applyFill="1" applyBorder="1"/>
    <xf numFmtId="174" fontId="165" fillId="29" borderId="0" xfId="2" applyNumberFormat="1" applyFont="1" applyFill="1"/>
    <xf numFmtId="173" fontId="166" fillId="30" borderId="172" xfId="0" applyNumberFormat="1" applyFont="1" applyFill="1" applyBorder="1"/>
    <xf numFmtId="0" fontId="165" fillId="29" borderId="196" xfId="0" applyFont="1" applyFill="1" applyBorder="1"/>
    <xf numFmtId="173" fontId="165" fillId="29" borderId="160" xfId="0" applyNumberFormat="1" applyFont="1" applyFill="1" applyBorder="1"/>
    <xf numFmtId="37" fontId="165" fillId="29" borderId="197" xfId="0" applyNumberFormat="1" applyFont="1" applyFill="1" applyBorder="1"/>
    <xf numFmtId="0" fontId="165" fillId="29" borderId="198" xfId="0" applyFont="1" applyFill="1" applyBorder="1"/>
    <xf numFmtId="173" fontId="165" fillId="29" borderId="163" xfId="0" applyNumberFormat="1" applyFont="1" applyFill="1" applyBorder="1"/>
    <xf numFmtId="37" fontId="165" fillId="29" borderId="199" xfId="0" applyNumberFormat="1" applyFont="1" applyFill="1" applyBorder="1"/>
    <xf numFmtId="0" fontId="165" fillId="29" borderId="200" xfId="0" applyFont="1" applyFill="1" applyBorder="1"/>
    <xf numFmtId="173" fontId="165" fillId="29" borderId="201" xfId="0" applyNumberFormat="1" applyFont="1" applyFill="1" applyBorder="1"/>
    <xf numFmtId="37" fontId="165" fillId="29" borderId="191" xfId="0" applyNumberFormat="1" applyFont="1" applyFill="1" applyBorder="1" applyProtection="1">
      <protection locked="0"/>
    </xf>
    <xf numFmtId="0" fontId="167" fillId="29" borderId="192" xfId="0" applyFont="1" applyFill="1" applyBorder="1"/>
    <xf numFmtId="0" fontId="167" fillId="29" borderId="0" xfId="0" applyFont="1" applyFill="1"/>
    <xf numFmtId="37" fontId="167" fillId="29" borderId="193" xfId="0" applyNumberFormat="1" applyFont="1" applyFill="1" applyBorder="1"/>
    <xf numFmtId="174" fontId="166" fillId="29" borderId="196" xfId="0" applyNumberFormat="1" applyFont="1" applyFill="1" applyBorder="1"/>
    <xf numFmtId="0" fontId="166" fillId="29" borderId="160" xfId="0" applyFont="1" applyFill="1" applyBorder="1"/>
    <xf numFmtId="37" fontId="165" fillId="31" borderId="197" xfId="0" applyNumberFormat="1" applyFont="1" applyFill="1" applyBorder="1"/>
    <xf numFmtId="174" fontId="166" fillId="29" borderId="192" xfId="0" applyNumberFormat="1" applyFont="1" applyFill="1" applyBorder="1"/>
    <xf numFmtId="0" fontId="166" fillId="29" borderId="0" xfId="0" applyFont="1" applyFill="1"/>
    <xf numFmtId="174" fontId="166" fillId="29" borderId="190" xfId="0" applyNumberFormat="1" applyFont="1" applyFill="1" applyBorder="1"/>
    <xf numFmtId="0" fontId="165" fillId="30" borderId="172" xfId="0" applyFont="1" applyFill="1" applyBorder="1"/>
    <xf numFmtId="0" fontId="168" fillId="31" borderId="196" xfId="0" applyFont="1" applyFill="1" applyBorder="1"/>
    <xf numFmtId="0" fontId="167" fillId="31" borderId="160" xfId="0" applyFont="1" applyFill="1" applyBorder="1"/>
    <xf numFmtId="37" fontId="167" fillId="31" borderId="197" xfId="0" applyNumberFormat="1" applyFont="1" applyFill="1" applyBorder="1"/>
    <xf numFmtId="0" fontId="166" fillId="30" borderId="202" xfId="0" applyFont="1" applyFill="1" applyBorder="1" applyAlignment="1">
      <alignment horizontal="center"/>
    </xf>
    <xf numFmtId="174" fontId="166" fillId="30" borderId="203" xfId="0" applyNumberFormat="1" applyFont="1" applyFill="1" applyBorder="1"/>
    <xf numFmtId="37" fontId="166" fillId="30" borderId="204" xfId="0" applyNumberFormat="1" applyFont="1" applyFill="1" applyBorder="1"/>
    <xf numFmtId="0" fontId="166" fillId="30" borderId="205" xfId="0" applyFont="1" applyFill="1" applyBorder="1" applyAlignment="1">
      <alignment horizontal="center"/>
    </xf>
    <xf numFmtId="174" fontId="166" fillId="30" borderId="188" xfId="0" applyNumberFormat="1" applyFont="1" applyFill="1" applyBorder="1"/>
    <xf numFmtId="37" fontId="166" fillId="30" borderId="206" xfId="0" applyNumberFormat="1" applyFont="1" applyFill="1" applyBorder="1"/>
    <xf numFmtId="39" fontId="165" fillId="29" borderId="0" xfId="0" applyNumberFormat="1" applyFont="1" applyFill="1"/>
    <xf numFmtId="0" fontId="166" fillId="30" borderId="207" xfId="0" applyFont="1" applyFill="1" applyBorder="1" applyAlignment="1">
      <alignment horizontal="center"/>
    </xf>
    <xf numFmtId="174" fontId="166" fillId="30" borderId="207" xfId="0" applyNumberFormat="1" applyFont="1" applyFill="1" applyBorder="1"/>
    <xf numFmtId="37" fontId="166" fillId="30" borderId="207" xfId="0" applyNumberFormat="1" applyFont="1" applyFill="1" applyBorder="1"/>
    <xf numFmtId="0" fontId="166" fillId="30" borderId="208" xfId="0" applyFont="1" applyFill="1" applyBorder="1" applyAlignment="1">
      <alignment horizontal="center"/>
    </xf>
    <xf numFmtId="37" fontId="166" fillId="30" borderId="209" xfId="0" applyNumberFormat="1" applyFont="1" applyFill="1" applyBorder="1"/>
    <xf numFmtId="0" fontId="169" fillId="29" borderId="0" xfId="0" applyFont="1" applyFill="1"/>
    <xf numFmtId="0" fontId="169" fillId="29" borderId="192" xfId="0" applyFont="1" applyFill="1" applyBorder="1"/>
    <xf numFmtId="0" fontId="169" fillId="29" borderId="193" xfId="0" applyFont="1" applyFill="1" applyBorder="1"/>
    <xf numFmtId="37" fontId="165" fillId="29" borderId="0" xfId="0" applyNumberFormat="1" applyFont="1" applyFill="1"/>
    <xf numFmtId="0" fontId="163" fillId="29" borderId="192" xfId="0" applyFont="1" applyFill="1" applyBorder="1"/>
    <xf numFmtId="0" fontId="161" fillId="29" borderId="192" xfId="0" applyFont="1" applyFill="1" applyBorder="1"/>
    <xf numFmtId="0" fontId="160" fillId="29" borderId="192" xfId="0" applyFont="1" applyFill="1" applyBorder="1"/>
    <xf numFmtId="0" fontId="166" fillId="30" borderId="210" xfId="0" applyFont="1" applyFill="1" applyBorder="1" applyAlignment="1">
      <alignment horizontal="center"/>
    </xf>
    <xf numFmtId="174" fontId="166" fillId="30" borderId="210" xfId="0" applyNumberFormat="1" applyFont="1" applyFill="1" applyBorder="1"/>
    <xf numFmtId="37" fontId="166" fillId="30" borderId="210" xfId="0" applyNumberFormat="1" applyFont="1" applyFill="1" applyBorder="1"/>
    <xf numFmtId="0" fontId="166" fillId="30" borderId="211" xfId="0" applyFont="1" applyFill="1" applyBorder="1" applyAlignment="1">
      <alignment horizontal="center"/>
    </xf>
    <xf numFmtId="37" fontId="166" fillId="30" borderId="212" xfId="0" applyNumberFormat="1" applyFont="1" applyFill="1" applyBorder="1"/>
    <xf numFmtId="0" fontId="138" fillId="32" borderId="1" xfId="0" applyFont="1" applyFill="1" applyBorder="1"/>
    <xf numFmtId="0" fontId="138" fillId="32" borderId="1" xfId="0" applyFont="1" applyFill="1" applyBorder="1" applyAlignment="1">
      <alignment horizontal="center" vertical="center"/>
    </xf>
    <xf numFmtId="0" fontId="138" fillId="32" borderId="1" xfId="0" applyFont="1" applyFill="1" applyBorder="1" applyAlignment="1">
      <alignment horizontal="right"/>
    </xf>
    <xf numFmtId="174" fontId="110" fillId="3" borderId="13" xfId="2" applyNumberFormat="1" applyFont="1" applyFill="1" applyBorder="1"/>
    <xf numFmtId="3" fontId="117" fillId="0" borderId="95" xfId="0" applyNumberFormat="1" applyFont="1" applyBorder="1"/>
    <xf numFmtId="3" fontId="117" fillId="0" borderId="21" xfId="0" applyNumberFormat="1" applyFont="1" applyBorder="1"/>
    <xf numFmtId="174" fontId="110" fillId="3" borderId="36" xfId="2" applyNumberFormat="1" applyFont="1" applyFill="1" applyBorder="1"/>
    <xf numFmtId="0" fontId="138" fillId="32" borderId="1" xfId="0" applyFont="1" applyFill="1" applyBorder="1" applyAlignment="1">
      <alignment vertical="center"/>
    </xf>
    <xf numFmtId="0" fontId="111" fillId="0" borderId="1" xfId="0" applyFont="1" applyBorder="1" applyAlignment="1">
      <alignment horizontal="right" vertical="center"/>
    </xf>
    <xf numFmtId="0" fontId="111" fillId="0" borderId="1" xfId="0" applyFont="1" applyBorder="1" applyAlignment="1">
      <alignment horizontal="center" vertical="center"/>
    </xf>
    <xf numFmtId="0" fontId="111" fillId="0" borderId="1" xfId="0" applyFont="1" applyBorder="1"/>
    <xf numFmtId="37" fontId="118" fillId="0" borderId="110" xfId="0" applyNumberFormat="1" applyFont="1" applyBorder="1"/>
    <xf numFmtId="0" fontId="111" fillId="0" borderId="1" xfId="0" applyFont="1" applyBorder="1" applyAlignment="1">
      <alignment horizontal="right"/>
    </xf>
    <xf numFmtId="166" fontId="116" fillId="0" borderId="0" xfId="1" applyFont="1"/>
    <xf numFmtId="37" fontId="117" fillId="0" borderId="21" xfId="0" applyNumberFormat="1" applyFont="1" applyBorder="1"/>
    <xf numFmtId="37" fontId="118" fillId="0" borderId="1" xfId="0" applyNumberFormat="1" applyFont="1" applyBorder="1"/>
    <xf numFmtId="0" fontId="106" fillId="0" borderId="213" xfId="0" applyFont="1" applyBorder="1" applyAlignment="1">
      <alignment horizontal="center" vertical="center"/>
    </xf>
    <xf numFmtId="0" fontId="107" fillId="0" borderId="215" xfId="0" applyFont="1" applyBorder="1" applyAlignment="1">
      <alignment horizontal="center" vertical="center"/>
    </xf>
    <xf numFmtId="169" fontId="106" fillId="0" borderId="216" xfId="0" applyNumberFormat="1" applyFont="1" applyBorder="1" applyAlignment="1">
      <alignment horizontal="center" vertical="center"/>
    </xf>
    <xf numFmtId="169" fontId="107" fillId="0" borderId="216" xfId="0" applyNumberFormat="1" applyFont="1" applyBorder="1" applyAlignment="1">
      <alignment horizontal="center" vertical="center"/>
    </xf>
    <xf numFmtId="0" fontId="107" fillId="0" borderId="217" xfId="0" applyFont="1" applyBorder="1" applyAlignment="1">
      <alignment horizontal="center" vertical="center"/>
    </xf>
    <xf numFmtId="169" fontId="107" fillId="0" borderId="218" xfId="0" applyNumberFormat="1" applyFont="1" applyBorder="1" applyAlignment="1">
      <alignment horizontal="center" vertical="center"/>
    </xf>
    <xf numFmtId="0" fontId="160" fillId="29" borderId="151" xfId="0" applyFont="1" applyFill="1" applyBorder="1" applyAlignment="1">
      <alignment horizontal="center"/>
    </xf>
    <xf numFmtId="0" fontId="160" fillId="29" borderId="152" xfId="0" applyFont="1" applyFill="1" applyBorder="1" applyAlignment="1">
      <alignment horizontal="center"/>
    </xf>
    <xf numFmtId="0" fontId="160" fillId="29" borderId="153" xfId="0" applyFont="1" applyFill="1" applyBorder="1" applyAlignment="1">
      <alignment horizontal="center"/>
    </xf>
    <xf numFmtId="0" fontId="111" fillId="0" borderId="14" xfId="0" applyFont="1" applyBorder="1" applyAlignment="1">
      <alignment horizontal="center"/>
    </xf>
    <xf numFmtId="0" fontId="114" fillId="0" borderId="14" xfId="0" applyFont="1" applyBorder="1"/>
    <xf numFmtId="169" fontId="106" fillId="0" borderId="1" xfId="0" applyNumberFormat="1" applyFont="1" applyBorder="1" applyAlignment="1">
      <alignment horizontal="center" vertical="center"/>
    </xf>
    <xf numFmtId="169" fontId="107" fillId="0" borderId="1" xfId="0" applyNumberFormat="1" applyFont="1" applyBorder="1" applyAlignment="1">
      <alignment horizontal="center" vertical="center"/>
    </xf>
    <xf numFmtId="0" fontId="134" fillId="0" borderId="219" xfId="0" applyFont="1" applyBorder="1" applyAlignment="1">
      <alignment horizontal="center" vertical="center"/>
    </xf>
    <xf numFmtId="0" fontId="131" fillId="0" borderId="214" xfId="0" applyFont="1" applyBorder="1" applyAlignment="1">
      <alignment horizontal="center" vertical="center"/>
    </xf>
    <xf numFmtId="169" fontId="107" fillId="0" borderId="220" xfId="0" applyNumberFormat="1" applyFont="1" applyBorder="1" applyAlignment="1">
      <alignment horizontal="center" vertical="center"/>
    </xf>
    <xf numFmtId="174" fontId="120" fillId="0" borderId="8" xfId="0" applyNumberFormat="1" applyFont="1" applyBorder="1" applyAlignment="1">
      <alignment vertical="center"/>
    </xf>
    <xf numFmtId="174" fontId="120" fillId="0" borderId="9" xfId="0" applyNumberFormat="1" applyFont="1" applyBorder="1" applyAlignment="1">
      <alignment vertical="center"/>
    </xf>
    <xf numFmtId="0" fontId="170" fillId="0" borderId="0" xfId="0" applyFont="1"/>
    <xf numFmtId="0" fontId="170" fillId="0" borderId="0" xfId="0" applyFont="1" applyAlignment="1">
      <alignment horizontal="center"/>
    </xf>
    <xf numFmtId="0" fontId="170" fillId="0" borderId="0" xfId="0" applyFont="1" applyAlignment="1">
      <alignment horizontal="right" vertical="center"/>
    </xf>
    <xf numFmtId="0" fontId="170" fillId="0" borderId="0" xfId="0" applyFont="1" applyAlignment="1">
      <alignment horizontal="center" vertical="center"/>
    </xf>
    <xf numFmtId="0" fontId="170" fillId="0" borderId="0" xfId="0" applyFont="1" applyAlignment="1">
      <alignment horizontal="right"/>
    </xf>
    <xf numFmtId="0" fontId="117" fillId="0" borderId="1" xfId="0" applyFont="1" applyBorder="1"/>
    <xf numFmtId="0" fontId="117" fillId="0" borderId="20" xfId="0" applyFont="1" applyBorder="1"/>
    <xf numFmtId="14" fontId="108" fillId="0" borderId="0" xfId="0" applyNumberFormat="1" applyFont="1" applyAlignment="1">
      <alignment horizontal="left"/>
    </xf>
    <xf numFmtId="0" fontId="107" fillId="0" borderId="213" xfId="0" applyFont="1" applyBorder="1"/>
    <xf numFmtId="0" fontId="133" fillId="0" borderId="219" xfId="0" applyFont="1" applyBorder="1"/>
    <xf numFmtId="0" fontId="107" fillId="0" borderId="214" xfId="0" applyFont="1" applyBorder="1"/>
    <xf numFmtId="0" fontId="106" fillId="0" borderId="215" xfId="0" applyFont="1" applyBorder="1" applyAlignment="1">
      <alignment horizontal="left"/>
    </xf>
    <xf numFmtId="169" fontId="106" fillId="0" borderId="1" xfId="0" applyNumberFormat="1" applyFont="1" applyBorder="1" applyAlignment="1">
      <alignment horizontal="center"/>
    </xf>
    <xf numFmtId="0" fontId="107" fillId="0" borderId="216" xfId="0" applyFont="1" applyBorder="1"/>
    <xf numFmtId="169" fontId="107" fillId="0" borderId="1" xfId="0" applyNumberFormat="1" applyFont="1" applyBorder="1" applyAlignment="1">
      <alignment horizontal="right"/>
    </xf>
    <xf numFmtId="0" fontId="107" fillId="0" borderId="215" xfId="0" applyFont="1" applyBorder="1"/>
    <xf numFmtId="0" fontId="107" fillId="0" borderId="1" xfId="0" applyFont="1" applyBorder="1"/>
    <xf numFmtId="0" fontId="106" fillId="0" borderId="217" xfId="0" applyFont="1" applyBorder="1" applyAlignment="1">
      <alignment horizontal="left"/>
    </xf>
    <xf numFmtId="169" fontId="107" fillId="0" borderId="220" xfId="0" applyNumberFormat="1" applyFont="1" applyBorder="1" applyAlignment="1">
      <alignment horizontal="right"/>
    </xf>
    <xf numFmtId="43" fontId="108" fillId="0" borderId="0" xfId="0" applyNumberFormat="1" applyFont="1"/>
    <xf numFmtId="3" fontId="0" fillId="0" borderId="0" xfId="0" applyNumberFormat="1"/>
    <xf numFmtId="10" fontId="116" fillId="0" borderId="0" xfId="0" applyNumberFormat="1" applyFont="1"/>
    <xf numFmtId="171" fontId="116" fillId="0" borderId="0" xfId="1" applyNumberFormat="1" applyFont="1"/>
    <xf numFmtId="182" fontId="108" fillId="0" borderId="0" xfId="3" applyNumberFormat="1" applyFont="1"/>
    <xf numFmtId="182" fontId="108" fillId="10" borderId="1" xfId="3" applyNumberFormat="1" applyFont="1" applyFill="1" applyBorder="1" applyAlignment="1">
      <alignment horizontal="center" vertical="center"/>
    </xf>
    <xf numFmtId="182" fontId="108" fillId="10" borderId="1" xfId="3" applyNumberFormat="1" applyFont="1" applyFill="1" applyBorder="1" applyAlignment="1">
      <alignment horizontal="center"/>
    </xf>
    <xf numFmtId="17" fontId="116" fillId="0" borderId="0" xfId="0" applyNumberFormat="1" applyFont="1" applyAlignment="1">
      <alignment horizontal="right"/>
    </xf>
    <xf numFmtId="10" fontId="0" fillId="0" borderId="0" xfId="0" applyNumberFormat="1"/>
    <xf numFmtId="10" fontId="107" fillId="0" borderId="216" xfId="0" applyNumberFormat="1" applyFont="1" applyBorder="1" applyAlignment="1">
      <alignment horizontal="center"/>
    </xf>
    <xf numFmtId="0" fontId="108" fillId="34" borderId="0" xfId="0" applyFont="1" applyFill="1" applyAlignment="1">
      <alignment horizontal="center"/>
    </xf>
    <xf numFmtId="0" fontId="108" fillId="35" borderId="0" xfId="0" applyFont="1" applyFill="1" applyAlignment="1">
      <alignment horizontal="center"/>
    </xf>
    <xf numFmtId="3" fontId="120" fillId="3" borderId="29" xfId="0" applyNumberFormat="1" applyFont="1" applyFill="1" applyBorder="1" applyAlignment="1">
      <alignment horizontal="right"/>
    </xf>
    <xf numFmtId="1" fontId="117" fillId="0" borderId="14" xfId="0" applyNumberFormat="1" applyFont="1" applyBorder="1"/>
    <xf numFmtId="1" fontId="117" fillId="0" borderId="92" xfId="0" applyNumberFormat="1" applyFont="1" applyBorder="1"/>
    <xf numFmtId="37" fontId="118" fillId="33" borderId="0" xfId="0" applyNumberFormat="1" applyFont="1" applyFill="1"/>
    <xf numFmtId="37" fontId="118" fillId="0" borderId="111" xfId="0" applyNumberFormat="1" applyFont="1" applyBorder="1"/>
    <xf numFmtId="171" fontId="117" fillId="0" borderId="0" xfId="1" applyNumberFormat="1" applyFont="1"/>
    <xf numFmtId="49" fontId="151" fillId="27" borderId="1" xfId="0" applyNumberFormat="1" applyFont="1" applyFill="1" applyBorder="1" applyAlignment="1">
      <alignment horizontal="left" vertical="top"/>
    </xf>
    <xf numFmtId="49" fontId="153" fillId="23" borderId="144" xfId="0" applyNumberFormat="1" applyFont="1" applyFill="1" applyBorder="1" applyAlignment="1">
      <alignment horizontal="left" vertical="top"/>
    </xf>
    <xf numFmtId="49" fontId="156" fillId="23" borderId="143" xfId="0" applyNumberFormat="1" applyFont="1" applyFill="1" applyBorder="1" applyAlignment="1">
      <alignment horizontal="left" vertical="top"/>
    </xf>
    <xf numFmtId="49" fontId="153" fillId="23" borderId="143" xfId="0" quotePrefix="1" applyNumberFormat="1" applyFont="1" applyFill="1" applyBorder="1" applyAlignment="1">
      <alignment horizontal="left" vertical="top"/>
    </xf>
    <xf numFmtId="0" fontId="0" fillId="36" borderId="0" xfId="0" applyFill="1"/>
    <xf numFmtId="166" fontId="108" fillId="36" borderId="0" xfId="0" applyNumberFormat="1" applyFont="1" applyFill="1"/>
    <xf numFmtId="1" fontId="108" fillId="36" borderId="0" xfId="0" applyNumberFormat="1" applyFont="1" applyFill="1" applyAlignment="1">
      <alignment horizontal="center"/>
    </xf>
    <xf numFmtId="49" fontId="102" fillId="0" borderId="1" xfId="10" applyNumberFormat="1" applyAlignment="1">
      <alignment horizontal="left" vertical="center"/>
    </xf>
    <xf numFmtId="166" fontId="102" fillId="0" borderId="1" xfId="1" applyFont="1" applyBorder="1" applyAlignment="1">
      <alignment horizontal="left" vertical="center"/>
    </xf>
    <xf numFmtId="0" fontId="101" fillId="36" borderId="1" xfId="11" applyFill="1"/>
    <xf numFmtId="168" fontId="101" fillId="36" borderId="1" xfId="12" applyFont="1" applyFill="1" applyAlignment="1">
      <alignment horizontal="right" vertical="center"/>
    </xf>
    <xf numFmtId="49" fontId="107" fillId="37" borderId="1" xfId="0" applyNumberFormat="1" applyFont="1" applyFill="1" applyBorder="1" applyAlignment="1">
      <alignment horizontal="left" vertical="center"/>
    </xf>
    <xf numFmtId="0" fontId="107" fillId="37" borderId="1" xfId="0" applyFont="1" applyFill="1" applyBorder="1" applyAlignment="1">
      <alignment horizontal="left" vertical="top"/>
    </xf>
    <xf numFmtId="0" fontId="107" fillId="37" borderId="1" xfId="0" applyFont="1" applyFill="1" applyBorder="1"/>
    <xf numFmtId="179" fontId="107" fillId="37" borderId="1" xfId="0" applyNumberFormat="1" applyFont="1" applyFill="1" applyBorder="1" applyAlignment="1">
      <alignment horizontal="right" vertical="center"/>
    </xf>
    <xf numFmtId="4" fontId="107" fillId="37" borderId="1" xfId="0" applyNumberFormat="1" applyFont="1" applyFill="1" applyBorder="1"/>
    <xf numFmtId="37" fontId="0" fillId="0" borderId="0" xfId="0" applyNumberFormat="1"/>
    <xf numFmtId="49" fontId="107" fillId="10" borderId="143" xfId="0" applyNumberFormat="1" applyFont="1" applyFill="1" applyBorder="1" applyAlignment="1">
      <alignment horizontal="left" vertical="top"/>
    </xf>
    <xf numFmtId="49" fontId="157" fillId="23" borderId="143" xfId="0" applyNumberFormat="1" applyFont="1" applyFill="1" applyBorder="1" applyAlignment="1">
      <alignment horizontal="left" vertical="top"/>
    </xf>
    <xf numFmtId="49" fontId="107" fillId="0" borderId="1" xfId="0" applyNumberFormat="1" applyFont="1" applyBorder="1" applyAlignment="1">
      <alignment horizontal="left" vertical="top"/>
    </xf>
    <xf numFmtId="0" fontId="154" fillId="23" borderId="0" xfId="0" applyFont="1" applyFill="1" applyAlignment="1">
      <alignment horizontal="left" vertical="top"/>
    </xf>
    <xf numFmtId="49" fontId="107" fillId="10" borderId="144" xfId="0" applyNumberFormat="1" applyFont="1" applyFill="1" applyBorder="1" applyAlignment="1">
      <alignment horizontal="left" vertical="top"/>
    </xf>
    <xf numFmtId="3" fontId="110" fillId="0" borderId="0" xfId="0" applyNumberFormat="1" applyFont="1"/>
    <xf numFmtId="49" fontId="154" fillId="23" borderId="145" xfId="0" applyNumberFormat="1" applyFont="1" applyFill="1" applyBorder="1" applyAlignment="1">
      <alignment horizontal="left" vertical="top"/>
    </xf>
    <xf numFmtId="0" fontId="78" fillId="36" borderId="1" xfId="690" applyFill="1"/>
    <xf numFmtId="168" fontId="78" fillId="36" borderId="1" xfId="691" applyFont="1" applyFill="1" applyAlignment="1">
      <alignment horizontal="right" vertical="center"/>
    </xf>
    <xf numFmtId="0" fontId="73" fillId="36" borderId="1" xfId="1397" applyFill="1"/>
    <xf numFmtId="168" fontId="73" fillId="36" borderId="1" xfId="1398" applyFont="1" applyFill="1" applyAlignment="1">
      <alignment horizontal="right" vertical="center"/>
    </xf>
    <xf numFmtId="0" fontId="71" fillId="33" borderId="1" xfId="2755" applyFill="1"/>
    <xf numFmtId="183" fontId="71" fillId="33" borderId="1" xfId="2755" applyNumberFormat="1" applyFill="1" applyAlignment="1">
      <alignment horizontal="right" vertical="center"/>
    </xf>
    <xf numFmtId="184" fontId="71" fillId="33" borderId="1" xfId="2755" applyNumberFormat="1" applyFill="1" applyAlignment="1">
      <alignment horizontal="right" vertical="center"/>
    </xf>
    <xf numFmtId="49" fontId="71" fillId="33" borderId="1" xfId="2755" applyNumberFormat="1" applyFill="1" applyAlignment="1">
      <alignment horizontal="left" vertical="center"/>
    </xf>
    <xf numFmtId="49" fontId="172" fillId="36" borderId="1" xfId="2807" applyNumberFormat="1" applyFont="1" applyFill="1" applyAlignment="1">
      <alignment horizontal="left" vertical="center"/>
    </xf>
    <xf numFmtId="168" fontId="172" fillId="36" borderId="1" xfId="2808" applyFont="1" applyFill="1" applyAlignment="1">
      <alignment horizontal="right" vertical="center"/>
    </xf>
    <xf numFmtId="49" fontId="69" fillId="36" borderId="1" xfId="2807" applyNumberFormat="1" applyFill="1" applyAlignment="1">
      <alignment horizontal="left" vertical="center"/>
    </xf>
    <xf numFmtId="0" fontId="69" fillId="36" borderId="1" xfId="2807" applyFill="1"/>
    <xf numFmtId="168" fontId="69" fillId="36" borderId="1" xfId="2808" applyFont="1" applyFill="1" applyAlignment="1">
      <alignment horizontal="right" vertical="center"/>
    </xf>
    <xf numFmtId="184" fontId="67" fillId="34" borderId="1" xfId="2811" applyNumberFormat="1" applyFill="1" applyAlignment="1">
      <alignment horizontal="right" vertical="center"/>
    </xf>
    <xf numFmtId="0" fontId="67" fillId="0" borderId="1" xfId="2811"/>
    <xf numFmtId="49" fontId="172" fillId="0" borderId="1" xfId="2811" applyNumberFormat="1" applyFont="1" applyAlignment="1">
      <alignment horizontal="left" vertical="center"/>
    </xf>
    <xf numFmtId="49" fontId="67" fillId="0" borderId="1" xfId="2811" applyNumberFormat="1" applyAlignment="1">
      <alignment horizontal="left" vertical="center"/>
    </xf>
    <xf numFmtId="183" fontId="172" fillId="0" borderId="1" xfId="2811" applyNumberFormat="1" applyFont="1" applyAlignment="1">
      <alignment horizontal="right" vertical="center"/>
    </xf>
    <xf numFmtId="183" fontId="67" fillId="0" borderId="1" xfId="2811" applyNumberFormat="1" applyAlignment="1">
      <alignment horizontal="right" vertical="center"/>
    </xf>
    <xf numFmtId="184" fontId="172" fillId="0" borderId="1" xfId="2811" applyNumberFormat="1" applyFont="1" applyAlignment="1">
      <alignment horizontal="right" vertical="center"/>
    </xf>
    <xf numFmtId="184" fontId="67" fillId="0" borderId="1" xfId="2811" applyNumberFormat="1" applyAlignment="1">
      <alignment horizontal="right" vertical="center"/>
    </xf>
    <xf numFmtId="49" fontId="131" fillId="0" borderId="1" xfId="4224" applyNumberFormat="1" applyFont="1" applyAlignment="1">
      <alignment horizontal="center" vertical="center"/>
    </xf>
    <xf numFmtId="184" fontId="67" fillId="34" borderId="1" xfId="5565" applyNumberFormat="1" applyFill="1" applyAlignment="1">
      <alignment horizontal="right" vertical="center"/>
    </xf>
    <xf numFmtId="0" fontId="67" fillId="0" borderId="1" xfId="5565"/>
    <xf numFmtId="49" fontId="172" fillId="0" borderId="1" xfId="5565" applyNumberFormat="1" applyFont="1" applyAlignment="1">
      <alignment horizontal="left" vertical="center"/>
    </xf>
    <xf numFmtId="49" fontId="67" fillId="0" borderId="1" xfId="5565" applyNumberFormat="1" applyAlignment="1">
      <alignment horizontal="left" vertical="center"/>
    </xf>
    <xf numFmtId="183" fontId="172" fillId="0" borderId="1" xfId="5565" applyNumberFormat="1" applyFont="1" applyAlignment="1">
      <alignment horizontal="right" vertical="center"/>
    </xf>
    <xf numFmtId="183" fontId="67" fillId="0" borderId="1" xfId="5565" applyNumberFormat="1" applyAlignment="1">
      <alignment horizontal="right" vertical="center"/>
    </xf>
    <xf numFmtId="184" fontId="172" fillId="0" borderId="1" xfId="5565" applyNumberFormat="1" applyFont="1" applyAlignment="1">
      <alignment horizontal="right" vertical="center"/>
    </xf>
    <xf numFmtId="184" fontId="67" fillId="0" borderId="1" xfId="5565" applyNumberFormat="1" applyAlignment="1">
      <alignment horizontal="right" vertical="center"/>
    </xf>
    <xf numFmtId="49" fontId="131" fillId="0" borderId="1" xfId="5551" applyNumberFormat="1" applyFont="1" applyAlignment="1">
      <alignment horizontal="center" vertical="center"/>
    </xf>
    <xf numFmtId="168" fontId="116" fillId="0" borderId="0" xfId="0" applyNumberFormat="1" applyFont="1"/>
    <xf numFmtId="166" fontId="121" fillId="0" borderId="0" xfId="1" applyFont="1"/>
    <xf numFmtId="10" fontId="121" fillId="0" borderId="0" xfId="2" applyNumberFormat="1" applyFont="1"/>
    <xf numFmtId="3" fontId="117" fillId="0" borderId="1" xfId="0" applyNumberFormat="1" applyFont="1" applyBorder="1"/>
    <xf numFmtId="3" fontId="117" fillId="0" borderId="20" xfId="0" applyNumberFormat="1" applyFont="1" applyBorder="1"/>
    <xf numFmtId="3" fontId="117" fillId="0" borderId="23" xfId="0" applyNumberFormat="1" applyFont="1" applyBorder="1"/>
    <xf numFmtId="0" fontId="64" fillId="0" borderId="1" xfId="5626"/>
    <xf numFmtId="2" fontId="177" fillId="0" borderId="1" xfId="5626" applyNumberFormat="1" applyFont="1" applyAlignment="1">
      <alignment horizontal="center"/>
    </xf>
    <xf numFmtId="0" fontId="177" fillId="0" borderId="1" xfId="5626" applyFont="1"/>
    <xf numFmtId="2" fontId="64" fillId="0" borderId="1" xfId="5626" applyNumberFormat="1" applyAlignment="1">
      <alignment horizontal="center"/>
    </xf>
    <xf numFmtId="0" fontId="178" fillId="0" borderId="1" xfId="5626" applyFont="1"/>
    <xf numFmtId="2" fontId="175" fillId="38" borderId="221" xfId="5626" applyNumberFormat="1" applyFont="1" applyFill="1" applyBorder="1" applyAlignment="1">
      <alignment horizontal="center"/>
    </xf>
    <xf numFmtId="2" fontId="175" fillId="38" borderId="223" xfId="5626" applyNumberFormat="1" applyFont="1" applyFill="1" applyBorder="1" applyAlignment="1">
      <alignment horizontal="center"/>
    </xf>
    <xf numFmtId="0" fontId="64" fillId="0" borderId="163" xfId="5626" applyBorder="1"/>
    <xf numFmtId="0" fontId="64" fillId="0" borderId="224" xfId="5626" applyBorder="1"/>
    <xf numFmtId="0" fontId="175" fillId="0" borderId="225" xfId="5627" applyFont="1" applyBorder="1"/>
    <xf numFmtId="0" fontId="64" fillId="29" borderId="226" xfId="5626" applyFill="1" applyBorder="1"/>
    <xf numFmtId="37" fontId="175" fillId="0" borderId="221" xfId="5626" applyNumberFormat="1" applyFont="1" applyBorder="1" applyAlignment="1">
      <alignment horizontal="center"/>
    </xf>
    <xf numFmtId="37" fontId="175" fillId="0" borderId="223" xfId="5626" applyNumberFormat="1" applyFont="1" applyBorder="1" applyAlignment="1">
      <alignment horizontal="center"/>
    </xf>
    <xf numFmtId="174" fontId="175" fillId="0" borderId="223" xfId="5628" applyNumberFormat="1" applyFont="1" applyBorder="1" applyAlignment="1">
      <alignment horizontal="center"/>
    </xf>
    <xf numFmtId="0" fontId="176" fillId="0" borderId="1" xfId="5626" applyFont="1"/>
    <xf numFmtId="0" fontId="64" fillId="0" borderId="225" xfId="5626" applyBorder="1"/>
    <xf numFmtId="0" fontId="64" fillId="0" borderId="226" xfId="5626" applyBorder="1"/>
    <xf numFmtId="37" fontId="0" fillId="0" borderId="227" xfId="5629" applyNumberFormat="1" applyFont="1" applyBorder="1" applyAlignment="1">
      <alignment horizontal="center"/>
    </xf>
    <xf numFmtId="37" fontId="0" fillId="0" borderId="224" xfId="5629" applyNumberFormat="1" applyFont="1" applyBorder="1" applyAlignment="1">
      <alignment horizontal="center"/>
    </xf>
    <xf numFmtId="37" fontId="0" fillId="0" borderId="228" xfId="5629" applyNumberFormat="1" applyFont="1" applyBorder="1" applyAlignment="1">
      <alignment horizontal="center"/>
    </xf>
    <xf numFmtId="174" fontId="0" fillId="0" borderId="229" xfId="5628" applyNumberFormat="1" applyFont="1" applyBorder="1" applyAlignment="1">
      <alignment horizontal="center" vertical="center"/>
    </xf>
    <xf numFmtId="0" fontId="64" fillId="0" borderId="226" xfId="5626" applyBorder="1" applyAlignment="1">
      <alignment horizontal="left"/>
    </xf>
    <xf numFmtId="37" fontId="64" fillId="0" borderId="227" xfId="5626" applyNumberFormat="1" applyBorder="1" applyAlignment="1">
      <alignment horizontal="center"/>
    </xf>
    <xf numFmtId="37" fontId="64" fillId="0" borderId="224" xfId="5626" applyNumberFormat="1" applyBorder="1" applyAlignment="1">
      <alignment horizontal="center"/>
    </xf>
    <xf numFmtId="174" fontId="0" fillId="0" borderId="224" xfId="5628" applyNumberFormat="1" applyFont="1" applyBorder="1" applyAlignment="1">
      <alignment horizontal="center" vertical="center"/>
    </xf>
    <xf numFmtId="0" fontId="175" fillId="0" borderId="226" xfId="5626" applyFont="1" applyBorder="1"/>
    <xf numFmtId="37" fontId="175" fillId="0" borderId="227" xfId="5629" applyNumberFormat="1" applyFont="1" applyBorder="1" applyAlignment="1">
      <alignment horizontal="center"/>
    </xf>
    <xf numFmtId="37" fontId="175" fillId="0" borderId="224" xfId="5629" applyNumberFormat="1" applyFont="1" applyBorder="1" applyAlignment="1">
      <alignment horizontal="center"/>
    </xf>
    <xf numFmtId="174" fontId="0" fillId="0" borderId="227" xfId="5628" applyNumberFormat="1" applyFont="1" applyBorder="1" applyAlignment="1">
      <alignment horizontal="center"/>
    </xf>
    <xf numFmtId="174" fontId="0" fillId="0" borderId="224" xfId="5628" applyNumberFormat="1" applyFont="1" applyBorder="1" applyAlignment="1">
      <alignment horizontal="center"/>
    </xf>
    <xf numFmtId="0" fontId="64" fillId="0" borderId="225" xfId="5626" applyBorder="1" applyAlignment="1">
      <alignment horizontal="left"/>
    </xf>
    <xf numFmtId="37" fontId="0" fillId="0" borderId="229" xfId="5629" applyNumberFormat="1" applyFont="1" applyFill="1" applyBorder="1" applyAlignment="1">
      <alignment horizontal="center"/>
    </xf>
    <xf numFmtId="0" fontId="176" fillId="0" borderId="227" xfId="5626" applyFont="1" applyBorder="1"/>
    <xf numFmtId="174" fontId="0" fillId="0" borderId="230" xfId="5628" applyNumberFormat="1" applyFont="1" applyBorder="1" applyAlignment="1">
      <alignment horizontal="center"/>
    </xf>
    <xf numFmtId="174" fontId="0" fillId="0" borderId="231" xfId="5628" applyNumberFormat="1" applyFont="1" applyBorder="1" applyAlignment="1">
      <alignment horizontal="center" vertical="center"/>
    </xf>
    <xf numFmtId="37" fontId="0" fillId="0" borderId="229" xfId="5629" applyNumberFormat="1" applyFont="1" applyBorder="1" applyAlignment="1">
      <alignment horizontal="center"/>
    </xf>
    <xf numFmtId="0" fontId="64" fillId="0" borderId="232" xfId="5626" applyBorder="1" applyAlignment="1">
      <alignment horizontal="left"/>
    </xf>
    <xf numFmtId="0" fontId="64" fillId="0" borderId="227" xfId="5626" applyBorder="1"/>
    <xf numFmtId="174" fontId="0" fillId="0" borderId="231" xfId="5628" applyNumberFormat="1" applyFont="1" applyBorder="1" applyAlignment="1">
      <alignment horizontal="center"/>
    </xf>
    <xf numFmtId="2" fontId="64" fillId="0" borderId="231" xfId="5626" applyNumberFormat="1" applyBorder="1" applyAlignment="1">
      <alignment horizontal="center"/>
    </xf>
    <xf numFmtId="0" fontId="64" fillId="0" borderId="1" xfId="5626" applyAlignment="1">
      <alignment horizontal="left"/>
    </xf>
    <xf numFmtId="2" fontId="0" fillId="0" borderId="1" xfId="5629" applyNumberFormat="1" applyFont="1" applyBorder="1" applyAlignment="1">
      <alignment horizontal="center"/>
    </xf>
    <xf numFmtId="37" fontId="175" fillId="0" borderId="230" xfId="5629" applyNumberFormat="1" applyFont="1" applyBorder="1" applyAlignment="1">
      <alignment horizontal="center"/>
    </xf>
    <xf numFmtId="37" fontId="179" fillId="0" borderId="228" xfId="5629" applyNumberFormat="1" applyFont="1" applyBorder="1" applyAlignment="1">
      <alignment horizontal="center"/>
    </xf>
    <xf numFmtId="0" fontId="175" fillId="0" borderId="232" xfId="5626" applyFont="1" applyBorder="1"/>
    <xf numFmtId="37" fontId="175" fillId="0" borderId="231" xfId="5629" applyNumberFormat="1" applyFont="1" applyBorder="1" applyAlignment="1">
      <alignment horizontal="center"/>
    </xf>
    <xf numFmtId="0" fontId="174" fillId="0" borderId="1" xfId="5626" applyFont="1"/>
    <xf numFmtId="0" fontId="64" fillId="29" borderId="233" xfId="5626" applyFill="1" applyBorder="1"/>
    <xf numFmtId="0" fontId="175" fillId="0" borderId="1" xfId="5626" applyFont="1"/>
    <xf numFmtId="0" fontId="64" fillId="0" borderId="1" xfId="5626" applyAlignment="1">
      <alignment horizontal="center"/>
    </xf>
    <xf numFmtId="2" fontId="174" fillId="0" borderId="1" xfId="5626" applyNumberFormat="1" applyFont="1" applyAlignment="1">
      <alignment horizontal="center"/>
    </xf>
    <xf numFmtId="2" fontId="64" fillId="0" borderId="1" xfId="5626" applyNumberFormat="1"/>
    <xf numFmtId="1" fontId="107" fillId="36" borderId="232" xfId="5626" applyNumberFormat="1" applyFont="1" applyFill="1" applyBorder="1" applyAlignment="1">
      <alignment horizontal="left" vertical="top"/>
    </xf>
    <xf numFmtId="185" fontId="64" fillId="33" borderId="1" xfId="5626" applyNumberFormat="1" applyFill="1" applyAlignment="1">
      <alignment horizontal="center"/>
    </xf>
    <xf numFmtId="0" fontId="175" fillId="0" borderId="1" xfId="5626" applyFont="1" applyAlignment="1">
      <alignment horizontal="center" vertical="center"/>
    </xf>
    <xf numFmtId="0" fontId="175" fillId="0" borderId="225" xfId="5626" applyFont="1" applyBorder="1" applyAlignment="1">
      <alignment horizontal="center" vertical="center"/>
    </xf>
    <xf numFmtId="0" fontId="175" fillId="0" borderId="233" xfId="5626" applyFont="1" applyBorder="1" applyAlignment="1">
      <alignment horizontal="center" vertical="center"/>
    </xf>
    <xf numFmtId="0" fontId="175" fillId="0" borderId="233" xfId="5626" applyFont="1" applyBorder="1" applyAlignment="1">
      <alignment horizontal="center" wrapText="1"/>
    </xf>
    <xf numFmtId="0" fontId="64" fillId="0" borderId="1" xfId="5626" applyAlignment="1">
      <alignment horizontal="center" vertical="center"/>
    </xf>
    <xf numFmtId="0" fontId="175" fillId="0" borderId="225" xfId="5626" applyFont="1" applyBorder="1" applyAlignment="1">
      <alignment horizontal="center"/>
    </xf>
    <xf numFmtId="3" fontId="64" fillId="36" borderId="226" xfId="5626" applyNumberFormat="1" applyFill="1" applyBorder="1" applyAlignment="1">
      <alignment horizontal="center"/>
    </xf>
    <xf numFmtId="2" fontId="175" fillId="0" borderId="226" xfId="5626" applyNumberFormat="1" applyFont="1" applyBorder="1" applyAlignment="1">
      <alignment horizontal="center"/>
    </xf>
    <xf numFmtId="0" fontId="175" fillId="0" borderId="226" xfId="5626" applyFont="1" applyBorder="1" applyAlignment="1">
      <alignment horizontal="center"/>
    </xf>
    <xf numFmtId="0" fontId="175" fillId="0" borderId="232" xfId="5626" applyFont="1" applyBorder="1" applyAlignment="1">
      <alignment horizontal="center"/>
    </xf>
    <xf numFmtId="3" fontId="64" fillId="36" borderId="232" xfId="5626" applyNumberFormat="1" applyFill="1" applyBorder="1" applyAlignment="1">
      <alignment horizontal="center"/>
    </xf>
    <xf numFmtId="174" fontId="117" fillId="0" borderId="0" xfId="2" applyNumberFormat="1" applyFont="1"/>
    <xf numFmtId="174" fontId="117" fillId="0" borderId="8" xfId="2" applyNumberFormat="1" applyFont="1" applyBorder="1"/>
    <xf numFmtId="174" fontId="117" fillId="0" borderId="93" xfId="2" applyNumberFormat="1" applyFont="1" applyBorder="1"/>
    <xf numFmtId="174" fontId="110" fillId="3" borderId="35" xfId="2" applyNumberFormat="1" applyFont="1" applyFill="1" applyBorder="1"/>
    <xf numFmtId="174" fontId="118" fillId="0" borderId="71" xfId="2" applyNumberFormat="1" applyFont="1" applyBorder="1"/>
    <xf numFmtId="174" fontId="118" fillId="0" borderId="85" xfId="2" applyNumberFormat="1" applyFont="1" applyBorder="1"/>
    <xf numFmtId="174" fontId="118" fillId="0" borderId="14" xfId="2" applyNumberFormat="1" applyFont="1" applyBorder="1"/>
    <xf numFmtId="174" fontId="118" fillId="0" borderId="0" xfId="2" applyNumberFormat="1" applyFont="1"/>
    <xf numFmtId="37" fontId="173" fillId="0" borderId="0" xfId="0" applyNumberFormat="1" applyFont="1"/>
    <xf numFmtId="185" fontId="64" fillId="0" borderId="1" xfId="5626" applyNumberFormat="1"/>
    <xf numFmtId="4" fontId="107" fillId="36" borderId="0" xfId="0" applyNumberFormat="1" applyFont="1" applyFill="1" applyAlignment="1">
      <alignment horizontal="center" vertical="top"/>
    </xf>
    <xf numFmtId="10" fontId="107" fillId="0" borderId="218" xfId="0" applyNumberFormat="1" applyFont="1" applyBorder="1" applyAlignment="1">
      <alignment horizontal="center"/>
    </xf>
    <xf numFmtId="49" fontId="181" fillId="23" borderId="143" xfId="11272" applyNumberFormat="1" applyFill="1" applyBorder="1" applyAlignment="1">
      <alignment horizontal="left" vertical="top"/>
    </xf>
    <xf numFmtId="0" fontId="53" fillId="36" borderId="1" xfId="11277" applyFill="1"/>
    <xf numFmtId="183" fontId="53" fillId="36" borderId="1" xfId="11277" applyNumberFormat="1" applyFill="1" applyAlignment="1">
      <alignment horizontal="right" vertical="center"/>
    </xf>
    <xf numFmtId="0" fontId="52" fillId="0" borderId="0" xfId="0" applyFont="1"/>
    <xf numFmtId="9" fontId="117" fillId="0" borderId="0" xfId="2" applyFont="1" applyAlignment="1">
      <alignment horizontal="right"/>
    </xf>
    <xf numFmtId="9" fontId="117" fillId="0" borderId="0" xfId="2" applyFont="1"/>
    <xf numFmtId="9" fontId="117" fillId="0" borderId="8" xfId="2" applyFont="1" applyFill="1" applyBorder="1"/>
    <xf numFmtId="174" fontId="117" fillId="0" borderId="0" xfId="2" applyNumberFormat="1" applyFont="1" applyFill="1"/>
    <xf numFmtId="0" fontId="49" fillId="0" borderId="1" xfId="11280"/>
    <xf numFmtId="49" fontId="131" fillId="0" borderId="227" xfId="11280" applyNumberFormat="1" applyFont="1" applyBorder="1" applyAlignment="1">
      <alignment horizontal="center" vertical="center"/>
    </xf>
    <xf numFmtId="49" fontId="131" fillId="0" borderId="1" xfId="11280" applyNumberFormat="1" applyFont="1" applyAlignment="1">
      <alignment horizontal="center" vertical="center"/>
    </xf>
    <xf numFmtId="3" fontId="131" fillId="0" borderId="1" xfId="11280" applyNumberFormat="1" applyFont="1" applyAlignment="1">
      <alignment horizontal="center" vertical="center"/>
    </xf>
    <xf numFmtId="49" fontId="131" fillId="0" borderId="224" xfId="11280" applyNumberFormat="1" applyFont="1" applyBorder="1" applyAlignment="1">
      <alignment horizontal="center" vertical="center"/>
    </xf>
    <xf numFmtId="0" fontId="49" fillId="0" borderId="227" xfId="11280" applyBorder="1" applyAlignment="1">
      <alignment horizontal="center"/>
    </xf>
    <xf numFmtId="0" fontId="49" fillId="0" borderId="1" xfId="11280" applyAlignment="1">
      <alignment horizontal="center"/>
    </xf>
    <xf numFmtId="3" fontId="49" fillId="0" borderId="1" xfId="11280" applyNumberFormat="1" applyAlignment="1">
      <alignment horizontal="center"/>
    </xf>
    <xf numFmtId="0" fontId="49" fillId="0" borderId="224" xfId="11280" applyBorder="1" applyAlignment="1">
      <alignment horizontal="center"/>
    </xf>
    <xf numFmtId="0" fontId="153" fillId="39" borderId="143" xfId="0" applyFont="1" applyFill="1" applyBorder="1" applyAlignment="1">
      <alignment horizontal="left" vertical="top"/>
    </xf>
    <xf numFmtId="0" fontId="154" fillId="39" borderId="143" xfId="0" applyFont="1" applyFill="1" applyBorder="1" applyAlignment="1">
      <alignment horizontal="left" vertical="top"/>
    </xf>
    <xf numFmtId="49" fontId="153" fillId="39" borderId="143" xfId="0" applyNumberFormat="1" applyFont="1" applyFill="1" applyBorder="1" applyAlignment="1">
      <alignment horizontal="left" vertical="top"/>
    </xf>
    <xf numFmtId="9" fontId="119" fillId="0" borderId="0" xfId="2" applyFont="1"/>
    <xf numFmtId="0" fontId="48" fillId="0" borderId="1" xfId="11280" applyFont="1" applyAlignment="1">
      <alignment horizontal="center"/>
    </xf>
    <xf numFmtId="0" fontId="48" fillId="0" borderId="224" xfId="11280" applyFont="1" applyBorder="1" applyAlignment="1">
      <alignment horizontal="center"/>
    </xf>
    <xf numFmtId="0" fontId="44" fillId="0" borderId="0" xfId="0" applyFont="1"/>
    <xf numFmtId="166" fontId="64" fillId="0" borderId="1" xfId="1" applyFont="1" applyBorder="1"/>
    <xf numFmtId="166" fontId="64" fillId="0" borderId="1" xfId="1" applyFont="1" applyBorder="1" applyAlignment="1">
      <alignment horizontal="center"/>
    </xf>
    <xf numFmtId="168" fontId="64" fillId="0" borderId="1" xfId="5626" applyNumberFormat="1"/>
    <xf numFmtId="0" fontId="120" fillId="3" borderId="127" xfId="0" applyFont="1" applyFill="1" applyBorder="1"/>
    <xf numFmtId="0" fontId="120" fillId="3" borderId="128" xfId="0" applyFont="1" applyFill="1" applyBorder="1"/>
    <xf numFmtId="0" fontId="120" fillId="3" borderId="128" xfId="0" applyFont="1" applyFill="1" applyBorder="1" applyAlignment="1">
      <alignment horizontal="center"/>
    </xf>
    <xf numFmtId="174" fontId="120" fillId="3" borderId="128" xfId="0" applyNumberFormat="1" applyFont="1" applyFill="1" applyBorder="1"/>
    <xf numFmtId="37" fontId="120" fillId="3" borderId="128" xfId="0" applyNumberFormat="1" applyFont="1" applyFill="1" applyBorder="1"/>
    <xf numFmtId="174" fontId="120" fillId="3" borderId="129" xfId="0" applyNumberFormat="1" applyFont="1" applyFill="1" applyBorder="1"/>
    <xf numFmtId="3" fontId="110" fillId="3" borderId="27" xfId="0" applyNumberFormat="1" applyFont="1" applyFill="1" applyBorder="1"/>
    <xf numFmtId="0" fontId="37" fillId="0" borderId="0" xfId="0" applyFont="1"/>
    <xf numFmtId="0" fontId="32" fillId="0" borderId="1" xfId="11280" applyFont="1" applyAlignment="1">
      <alignment horizontal="center"/>
    </xf>
    <xf numFmtId="0" fontId="32" fillId="0" borderId="224" xfId="11280" applyFont="1" applyBorder="1" applyAlignment="1">
      <alignment horizontal="center"/>
    </xf>
    <xf numFmtId="0" fontId="32" fillId="0" borderId="0" xfId="0" applyFont="1"/>
    <xf numFmtId="9" fontId="117" fillId="0" borderId="14" xfId="2" applyFont="1" applyBorder="1" applyAlignment="1">
      <alignment horizontal="right"/>
    </xf>
    <xf numFmtId="0" fontId="22" fillId="0" borderId="0" xfId="0" applyFont="1"/>
    <xf numFmtId="3" fontId="32" fillId="0" borderId="0" xfId="0" applyNumberFormat="1" applyFont="1"/>
    <xf numFmtId="0" fontId="17" fillId="0" borderId="1" xfId="11280" applyFont="1" applyAlignment="1">
      <alignment horizontal="center"/>
    </xf>
    <xf numFmtId="174" fontId="117" fillId="0" borderId="1" xfId="0" applyNumberFormat="1" applyFont="1" applyBorder="1"/>
    <xf numFmtId="0" fontId="12" fillId="0" borderId="1" xfId="11280" applyFont="1" applyAlignment="1">
      <alignment horizontal="center"/>
    </xf>
    <xf numFmtId="0" fontId="6" fillId="36" borderId="1" xfId="11321" applyFill="1"/>
    <xf numFmtId="183" fontId="6" fillId="36" borderId="1" xfId="11321" applyNumberFormat="1" applyFill="1" applyAlignment="1">
      <alignment horizontal="right" vertical="center"/>
    </xf>
    <xf numFmtId="183" fontId="5" fillId="36" borderId="1" xfId="11322" applyNumberFormat="1" applyFill="1" applyAlignment="1">
      <alignment horizontal="right" vertical="center"/>
    </xf>
    <xf numFmtId="0" fontId="5" fillId="36" borderId="1" xfId="11322" applyFill="1"/>
    <xf numFmtId="183" fontId="3" fillId="36" borderId="1" xfId="11324" applyNumberFormat="1" applyFill="1" applyAlignment="1">
      <alignment horizontal="right" vertical="center"/>
    </xf>
    <xf numFmtId="0" fontId="3" fillId="36" borderId="1" xfId="11324" applyFill="1"/>
    <xf numFmtId="0" fontId="3" fillId="0" borderId="1" xfId="11280" applyFont="1" applyAlignment="1">
      <alignment horizontal="center"/>
    </xf>
    <xf numFmtId="0" fontId="3" fillId="0" borderId="224" xfId="11280" applyFont="1" applyBorder="1" applyAlignment="1">
      <alignment horizontal="center"/>
    </xf>
    <xf numFmtId="49" fontId="172" fillId="36" borderId="1" xfId="11326" applyNumberFormat="1" applyFont="1" applyFill="1" applyAlignment="1">
      <alignment horizontal="left" vertical="center"/>
    </xf>
    <xf numFmtId="183" fontId="172" fillId="36" borderId="1" xfId="11326" applyNumberFormat="1" applyFont="1" applyFill="1" applyAlignment="1">
      <alignment horizontal="right" vertical="center"/>
    </xf>
    <xf numFmtId="49" fontId="1" fillId="36" borderId="1" xfId="11326" applyNumberFormat="1" applyFill="1" applyAlignment="1">
      <alignment horizontal="left" vertical="center"/>
    </xf>
    <xf numFmtId="0" fontId="1" fillId="36" borderId="1" xfId="11326" applyFill="1"/>
    <xf numFmtId="183" fontId="1" fillId="36" borderId="1" xfId="11326" applyNumberFormat="1" applyFill="1" applyAlignment="1">
      <alignment horizontal="right" vertical="center"/>
    </xf>
    <xf numFmtId="166" fontId="117" fillId="0" borderId="8" xfId="1" applyFont="1" applyBorder="1"/>
    <xf numFmtId="37" fontId="117" fillId="36" borderId="9" xfId="0" applyNumberFormat="1" applyFont="1" applyFill="1" applyBorder="1"/>
    <xf numFmtId="37" fontId="117" fillId="36" borderId="5" xfId="0" applyNumberFormat="1" applyFont="1" applyFill="1" applyBorder="1"/>
    <xf numFmtId="3" fontId="117" fillId="0" borderId="9" xfId="0" applyNumberFormat="1" applyFont="1" applyFill="1" applyBorder="1"/>
    <xf numFmtId="171" fontId="118" fillId="36" borderId="73" xfId="0" applyNumberFormat="1" applyFont="1" applyFill="1" applyBorder="1"/>
    <xf numFmtId="3" fontId="117" fillId="33" borderId="5" xfId="0" applyNumberFormat="1" applyFont="1" applyFill="1" applyBorder="1"/>
    <xf numFmtId="174" fontId="117" fillId="33" borderId="8" xfId="0" applyNumberFormat="1" applyFont="1" applyFill="1" applyBorder="1"/>
    <xf numFmtId="3" fontId="110" fillId="33" borderId="92" xfId="0" applyNumberFormat="1" applyFont="1" applyFill="1" applyBorder="1"/>
    <xf numFmtId="3" fontId="117" fillId="33" borderId="9" xfId="0" applyNumberFormat="1" applyFont="1" applyFill="1" applyBorder="1"/>
    <xf numFmtId="174" fontId="117" fillId="33" borderId="0" xfId="0" applyNumberFormat="1" applyFont="1" applyFill="1"/>
    <xf numFmtId="174" fontId="110" fillId="40" borderId="92" xfId="0" applyNumberFormat="1" applyFont="1" applyFill="1" applyBorder="1"/>
    <xf numFmtId="3" fontId="117" fillId="40" borderId="9" xfId="0" applyNumberFormat="1" applyFont="1" applyFill="1" applyBorder="1"/>
    <xf numFmtId="3" fontId="117" fillId="40" borderId="7" xfId="0" applyNumberFormat="1" applyFont="1" applyFill="1" applyBorder="1"/>
    <xf numFmtId="3" fontId="117" fillId="41" borderId="95" xfId="0" applyNumberFormat="1" applyFont="1" applyFill="1" applyBorder="1"/>
    <xf numFmtId="0" fontId="106" fillId="8" borderId="44" xfId="0" applyFont="1" applyFill="1" applyBorder="1" applyAlignment="1">
      <alignment horizontal="center" vertical="center" wrapText="1"/>
    </xf>
    <xf numFmtId="0" fontId="114" fillId="0" borderId="49" xfId="0" applyFont="1" applyBorder="1"/>
    <xf numFmtId="0" fontId="130" fillId="9" borderId="50" xfId="0" applyFont="1" applyFill="1" applyBorder="1" applyAlignment="1">
      <alignment horizontal="center" vertical="center" wrapText="1"/>
    </xf>
    <xf numFmtId="0" fontId="114" fillId="0" borderId="51" xfId="0" applyFont="1" applyBorder="1"/>
    <xf numFmtId="0" fontId="108" fillId="13" borderId="89" xfId="0" applyFont="1" applyFill="1" applyBorder="1" applyAlignment="1">
      <alignment horizontal="left" vertical="top" wrapText="1"/>
    </xf>
    <xf numFmtId="0" fontId="114" fillId="0" borderId="69" xfId="0" applyFont="1" applyBorder="1"/>
    <xf numFmtId="0" fontId="114" fillId="0" borderId="83" xfId="0" applyFont="1" applyBorder="1"/>
    <xf numFmtId="0" fontId="130" fillId="0" borderId="14" xfId="0" applyFont="1" applyBorder="1" applyAlignment="1">
      <alignment horizontal="center"/>
    </xf>
    <xf numFmtId="0" fontId="114" fillId="0" borderId="14" xfId="0" applyFont="1" applyBorder="1"/>
    <xf numFmtId="0" fontId="110" fillId="0" borderId="104" xfId="0" applyFont="1" applyBorder="1" applyAlignment="1">
      <alignment horizontal="center" vertical="center"/>
    </xf>
    <xf numFmtId="0" fontId="114" fillId="0" borderId="102" xfId="0" applyFont="1" applyBorder="1"/>
    <xf numFmtId="0" fontId="114" fillId="0" borderId="105" xfId="0" applyFont="1" applyBorder="1"/>
    <xf numFmtId="0" fontId="110" fillId="0" borderId="17" xfId="0" applyFont="1" applyBorder="1" applyAlignment="1">
      <alignment horizontal="center"/>
    </xf>
    <xf numFmtId="0" fontId="114" fillId="0" borderId="17" xfId="0" applyFont="1" applyBorder="1"/>
    <xf numFmtId="0" fontId="114" fillId="0" borderId="4" xfId="0" applyFont="1" applyBorder="1"/>
    <xf numFmtId="0" fontId="110" fillId="0" borderId="3" xfId="0" applyFont="1" applyBorder="1" applyAlignment="1">
      <alignment horizontal="center"/>
    </xf>
    <xf numFmtId="0" fontId="110" fillId="0" borderId="16" xfId="0" applyFont="1" applyBorder="1" applyAlignment="1">
      <alignment horizontal="center"/>
    </xf>
    <xf numFmtId="0" fontId="114" fillId="0" borderId="18" xfId="0" applyFont="1" applyBorder="1"/>
    <xf numFmtId="0" fontId="110" fillId="0" borderId="102" xfId="0" applyFont="1" applyBorder="1" applyAlignment="1">
      <alignment horizontal="center" vertical="center"/>
    </xf>
    <xf numFmtId="0" fontId="114" fillId="0" borderId="103" xfId="0" applyFont="1" applyBorder="1"/>
    <xf numFmtId="0" fontId="177" fillId="0" borderId="234" xfId="11280" applyFont="1" applyBorder="1" applyAlignment="1">
      <alignment horizontal="center" wrapText="1"/>
    </xf>
    <xf numFmtId="0" fontId="177" fillId="0" borderId="235" xfId="11280" applyFont="1" applyBorder="1" applyAlignment="1">
      <alignment horizontal="center" wrapText="1"/>
    </xf>
    <xf numFmtId="0" fontId="177" fillId="0" borderId="236" xfId="11280" applyFont="1" applyBorder="1" applyAlignment="1">
      <alignment horizontal="center" wrapText="1"/>
    </xf>
    <xf numFmtId="0" fontId="175" fillId="0" borderId="221" xfId="5626" applyFont="1" applyBorder="1" applyAlignment="1">
      <alignment horizontal="center"/>
    </xf>
    <xf numFmtId="0" fontId="175" fillId="0" borderId="223" xfId="5626" applyFont="1" applyBorder="1" applyAlignment="1">
      <alignment horizontal="center"/>
    </xf>
    <xf numFmtId="0" fontId="177" fillId="0" borderId="1" xfId="5626" applyFont="1" applyAlignment="1">
      <alignment horizontal="left" vertical="center"/>
    </xf>
    <xf numFmtId="2" fontId="175" fillId="38" borderId="221" xfId="5626" applyNumberFormat="1" applyFont="1" applyFill="1" applyBorder="1" applyAlignment="1">
      <alignment horizontal="center"/>
    </xf>
    <xf numFmtId="2" fontId="175" fillId="38" borderId="222" xfId="5626" applyNumberFormat="1" applyFont="1" applyFill="1" applyBorder="1" applyAlignment="1">
      <alignment horizontal="center"/>
    </xf>
    <xf numFmtId="2" fontId="175" fillId="38" borderId="223" xfId="5626" applyNumberFormat="1" applyFont="1" applyFill="1" applyBorder="1" applyAlignment="1">
      <alignment horizontal="center"/>
    </xf>
    <xf numFmtId="2" fontId="175" fillId="38" borderId="221" xfId="5626" applyNumberFormat="1" applyFont="1" applyFill="1" applyBorder="1" applyAlignment="1">
      <alignment horizontal="center" wrapText="1"/>
    </xf>
    <xf numFmtId="2" fontId="175" fillId="38" borderId="222" xfId="5626" applyNumberFormat="1" applyFont="1" applyFill="1" applyBorder="1" applyAlignment="1">
      <alignment horizontal="center" wrapText="1"/>
    </xf>
    <xf numFmtId="2" fontId="175" fillId="38" borderId="223" xfId="5626" applyNumberFormat="1" applyFont="1" applyFill="1" applyBorder="1" applyAlignment="1">
      <alignment horizontal="center" wrapText="1"/>
    </xf>
    <xf numFmtId="0" fontId="175" fillId="0" borderId="1" xfId="5626" applyFont="1" applyAlignment="1">
      <alignment horizontal="center"/>
    </xf>
    <xf numFmtId="0" fontId="106" fillId="0" borderId="127" xfId="0" applyFont="1" applyBorder="1" applyAlignment="1">
      <alignment horizontal="center"/>
    </xf>
    <xf numFmtId="0" fontId="114" fillId="0" borderId="128" xfId="0" applyFont="1" applyBorder="1"/>
    <xf numFmtId="0" fontId="114" fillId="0" borderId="129" xfId="0" applyFont="1" applyBorder="1"/>
    <xf numFmtId="0" fontId="107" fillId="0" borderId="130" xfId="0" applyFont="1" applyBorder="1" applyAlignment="1">
      <alignment horizontal="center"/>
    </xf>
    <xf numFmtId="0" fontId="114" fillId="0" borderId="63" xfId="0" applyFont="1" applyBorder="1"/>
    <xf numFmtId="0" fontId="114" fillId="0" borderId="131" xfId="0" applyFont="1" applyBorder="1"/>
    <xf numFmtId="37" fontId="118" fillId="33" borderId="73" xfId="0" applyNumberFormat="1" applyFont="1" applyFill="1" applyBorder="1"/>
    <xf numFmtId="37" fontId="118" fillId="33" borderId="87" xfId="0" applyNumberFormat="1" applyFont="1" applyFill="1" applyBorder="1"/>
    <xf numFmtId="0" fontId="116" fillId="33" borderId="0" xfId="0" applyFont="1" applyFill="1"/>
    <xf numFmtId="10" fontId="120" fillId="3" borderId="108" xfId="2" applyNumberFormat="1" applyFont="1" applyFill="1" applyBorder="1"/>
    <xf numFmtId="10" fontId="120" fillId="42" borderId="108" xfId="2" applyNumberFormat="1" applyFont="1" applyFill="1" applyBorder="1"/>
  </cellXfs>
  <cellStyles count="11327">
    <cellStyle name="Comma 10" xfId="33"/>
    <cellStyle name="Comma 10 2" xfId="65"/>
    <cellStyle name="Comma 10 2 2" xfId="145"/>
    <cellStyle name="Comma 10 2 2 2" xfId="317"/>
    <cellStyle name="Comma 10 2 2 2 2" xfId="661"/>
    <cellStyle name="Comma 10 2 2 2 2 2" xfId="1357"/>
    <cellStyle name="Comma 10 2 2 2 2 2 2" xfId="2758"/>
    <cellStyle name="Comma 10 2 2 2 2 2 2 2" xfId="5568"/>
    <cellStyle name="Comma 10 2 2 2 2 2 2 2 2" xfId="11204"/>
    <cellStyle name="Comma 10 2 2 2 2 2 2 3" xfId="8394"/>
    <cellStyle name="Comma 10 2 2 2 2 2 3" xfId="4167"/>
    <cellStyle name="Comma 10 2 2 2 2 2 3 2" xfId="9803"/>
    <cellStyle name="Comma 10 2 2 2 2 2 4" xfId="6993"/>
    <cellStyle name="Comma 10 2 2 2 2 3" xfId="2062"/>
    <cellStyle name="Comma 10 2 2 2 2 3 2" xfId="4872"/>
    <cellStyle name="Comma 10 2 2 2 2 3 2 2" xfId="10508"/>
    <cellStyle name="Comma 10 2 2 2 2 3 3" xfId="7698"/>
    <cellStyle name="Comma 10 2 2 2 2 4" xfId="3471"/>
    <cellStyle name="Comma 10 2 2 2 2 4 2" xfId="9107"/>
    <cellStyle name="Comma 10 2 2 2 2 5" xfId="6297"/>
    <cellStyle name="Comma 10 2 2 2 3" xfId="1013"/>
    <cellStyle name="Comma 10 2 2 2 3 2" xfId="2414"/>
    <cellStyle name="Comma 10 2 2 2 3 2 2" xfId="5224"/>
    <cellStyle name="Comma 10 2 2 2 3 2 2 2" xfId="10860"/>
    <cellStyle name="Comma 10 2 2 2 3 2 3" xfId="8050"/>
    <cellStyle name="Comma 10 2 2 2 3 3" xfId="3823"/>
    <cellStyle name="Comma 10 2 2 2 3 3 2" xfId="9459"/>
    <cellStyle name="Comma 10 2 2 2 3 4" xfId="6649"/>
    <cellStyle name="Comma 10 2 2 2 4" xfId="1718"/>
    <cellStyle name="Comma 10 2 2 2 4 2" xfId="4528"/>
    <cellStyle name="Comma 10 2 2 2 4 2 2" xfId="10164"/>
    <cellStyle name="Comma 10 2 2 2 4 3" xfId="7354"/>
    <cellStyle name="Comma 10 2 2 2 5" xfId="3127"/>
    <cellStyle name="Comma 10 2 2 2 5 2" xfId="8763"/>
    <cellStyle name="Comma 10 2 2 2 6" xfId="5953"/>
    <cellStyle name="Comma 10 2 2 3" xfId="489"/>
    <cellStyle name="Comma 10 2 2 3 2" xfId="1185"/>
    <cellStyle name="Comma 10 2 2 3 2 2" xfId="2586"/>
    <cellStyle name="Comma 10 2 2 3 2 2 2" xfId="5396"/>
    <cellStyle name="Comma 10 2 2 3 2 2 2 2" xfId="11032"/>
    <cellStyle name="Comma 10 2 2 3 2 2 3" xfId="8222"/>
    <cellStyle name="Comma 10 2 2 3 2 3" xfId="3995"/>
    <cellStyle name="Comma 10 2 2 3 2 3 2" xfId="9631"/>
    <cellStyle name="Comma 10 2 2 3 2 4" xfId="6821"/>
    <cellStyle name="Comma 10 2 2 3 3" xfId="1890"/>
    <cellStyle name="Comma 10 2 2 3 3 2" xfId="4700"/>
    <cellStyle name="Comma 10 2 2 3 3 2 2" xfId="10336"/>
    <cellStyle name="Comma 10 2 2 3 3 3" xfId="7526"/>
    <cellStyle name="Comma 10 2 2 3 4" xfId="3299"/>
    <cellStyle name="Comma 10 2 2 3 4 2" xfId="8935"/>
    <cellStyle name="Comma 10 2 2 3 5" xfId="6125"/>
    <cellStyle name="Comma 10 2 2 4" xfId="841"/>
    <cellStyle name="Comma 10 2 2 4 2" xfId="2242"/>
    <cellStyle name="Comma 10 2 2 4 2 2" xfId="5052"/>
    <cellStyle name="Comma 10 2 2 4 2 2 2" xfId="10688"/>
    <cellStyle name="Comma 10 2 2 4 2 3" xfId="7878"/>
    <cellStyle name="Comma 10 2 2 4 3" xfId="3651"/>
    <cellStyle name="Comma 10 2 2 4 3 2" xfId="9287"/>
    <cellStyle name="Comma 10 2 2 4 4" xfId="6477"/>
    <cellStyle name="Comma 10 2 2 5" xfId="1546"/>
    <cellStyle name="Comma 10 2 2 5 2" xfId="4356"/>
    <cellStyle name="Comma 10 2 2 5 2 2" xfId="9992"/>
    <cellStyle name="Comma 10 2 2 5 3" xfId="7182"/>
    <cellStyle name="Comma 10 2 2 6" xfId="2955"/>
    <cellStyle name="Comma 10 2 2 6 2" xfId="8591"/>
    <cellStyle name="Comma 10 2 2 7" xfId="5781"/>
    <cellStyle name="Comma 10 2 3" xfId="237"/>
    <cellStyle name="Comma 10 2 3 2" xfId="581"/>
    <cellStyle name="Comma 10 2 3 2 2" xfId="1277"/>
    <cellStyle name="Comma 10 2 3 2 2 2" xfId="2678"/>
    <cellStyle name="Comma 10 2 3 2 2 2 2" xfId="5488"/>
    <cellStyle name="Comma 10 2 3 2 2 2 2 2" xfId="11124"/>
    <cellStyle name="Comma 10 2 3 2 2 2 3" xfId="8314"/>
    <cellStyle name="Comma 10 2 3 2 2 3" xfId="4087"/>
    <cellStyle name="Comma 10 2 3 2 2 3 2" xfId="9723"/>
    <cellStyle name="Comma 10 2 3 2 2 4" xfId="6913"/>
    <cellStyle name="Comma 10 2 3 2 3" xfId="1982"/>
    <cellStyle name="Comma 10 2 3 2 3 2" xfId="4792"/>
    <cellStyle name="Comma 10 2 3 2 3 2 2" xfId="10428"/>
    <cellStyle name="Comma 10 2 3 2 3 3" xfId="7618"/>
    <cellStyle name="Comma 10 2 3 2 4" xfId="3391"/>
    <cellStyle name="Comma 10 2 3 2 4 2" xfId="9027"/>
    <cellStyle name="Comma 10 2 3 2 5" xfId="6217"/>
    <cellStyle name="Comma 10 2 3 3" xfId="933"/>
    <cellStyle name="Comma 10 2 3 3 2" xfId="2334"/>
    <cellStyle name="Comma 10 2 3 3 2 2" xfId="5144"/>
    <cellStyle name="Comma 10 2 3 3 2 2 2" xfId="10780"/>
    <cellStyle name="Comma 10 2 3 3 2 3" xfId="7970"/>
    <cellStyle name="Comma 10 2 3 3 3" xfId="3743"/>
    <cellStyle name="Comma 10 2 3 3 3 2" xfId="9379"/>
    <cellStyle name="Comma 10 2 3 3 4" xfId="6569"/>
    <cellStyle name="Comma 10 2 3 4" xfId="1638"/>
    <cellStyle name="Comma 10 2 3 4 2" xfId="4448"/>
    <cellStyle name="Comma 10 2 3 4 2 2" xfId="10084"/>
    <cellStyle name="Comma 10 2 3 4 3" xfId="7274"/>
    <cellStyle name="Comma 10 2 3 5" xfId="3047"/>
    <cellStyle name="Comma 10 2 3 5 2" xfId="8683"/>
    <cellStyle name="Comma 10 2 3 6" xfId="5873"/>
    <cellStyle name="Comma 10 2 4" xfId="409"/>
    <cellStyle name="Comma 10 2 4 2" xfId="1105"/>
    <cellStyle name="Comma 10 2 4 2 2" xfId="2506"/>
    <cellStyle name="Comma 10 2 4 2 2 2" xfId="5316"/>
    <cellStyle name="Comma 10 2 4 2 2 2 2" xfId="10952"/>
    <cellStyle name="Comma 10 2 4 2 2 3" xfId="8142"/>
    <cellStyle name="Comma 10 2 4 2 3" xfId="3915"/>
    <cellStyle name="Comma 10 2 4 2 3 2" xfId="9551"/>
    <cellStyle name="Comma 10 2 4 2 4" xfId="6741"/>
    <cellStyle name="Comma 10 2 4 3" xfId="1810"/>
    <cellStyle name="Comma 10 2 4 3 2" xfId="4620"/>
    <cellStyle name="Comma 10 2 4 3 2 2" xfId="10256"/>
    <cellStyle name="Comma 10 2 4 3 3" xfId="7446"/>
    <cellStyle name="Comma 10 2 4 4" xfId="3219"/>
    <cellStyle name="Comma 10 2 4 4 2" xfId="8855"/>
    <cellStyle name="Comma 10 2 4 5" xfId="6045"/>
    <cellStyle name="Comma 10 2 5" xfId="761"/>
    <cellStyle name="Comma 10 2 5 2" xfId="2162"/>
    <cellStyle name="Comma 10 2 5 2 2" xfId="4972"/>
    <cellStyle name="Comma 10 2 5 2 2 2" xfId="10608"/>
    <cellStyle name="Comma 10 2 5 2 3" xfId="7798"/>
    <cellStyle name="Comma 10 2 5 3" xfId="3571"/>
    <cellStyle name="Comma 10 2 5 3 2" xfId="9207"/>
    <cellStyle name="Comma 10 2 5 4" xfId="6397"/>
    <cellStyle name="Comma 10 2 6" xfId="1466"/>
    <cellStyle name="Comma 10 2 6 2" xfId="4276"/>
    <cellStyle name="Comma 10 2 6 2 2" xfId="9912"/>
    <cellStyle name="Comma 10 2 6 3" xfId="7102"/>
    <cellStyle name="Comma 10 2 7" xfId="2875"/>
    <cellStyle name="Comma 10 2 7 2" xfId="8511"/>
    <cellStyle name="Comma 10 2 8" xfId="5701"/>
    <cellStyle name="Comma 10 3" xfId="113"/>
    <cellStyle name="Comma 10 3 2" xfId="285"/>
    <cellStyle name="Comma 10 3 2 2" xfId="629"/>
    <cellStyle name="Comma 10 3 2 2 2" xfId="1325"/>
    <cellStyle name="Comma 10 3 2 2 2 2" xfId="2726"/>
    <cellStyle name="Comma 10 3 2 2 2 2 2" xfId="5536"/>
    <cellStyle name="Comma 10 3 2 2 2 2 2 2" xfId="11172"/>
    <cellStyle name="Comma 10 3 2 2 2 2 3" xfId="8362"/>
    <cellStyle name="Comma 10 3 2 2 2 3" xfId="4135"/>
    <cellStyle name="Comma 10 3 2 2 2 3 2" xfId="9771"/>
    <cellStyle name="Comma 10 3 2 2 2 4" xfId="6961"/>
    <cellStyle name="Comma 10 3 2 2 3" xfId="2030"/>
    <cellStyle name="Comma 10 3 2 2 3 2" xfId="4840"/>
    <cellStyle name="Comma 10 3 2 2 3 2 2" xfId="10476"/>
    <cellStyle name="Comma 10 3 2 2 3 3" xfId="7666"/>
    <cellStyle name="Comma 10 3 2 2 4" xfId="3439"/>
    <cellStyle name="Comma 10 3 2 2 4 2" xfId="9075"/>
    <cellStyle name="Comma 10 3 2 2 5" xfId="6265"/>
    <cellStyle name="Comma 10 3 2 3" xfId="981"/>
    <cellStyle name="Comma 10 3 2 3 2" xfId="2382"/>
    <cellStyle name="Comma 10 3 2 3 2 2" xfId="5192"/>
    <cellStyle name="Comma 10 3 2 3 2 2 2" xfId="10828"/>
    <cellStyle name="Comma 10 3 2 3 2 3" xfId="8018"/>
    <cellStyle name="Comma 10 3 2 3 3" xfId="3791"/>
    <cellStyle name="Comma 10 3 2 3 3 2" xfId="9427"/>
    <cellStyle name="Comma 10 3 2 3 4" xfId="6617"/>
    <cellStyle name="Comma 10 3 2 4" xfId="1686"/>
    <cellStyle name="Comma 10 3 2 4 2" xfId="4496"/>
    <cellStyle name="Comma 10 3 2 4 2 2" xfId="10132"/>
    <cellStyle name="Comma 10 3 2 4 3" xfId="7322"/>
    <cellStyle name="Comma 10 3 2 5" xfId="3095"/>
    <cellStyle name="Comma 10 3 2 5 2" xfId="8731"/>
    <cellStyle name="Comma 10 3 2 6" xfId="5921"/>
    <cellStyle name="Comma 10 3 3" xfId="457"/>
    <cellStyle name="Comma 10 3 3 2" xfId="1153"/>
    <cellStyle name="Comma 10 3 3 2 2" xfId="2554"/>
    <cellStyle name="Comma 10 3 3 2 2 2" xfId="5364"/>
    <cellStyle name="Comma 10 3 3 2 2 2 2" xfId="11000"/>
    <cellStyle name="Comma 10 3 3 2 2 3" xfId="8190"/>
    <cellStyle name="Comma 10 3 3 2 3" xfId="3963"/>
    <cellStyle name="Comma 10 3 3 2 3 2" xfId="9599"/>
    <cellStyle name="Comma 10 3 3 2 4" xfId="6789"/>
    <cellStyle name="Comma 10 3 3 3" xfId="1858"/>
    <cellStyle name="Comma 10 3 3 3 2" xfId="4668"/>
    <cellStyle name="Comma 10 3 3 3 2 2" xfId="10304"/>
    <cellStyle name="Comma 10 3 3 3 3" xfId="7494"/>
    <cellStyle name="Comma 10 3 3 4" xfId="3267"/>
    <cellStyle name="Comma 10 3 3 4 2" xfId="8903"/>
    <cellStyle name="Comma 10 3 3 5" xfId="6093"/>
    <cellStyle name="Comma 10 3 4" xfId="809"/>
    <cellStyle name="Comma 10 3 4 2" xfId="2210"/>
    <cellStyle name="Comma 10 3 4 2 2" xfId="5020"/>
    <cellStyle name="Comma 10 3 4 2 2 2" xfId="10656"/>
    <cellStyle name="Comma 10 3 4 2 3" xfId="7846"/>
    <cellStyle name="Comma 10 3 4 3" xfId="3619"/>
    <cellStyle name="Comma 10 3 4 3 2" xfId="9255"/>
    <cellStyle name="Comma 10 3 4 4" xfId="6445"/>
    <cellStyle name="Comma 10 3 5" xfId="1514"/>
    <cellStyle name="Comma 10 3 5 2" xfId="4324"/>
    <cellStyle name="Comma 10 3 5 2 2" xfId="9960"/>
    <cellStyle name="Comma 10 3 5 3" xfId="7150"/>
    <cellStyle name="Comma 10 3 6" xfId="2923"/>
    <cellStyle name="Comma 10 3 6 2" xfId="8559"/>
    <cellStyle name="Comma 10 3 7" xfId="5749"/>
    <cellStyle name="Comma 10 4" xfId="205"/>
    <cellStyle name="Comma 10 4 2" xfId="549"/>
    <cellStyle name="Comma 10 4 2 2" xfId="1245"/>
    <cellStyle name="Comma 10 4 2 2 2" xfId="2646"/>
    <cellStyle name="Comma 10 4 2 2 2 2" xfId="5456"/>
    <cellStyle name="Comma 10 4 2 2 2 2 2" xfId="11092"/>
    <cellStyle name="Comma 10 4 2 2 2 3" xfId="8282"/>
    <cellStyle name="Comma 10 4 2 2 3" xfId="4055"/>
    <cellStyle name="Comma 10 4 2 2 3 2" xfId="9691"/>
    <cellStyle name="Comma 10 4 2 2 4" xfId="6881"/>
    <cellStyle name="Comma 10 4 2 3" xfId="1950"/>
    <cellStyle name="Comma 10 4 2 3 2" xfId="4760"/>
    <cellStyle name="Comma 10 4 2 3 2 2" xfId="10396"/>
    <cellStyle name="Comma 10 4 2 3 3" xfId="7586"/>
    <cellStyle name="Comma 10 4 2 4" xfId="3359"/>
    <cellStyle name="Comma 10 4 2 4 2" xfId="8995"/>
    <cellStyle name="Comma 10 4 2 5" xfId="6185"/>
    <cellStyle name="Comma 10 4 3" xfId="901"/>
    <cellStyle name="Comma 10 4 3 2" xfId="2302"/>
    <cellStyle name="Comma 10 4 3 2 2" xfId="5112"/>
    <cellStyle name="Comma 10 4 3 2 2 2" xfId="10748"/>
    <cellStyle name="Comma 10 4 3 2 3" xfId="7938"/>
    <cellStyle name="Comma 10 4 3 3" xfId="3711"/>
    <cellStyle name="Comma 10 4 3 3 2" xfId="9347"/>
    <cellStyle name="Comma 10 4 3 4" xfId="6537"/>
    <cellStyle name="Comma 10 4 4" xfId="1606"/>
    <cellStyle name="Comma 10 4 4 2" xfId="4416"/>
    <cellStyle name="Comma 10 4 4 2 2" xfId="10052"/>
    <cellStyle name="Comma 10 4 4 3" xfId="7242"/>
    <cellStyle name="Comma 10 4 5" xfId="3015"/>
    <cellStyle name="Comma 10 4 5 2" xfId="8651"/>
    <cellStyle name="Comma 10 4 6" xfId="5841"/>
    <cellStyle name="Comma 10 5" xfId="377"/>
    <cellStyle name="Comma 10 5 2" xfId="1073"/>
    <cellStyle name="Comma 10 5 2 2" xfId="2474"/>
    <cellStyle name="Comma 10 5 2 2 2" xfId="5284"/>
    <cellStyle name="Comma 10 5 2 2 2 2" xfId="10920"/>
    <cellStyle name="Comma 10 5 2 2 3" xfId="8110"/>
    <cellStyle name="Comma 10 5 2 3" xfId="3883"/>
    <cellStyle name="Comma 10 5 2 3 2" xfId="9519"/>
    <cellStyle name="Comma 10 5 2 4" xfId="6709"/>
    <cellStyle name="Comma 10 5 3" xfId="1778"/>
    <cellStyle name="Comma 10 5 3 2" xfId="4588"/>
    <cellStyle name="Comma 10 5 3 2 2" xfId="10224"/>
    <cellStyle name="Comma 10 5 3 3" xfId="7414"/>
    <cellStyle name="Comma 10 5 4" xfId="3187"/>
    <cellStyle name="Comma 10 5 4 2" xfId="8823"/>
    <cellStyle name="Comma 10 5 5" xfId="6013"/>
    <cellStyle name="Comma 10 6" xfId="729"/>
    <cellStyle name="Comma 10 6 2" xfId="2130"/>
    <cellStyle name="Comma 10 6 2 2" xfId="4940"/>
    <cellStyle name="Comma 10 6 2 2 2" xfId="10576"/>
    <cellStyle name="Comma 10 6 2 3" xfId="7766"/>
    <cellStyle name="Comma 10 6 3" xfId="3539"/>
    <cellStyle name="Comma 10 6 3 2" xfId="9175"/>
    <cellStyle name="Comma 10 6 4" xfId="6365"/>
    <cellStyle name="Comma 10 7" xfId="1434"/>
    <cellStyle name="Comma 10 7 2" xfId="4244"/>
    <cellStyle name="Comma 10 7 2 2" xfId="9880"/>
    <cellStyle name="Comma 10 7 3" xfId="7070"/>
    <cellStyle name="Comma 10 8" xfId="2843"/>
    <cellStyle name="Comma 10 8 2" xfId="8479"/>
    <cellStyle name="Comma 10 9" xfId="5669"/>
    <cellStyle name="Comma 11" xfId="68"/>
    <cellStyle name="Comma 11 2" xfId="148"/>
    <cellStyle name="Comma 11 2 2" xfId="320"/>
    <cellStyle name="Comma 11 2 2 2" xfId="664"/>
    <cellStyle name="Comma 11 2 2 2 2" xfId="1360"/>
    <cellStyle name="Comma 11 2 2 2 2 2" xfId="2761"/>
    <cellStyle name="Comma 11 2 2 2 2 2 2" xfId="5571"/>
    <cellStyle name="Comma 11 2 2 2 2 2 2 2" xfId="11207"/>
    <cellStyle name="Comma 11 2 2 2 2 2 3" xfId="8397"/>
    <cellStyle name="Comma 11 2 2 2 2 3" xfId="4170"/>
    <cellStyle name="Comma 11 2 2 2 2 3 2" xfId="9806"/>
    <cellStyle name="Comma 11 2 2 2 2 4" xfId="6996"/>
    <cellStyle name="Comma 11 2 2 2 3" xfId="2065"/>
    <cellStyle name="Comma 11 2 2 2 3 2" xfId="4875"/>
    <cellStyle name="Comma 11 2 2 2 3 2 2" xfId="10511"/>
    <cellStyle name="Comma 11 2 2 2 3 3" xfId="7701"/>
    <cellStyle name="Comma 11 2 2 2 4" xfId="3474"/>
    <cellStyle name="Comma 11 2 2 2 4 2" xfId="9110"/>
    <cellStyle name="Comma 11 2 2 2 5" xfId="6300"/>
    <cellStyle name="Comma 11 2 2 3" xfId="1016"/>
    <cellStyle name="Comma 11 2 2 3 2" xfId="2417"/>
    <cellStyle name="Comma 11 2 2 3 2 2" xfId="5227"/>
    <cellStyle name="Comma 11 2 2 3 2 2 2" xfId="10863"/>
    <cellStyle name="Comma 11 2 2 3 2 3" xfId="8053"/>
    <cellStyle name="Comma 11 2 2 3 3" xfId="3826"/>
    <cellStyle name="Comma 11 2 2 3 3 2" xfId="9462"/>
    <cellStyle name="Comma 11 2 2 3 4" xfId="6652"/>
    <cellStyle name="Comma 11 2 2 4" xfId="1721"/>
    <cellStyle name="Comma 11 2 2 4 2" xfId="4531"/>
    <cellStyle name="Comma 11 2 2 4 2 2" xfId="10167"/>
    <cellStyle name="Comma 11 2 2 4 3" xfId="7357"/>
    <cellStyle name="Comma 11 2 2 5" xfId="3130"/>
    <cellStyle name="Comma 11 2 2 5 2" xfId="8766"/>
    <cellStyle name="Comma 11 2 2 6" xfId="5956"/>
    <cellStyle name="Comma 11 2 3" xfId="492"/>
    <cellStyle name="Comma 11 2 3 2" xfId="1188"/>
    <cellStyle name="Comma 11 2 3 2 2" xfId="2589"/>
    <cellStyle name="Comma 11 2 3 2 2 2" xfId="5399"/>
    <cellStyle name="Comma 11 2 3 2 2 2 2" xfId="11035"/>
    <cellStyle name="Comma 11 2 3 2 2 3" xfId="8225"/>
    <cellStyle name="Comma 11 2 3 2 3" xfId="3998"/>
    <cellStyle name="Comma 11 2 3 2 3 2" xfId="9634"/>
    <cellStyle name="Comma 11 2 3 2 4" xfId="6824"/>
    <cellStyle name="Comma 11 2 3 3" xfId="1893"/>
    <cellStyle name="Comma 11 2 3 3 2" xfId="4703"/>
    <cellStyle name="Comma 11 2 3 3 2 2" xfId="10339"/>
    <cellStyle name="Comma 11 2 3 3 3" xfId="7529"/>
    <cellStyle name="Comma 11 2 3 4" xfId="3302"/>
    <cellStyle name="Comma 11 2 3 4 2" xfId="8938"/>
    <cellStyle name="Comma 11 2 3 5" xfId="6128"/>
    <cellStyle name="Comma 11 2 4" xfId="844"/>
    <cellStyle name="Comma 11 2 4 2" xfId="2245"/>
    <cellStyle name="Comma 11 2 4 2 2" xfId="5055"/>
    <cellStyle name="Comma 11 2 4 2 2 2" xfId="10691"/>
    <cellStyle name="Comma 11 2 4 2 3" xfId="7881"/>
    <cellStyle name="Comma 11 2 4 3" xfId="3654"/>
    <cellStyle name="Comma 11 2 4 3 2" xfId="9290"/>
    <cellStyle name="Comma 11 2 4 4" xfId="6480"/>
    <cellStyle name="Comma 11 2 5" xfId="1549"/>
    <cellStyle name="Comma 11 2 5 2" xfId="4359"/>
    <cellStyle name="Comma 11 2 5 2 2" xfId="9995"/>
    <cellStyle name="Comma 11 2 5 3" xfId="7185"/>
    <cellStyle name="Comma 11 2 6" xfId="2958"/>
    <cellStyle name="Comma 11 2 6 2" xfId="8594"/>
    <cellStyle name="Comma 11 2 7" xfId="5784"/>
    <cellStyle name="Comma 11 3" xfId="240"/>
    <cellStyle name="Comma 11 3 2" xfId="584"/>
    <cellStyle name="Comma 11 3 2 2" xfId="1280"/>
    <cellStyle name="Comma 11 3 2 2 2" xfId="2681"/>
    <cellStyle name="Comma 11 3 2 2 2 2" xfId="5491"/>
    <cellStyle name="Comma 11 3 2 2 2 2 2" xfId="11127"/>
    <cellStyle name="Comma 11 3 2 2 2 3" xfId="8317"/>
    <cellStyle name="Comma 11 3 2 2 3" xfId="4090"/>
    <cellStyle name="Comma 11 3 2 2 3 2" xfId="9726"/>
    <cellStyle name="Comma 11 3 2 2 4" xfId="6916"/>
    <cellStyle name="Comma 11 3 2 3" xfId="1985"/>
    <cellStyle name="Comma 11 3 2 3 2" xfId="4795"/>
    <cellStyle name="Comma 11 3 2 3 2 2" xfId="10431"/>
    <cellStyle name="Comma 11 3 2 3 3" xfId="7621"/>
    <cellStyle name="Comma 11 3 2 4" xfId="3394"/>
    <cellStyle name="Comma 11 3 2 4 2" xfId="9030"/>
    <cellStyle name="Comma 11 3 2 5" xfId="6220"/>
    <cellStyle name="Comma 11 3 3" xfId="936"/>
    <cellStyle name="Comma 11 3 3 2" xfId="2337"/>
    <cellStyle name="Comma 11 3 3 2 2" xfId="5147"/>
    <cellStyle name="Comma 11 3 3 2 2 2" xfId="10783"/>
    <cellStyle name="Comma 11 3 3 2 3" xfId="7973"/>
    <cellStyle name="Comma 11 3 3 3" xfId="3746"/>
    <cellStyle name="Comma 11 3 3 3 2" xfId="9382"/>
    <cellStyle name="Comma 11 3 3 4" xfId="6572"/>
    <cellStyle name="Comma 11 3 4" xfId="1641"/>
    <cellStyle name="Comma 11 3 4 2" xfId="4451"/>
    <cellStyle name="Comma 11 3 4 2 2" xfId="10087"/>
    <cellStyle name="Comma 11 3 4 3" xfId="7277"/>
    <cellStyle name="Comma 11 3 5" xfId="3050"/>
    <cellStyle name="Comma 11 3 5 2" xfId="8686"/>
    <cellStyle name="Comma 11 3 6" xfId="5876"/>
    <cellStyle name="Comma 11 4" xfId="412"/>
    <cellStyle name="Comma 11 4 2" xfId="1108"/>
    <cellStyle name="Comma 11 4 2 2" xfId="2509"/>
    <cellStyle name="Comma 11 4 2 2 2" xfId="5319"/>
    <cellStyle name="Comma 11 4 2 2 2 2" xfId="10955"/>
    <cellStyle name="Comma 11 4 2 2 3" xfId="8145"/>
    <cellStyle name="Comma 11 4 2 3" xfId="3918"/>
    <cellStyle name="Comma 11 4 2 3 2" xfId="9554"/>
    <cellStyle name="Comma 11 4 2 4" xfId="6744"/>
    <cellStyle name="Comma 11 4 3" xfId="1813"/>
    <cellStyle name="Comma 11 4 3 2" xfId="4623"/>
    <cellStyle name="Comma 11 4 3 2 2" xfId="10259"/>
    <cellStyle name="Comma 11 4 3 3" xfId="7449"/>
    <cellStyle name="Comma 11 4 4" xfId="3222"/>
    <cellStyle name="Comma 11 4 4 2" xfId="8858"/>
    <cellStyle name="Comma 11 4 5" xfId="6048"/>
    <cellStyle name="Comma 11 5" xfId="764"/>
    <cellStyle name="Comma 11 5 2" xfId="2165"/>
    <cellStyle name="Comma 11 5 2 2" xfId="4975"/>
    <cellStyle name="Comma 11 5 2 2 2" xfId="10611"/>
    <cellStyle name="Comma 11 5 2 3" xfId="7801"/>
    <cellStyle name="Comma 11 5 3" xfId="3574"/>
    <cellStyle name="Comma 11 5 3 2" xfId="9210"/>
    <cellStyle name="Comma 11 5 4" xfId="6400"/>
    <cellStyle name="Comma 11 6" xfId="1469"/>
    <cellStyle name="Comma 11 6 2" xfId="4279"/>
    <cellStyle name="Comma 11 6 2 2" xfId="9915"/>
    <cellStyle name="Comma 11 6 3" xfId="7105"/>
    <cellStyle name="Comma 11 7" xfId="2878"/>
    <cellStyle name="Comma 11 7 2" xfId="8514"/>
    <cellStyle name="Comma 11 8" xfId="5704"/>
    <cellStyle name="Comma 12" xfId="70"/>
    <cellStyle name="Comma 12 2" xfId="150"/>
    <cellStyle name="Comma 12 2 2" xfId="322"/>
    <cellStyle name="Comma 12 2 2 2" xfId="666"/>
    <cellStyle name="Comma 12 2 2 2 2" xfId="1362"/>
    <cellStyle name="Comma 12 2 2 2 2 2" xfId="2763"/>
    <cellStyle name="Comma 12 2 2 2 2 2 2" xfId="5573"/>
    <cellStyle name="Comma 12 2 2 2 2 2 2 2" xfId="11209"/>
    <cellStyle name="Comma 12 2 2 2 2 2 3" xfId="8399"/>
    <cellStyle name="Comma 12 2 2 2 2 3" xfId="4172"/>
    <cellStyle name="Comma 12 2 2 2 2 3 2" xfId="9808"/>
    <cellStyle name="Comma 12 2 2 2 2 4" xfId="6998"/>
    <cellStyle name="Comma 12 2 2 2 3" xfId="2067"/>
    <cellStyle name="Comma 12 2 2 2 3 2" xfId="4877"/>
    <cellStyle name="Comma 12 2 2 2 3 2 2" xfId="10513"/>
    <cellStyle name="Comma 12 2 2 2 3 3" xfId="7703"/>
    <cellStyle name="Comma 12 2 2 2 4" xfId="3476"/>
    <cellStyle name="Comma 12 2 2 2 4 2" xfId="9112"/>
    <cellStyle name="Comma 12 2 2 2 5" xfId="6302"/>
    <cellStyle name="Comma 12 2 2 3" xfId="1018"/>
    <cellStyle name="Comma 12 2 2 3 2" xfId="2419"/>
    <cellStyle name="Comma 12 2 2 3 2 2" xfId="5229"/>
    <cellStyle name="Comma 12 2 2 3 2 2 2" xfId="10865"/>
    <cellStyle name="Comma 12 2 2 3 2 3" xfId="8055"/>
    <cellStyle name="Comma 12 2 2 3 3" xfId="3828"/>
    <cellStyle name="Comma 12 2 2 3 3 2" xfId="9464"/>
    <cellStyle name="Comma 12 2 2 3 4" xfId="6654"/>
    <cellStyle name="Comma 12 2 2 4" xfId="1723"/>
    <cellStyle name="Comma 12 2 2 4 2" xfId="4533"/>
    <cellStyle name="Comma 12 2 2 4 2 2" xfId="10169"/>
    <cellStyle name="Comma 12 2 2 4 3" xfId="7359"/>
    <cellStyle name="Comma 12 2 2 5" xfId="3132"/>
    <cellStyle name="Comma 12 2 2 5 2" xfId="8768"/>
    <cellStyle name="Comma 12 2 2 6" xfId="5958"/>
    <cellStyle name="Comma 12 2 3" xfId="494"/>
    <cellStyle name="Comma 12 2 3 2" xfId="1190"/>
    <cellStyle name="Comma 12 2 3 2 2" xfId="2591"/>
    <cellStyle name="Comma 12 2 3 2 2 2" xfId="5401"/>
    <cellStyle name="Comma 12 2 3 2 2 2 2" xfId="11037"/>
    <cellStyle name="Comma 12 2 3 2 2 3" xfId="8227"/>
    <cellStyle name="Comma 12 2 3 2 3" xfId="4000"/>
    <cellStyle name="Comma 12 2 3 2 3 2" xfId="9636"/>
    <cellStyle name="Comma 12 2 3 2 4" xfId="6826"/>
    <cellStyle name="Comma 12 2 3 3" xfId="1895"/>
    <cellStyle name="Comma 12 2 3 3 2" xfId="4705"/>
    <cellStyle name="Comma 12 2 3 3 2 2" xfId="10341"/>
    <cellStyle name="Comma 12 2 3 3 3" xfId="7531"/>
    <cellStyle name="Comma 12 2 3 4" xfId="3304"/>
    <cellStyle name="Comma 12 2 3 4 2" xfId="8940"/>
    <cellStyle name="Comma 12 2 3 5" xfId="6130"/>
    <cellStyle name="Comma 12 2 4" xfId="846"/>
    <cellStyle name="Comma 12 2 4 2" xfId="2247"/>
    <cellStyle name="Comma 12 2 4 2 2" xfId="5057"/>
    <cellStyle name="Comma 12 2 4 2 2 2" xfId="10693"/>
    <cellStyle name="Comma 12 2 4 2 3" xfId="7883"/>
    <cellStyle name="Comma 12 2 4 3" xfId="3656"/>
    <cellStyle name="Comma 12 2 4 3 2" xfId="9292"/>
    <cellStyle name="Comma 12 2 4 4" xfId="6482"/>
    <cellStyle name="Comma 12 2 5" xfId="1551"/>
    <cellStyle name="Comma 12 2 5 2" xfId="4361"/>
    <cellStyle name="Comma 12 2 5 2 2" xfId="9997"/>
    <cellStyle name="Comma 12 2 5 3" xfId="7187"/>
    <cellStyle name="Comma 12 2 6" xfId="2960"/>
    <cellStyle name="Comma 12 2 6 2" xfId="8596"/>
    <cellStyle name="Comma 12 2 7" xfId="5786"/>
    <cellStyle name="Comma 12 3" xfId="242"/>
    <cellStyle name="Comma 12 3 2" xfId="586"/>
    <cellStyle name="Comma 12 3 2 2" xfId="1282"/>
    <cellStyle name="Comma 12 3 2 2 2" xfId="2683"/>
    <cellStyle name="Comma 12 3 2 2 2 2" xfId="5493"/>
    <cellStyle name="Comma 12 3 2 2 2 2 2" xfId="11129"/>
    <cellStyle name="Comma 12 3 2 2 2 3" xfId="8319"/>
    <cellStyle name="Comma 12 3 2 2 3" xfId="4092"/>
    <cellStyle name="Comma 12 3 2 2 3 2" xfId="9728"/>
    <cellStyle name="Comma 12 3 2 2 4" xfId="6918"/>
    <cellStyle name="Comma 12 3 2 3" xfId="1987"/>
    <cellStyle name="Comma 12 3 2 3 2" xfId="4797"/>
    <cellStyle name="Comma 12 3 2 3 2 2" xfId="10433"/>
    <cellStyle name="Comma 12 3 2 3 3" xfId="7623"/>
    <cellStyle name="Comma 12 3 2 4" xfId="3396"/>
    <cellStyle name="Comma 12 3 2 4 2" xfId="9032"/>
    <cellStyle name="Comma 12 3 2 5" xfId="6222"/>
    <cellStyle name="Comma 12 3 3" xfId="938"/>
    <cellStyle name="Comma 12 3 3 2" xfId="2339"/>
    <cellStyle name="Comma 12 3 3 2 2" xfId="5149"/>
    <cellStyle name="Comma 12 3 3 2 2 2" xfId="10785"/>
    <cellStyle name="Comma 12 3 3 2 3" xfId="7975"/>
    <cellStyle name="Comma 12 3 3 3" xfId="3748"/>
    <cellStyle name="Comma 12 3 3 3 2" xfId="9384"/>
    <cellStyle name="Comma 12 3 3 4" xfId="6574"/>
    <cellStyle name="Comma 12 3 4" xfId="1643"/>
    <cellStyle name="Comma 12 3 4 2" xfId="4453"/>
    <cellStyle name="Comma 12 3 4 2 2" xfId="10089"/>
    <cellStyle name="Comma 12 3 4 3" xfId="7279"/>
    <cellStyle name="Comma 12 3 5" xfId="3052"/>
    <cellStyle name="Comma 12 3 5 2" xfId="8688"/>
    <cellStyle name="Comma 12 3 6" xfId="5878"/>
    <cellStyle name="Comma 12 4" xfId="414"/>
    <cellStyle name="Comma 12 4 2" xfId="1110"/>
    <cellStyle name="Comma 12 4 2 2" xfId="2511"/>
    <cellStyle name="Comma 12 4 2 2 2" xfId="5321"/>
    <cellStyle name="Comma 12 4 2 2 2 2" xfId="10957"/>
    <cellStyle name="Comma 12 4 2 2 3" xfId="8147"/>
    <cellStyle name="Comma 12 4 2 3" xfId="3920"/>
    <cellStyle name="Comma 12 4 2 3 2" xfId="9556"/>
    <cellStyle name="Comma 12 4 2 4" xfId="6746"/>
    <cellStyle name="Comma 12 4 3" xfId="1815"/>
    <cellStyle name="Comma 12 4 3 2" xfId="4625"/>
    <cellStyle name="Comma 12 4 3 2 2" xfId="10261"/>
    <cellStyle name="Comma 12 4 3 3" xfId="7451"/>
    <cellStyle name="Comma 12 4 4" xfId="3224"/>
    <cellStyle name="Comma 12 4 4 2" xfId="8860"/>
    <cellStyle name="Comma 12 4 5" xfId="6050"/>
    <cellStyle name="Comma 12 5" xfId="766"/>
    <cellStyle name="Comma 12 5 2" xfId="2167"/>
    <cellStyle name="Comma 12 5 2 2" xfId="4977"/>
    <cellStyle name="Comma 12 5 2 2 2" xfId="10613"/>
    <cellStyle name="Comma 12 5 2 3" xfId="7803"/>
    <cellStyle name="Comma 12 5 3" xfId="3576"/>
    <cellStyle name="Comma 12 5 3 2" xfId="9212"/>
    <cellStyle name="Comma 12 5 4" xfId="6402"/>
    <cellStyle name="Comma 12 6" xfId="1471"/>
    <cellStyle name="Comma 12 6 2" xfId="4281"/>
    <cellStyle name="Comma 12 6 2 2" xfId="9917"/>
    <cellStyle name="Comma 12 6 3" xfId="7107"/>
    <cellStyle name="Comma 12 7" xfId="2880"/>
    <cellStyle name="Comma 12 7 2" xfId="8516"/>
    <cellStyle name="Comma 12 8" xfId="5706"/>
    <cellStyle name="Comma 13" xfId="72"/>
    <cellStyle name="Comma 13 2" xfId="152"/>
    <cellStyle name="Comma 13 2 2" xfId="324"/>
    <cellStyle name="Comma 13 2 2 2" xfId="668"/>
    <cellStyle name="Comma 13 2 2 2 2" xfId="1364"/>
    <cellStyle name="Comma 13 2 2 2 2 2" xfId="2765"/>
    <cellStyle name="Comma 13 2 2 2 2 2 2" xfId="5575"/>
    <cellStyle name="Comma 13 2 2 2 2 2 2 2" xfId="11211"/>
    <cellStyle name="Comma 13 2 2 2 2 2 3" xfId="8401"/>
    <cellStyle name="Comma 13 2 2 2 2 3" xfId="4174"/>
    <cellStyle name="Comma 13 2 2 2 2 3 2" xfId="9810"/>
    <cellStyle name="Comma 13 2 2 2 2 4" xfId="7000"/>
    <cellStyle name="Comma 13 2 2 2 3" xfId="2069"/>
    <cellStyle name="Comma 13 2 2 2 3 2" xfId="4879"/>
    <cellStyle name="Comma 13 2 2 2 3 2 2" xfId="10515"/>
    <cellStyle name="Comma 13 2 2 2 3 3" xfId="7705"/>
    <cellStyle name="Comma 13 2 2 2 4" xfId="3478"/>
    <cellStyle name="Comma 13 2 2 2 4 2" xfId="9114"/>
    <cellStyle name="Comma 13 2 2 2 5" xfId="6304"/>
    <cellStyle name="Comma 13 2 2 3" xfId="1020"/>
    <cellStyle name="Comma 13 2 2 3 2" xfId="2421"/>
    <cellStyle name="Comma 13 2 2 3 2 2" xfId="5231"/>
    <cellStyle name="Comma 13 2 2 3 2 2 2" xfId="10867"/>
    <cellStyle name="Comma 13 2 2 3 2 3" xfId="8057"/>
    <cellStyle name="Comma 13 2 2 3 3" xfId="3830"/>
    <cellStyle name="Comma 13 2 2 3 3 2" xfId="9466"/>
    <cellStyle name="Comma 13 2 2 3 4" xfId="6656"/>
    <cellStyle name="Comma 13 2 2 4" xfId="1725"/>
    <cellStyle name="Comma 13 2 2 4 2" xfId="4535"/>
    <cellStyle name="Comma 13 2 2 4 2 2" xfId="10171"/>
    <cellStyle name="Comma 13 2 2 4 3" xfId="7361"/>
    <cellStyle name="Comma 13 2 2 5" xfId="3134"/>
    <cellStyle name="Comma 13 2 2 5 2" xfId="8770"/>
    <cellStyle name="Comma 13 2 2 6" xfId="5960"/>
    <cellStyle name="Comma 13 2 3" xfId="496"/>
    <cellStyle name="Comma 13 2 3 2" xfId="1192"/>
    <cellStyle name="Comma 13 2 3 2 2" xfId="2593"/>
    <cellStyle name="Comma 13 2 3 2 2 2" xfId="5403"/>
    <cellStyle name="Comma 13 2 3 2 2 2 2" xfId="11039"/>
    <cellStyle name="Comma 13 2 3 2 2 3" xfId="8229"/>
    <cellStyle name="Comma 13 2 3 2 3" xfId="4002"/>
    <cellStyle name="Comma 13 2 3 2 3 2" xfId="9638"/>
    <cellStyle name="Comma 13 2 3 2 4" xfId="6828"/>
    <cellStyle name="Comma 13 2 3 3" xfId="1897"/>
    <cellStyle name="Comma 13 2 3 3 2" xfId="4707"/>
    <cellStyle name="Comma 13 2 3 3 2 2" xfId="10343"/>
    <cellStyle name="Comma 13 2 3 3 3" xfId="7533"/>
    <cellStyle name="Comma 13 2 3 4" xfId="3306"/>
    <cellStyle name="Comma 13 2 3 4 2" xfId="8942"/>
    <cellStyle name="Comma 13 2 3 5" xfId="6132"/>
    <cellStyle name="Comma 13 2 4" xfId="848"/>
    <cellStyle name="Comma 13 2 4 2" xfId="2249"/>
    <cellStyle name="Comma 13 2 4 2 2" xfId="5059"/>
    <cellStyle name="Comma 13 2 4 2 2 2" xfId="10695"/>
    <cellStyle name="Comma 13 2 4 2 3" xfId="7885"/>
    <cellStyle name="Comma 13 2 4 3" xfId="3658"/>
    <cellStyle name="Comma 13 2 4 3 2" xfId="9294"/>
    <cellStyle name="Comma 13 2 4 4" xfId="6484"/>
    <cellStyle name="Comma 13 2 5" xfId="1553"/>
    <cellStyle name="Comma 13 2 5 2" xfId="4363"/>
    <cellStyle name="Comma 13 2 5 2 2" xfId="9999"/>
    <cellStyle name="Comma 13 2 5 3" xfId="7189"/>
    <cellStyle name="Comma 13 2 6" xfId="2962"/>
    <cellStyle name="Comma 13 2 6 2" xfId="8598"/>
    <cellStyle name="Comma 13 2 7" xfId="5788"/>
    <cellStyle name="Comma 13 3" xfId="244"/>
    <cellStyle name="Comma 13 3 2" xfId="588"/>
    <cellStyle name="Comma 13 3 2 2" xfId="1284"/>
    <cellStyle name="Comma 13 3 2 2 2" xfId="2685"/>
    <cellStyle name="Comma 13 3 2 2 2 2" xfId="5495"/>
    <cellStyle name="Comma 13 3 2 2 2 2 2" xfId="11131"/>
    <cellStyle name="Comma 13 3 2 2 2 3" xfId="8321"/>
    <cellStyle name="Comma 13 3 2 2 3" xfId="4094"/>
    <cellStyle name="Comma 13 3 2 2 3 2" xfId="9730"/>
    <cellStyle name="Comma 13 3 2 2 4" xfId="6920"/>
    <cellStyle name="Comma 13 3 2 3" xfId="1989"/>
    <cellStyle name="Comma 13 3 2 3 2" xfId="4799"/>
    <cellStyle name="Comma 13 3 2 3 2 2" xfId="10435"/>
    <cellStyle name="Comma 13 3 2 3 3" xfId="7625"/>
    <cellStyle name="Comma 13 3 2 4" xfId="3398"/>
    <cellStyle name="Comma 13 3 2 4 2" xfId="9034"/>
    <cellStyle name="Comma 13 3 2 5" xfId="6224"/>
    <cellStyle name="Comma 13 3 3" xfId="940"/>
    <cellStyle name="Comma 13 3 3 2" xfId="2341"/>
    <cellStyle name="Comma 13 3 3 2 2" xfId="5151"/>
    <cellStyle name="Comma 13 3 3 2 2 2" xfId="10787"/>
    <cellStyle name="Comma 13 3 3 2 3" xfId="7977"/>
    <cellStyle name="Comma 13 3 3 3" xfId="3750"/>
    <cellStyle name="Comma 13 3 3 3 2" xfId="9386"/>
    <cellStyle name="Comma 13 3 3 4" xfId="6576"/>
    <cellStyle name="Comma 13 3 4" xfId="1645"/>
    <cellStyle name="Comma 13 3 4 2" xfId="4455"/>
    <cellStyle name="Comma 13 3 4 2 2" xfId="10091"/>
    <cellStyle name="Comma 13 3 4 3" xfId="7281"/>
    <cellStyle name="Comma 13 3 5" xfId="3054"/>
    <cellStyle name="Comma 13 3 5 2" xfId="8690"/>
    <cellStyle name="Comma 13 3 6" xfId="5880"/>
    <cellStyle name="Comma 13 4" xfId="416"/>
    <cellStyle name="Comma 13 4 2" xfId="1112"/>
    <cellStyle name="Comma 13 4 2 2" xfId="2513"/>
    <cellStyle name="Comma 13 4 2 2 2" xfId="5323"/>
    <cellStyle name="Comma 13 4 2 2 2 2" xfId="10959"/>
    <cellStyle name="Comma 13 4 2 2 3" xfId="8149"/>
    <cellStyle name="Comma 13 4 2 3" xfId="3922"/>
    <cellStyle name="Comma 13 4 2 3 2" xfId="9558"/>
    <cellStyle name="Comma 13 4 2 4" xfId="6748"/>
    <cellStyle name="Comma 13 4 3" xfId="1817"/>
    <cellStyle name="Comma 13 4 3 2" xfId="4627"/>
    <cellStyle name="Comma 13 4 3 2 2" xfId="10263"/>
    <cellStyle name="Comma 13 4 3 3" xfId="7453"/>
    <cellStyle name="Comma 13 4 4" xfId="3226"/>
    <cellStyle name="Comma 13 4 4 2" xfId="8862"/>
    <cellStyle name="Comma 13 4 5" xfId="6052"/>
    <cellStyle name="Comma 13 5" xfId="768"/>
    <cellStyle name="Comma 13 5 2" xfId="2169"/>
    <cellStyle name="Comma 13 5 2 2" xfId="4979"/>
    <cellStyle name="Comma 13 5 2 2 2" xfId="10615"/>
    <cellStyle name="Comma 13 5 2 3" xfId="7805"/>
    <cellStyle name="Comma 13 5 3" xfId="3578"/>
    <cellStyle name="Comma 13 5 3 2" xfId="9214"/>
    <cellStyle name="Comma 13 5 4" xfId="6404"/>
    <cellStyle name="Comma 13 6" xfId="1473"/>
    <cellStyle name="Comma 13 6 2" xfId="4283"/>
    <cellStyle name="Comma 13 6 2 2" xfId="9919"/>
    <cellStyle name="Comma 13 6 3" xfId="7109"/>
    <cellStyle name="Comma 13 7" xfId="2882"/>
    <cellStyle name="Comma 13 7 2" xfId="8518"/>
    <cellStyle name="Comma 13 8" xfId="5708"/>
    <cellStyle name="Comma 14" xfId="74"/>
    <cellStyle name="Comma 14 2" xfId="154"/>
    <cellStyle name="Comma 14 2 2" xfId="326"/>
    <cellStyle name="Comma 14 2 2 2" xfId="670"/>
    <cellStyle name="Comma 14 2 2 2 2" xfId="1366"/>
    <cellStyle name="Comma 14 2 2 2 2 2" xfId="2767"/>
    <cellStyle name="Comma 14 2 2 2 2 2 2" xfId="5577"/>
    <cellStyle name="Comma 14 2 2 2 2 2 2 2" xfId="11213"/>
    <cellStyle name="Comma 14 2 2 2 2 2 3" xfId="8403"/>
    <cellStyle name="Comma 14 2 2 2 2 3" xfId="4176"/>
    <cellStyle name="Comma 14 2 2 2 2 3 2" xfId="9812"/>
    <cellStyle name="Comma 14 2 2 2 2 4" xfId="7002"/>
    <cellStyle name="Comma 14 2 2 2 3" xfId="2071"/>
    <cellStyle name="Comma 14 2 2 2 3 2" xfId="4881"/>
    <cellStyle name="Comma 14 2 2 2 3 2 2" xfId="10517"/>
    <cellStyle name="Comma 14 2 2 2 3 3" xfId="7707"/>
    <cellStyle name="Comma 14 2 2 2 4" xfId="3480"/>
    <cellStyle name="Comma 14 2 2 2 4 2" xfId="9116"/>
    <cellStyle name="Comma 14 2 2 2 5" xfId="6306"/>
    <cellStyle name="Comma 14 2 2 3" xfId="1022"/>
    <cellStyle name="Comma 14 2 2 3 2" xfId="2423"/>
    <cellStyle name="Comma 14 2 2 3 2 2" xfId="5233"/>
    <cellStyle name="Comma 14 2 2 3 2 2 2" xfId="10869"/>
    <cellStyle name="Comma 14 2 2 3 2 3" xfId="8059"/>
    <cellStyle name="Comma 14 2 2 3 3" xfId="3832"/>
    <cellStyle name="Comma 14 2 2 3 3 2" xfId="9468"/>
    <cellStyle name="Comma 14 2 2 3 4" xfId="6658"/>
    <cellStyle name="Comma 14 2 2 4" xfId="1727"/>
    <cellStyle name="Comma 14 2 2 4 2" xfId="4537"/>
    <cellStyle name="Comma 14 2 2 4 2 2" xfId="10173"/>
    <cellStyle name="Comma 14 2 2 4 3" xfId="7363"/>
    <cellStyle name="Comma 14 2 2 5" xfId="3136"/>
    <cellStyle name="Comma 14 2 2 5 2" xfId="8772"/>
    <cellStyle name="Comma 14 2 2 6" xfId="5962"/>
    <cellStyle name="Comma 14 2 3" xfId="498"/>
    <cellStyle name="Comma 14 2 3 2" xfId="1194"/>
    <cellStyle name="Comma 14 2 3 2 2" xfId="2595"/>
    <cellStyle name="Comma 14 2 3 2 2 2" xfId="5405"/>
    <cellStyle name="Comma 14 2 3 2 2 2 2" xfId="11041"/>
    <cellStyle name="Comma 14 2 3 2 2 3" xfId="8231"/>
    <cellStyle name="Comma 14 2 3 2 3" xfId="4004"/>
    <cellStyle name="Comma 14 2 3 2 3 2" xfId="9640"/>
    <cellStyle name="Comma 14 2 3 2 4" xfId="6830"/>
    <cellStyle name="Comma 14 2 3 3" xfId="1899"/>
    <cellStyle name="Comma 14 2 3 3 2" xfId="4709"/>
    <cellStyle name="Comma 14 2 3 3 2 2" xfId="10345"/>
    <cellStyle name="Comma 14 2 3 3 3" xfId="7535"/>
    <cellStyle name="Comma 14 2 3 4" xfId="3308"/>
    <cellStyle name="Comma 14 2 3 4 2" xfId="8944"/>
    <cellStyle name="Comma 14 2 3 5" xfId="6134"/>
    <cellStyle name="Comma 14 2 4" xfId="850"/>
    <cellStyle name="Comma 14 2 4 2" xfId="2251"/>
    <cellStyle name="Comma 14 2 4 2 2" xfId="5061"/>
    <cellStyle name="Comma 14 2 4 2 2 2" xfId="10697"/>
    <cellStyle name="Comma 14 2 4 2 3" xfId="7887"/>
    <cellStyle name="Comma 14 2 4 3" xfId="3660"/>
    <cellStyle name="Comma 14 2 4 3 2" xfId="9296"/>
    <cellStyle name="Comma 14 2 4 4" xfId="6486"/>
    <cellStyle name="Comma 14 2 5" xfId="1555"/>
    <cellStyle name="Comma 14 2 5 2" xfId="4365"/>
    <cellStyle name="Comma 14 2 5 2 2" xfId="10001"/>
    <cellStyle name="Comma 14 2 5 3" xfId="7191"/>
    <cellStyle name="Comma 14 2 6" xfId="2964"/>
    <cellStyle name="Comma 14 2 6 2" xfId="8600"/>
    <cellStyle name="Comma 14 2 7" xfId="5790"/>
    <cellStyle name="Comma 14 3" xfId="246"/>
    <cellStyle name="Comma 14 3 2" xfId="590"/>
    <cellStyle name="Comma 14 3 2 2" xfId="1286"/>
    <cellStyle name="Comma 14 3 2 2 2" xfId="2687"/>
    <cellStyle name="Comma 14 3 2 2 2 2" xfId="5497"/>
    <cellStyle name="Comma 14 3 2 2 2 2 2" xfId="11133"/>
    <cellStyle name="Comma 14 3 2 2 2 3" xfId="8323"/>
    <cellStyle name="Comma 14 3 2 2 3" xfId="4096"/>
    <cellStyle name="Comma 14 3 2 2 3 2" xfId="9732"/>
    <cellStyle name="Comma 14 3 2 2 4" xfId="6922"/>
    <cellStyle name="Comma 14 3 2 3" xfId="1991"/>
    <cellStyle name="Comma 14 3 2 3 2" xfId="4801"/>
    <cellStyle name="Comma 14 3 2 3 2 2" xfId="10437"/>
    <cellStyle name="Comma 14 3 2 3 3" xfId="7627"/>
    <cellStyle name="Comma 14 3 2 4" xfId="3400"/>
    <cellStyle name="Comma 14 3 2 4 2" xfId="9036"/>
    <cellStyle name="Comma 14 3 2 5" xfId="6226"/>
    <cellStyle name="Comma 14 3 3" xfId="942"/>
    <cellStyle name="Comma 14 3 3 2" xfId="2343"/>
    <cellStyle name="Comma 14 3 3 2 2" xfId="5153"/>
    <cellStyle name="Comma 14 3 3 2 2 2" xfId="10789"/>
    <cellStyle name="Comma 14 3 3 2 3" xfId="7979"/>
    <cellStyle name="Comma 14 3 3 3" xfId="3752"/>
    <cellStyle name="Comma 14 3 3 3 2" xfId="9388"/>
    <cellStyle name="Comma 14 3 3 4" xfId="6578"/>
    <cellStyle name="Comma 14 3 4" xfId="1647"/>
    <cellStyle name="Comma 14 3 4 2" xfId="4457"/>
    <cellStyle name="Comma 14 3 4 2 2" xfId="10093"/>
    <cellStyle name="Comma 14 3 4 3" xfId="7283"/>
    <cellStyle name="Comma 14 3 5" xfId="3056"/>
    <cellStyle name="Comma 14 3 5 2" xfId="8692"/>
    <cellStyle name="Comma 14 3 6" xfId="5882"/>
    <cellStyle name="Comma 14 4" xfId="418"/>
    <cellStyle name="Comma 14 4 2" xfId="1114"/>
    <cellStyle name="Comma 14 4 2 2" xfId="2515"/>
    <cellStyle name="Comma 14 4 2 2 2" xfId="5325"/>
    <cellStyle name="Comma 14 4 2 2 2 2" xfId="10961"/>
    <cellStyle name="Comma 14 4 2 2 3" xfId="8151"/>
    <cellStyle name="Comma 14 4 2 3" xfId="3924"/>
    <cellStyle name="Comma 14 4 2 3 2" xfId="9560"/>
    <cellStyle name="Comma 14 4 2 4" xfId="6750"/>
    <cellStyle name="Comma 14 4 3" xfId="1819"/>
    <cellStyle name="Comma 14 4 3 2" xfId="4629"/>
    <cellStyle name="Comma 14 4 3 2 2" xfId="10265"/>
    <cellStyle name="Comma 14 4 3 3" xfId="7455"/>
    <cellStyle name="Comma 14 4 4" xfId="3228"/>
    <cellStyle name="Comma 14 4 4 2" xfId="8864"/>
    <cellStyle name="Comma 14 4 5" xfId="6054"/>
    <cellStyle name="Comma 14 5" xfId="770"/>
    <cellStyle name="Comma 14 5 2" xfId="2171"/>
    <cellStyle name="Comma 14 5 2 2" xfId="4981"/>
    <cellStyle name="Comma 14 5 2 2 2" xfId="10617"/>
    <cellStyle name="Comma 14 5 2 3" xfId="7807"/>
    <cellStyle name="Comma 14 5 3" xfId="3580"/>
    <cellStyle name="Comma 14 5 3 2" xfId="9216"/>
    <cellStyle name="Comma 14 5 4" xfId="6406"/>
    <cellStyle name="Comma 14 6" xfId="1475"/>
    <cellStyle name="Comma 14 6 2" xfId="4285"/>
    <cellStyle name="Comma 14 6 2 2" xfId="9921"/>
    <cellStyle name="Comma 14 6 3" xfId="7111"/>
    <cellStyle name="Comma 14 7" xfId="2884"/>
    <cellStyle name="Comma 14 7 2" xfId="8520"/>
    <cellStyle name="Comma 14 8" xfId="5710"/>
    <cellStyle name="Comma 15" xfId="76"/>
    <cellStyle name="Comma 15 2" xfId="156"/>
    <cellStyle name="Comma 15 2 2" xfId="328"/>
    <cellStyle name="Comma 15 2 2 2" xfId="672"/>
    <cellStyle name="Comma 15 2 2 2 2" xfId="1368"/>
    <cellStyle name="Comma 15 2 2 2 2 2" xfId="2769"/>
    <cellStyle name="Comma 15 2 2 2 2 2 2" xfId="5579"/>
    <cellStyle name="Comma 15 2 2 2 2 2 2 2" xfId="11215"/>
    <cellStyle name="Comma 15 2 2 2 2 2 3" xfId="8405"/>
    <cellStyle name="Comma 15 2 2 2 2 3" xfId="4178"/>
    <cellStyle name="Comma 15 2 2 2 2 3 2" xfId="9814"/>
    <cellStyle name="Comma 15 2 2 2 2 4" xfId="7004"/>
    <cellStyle name="Comma 15 2 2 2 3" xfId="2073"/>
    <cellStyle name="Comma 15 2 2 2 3 2" xfId="4883"/>
    <cellStyle name="Comma 15 2 2 2 3 2 2" xfId="10519"/>
    <cellStyle name="Comma 15 2 2 2 3 3" xfId="7709"/>
    <cellStyle name="Comma 15 2 2 2 4" xfId="3482"/>
    <cellStyle name="Comma 15 2 2 2 4 2" xfId="9118"/>
    <cellStyle name="Comma 15 2 2 2 5" xfId="6308"/>
    <cellStyle name="Comma 15 2 2 3" xfId="1024"/>
    <cellStyle name="Comma 15 2 2 3 2" xfId="2425"/>
    <cellStyle name="Comma 15 2 2 3 2 2" xfId="5235"/>
    <cellStyle name="Comma 15 2 2 3 2 2 2" xfId="10871"/>
    <cellStyle name="Comma 15 2 2 3 2 3" xfId="8061"/>
    <cellStyle name="Comma 15 2 2 3 3" xfId="3834"/>
    <cellStyle name="Comma 15 2 2 3 3 2" xfId="9470"/>
    <cellStyle name="Comma 15 2 2 3 4" xfId="6660"/>
    <cellStyle name="Comma 15 2 2 4" xfId="1729"/>
    <cellStyle name="Comma 15 2 2 4 2" xfId="4539"/>
    <cellStyle name="Comma 15 2 2 4 2 2" xfId="10175"/>
    <cellStyle name="Comma 15 2 2 4 3" xfId="7365"/>
    <cellStyle name="Comma 15 2 2 5" xfId="3138"/>
    <cellStyle name="Comma 15 2 2 5 2" xfId="8774"/>
    <cellStyle name="Comma 15 2 2 6" xfId="5964"/>
    <cellStyle name="Comma 15 2 3" xfId="500"/>
    <cellStyle name="Comma 15 2 3 2" xfId="1196"/>
    <cellStyle name="Comma 15 2 3 2 2" xfId="2597"/>
    <cellStyle name="Comma 15 2 3 2 2 2" xfId="5407"/>
    <cellStyle name="Comma 15 2 3 2 2 2 2" xfId="11043"/>
    <cellStyle name="Comma 15 2 3 2 2 3" xfId="8233"/>
    <cellStyle name="Comma 15 2 3 2 3" xfId="4006"/>
    <cellStyle name="Comma 15 2 3 2 3 2" xfId="9642"/>
    <cellStyle name="Comma 15 2 3 2 4" xfId="6832"/>
    <cellStyle name="Comma 15 2 3 3" xfId="1901"/>
    <cellStyle name="Comma 15 2 3 3 2" xfId="4711"/>
    <cellStyle name="Comma 15 2 3 3 2 2" xfId="10347"/>
    <cellStyle name="Comma 15 2 3 3 3" xfId="7537"/>
    <cellStyle name="Comma 15 2 3 4" xfId="3310"/>
    <cellStyle name="Comma 15 2 3 4 2" xfId="8946"/>
    <cellStyle name="Comma 15 2 3 5" xfId="6136"/>
    <cellStyle name="Comma 15 2 4" xfId="852"/>
    <cellStyle name="Comma 15 2 4 2" xfId="2253"/>
    <cellStyle name="Comma 15 2 4 2 2" xfId="5063"/>
    <cellStyle name="Comma 15 2 4 2 2 2" xfId="10699"/>
    <cellStyle name="Comma 15 2 4 2 3" xfId="7889"/>
    <cellStyle name="Comma 15 2 4 3" xfId="3662"/>
    <cellStyle name="Comma 15 2 4 3 2" xfId="9298"/>
    <cellStyle name="Comma 15 2 4 4" xfId="6488"/>
    <cellStyle name="Comma 15 2 5" xfId="1557"/>
    <cellStyle name="Comma 15 2 5 2" xfId="4367"/>
    <cellStyle name="Comma 15 2 5 2 2" xfId="10003"/>
    <cellStyle name="Comma 15 2 5 3" xfId="7193"/>
    <cellStyle name="Comma 15 2 6" xfId="2966"/>
    <cellStyle name="Comma 15 2 6 2" xfId="8602"/>
    <cellStyle name="Comma 15 2 7" xfId="5792"/>
    <cellStyle name="Comma 15 3" xfId="248"/>
    <cellStyle name="Comma 15 3 2" xfId="592"/>
    <cellStyle name="Comma 15 3 2 2" xfId="1288"/>
    <cellStyle name="Comma 15 3 2 2 2" xfId="2689"/>
    <cellStyle name="Comma 15 3 2 2 2 2" xfId="5499"/>
    <cellStyle name="Comma 15 3 2 2 2 2 2" xfId="11135"/>
    <cellStyle name="Comma 15 3 2 2 2 3" xfId="8325"/>
    <cellStyle name="Comma 15 3 2 2 3" xfId="4098"/>
    <cellStyle name="Comma 15 3 2 2 3 2" xfId="9734"/>
    <cellStyle name="Comma 15 3 2 2 4" xfId="6924"/>
    <cellStyle name="Comma 15 3 2 3" xfId="1993"/>
    <cellStyle name="Comma 15 3 2 3 2" xfId="4803"/>
    <cellStyle name="Comma 15 3 2 3 2 2" xfId="10439"/>
    <cellStyle name="Comma 15 3 2 3 3" xfId="7629"/>
    <cellStyle name="Comma 15 3 2 4" xfId="3402"/>
    <cellStyle name="Comma 15 3 2 4 2" xfId="9038"/>
    <cellStyle name="Comma 15 3 2 5" xfId="6228"/>
    <cellStyle name="Comma 15 3 3" xfId="944"/>
    <cellStyle name="Comma 15 3 3 2" xfId="2345"/>
    <cellStyle name="Comma 15 3 3 2 2" xfId="5155"/>
    <cellStyle name="Comma 15 3 3 2 2 2" xfId="10791"/>
    <cellStyle name="Comma 15 3 3 2 3" xfId="7981"/>
    <cellStyle name="Comma 15 3 3 3" xfId="3754"/>
    <cellStyle name="Comma 15 3 3 3 2" xfId="9390"/>
    <cellStyle name="Comma 15 3 3 4" xfId="6580"/>
    <cellStyle name="Comma 15 3 4" xfId="1649"/>
    <cellStyle name="Comma 15 3 4 2" xfId="4459"/>
    <cellStyle name="Comma 15 3 4 2 2" xfId="10095"/>
    <cellStyle name="Comma 15 3 4 3" xfId="7285"/>
    <cellStyle name="Comma 15 3 5" xfId="3058"/>
    <cellStyle name="Comma 15 3 5 2" xfId="8694"/>
    <cellStyle name="Comma 15 3 6" xfId="5884"/>
    <cellStyle name="Comma 15 4" xfId="420"/>
    <cellStyle name="Comma 15 4 2" xfId="1116"/>
    <cellStyle name="Comma 15 4 2 2" xfId="2517"/>
    <cellStyle name="Comma 15 4 2 2 2" xfId="5327"/>
    <cellStyle name="Comma 15 4 2 2 2 2" xfId="10963"/>
    <cellStyle name="Comma 15 4 2 2 3" xfId="8153"/>
    <cellStyle name="Comma 15 4 2 3" xfId="3926"/>
    <cellStyle name="Comma 15 4 2 3 2" xfId="9562"/>
    <cellStyle name="Comma 15 4 2 4" xfId="6752"/>
    <cellStyle name="Comma 15 4 3" xfId="1821"/>
    <cellStyle name="Comma 15 4 3 2" xfId="4631"/>
    <cellStyle name="Comma 15 4 3 2 2" xfId="10267"/>
    <cellStyle name="Comma 15 4 3 3" xfId="7457"/>
    <cellStyle name="Comma 15 4 4" xfId="3230"/>
    <cellStyle name="Comma 15 4 4 2" xfId="8866"/>
    <cellStyle name="Comma 15 4 5" xfId="6056"/>
    <cellStyle name="Comma 15 5" xfId="772"/>
    <cellStyle name="Comma 15 5 2" xfId="2173"/>
    <cellStyle name="Comma 15 5 2 2" xfId="4983"/>
    <cellStyle name="Comma 15 5 2 2 2" xfId="10619"/>
    <cellStyle name="Comma 15 5 2 3" xfId="7809"/>
    <cellStyle name="Comma 15 5 3" xfId="3582"/>
    <cellStyle name="Comma 15 5 3 2" xfId="9218"/>
    <cellStyle name="Comma 15 5 4" xfId="6408"/>
    <cellStyle name="Comma 15 6" xfId="1477"/>
    <cellStyle name="Comma 15 6 2" xfId="4287"/>
    <cellStyle name="Comma 15 6 2 2" xfId="9923"/>
    <cellStyle name="Comma 15 6 3" xfId="7113"/>
    <cellStyle name="Comma 15 7" xfId="2886"/>
    <cellStyle name="Comma 15 7 2" xfId="8522"/>
    <cellStyle name="Comma 15 8" xfId="5712"/>
    <cellStyle name="Comma 16" xfId="78"/>
    <cellStyle name="Comma 16 2" xfId="158"/>
    <cellStyle name="Comma 16 2 2" xfId="330"/>
    <cellStyle name="Comma 16 2 2 2" xfId="674"/>
    <cellStyle name="Comma 16 2 2 2 2" xfId="1370"/>
    <cellStyle name="Comma 16 2 2 2 2 2" xfId="2771"/>
    <cellStyle name="Comma 16 2 2 2 2 2 2" xfId="5581"/>
    <cellStyle name="Comma 16 2 2 2 2 2 2 2" xfId="11217"/>
    <cellStyle name="Comma 16 2 2 2 2 2 3" xfId="8407"/>
    <cellStyle name="Comma 16 2 2 2 2 3" xfId="4180"/>
    <cellStyle name="Comma 16 2 2 2 2 3 2" xfId="9816"/>
    <cellStyle name="Comma 16 2 2 2 2 4" xfId="7006"/>
    <cellStyle name="Comma 16 2 2 2 3" xfId="2075"/>
    <cellStyle name="Comma 16 2 2 2 3 2" xfId="4885"/>
    <cellStyle name="Comma 16 2 2 2 3 2 2" xfId="10521"/>
    <cellStyle name="Comma 16 2 2 2 3 3" xfId="7711"/>
    <cellStyle name="Comma 16 2 2 2 4" xfId="3484"/>
    <cellStyle name="Comma 16 2 2 2 4 2" xfId="9120"/>
    <cellStyle name="Comma 16 2 2 2 5" xfId="6310"/>
    <cellStyle name="Comma 16 2 2 3" xfId="1026"/>
    <cellStyle name="Comma 16 2 2 3 2" xfId="2427"/>
    <cellStyle name="Comma 16 2 2 3 2 2" xfId="5237"/>
    <cellStyle name="Comma 16 2 2 3 2 2 2" xfId="10873"/>
    <cellStyle name="Comma 16 2 2 3 2 3" xfId="8063"/>
    <cellStyle name="Comma 16 2 2 3 3" xfId="3836"/>
    <cellStyle name="Comma 16 2 2 3 3 2" xfId="9472"/>
    <cellStyle name="Comma 16 2 2 3 4" xfId="6662"/>
    <cellStyle name="Comma 16 2 2 4" xfId="1731"/>
    <cellStyle name="Comma 16 2 2 4 2" xfId="4541"/>
    <cellStyle name="Comma 16 2 2 4 2 2" xfId="10177"/>
    <cellStyle name="Comma 16 2 2 4 3" xfId="7367"/>
    <cellStyle name="Comma 16 2 2 5" xfId="3140"/>
    <cellStyle name="Comma 16 2 2 5 2" xfId="8776"/>
    <cellStyle name="Comma 16 2 2 6" xfId="5966"/>
    <cellStyle name="Comma 16 2 3" xfId="502"/>
    <cellStyle name="Comma 16 2 3 2" xfId="1198"/>
    <cellStyle name="Comma 16 2 3 2 2" xfId="2599"/>
    <cellStyle name="Comma 16 2 3 2 2 2" xfId="5409"/>
    <cellStyle name="Comma 16 2 3 2 2 2 2" xfId="11045"/>
    <cellStyle name="Comma 16 2 3 2 2 3" xfId="8235"/>
    <cellStyle name="Comma 16 2 3 2 3" xfId="4008"/>
    <cellStyle name="Comma 16 2 3 2 3 2" xfId="9644"/>
    <cellStyle name="Comma 16 2 3 2 4" xfId="6834"/>
    <cellStyle name="Comma 16 2 3 3" xfId="1903"/>
    <cellStyle name="Comma 16 2 3 3 2" xfId="4713"/>
    <cellStyle name="Comma 16 2 3 3 2 2" xfId="10349"/>
    <cellStyle name="Comma 16 2 3 3 3" xfId="7539"/>
    <cellStyle name="Comma 16 2 3 4" xfId="3312"/>
    <cellStyle name="Comma 16 2 3 4 2" xfId="8948"/>
    <cellStyle name="Comma 16 2 3 5" xfId="6138"/>
    <cellStyle name="Comma 16 2 4" xfId="854"/>
    <cellStyle name="Comma 16 2 4 2" xfId="2255"/>
    <cellStyle name="Comma 16 2 4 2 2" xfId="5065"/>
    <cellStyle name="Comma 16 2 4 2 2 2" xfId="10701"/>
    <cellStyle name="Comma 16 2 4 2 3" xfId="7891"/>
    <cellStyle name="Comma 16 2 4 3" xfId="3664"/>
    <cellStyle name="Comma 16 2 4 3 2" xfId="9300"/>
    <cellStyle name="Comma 16 2 4 4" xfId="6490"/>
    <cellStyle name="Comma 16 2 5" xfId="1559"/>
    <cellStyle name="Comma 16 2 5 2" xfId="4369"/>
    <cellStyle name="Comma 16 2 5 2 2" xfId="10005"/>
    <cellStyle name="Comma 16 2 5 3" xfId="7195"/>
    <cellStyle name="Comma 16 2 6" xfId="2968"/>
    <cellStyle name="Comma 16 2 6 2" xfId="8604"/>
    <cellStyle name="Comma 16 2 7" xfId="5794"/>
    <cellStyle name="Comma 16 3" xfId="250"/>
    <cellStyle name="Comma 16 3 2" xfId="594"/>
    <cellStyle name="Comma 16 3 2 2" xfId="1290"/>
    <cellStyle name="Comma 16 3 2 2 2" xfId="2691"/>
    <cellStyle name="Comma 16 3 2 2 2 2" xfId="5501"/>
    <cellStyle name="Comma 16 3 2 2 2 2 2" xfId="11137"/>
    <cellStyle name="Comma 16 3 2 2 2 3" xfId="8327"/>
    <cellStyle name="Comma 16 3 2 2 3" xfId="4100"/>
    <cellStyle name="Comma 16 3 2 2 3 2" xfId="9736"/>
    <cellStyle name="Comma 16 3 2 2 4" xfId="6926"/>
    <cellStyle name="Comma 16 3 2 3" xfId="1995"/>
    <cellStyle name="Comma 16 3 2 3 2" xfId="4805"/>
    <cellStyle name="Comma 16 3 2 3 2 2" xfId="10441"/>
    <cellStyle name="Comma 16 3 2 3 3" xfId="7631"/>
    <cellStyle name="Comma 16 3 2 4" xfId="3404"/>
    <cellStyle name="Comma 16 3 2 4 2" xfId="9040"/>
    <cellStyle name="Comma 16 3 2 5" xfId="6230"/>
    <cellStyle name="Comma 16 3 3" xfId="946"/>
    <cellStyle name="Comma 16 3 3 2" xfId="2347"/>
    <cellStyle name="Comma 16 3 3 2 2" xfId="5157"/>
    <cellStyle name="Comma 16 3 3 2 2 2" xfId="10793"/>
    <cellStyle name="Comma 16 3 3 2 3" xfId="7983"/>
    <cellStyle name="Comma 16 3 3 3" xfId="3756"/>
    <cellStyle name="Comma 16 3 3 3 2" xfId="9392"/>
    <cellStyle name="Comma 16 3 3 4" xfId="6582"/>
    <cellStyle name="Comma 16 3 4" xfId="1651"/>
    <cellStyle name="Comma 16 3 4 2" xfId="4461"/>
    <cellStyle name="Comma 16 3 4 2 2" xfId="10097"/>
    <cellStyle name="Comma 16 3 4 3" xfId="7287"/>
    <cellStyle name="Comma 16 3 5" xfId="3060"/>
    <cellStyle name="Comma 16 3 5 2" xfId="8696"/>
    <cellStyle name="Comma 16 3 6" xfId="5886"/>
    <cellStyle name="Comma 16 4" xfId="422"/>
    <cellStyle name="Comma 16 4 2" xfId="1118"/>
    <cellStyle name="Comma 16 4 2 2" xfId="2519"/>
    <cellStyle name="Comma 16 4 2 2 2" xfId="5329"/>
    <cellStyle name="Comma 16 4 2 2 2 2" xfId="10965"/>
    <cellStyle name="Comma 16 4 2 2 3" xfId="8155"/>
    <cellStyle name="Comma 16 4 2 3" xfId="3928"/>
    <cellStyle name="Comma 16 4 2 3 2" xfId="9564"/>
    <cellStyle name="Comma 16 4 2 4" xfId="6754"/>
    <cellStyle name="Comma 16 4 3" xfId="1823"/>
    <cellStyle name="Comma 16 4 3 2" xfId="4633"/>
    <cellStyle name="Comma 16 4 3 2 2" xfId="10269"/>
    <cellStyle name="Comma 16 4 3 3" xfId="7459"/>
    <cellStyle name="Comma 16 4 4" xfId="3232"/>
    <cellStyle name="Comma 16 4 4 2" xfId="8868"/>
    <cellStyle name="Comma 16 4 5" xfId="6058"/>
    <cellStyle name="Comma 16 5" xfId="774"/>
    <cellStyle name="Comma 16 5 2" xfId="2175"/>
    <cellStyle name="Comma 16 5 2 2" xfId="4985"/>
    <cellStyle name="Comma 16 5 2 2 2" xfId="10621"/>
    <cellStyle name="Comma 16 5 2 3" xfId="7811"/>
    <cellStyle name="Comma 16 5 3" xfId="3584"/>
    <cellStyle name="Comma 16 5 3 2" xfId="9220"/>
    <cellStyle name="Comma 16 5 4" xfId="6410"/>
    <cellStyle name="Comma 16 6" xfId="1479"/>
    <cellStyle name="Comma 16 6 2" xfId="4289"/>
    <cellStyle name="Comma 16 6 2 2" xfId="9925"/>
    <cellStyle name="Comma 16 6 3" xfId="7115"/>
    <cellStyle name="Comma 16 7" xfId="2888"/>
    <cellStyle name="Comma 16 7 2" xfId="8524"/>
    <cellStyle name="Comma 16 8" xfId="5714"/>
    <cellStyle name="Comma 17" xfId="80"/>
    <cellStyle name="Comma 17 2" xfId="160"/>
    <cellStyle name="Comma 17 2 2" xfId="332"/>
    <cellStyle name="Comma 17 2 2 2" xfId="676"/>
    <cellStyle name="Comma 17 2 2 2 2" xfId="1372"/>
    <cellStyle name="Comma 17 2 2 2 2 2" xfId="2773"/>
    <cellStyle name="Comma 17 2 2 2 2 2 2" xfId="5583"/>
    <cellStyle name="Comma 17 2 2 2 2 2 2 2" xfId="11219"/>
    <cellStyle name="Comma 17 2 2 2 2 2 3" xfId="8409"/>
    <cellStyle name="Comma 17 2 2 2 2 3" xfId="4182"/>
    <cellStyle name="Comma 17 2 2 2 2 3 2" xfId="9818"/>
    <cellStyle name="Comma 17 2 2 2 2 4" xfId="7008"/>
    <cellStyle name="Comma 17 2 2 2 3" xfId="2077"/>
    <cellStyle name="Comma 17 2 2 2 3 2" xfId="4887"/>
    <cellStyle name="Comma 17 2 2 2 3 2 2" xfId="10523"/>
    <cellStyle name="Comma 17 2 2 2 3 3" xfId="7713"/>
    <cellStyle name="Comma 17 2 2 2 4" xfId="3486"/>
    <cellStyle name="Comma 17 2 2 2 4 2" xfId="9122"/>
    <cellStyle name="Comma 17 2 2 2 5" xfId="6312"/>
    <cellStyle name="Comma 17 2 2 3" xfId="1028"/>
    <cellStyle name="Comma 17 2 2 3 2" xfId="2429"/>
    <cellStyle name="Comma 17 2 2 3 2 2" xfId="5239"/>
    <cellStyle name="Comma 17 2 2 3 2 2 2" xfId="10875"/>
    <cellStyle name="Comma 17 2 2 3 2 3" xfId="8065"/>
    <cellStyle name="Comma 17 2 2 3 3" xfId="3838"/>
    <cellStyle name="Comma 17 2 2 3 3 2" xfId="9474"/>
    <cellStyle name="Comma 17 2 2 3 4" xfId="6664"/>
    <cellStyle name="Comma 17 2 2 4" xfId="1733"/>
    <cellStyle name="Comma 17 2 2 4 2" xfId="4543"/>
    <cellStyle name="Comma 17 2 2 4 2 2" xfId="10179"/>
    <cellStyle name="Comma 17 2 2 4 3" xfId="7369"/>
    <cellStyle name="Comma 17 2 2 5" xfId="3142"/>
    <cellStyle name="Comma 17 2 2 5 2" xfId="8778"/>
    <cellStyle name="Comma 17 2 2 6" xfId="5968"/>
    <cellStyle name="Comma 17 2 3" xfId="504"/>
    <cellStyle name="Comma 17 2 3 2" xfId="1200"/>
    <cellStyle name="Comma 17 2 3 2 2" xfId="2601"/>
    <cellStyle name="Comma 17 2 3 2 2 2" xfId="5411"/>
    <cellStyle name="Comma 17 2 3 2 2 2 2" xfId="11047"/>
    <cellStyle name="Comma 17 2 3 2 2 3" xfId="8237"/>
    <cellStyle name="Comma 17 2 3 2 3" xfId="4010"/>
    <cellStyle name="Comma 17 2 3 2 3 2" xfId="9646"/>
    <cellStyle name="Comma 17 2 3 2 4" xfId="6836"/>
    <cellStyle name="Comma 17 2 3 3" xfId="1905"/>
    <cellStyle name="Comma 17 2 3 3 2" xfId="4715"/>
    <cellStyle name="Comma 17 2 3 3 2 2" xfId="10351"/>
    <cellStyle name="Comma 17 2 3 3 3" xfId="7541"/>
    <cellStyle name="Comma 17 2 3 4" xfId="3314"/>
    <cellStyle name="Comma 17 2 3 4 2" xfId="8950"/>
    <cellStyle name="Comma 17 2 3 5" xfId="6140"/>
    <cellStyle name="Comma 17 2 4" xfId="856"/>
    <cellStyle name="Comma 17 2 4 2" xfId="2257"/>
    <cellStyle name="Comma 17 2 4 2 2" xfId="5067"/>
    <cellStyle name="Comma 17 2 4 2 2 2" xfId="10703"/>
    <cellStyle name="Comma 17 2 4 2 3" xfId="7893"/>
    <cellStyle name="Comma 17 2 4 3" xfId="3666"/>
    <cellStyle name="Comma 17 2 4 3 2" xfId="9302"/>
    <cellStyle name="Comma 17 2 4 4" xfId="6492"/>
    <cellStyle name="Comma 17 2 5" xfId="1561"/>
    <cellStyle name="Comma 17 2 5 2" xfId="4371"/>
    <cellStyle name="Comma 17 2 5 2 2" xfId="10007"/>
    <cellStyle name="Comma 17 2 5 3" xfId="7197"/>
    <cellStyle name="Comma 17 2 6" xfId="2970"/>
    <cellStyle name="Comma 17 2 6 2" xfId="8606"/>
    <cellStyle name="Comma 17 2 7" xfId="5796"/>
    <cellStyle name="Comma 17 3" xfId="252"/>
    <cellStyle name="Comma 17 3 2" xfId="596"/>
    <cellStyle name="Comma 17 3 2 2" xfId="1292"/>
    <cellStyle name="Comma 17 3 2 2 2" xfId="2693"/>
    <cellStyle name="Comma 17 3 2 2 2 2" xfId="5503"/>
    <cellStyle name="Comma 17 3 2 2 2 2 2" xfId="11139"/>
    <cellStyle name="Comma 17 3 2 2 2 3" xfId="8329"/>
    <cellStyle name="Comma 17 3 2 2 3" xfId="4102"/>
    <cellStyle name="Comma 17 3 2 2 3 2" xfId="9738"/>
    <cellStyle name="Comma 17 3 2 2 4" xfId="6928"/>
    <cellStyle name="Comma 17 3 2 3" xfId="1997"/>
    <cellStyle name="Comma 17 3 2 3 2" xfId="4807"/>
    <cellStyle name="Comma 17 3 2 3 2 2" xfId="10443"/>
    <cellStyle name="Comma 17 3 2 3 3" xfId="7633"/>
    <cellStyle name="Comma 17 3 2 4" xfId="3406"/>
    <cellStyle name="Comma 17 3 2 4 2" xfId="9042"/>
    <cellStyle name="Comma 17 3 2 5" xfId="6232"/>
    <cellStyle name="Comma 17 3 3" xfId="948"/>
    <cellStyle name="Comma 17 3 3 2" xfId="2349"/>
    <cellStyle name="Comma 17 3 3 2 2" xfId="5159"/>
    <cellStyle name="Comma 17 3 3 2 2 2" xfId="10795"/>
    <cellStyle name="Comma 17 3 3 2 3" xfId="7985"/>
    <cellStyle name="Comma 17 3 3 3" xfId="3758"/>
    <cellStyle name="Comma 17 3 3 3 2" xfId="9394"/>
    <cellStyle name="Comma 17 3 3 4" xfId="6584"/>
    <cellStyle name="Comma 17 3 4" xfId="1653"/>
    <cellStyle name="Comma 17 3 4 2" xfId="4463"/>
    <cellStyle name="Comma 17 3 4 2 2" xfId="10099"/>
    <cellStyle name="Comma 17 3 4 3" xfId="7289"/>
    <cellStyle name="Comma 17 3 5" xfId="3062"/>
    <cellStyle name="Comma 17 3 5 2" xfId="8698"/>
    <cellStyle name="Comma 17 3 6" xfId="5888"/>
    <cellStyle name="Comma 17 4" xfId="424"/>
    <cellStyle name="Comma 17 4 2" xfId="1120"/>
    <cellStyle name="Comma 17 4 2 2" xfId="2521"/>
    <cellStyle name="Comma 17 4 2 2 2" xfId="5331"/>
    <cellStyle name="Comma 17 4 2 2 2 2" xfId="10967"/>
    <cellStyle name="Comma 17 4 2 2 3" xfId="8157"/>
    <cellStyle name="Comma 17 4 2 3" xfId="3930"/>
    <cellStyle name="Comma 17 4 2 3 2" xfId="9566"/>
    <cellStyle name="Comma 17 4 2 4" xfId="6756"/>
    <cellStyle name="Comma 17 4 3" xfId="1825"/>
    <cellStyle name="Comma 17 4 3 2" xfId="4635"/>
    <cellStyle name="Comma 17 4 3 2 2" xfId="10271"/>
    <cellStyle name="Comma 17 4 3 3" xfId="7461"/>
    <cellStyle name="Comma 17 4 4" xfId="3234"/>
    <cellStyle name="Comma 17 4 4 2" xfId="8870"/>
    <cellStyle name="Comma 17 4 5" xfId="6060"/>
    <cellStyle name="Comma 17 5" xfId="776"/>
    <cellStyle name="Comma 17 5 2" xfId="2177"/>
    <cellStyle name="Comma 17 5 2 2" xfId="4987"/>
    <cellStyle name="Comma 17 5 2 2 2" xfId="10623"/>
    <cellStyle name="Comma 17 5 2 3" xfId="7813"/>
    <cellStyle name="Comma 17 5 3" xfId="3586"/>
    <cellStyle name="Comma 17 5 3 2" xfId="9222"/>
    <cellStyle name="Comma 17 5 4" xfId="6412"/>
    <cellStyle name="Comma 17 6" xfId="1481"/>
    <cellStyle name="Comma 17 6 2" xfId="4291"/>
    <cellStyle name="Comma 17 6 2 2" xfId="9927"/>
    <cellStyle name="Comma 17 6 3" xfId="7117"/>
    <cellStyle name="Comma 17 7" xfId="2890"/>
    <cellStyle name="Comma 17 7 2" xfId="8526"/>
    <cellStyle name="Comma 17 8" xfId="5716"/>
    <cellStyle name="Comma 18" xfId="82"/>
    <cellStyle name="Comma 18 2" xfId="254"/>
    <cellStyle name="Comma 18 2 2" xfId="598"/>
    <cellStyle name="Comma 18 2 2 2" xfId="1294"/>
    <cellStyle name="Comma 18 2 2 2 2" xfId="2695"/>
    <cellStyle name="Comma 18 2 2 2 2 2" xfId="5505"/>
    <cellStyle name="Comma 18 2 2 2 2 2 2" xfId="11141"/>
    <cellStyle name="Comma 18 2 2 2 2 3" xfId="8331"/>
    <cellStyle name="Comma 18 2 2 2 3" xfId="4104"/>
    <cellStyle name="Comma 18 2 2 2 3 2" xfId="9740"/>
    <cellStyle name="Comma 18 2 2 2 4" xfId="6930"/>
    <cellStyle name="Comma 18 2 2 3" xfId="1999"/>
    <cellStyle name="Comma 18 2 2 3 2" xfId="4809"/>
    <cellStyle name="Comma 18 2 2 3 2 2" xfId="10445"/>
    <cellStyle name="Comma 18 2 2 3 3" xfId="7635"/>
    <cellStyle name="Comma 18 2 2 4" xfId="3408"/>
    <cellStyle name="Comma 18 2 2 4 2" xfId="9044"/>
    <cellStyle name="Comma 18 2 2 5" xfId="6234"/>
    <cellStyle name="Comma 18 2 3" xfId="950"/>
    <cellStyle name="Comma 18 2 3 2" xfId="2351"/>
    <cellStyle name="Comma 18 2 3 2 2" xfId="5161"/>
    <cellStyle name="Comma 18 2 3 2 2 2" xfId="10797"/>
    <cellStyle name="Comma 18 2 3 2 3" xfId="7987"/>
    <cellStyle name="Comma 18 2 3 3" xfId="3760"/>
    <cellStyle name="Comma 18 2 3 3 2" xfId="9396"/>
    <cellStyle name="Comma 18 2 3 4" xfId="6586"/>
    <cellStyle name="Comma 18 2 4" xfId="1655"/>
    <cellStyle name="Comma 18 2 4 2" xfId="4465"/>
    <cellStyle name="Comma 18 2 4 2 2" xfId="10101"/>
    <cellStyle name="Comma 18 2 4 3" xfId="7291"/>
    <cellStyle name="Comma 18 2 5" xfId="3064"/>
    <cellStyle name="Comma 18 2 5 2" xfId="8700"/>
    <cellStyle name="Comma 18 2 6" xfId="5890"/>
    <cellStyle name="Comma 18 3" xfId="426"/>
    <cellStyle name="Comma 18 3 2" xfId="1122"/>
    <cellStyle name="Comma 18 3 2 2" xfId="2523"/>
    <cellStyle name="Comma 18 3 2 2 2" xfId="5333"/>
    <cellStyle name="Comma 18 3 2 2 2 2" xfId="10969"/>
    <cellStyle name="Comma 18 3 2 2 3" xfId="8159"/>
    <cellStyle name="Comma 18 3 2 3" xfId="3932"/>
    <cellStyle name="Comma 18 3 2 3 2" xfId="9568"/>
    <cellStyle name="Comma 18 3 2 4" xfId="6758"/>
    <cellStyle name="Comma 18 3 3" xfId="1827"/>
    <cellStyle name="Comma 18 3 3 2" xfId="4637"/>
    <cellStyle name="Comma 18 3 3 2 2" xfId="10273"/>
    <cellStyle name="Comma 18 3 3 3" xfId="7463"/>
    <cellStyle name="Comma 18 3 4" xfId="3236"/>
    <cellStyle name="Comma 18 3 4 2" xfId="8872"/>
    <cellStyle name="Comma 18 3 5" xfId="6062"/>
    <cellStyle name="Comma 18 4" xfId="778"/>
    <cellStyle name="Comma 18 4 2" xfId="2179"/>
    <cellStyle name="Comma 18 4 2 2" xfId="4989"/>
    <cellStyle name="Comma 18 4 2 2 2" xfId="10625"/>
    <cellStyle name="Comma 18 4 2 3" xfId="7815"/>
    <cellStyle name="Comma 18 4 3" xfId="3588"/>
    <cellStyle name="Comma 18 4 3 2" xfId="9224"/>
    <cellStyle name="Comma 18 4 4" xfId="6414"/>
    <cellStyle name="Comma 18 5" xfId="1483"/>
    <cellStyle name="Comma 18 5 2" xfId="4293"/>
    <cellStyle name="Comma 18 5 2 2" xfId="9929"/>
    <cellStyle name="Comma 18 5 3" xfId="7119"/>
    <cellStyle name="Comma 18 6" xfId="2892"/>
    <cellStyle name="Comma 18 6 2" xfId="8528"/>
    <cellStyle name="Comma 18 7" xfId="5718"/>
    <cellStyle name="Comma 19" xfId="163"/>
    <cellStyle name="Comma 19 2" xfId="335"/>
    <cellStyle name="Comma 19 2 2" xfId="679"/>
    <cellStyle name="Comma 19 2 2 2" xfId="1375"/>
    <cellStyle name="Comma 19 2 2 2 2" xfId="2776"/>
    <cellStyle name="Comma 19 2 2 2 2 2" xfId="5586"/>
    <cellStyle name="Comma 19 2 2 2 2 2 2" xfId="11222"/>
    <cellStyle name="Comma 19 2 2 2 2 3" xfId="8412"/>
    <cellStyle name="Comma 19 2 2 2 3" xfId="4185"/>
    <cellStyle name="Comma 19 2 2 2 3 2" xfId="9821"/>
    <cellStyle name="Comma 19 2 2 2 4" xfId="7011"/>
    <cellStyle name="Comma 19 2 2 3" xfId="2080"/>
    <cellStyle name="Comma 19 2 2 3 2" xfId="4890"/>
    <cellStyle name="Comma 19 2 2 3 2 2" xfId="10526"/>
    <cellStyle name="Comma 19 2 2 3 3" xfId="7716"/>
    <cellStyle name="Comma 19 2 2 4" xfId="3489"/>
    <cellStyle name="Comma 19 2 2 4 2" xfId="9125"/>
    <cellStyle name="Comma 19 2 2 5" xfId="6315"/>
    <cellStyle name="Comma 19 2 3" xfId="1031"/>
    <cellStyle name="Comma 19 2 3 2" xfId="2432"/>
    <cellStyle name="Comma 19 2 3 2 2" xfId="5242"/>
    <cellStyle name="Comma 19 2 3 2 2 2" xfId="10878"/>
    <cellStyle name="Comma 19 2 3 2 3" xfId="8068"/>
    <cellStyle name="Comma 19 2 3 3" xfId="3841"/>
    <cellStyle name="Comma 19 2 3 3 2" xfId="9477"/>
    <cellStyle name="Comma 19 2 3 4" xfId="6667"/>
    <cellStyle name="Comma 19 2 4" xfId="1736"/>
    <cellStyle name="Comma 19 2 4 2" xfId="4546"/>
    <cellStyle name="Comma 19 2 4 2 2" xfId="10182"/>
    <cellStyle name="Comma 19 2 4 3" xfId="7372"/>
    <cellStyle name="Comma 19 2 5" xfId="3145"/>
    <cellStyle name="Comma 19 2 5 2" xfId="8781"/>
    <cellStyle name="Comma 19 2 6" xfId="5971"/>
    <cellStyle name="Comma 19 3" xfId="507"/>
    <cellStyle name="Comma 19 3 2" xfId="1203"/>
    <cellStyle name="Comma 19 3 2 2" xfId="2604"/>
    <cellStyle name="Comma 19 3 2 2 2" xfId="5414"/>
    <cellStyle name="Comma 19 3 2 2 2 2" xfId="11050"/>
    <cellStyle name="Comma 19 3 2 2 3" xfId="8240"/>
    <cellStyle name="Comma 19 3 2 3" xfId="4013"/>
    <cellStyle name="Comma 19 3 2 3 2" xfId="9649"/>
    <cellStyle name="Comma 19 3 2 4" xfId="6839"/>
    <cellStyle name="Comma 19 3 3" xfId="1908"/>
    <cellStyle name="Comma 19 3 3 2" xfId="4718"/>
    <cellStyle name="Comma 19 3 3 2 2" xfId="10354"/>
    <cellStyle name="Comma 19 3 3 3" xfId="7544"/>
    <cellStyle name="Comma 19 3 4" xfId="3317"/>
    <cellStyle name="Comma 19 3 4 2" xfId="8953"/>
    <cellStyle name="Comma 19 3 5" xfId="6143"/>
    <cellStyle name="Comma 19 4" xfId="859"/>
    <cellStyle name="Comma 19 4 2" xfId="2260"/>
    <cellStyle name="Comma 19 4 2 2" xfId="5070"/>
    <cellStyle name="Comma 19 4 2 2 2" xfId="10706"/>
    <cellStyle name="Comma 19 4 2 3" xfId="7896"/>
    <cellStyle name="Comma 19 4 3" xfId="3669"/>
    <cellStyle name="Comma 19 4 3 2" xfId="9305"/>
    <cellStyle name="Comma 19 4 4" xfId="6495"/>
    <cellStyle name="Comma 19 5" xfId="1564"/>
    <cellStyle name="Comma 19 5 2" xfId="4374"/>
    <cellStyle name="Comma 19 5 2 2" xfId="10010"/>
    <cellStyle name="Comma 19 5 3" xfId="7200"/>
    <cellStyle name="Comma 19 6" xfId="2973"/>
    <cellStyle name="Comma 19 6 2" xfId="8609"/>
    <cellStyle name="Comma 19 7" xfId="5799"/>
    <cellStyle name="Comma 2" xfId="5"/>
    <cellStyle name="Comma 2 10" xfId="5641"/>
    <cellStyle name="Comma 2 2" xfId="17"/>
    <cellStyle name="Comma 2 2 2" xfId="49"/>
    <cellStyle name="Comma 2 2 2 2" xfId="129"/>
    <cellStyle name="Comma 2 2 2 2 2" xfId="301"/>
    <cellStyle name="Comma 2 2 2 2 2 2" xfId="645"/>
    <cellStyle name="Comma 2 2 2 2 2 2 2" xfId="1341"/>
    <cellStyle name="Comma 2 2 2 2 2 2 2 2" xfId="2742"/>
    <cellStyle name="Comma 2 2 2 2 2 2 2 2 2" xfId="5552"/>
    <cellStyle name="Comma 2 2 2 2 2 2 2 2 2 2" xfId="11188"/>
    <cellStyle name="Comma 2 2 2 2 2 2 2 2 3" xfId="8378"/>
    <cellStyle name="Comma 2 2 2 2 2 2 2 3" xfId="4151"/>
    <cellStyle name="Comma 2 2 2 2 2 2 2 3 2" xfId="9787"/>
    <cellStyle name="Comma 2 2 2 2 2 2 2 4" xfId="6977"/>
    <cellStyle name="Comma 2 2 2 2 2 2 3" xfId="2046"/>
    <cellStyle name="Comma 2 2 2 2 2 2 3 2" xfId="4856"/>
    <cellStyle name="Comma 2 2 2 2 2 2 3 2 2" xfId="10492"/>
    <cellStyle name="Comma 2 2 2 2 2 2 3 3" xfId="7682"/>
    <cellStyle name="Comma 2 2 2 2 2 2 4" xfId="3455"/>
    <cellStyle name="Comma 2 2 2 2 2 2 4 2" xfId="9091"/>
    <cellStyle name="Comma 2 2 2 2 2 2 5" xfId="6281"/>
    <cellStyle name="Comma 2 2 2 2 2 3" xfId="997"/>
    <cellStyle name="Comma 2 2 2 2 2 3 2" xfId="2398"/>
    <cellStyle name="Comma 2 2 2 2 2 3 2 2" xfId="5208"/>
    <cellStyle name="Comma 2 2 2 2 2 3 2 2 2" xfId="10844"/>
    <cellStyle name="Comma 2 2 2 2 2 3 2 3" xfId="8034"/>
    <cellStyle name="Comma 2 2 2 2 2 3 3" xfId="3807"/>
    <cellStyle name="Comma 2 2 2 2 2 3 3 2" xfId="9443"/>
    <cellStyle name="Comma 2 2 2 2 2 3 4" xfId="6633"/>
    <cellStyle name="Comma 2 2 2 2 2 4" xfId="1702"/>
    <cellStyle name="Comma 2 2 2 2 2 4 2" xfId="4512"/>
    <cellStyle name="Comma 2 2 2 2 2 4 2 2" xfId="10148"/>
    <cellStyle name="Comma 2 2 2 2 2 4 3" xfId="7338"/>
    <cellStyle name="Comma 2 2 2 2 2 5" xfId="3111"/>
    <cellStyle name="Comma 2 2 2 2 2 5 2" xfId="8747"/>
    <cellStyle name="Comma 2 2 2 2 2 6" xfId="5937"/>
    <cellStyle name="Comma 2 2 2 2 3" xfId="473"/>
    <cellStyle name="Comma 2 2 2 2 3 2" xfId="1169"/>
    <cellStyle name="Comma 2 2 2 2 3 2 2" xfId="2570"/>
    <cellStyle name="Comma 2 2 2 2 3 2 2 2" xfId="5380"/>
    <cellStyle name="Comma 2 2 2 2 3 2 2 2 2" xfId="11016"/>
    <cellStyle name="Comma 2 2 2 2 3 2 2 3" xfId="8206"/>
    <cellStyle name="Comma 2 2 2 2 3 2 3" xfId="3979"/>
    <cellStyle name="Comma 2 2 2 2 3 2 3 2" xfId="9615"/>
    <cellStyle name="Comma 2 2 2 2 3 2 4" xfId="6805"/>
    <cellStyle name="Comma 2 2 2 2 3 3" xfId="1874"/>
    <cellStyle name="Comma 2 2 2 2 3 3 2" xfId="4684"/>
    <cellStyle name="Comma 2 2 2 2 3 3 2 2" xfId="10320"/>
    <cellStyle name="Comma 2 2 2 2 3 3 3" xfId="7510"/>
    <cellStyle name="Comma 2 2 2 2 3 4" xfId="3283"/>
    <cellStyle name="Comma 2 2 2 2 3 4 2" xfId="8919"/>
    <cellStyle name="Comma 2 2 2 2 3 5" xfId="6109"/>
    <cellStyle name="Comma 2 2 2 2 4" xfId="825"/>
    <cellStyle name="Comma 2 2 2 2 4 2" xfId="2226"/>
    <cellStyle name="Comma 2 2 2 2 4 2 2" xfId="5036"/>
    <cellStyle name="Comma 2 2 2 2 4 2 2 2" xfId="10672"/>
    <cellStyle name="Comma 2 2 2 2 4 2 3" xfId="7862"/>
    <cellStyle name="Comma 2 2 2 2 4 3" xfId="3635"/>
    <cellStyle name="Comma 2 2 2 2 4 3 2" xfId="9271"/>
    <cellStyle name="Comma 2 2 2 2 4 4" xfId="6461"/>
    <cellStyle name="Comma 2 2 2 2 5" xfId="1530"/>
    <cellStyle name="Comma 2 2 2 2 5 2" xfId="4340"/>
    <cellStyle name="Comma 2 2 2 2 5 2 2" xfId="9976"/>
    <cellStyle name="Comma 2 2 2 2 5 3" xfId="7166"/>
    <cellStyle name="Comma 2 2 2 2 6" xfId="2939"/>
    <cellStyle name="Comma 2 2 2 2 6 2" xfId="8575"/>
    <cellStyle name="Comma 2 2 2 2 7" xfId="5765"/>
    <cellStyle name="Comma 2 2 2 3" xfId="221"/>
    <cellStyle name="Comma 2 2 2 3 2" xfId="565"/>
    <cellStyle name="Comma 2 2 2 3 2 2" xfId="1261"/>
    <cellStyle name="Comma 2 2 2 3 2 2 2" xfId="2662"/>
    <cellStyle name="Comma 2 2 2 3 2 2 2 2" xfId="5472"/>
    <cellStyle name="Comma 2 2 2 3 2 2 2 2 2" xfId="11108"/>
    <cellStyle name="Comma 2 2 2 3 2 2 2 3" xfId="8298"/>
    <cellStyle name="Comma 2 2 2 3 2 2 3" xfId="4071"/>
    <cellStyle name="Comma 2 2 2 3 2 2 3 2" xfId="9707"/>
    <cellStyle name="Comma 2 2 2 3 2 2 4" xfId="6897"/>
    <cellStyle name="Comma 2 2 2 3 2 3" xfId="1966"/>
    <cellStyle name="Comma 2 2 2 3 2 3 2" xfId="4776"/>
    <cellStyle name="Comma 2 2 2 3 2 3 2 2" xfId="10412"/>
    <cellStyle name="Comma 2 2 2 3 2 3 3" xfId="7602"/>
    <cellStyle name="Comma 2 2 2 3 2 4" xfId="3375"/>
    <cellStyle name="Comma 2 2 2 3 2 4 2" xfId="9011"/>
    <cellStyle name="Comma 2 2 2 3 2 5" xfId="6201"/>
    <cellStyle name="Comma 2 2 2 3 3" xfId="917"/>
    <cellStyle name="Comma 2 2 2 3 3 2" xfId="2318"/>
    <cellStyle name="Comma 2 2 2 3 3 2 2" xfId="5128"/>
    <cellStyle name="Comma 2 2 2 3 3 2 2 2" xfId="10764"/>
    <cellStyle name="Comma 2 2 2 3 3 2 3" xfId="7954"/>
    <cellStyle name="Comma 2 2 2 3 3 3" xfId="3727"/>
    <cellStyle name="Comma 2 2 2 3 3 3 2" xfId="9363"/>
    <cellStyle name="Comma 2 2 2 3 3 4" xfId="6553"/>
    <cellStyle name="Comma 2 2 2 3 4" xfId="1622"/>
    <cellStyle name="Comma 2 2 2 3 4 2" xfId="4432"/>
    <cellStyle name="Comma 2 2 2 3 4 2 2" xfId="10068"/>
    <cellStyle name="Comma 2 2 2 3 4 3" xfId="7258"/>
    <cellStyle name="Comma 2 2 2 3 5" xfId="3031"/>
    <cellStyle name="Comma 2 2 2 3 5 2" xfId="8667"/>
    <cellStyle name="Comma 2 2 2 3 6" xfId="5857"/>
    <cellStyle name="Comma 2 2 2 4" xfId="393"/>
    <cellStyle name="Comma 2 2 2 4 2" xfId="1089"/>
    <cellStyle name="Comma 2 2 2 4 2 2" xfId="2490"/>
    <cellStyle name="Comma 2 2 2 4 2 2 2" xfId="5300"/>
    <cellStyle name="Comma 2 2 2 4 2 2 2 2" xfId="10936"/>
    <cellStyle name="Comma 2 2 2 4 2 2 3" xfId="8126"/>
    <cellStyle name="Comma 2 2 2 4 2 3" xfId="3899"/>
    <cellStyle name="Comma 2 2 2 4 2 3 2" xfId="9535"/>
    <cellStyle name="Comma 2 2 2 4 2 4" xfId="6725"/>
    <cellStyle name="Comma 2 2 2 4 3" xfId="1794"/>
    <cellStyle name="Comma 2 2 2 4 3 2" xfId="4604"/>
    <cellStyle name="Comma 2 2 2 4 3 2 2" xfId="10240"/>
    <cellStyle name="Comma 2 2 2 4 3 3" xfId="7430"/>
    <cellStyle name="Comma 2 2 2 4 4" xfId="3203"/>
    <cellStyle name="Comma 2 2 2 4 4 2" xfId="8839"/>
    <cellStyle name="Comma 2 2 2 4 5" xfId="6029"/>
    <cellStyle name="Comma 2 2 2 5" xfId="745"/>
    <cellStyle name="Comma 2 2 2 5 2" xfId="2146"/>
    <cellStyle name="Comma 2 2 2 5 2 2" xfId="4956"/>
    <cellStyle name="Comma 2 2 2 5 2 2 2" xfId="10592"/>
    <cellStyle name="Comma 2 2 2 5 2 3" xfId="7782"/>
    <cellStyle name="Comma 2 2 2 5 3" xfId="3555"/>
    <cellStyle name="Comma 2 2 2 5 3 2" xfId="9191"/>
    <cellStyle name="Comma 2 2 2 5 4" xfId="6381"/>
    <cellStyle name="Comma 2 2 2 6" xfId="1450"/>
    <cellStyle name="Comma 2 2 2 6 2" xfId="4260"/>
    <cellStyle name="Comma 2 2 2 6 2 2" xfId="9896"/>
    <cellStyle name="Comma 2 2 2 6 3" xfId="7086"/>
    <cellStyle name="Comma 2 2 2 7" xfId="2859"/>
    <cellStyle name="Comma 2 2 2 7 2" xfId="8495"/>
    <cellStyle name="Comma 2 2 2 8" xfId="5685"/>
    <cellStyle name="Comma 2 2 3" xfId="97"/>
    <cellStyle name="Comma 2 2 3 2" xfId="269"/>
    <cellStyle name="Comma 2 2 3 2 2" xfId="613"/>
    <cellStyle name="Comma 2 2 3 2 2 2" xfId="1309"/>
    <cellStyle name="Comma 2 2 3 2 2 2 2" xfId="2710"/>
    <cellStyle name="Comma 2 2 3 2 2 2 2 2" xfId="5520"/>
    <cellStyle name="Comma 2 2 3 2 2 2 2 2 2" xfId="11156"/>
    <cellStyle name="Comma 2 2 3 2 2 2 2 3" xfId="8346"/>
    <cellStyle name="Comma 2 2 3 2 2 2 3" xfId="4119"/>
    <cellStyle name="Comma 2 2 3 2 2 2 3 2" xfId="9755"/>
    <cellStyle name="Comma 2 2 3 2 2 2 4" xfId="6945"/>
    <cellStyle name="Comma 2 2 3 2 2 3" xfId="2014"/>
    <cellStyle name="Comma 2 2 3 2 2 3 2" xfId="4824"/>
    <cellStyle name="Comma 2 2 3 2 2 3 2 2" xfId="10460"/>
    <cellStyle name="Comma 2 2 3 2 2 3 3" xfId="7650"/>
    <cellStyle name="Comma 2 2 3 2 2 4" xfId="3423"/>
    <cellStyle name="Comma 2 2 3 2 2 4 2" xfId="9059"/>
    <cellStyle name="Comma 2 2 3 2 2 5" xfId="6249"/>
    <cellStyle name="Comma 2 2 3 2 3" xfId="965"/>
    <cellStyle name="Comma 2 2 3 2 3 2" xfId="2366"/>
    <cellStyle name="Comma 2 2 3 2 3 2 2" xfId="5176"/>
    <cellStyle name="Comma 2 2 3 2 3 2 2 2" xfId="10812"/>
    <cellStyle name="Comma 2 2 3 2 3 2 3" xfId="8002"/>
    <cellStyle name="Comma 2 2 3 2 3 3" xfId="3775"/>
    <cellStyle name="Comma 2 2 3 2 3 3 2" xfId="9411"/>
    <cellStyle name="Comma 2 2 3 2 3 4" xfId="6601"/>
    <cellStyle name="Comma 2 2 3 2 4" xfId="1670"/>
    <cellStyle name="Comma 2 2 3 2 4 2" xfId="4480"/>
    <cellStyle name="Comma 2 2 3 2 4 2 2" xfId="10116"/>
    <cellStyle name="Comma 2 2 3 2 4 3" xfId="7306"/>
    <cellStyle name="Comma 2 2 3 2 5" xfId="3079"/>
    <cellStyle name="Comma 2 2 3 2 5 2" xfId="8715"/>
    <cellStyle name="Comma 2 2 3 2 6" xfId="5905"/>
    <cellStyle name="Comma 2 2 3 3" xfId="441"/>
    <cellStyle name="Comma 2 2 3 3 2" xfId="1137"/>
    <cellStyle name="Comma 2 2 3 3 2 2" xfId="2538"/>
    <cellStyle name="Comma 2 2 3 3 2 2 2" xfId="5348"/>
    <cellStyle name="Comma 2 2 3 3 2 2 2 2" xfId="10984"/>
    <cellStyle name="Comma 2 2 3 3 2 2 3" xfId="8174"/>
    <cellStyle name="Comma 2 2 3 3 2 3" xfId="3947"/>
    <cellStyle name="Comma 2 2 3 3 2 3 2" xfId="9583"/>
    <cellStyle name="Comma 2 2 3 3 2 4" xfId="6773"/>
    <cellStyle name="Comma 2 2 3 3 3" xfId="1842"/>
    <cellStyle name="Comma 2 2 3 3 3 2" xfId="4652"/>
    <cellStyle name="Comma 2 2 3 3 3 2 2" xfId="10288"/>
    <cellStyle name="Comma 2 2 3 3 3 3" xfId="7478"/>
    <cellStyle name="Comma 2 2 3 3 4" xfId="3251"/>
    <cellStyle name="Comma 2 2 3 3 4 2" xfId="8887"/>
    <cellStyle name="Comma 2 2 3 3 5" xfId="6077"/>
    <cellStyle name="Comma 2 2 3 4" xfId="793"/>
    <cellStyle name="Comma 2 2 3 4 2" xfId="2194"/>
    <cellStyle name="Comma 2 2 3 4 2 2" xfId="5004"/>
    <cellStyle name="Comma 2 2 3 4 2 2 2" xfId="10640"/>
    <cellStyle name="Comma 2 2 3 4 2 3" xfId="7830"/>
    <cellStyle name="Comma 2 2 3 4 3" xfId="3603"/>
    <cellStyle name="Comma 2 2 3 4 3 2" xfId="9239"/>
    <cellStyle name="Comma 2 2 3 4 4" xfId="6429"/>
    <cellStyle name="Comma 2 2 3 5" xfId="1498"/>
    <cellStyle name="Comma 2 2 3 5 2" xfId="4308"/>
    <cellStyle name="Comma 2 2 3 5 2 2" xfId="9944"/>
    <cellStyle name="Comma 2 2 3 5 3" xfId="7134"/>
    <cellStyle name="Comma 2 2 3 6" xfId="2907"/>
    <cellStyle name="Comma 2 2 3 6 2" xfId="8543"/>
    <cellStyle name="Comma 2 2 3 7" xfId="5733"/>
    <cellStyle name="Comma 2 2 4" xfId="189"/>
    <cellStyle name="Comma 2 2 4 2" xfId="533"/>
    <cellStyle name="Comma 2 2 4 2 2" xfId="1229"/>
    <cellStyle name="Comma 2 2 4 2 2 2" xfId="2630"/>
    <cellStyle name="Comma 2 2 4 2 2 2 2" xfId="5440"/>
    <cellStyle name="Comma 2 2 4 2 2 2 2 2" xfId="11076"/>
    <cellStyle name="Comma 2 2 4 2 2 2 3" xfId="8266"/>
    <cellStyle name="Comma 2 2 4 2 2 3" xfId="4039"/>
    <cellStyle name="Comma 2 2 4 2 2 3 2" xfId="9675"/>
    <cellStyle name="Comma 2 2 4 2 2 4" xfId="6865"/>
    <cellStyle name="Comma 2 2 4 2 3" xfId="1934"/>
    <cellStyle name="Comma 2 2 4 2 3 2" xfId="4744"/>
    <cellStyle name="Comma 2 2 4 2 3 2 2" xfId="10380"/>
    <cellStyle name="Comma 2 2 4 2 3 3" xfId="7570"/>
    <cellStyle name="Comma 2 2 4 2 4" xfId="3343"/>
    <cellStyle name="Comma 2 2 4 2 4 2" xfId="8979"/>
    <cellStyle name="Comma 2 2 4 2 5" xfId="6169"/>
    <cellStyle name="Comma 2 2 4 3" xfId="885"/>
    <cellStyle name="Comma 2 2 4 3 2" xfId="2286"/>
    <cellStyle name="Comma 2 2 4 3 2 2" xfId="5096"/>
    <cellStyle name="Comma 2 2 4 3 2 2 2" xfId="10732"/>
    <cellStyle name="Comma 2 2 4 3 2 3" xfId="7922"/>
    <cellStyle name="Comma 2 2 4 3 3" xfId="3695"/>
    <cellStyle name="Comma 2 2 4 3 3 2" xfId="9331"/>
    <cellStyle name="Comma 2 2 4 3 4" xfId="6521"/>
    <cellStyle name="Comma 2 2 4 4" xfId="1590"/>
    <cellStyle name="Comma 2 2 4 4 2" xfId="4400"/>
    <cellStyle name="Comma 2 2 4 4 2 2" xfId="10036"/>
    <cellStyle name="Comma 2 2 4 4 3" xfId="7226"/>
    <cellStyle name="Comma 2 2 4 5" xfId="2999"/>
    <cellStyle name="Comma 2 2 4 5 2" xfId="8635"/>
    <cellStyle name="Comma 2 2 4 6" xfId="5825"/>
    <cellStyle name="Comma 2 2 5" xfId="361"/>
    <cellStyle name="Comma 2 2 5 2" xfId="1057"/>
    <cellStyle name="Comma 2 2 5 2 2" xfId="2458"/>
    <cellStyle name="Comma 2 2 5 2 2 2" xfId="5268"/>
    <cellStyle name="Comma 2 2 5 2 2 2 2" xfId="10904"/>
    <cellStyle name="Comma 2 2 5 2 2 3" xfId="8094"/>
    <cellStyle name="Comma 2 2 5 2 3" xfId="3867"/>
    <cellStyle name="Comma 2 2 5 2 3 2" xfId="9503"/>
    <cellStyle name="Comma 2 2 5 2 4" xfId="6693"/>
    <cellStyle name="Comma 2 2 5 3" xfId="1762"/>
    <cellStyle name="Comma 2 2 5 3 2" xfId="4572"/>
    <cellStyle name="Comma 2 2 5 3 2 2" xfId="10208"/>
    <cellStyle name="Comma 2 2 5 3 3" xfId="7398"/>
    <cellStyle name="Comma 2 2 5 4" xfId="3171"/>
    <cellStyle name="Comma 2 2 5 4 2" xfId="8807"/>
    <cellStyle name="Comma 2 2 5 5" xfId="5997"/>
    <cellStyle name="Comma 2 2 6" xfId="713"/>
    <cellStyle name="Comma 2 2 6 2" xfId="2114"/>
    <cellStyle name="Comma 2 2 6 2 2" xfId="4924"/>
    <cellStyle name="Comma 2 2 6 2 2 2" xfId="10560"/>
    <cellStyle name="Comma 2 2 6 2 3" xfId="7750"/>
    <cellStyle name="Comma 2 2 6 3" xfId="3523"/>
    <cellStyle name="Comma 2 2 6 3 2" xfId="9159"/>
    <cellStyle name="Comma 2 2 6 4" xfId="6349"/>
    <cellStyle name="Comma 2 2 7" xfId="1418"/>
    <cellStyle name="Comma 2 2 7 2" xfId="4228"/>
    <cellStyle name="Comma 2 2 7 2 2" xfId="9864"/>
    <cellStyle name="Comma 2 2 7 3" xfId="7054"/>
    <cellStyle name="Comma 2 2 8" xfId="2827"/>
    <cellStyle name="Comma 2 2 8 2" xfId="8463"/>
    <cellStyle name="Comma 2 2 9" xfId="5653"/>
    <cellStyle name="Comma 2 3" xfId="37"/>
    <cellStyle name="Comma 2 3 2" xfId="117"/>
    <cellStyle name="Comma 2 3 2 2" xfId="289"/>
    <cellStyle name="Comma 2 3 2 2 2" xfId="633"/>
    <cellStyle name="Comma 2 3 2 2 2 2" xfId="1329"/>
    <cellStyle name="Comma 2 3 2 2 2 2 2" xfId="2730"/>
    <cellStyle name="Comma 2 3 2 2 2 2 2 2" xfId="5540"/>
    <cellStyle name="Comma 2 3 2 2 2 2 2 2 2" xfId="11176"/>
    <cellStyle name="Comma 2 3 2 2 2 2 2 3" xfId="8366"/>
    <cellStyle name="Comma 2 3 2 2 2 2 3" xfId="4139"/>
    <cellStyle name="Comma 2 3 2 2 2 2 3 2" xfId="9775"/>
    <cellStyle name="Comma 2 3 2 2 2 2 4" xfId="6965"/>
    <cellStyle name="Comma 2 3 2 2 2 3" xfId="2034"/>
    <cellStyle name="Comma 2 3 2 2 2 3 2" xfId="4844"/>
    <cellStyle name="Comma 2 3 2 2 2 3 2 2" xfId="10480"/>
    <cellStyle name="Comma 2 3 2 2 2 3 3" xfId="7670"/>
    <cellStyle name="Comma 2 3 2 2 2 4" xfId="3443"/>
    <cellStyle name="Comma 2 3 2 2 2 4 2" xfId="9079"/>
    <cellStyle name="Comma 2 3 2 2 2 5" xfId="6269"/>
    <cellStyle name="Comma 2 3 2 2 3" xfId="985"/>
    <cellStyle name="Comma 2 3 2 2 3 2" xfId="2386"/>
    <cellStyle name="Comma 2 3 2 2 3 2 2" xfId="5196"/>
    <cellStyle name="Comma 2 3 2 2 3 2 2 2" xfId="10832"/>
    <cellStyle name="Comma 2 3 2 2 3 2 3" xfId="8022"/>
    <cellStyle name="Comma 2 3 2 2 3 3" xfId="3795"/>
    <cellStyle name="Comma 2 3 2 2 3 3 2" xfId="9431"/>
    <cellStyle name="Comma 2 3 2 2 3 4" xfId="6621"/>
    <cellStyle name="Comma 2 3 2 2 4" xfId="1690"/>
    <cellStyle name="Comma 2 3 2 2 4 2" xfId="4500"/>
    <cellStyle name="Comma 2 3 2 2 4 2 2" xfId="10136"/>
    <cellStyle name="Comma 2 3 2 2 4 3" xfId="7326"/>
    <cellStyle name="Comma 2 3 2 2 5" xfId="3099"/>
    <cellStyle name="Comma 2 3 2 2 5 2" xfId="8735"/>
    <cellStyle name="Comma 2 3 2 2 6" xfId="5925"/>
    <cellStyle name="Comma 2 3 2 3" xfId="461"/>
    <cellStyle name="Comma 2 3 2 3 2" xfId="1157"/>
    <cellStyle name="Comma 2 3 2 3 2 2" xfId="2558"/>
    <cellStyle name="Comma 2 3 2 3 2 2 2" xfId="5368"/>
    <cellStyle name="Comma 2 3 2 3 2 2 2 2" xfId="11004"/>
    <cellStyle name="Comma 2 3 2 3 2 2 3" xfId="8194"/>
    <cellStyle name="Comma 2 3 2 3 2 3" xfId="3967"/>
    <cellStyle name="Comma 2 3 2 3 2 3 2" xfId="9603"/>
    <cellStyle name="Comma 2 3 2 3 2 4" xfId="6793"/>
    <cellStyle name="Comma 2 3 2 3 3" xfId="1862"/>
    <cellStyle name="Comma 2 3 2 3 3 2" xfId="4672"/>
    <cellStyle name="Comma 2 3 2 3 3 2 2" xfId="10308"/>
    <cellStyle name="Comma 2 3 2 3 3 3" xfId="7498"/>
    <cellStyle name="Comma 2 3 2 3 4" xfId="3271"/>
    <cellStyle name="Comma 2 3 2 3 4 2" xfId="8907"/>
    <cellStyle name="Comma 2 3 2 3 5" xfId="6097"/>
    <cellStyle name="Comma 2 3 2 4" xfId="813"/>
    <cellStyle name="Comma 2 3 2 4 2" xfId="2214"/>
    <cellStyle name="Comma 2 3 2 4 2 2" xfId="5024"/>
    <cellStyle name="Comma 2 3 2 4 2 2 2" xfId="10660"/>
    <cellStyle name="Comma 2 3 2 4 2 3" xfId="7850"/>
    <cellStyle name="Comma 2 3 2 4 3" xfId="3623"/>
    <cellStyle name="Comma 2 3 2 4 3 2" xfId="9259"/>
    <cellStyle name="Comma 2 3 2 4 4" xfId="6449"/>
    <cellStyle name="Comma 2 3 2 5" xfId="1518"/>
    <cellStyle name="Comma 2 3 2 5 2" xfId="4328"/>
    <cellStyle name="Comma 2 3 2 5 2 2" xfId="9964"/>
    <cellStyle name="Comma 2 3 2 5 3" xfId="7154"/>
    <cellStyle name="Comma 2 3 2 6" xfId="2927"/>
    <cellStyle name="Comma 2 3 2 6 2" xfId="8563"/>
    <cellStyle name="Comma 2 3 2 7" xfId="5753"/>
    <cellStyle name="Comma 2 3 3" xfId="209"/>
    <cellStyle name="Comma 2 3 3 2" xfId="553"/>
    <cellStyle name="Comma 2 3 3 2 2" xfId="1249"/>
    <cellStyle name="Comma 2 3 3 2 2 2" xfId="2650"/>
    <cellStyle name="Comma 2 3 3 2 2 2 2" xfId="5460"/>
    <cellStyle name="Comma 2 3 3 2 2 2 2 2" xfId="11096"/>
    <cellStyle name="Comma 2 3 3 2 2 2 3" xfId="8286"/>
    <cellStyle name="Comma 2 3 3 2 2 3" xfId="4059"/>
    <cellStyle name="Comma 2 3 3 2 2 3 2" xfId="9695"/>
    <cellStyle name="Comma 2 3 3 2 2 4" xfId="6885"/>
    <cellStyle name="Comma 2 3 3 2 3" xfId="1954"/>
    <cellStyle name="Comma 2 3 3 2 3 2" xfId="4764"/>
    <cellStyle name="Comma 2 3 3 2 3 2 2" xfId="10400"/>
    <cellStyle name="Comma 2 3 3 2 3 3" xfId="7590"/>
    <cellStyle name="Comma 2 3 3 2 4" xfId="3363"/>
    <cellStyle name="Comma 2 3 3 2 4 2" xfId="8999"/>
    <cellStyle name="Comma 2 3 3 2 5" xfId="6189"/>
    <cellStyle name="Comma 2 3 3 3" xfId="905"/>
    <cellStyle name="Comma 2 3 3 3 2" xfId="2306"/>
    <cellStyle name="Comma 2 3 3 3 2 2" xfId="5116"/>
    <cellStyle name="Comma 2 3 3 3 2 2 2" xfId="10752"/>
    <cellStyle name="Comma 2 3 3 3 2 3" xfId="7942"/>
    <cellStyle name="Comma 2 3 3 3 3" xfId="3715"/>
    <cellStyle name="Comma 2 3 3 3 3 2" xfId="9351"/>
    <cellStyle name="Comma 2 3 3 3 4" xfId="6541"/>
    <cellStyle name="Comma 2 3 3 4" xfId="1610"/>
    <cellStyle name="Comma 2 3 3 4 2" xfId="4420"/>
    <cellStyle name="Comma 2 3 3 4 2 2" xfId="10056"/>
    <cellStyle name="Comma 2 3 3 4 3" xfId="7246"/>
    <cellStyle name="Comma 2 3 3 5" xfId="3019"/>
    <cellStyle name="Comma 2 3 3 5 2" xfId="8655"/>
    <cellStyle name="Comma 2 3 3 6" xfId="5845"/>
    <cellStyle name="Comma 2 3 4" xfId="381"/>
    <cellStyle name="Comma 2 3 4 2" xfId="1077"/>
    <cellStyle name="Comma 2 3 4 2 2" xfId="2478"/>
    <cellStyle name="Comma 2 3 4 2 2 2" xfId="5288"/>
    <cellStyle name="Comma 2 3 4 2 2 2 2" xfId="10924"/>
    <cellStyle name="Comma 2 3 4 2 2 3" xfId="8114"/>
    <cellStyle name="Comma 2 3 4 2 3" xfId="3887"/>
    <cellStyle name="Comma 2 3 4 2 3 2" xfId="9523"/>
    <cellStyle name="Comma 2 3 4 2 4" xfId="6713"/>
    <cellStyle name="Comma 2 3 4 3" xfId="1782"/>
    <cellStyle name="Comma 2 3 4 3 2" xfId="4592"/>
    <cellStyle name="Comma 2 3 4 3 2 2" xfId="10228"/>
    <cellStyle name="Comma 2 3 4 3 3" xfId="7418"/>
    <cellStyle name="Comma 2 3 4 4" xfId="3191"/>
    <cellStyle name="Comma 2 3 4 4 2" xfId="8827"/>
    <cellStyle name="Comma 2 3 4 5" xfId="6017"/>
    <cellStyle name="Comma 2 3 5" xfId="733"/>
    <cellStyle name="Comma 2 3 5 2" xfId="2134"/>
    <cellStyle name="Comma 2 3 5 2 2" xfId="4944"/>
    <cellStyle name="Comma 2 3 5 2 2 2" xfId="10580"/>
    <cellStyle name="Comma 2 3 5 2 3" xfId="7770"/>
    <cellStyle name="Comma 2 3 5 3" xfId="3543"/>
    <cellStyle name="Comma 2 3 5 3 2" xfId="9179"/>
    <cellStyle name="Comma 2 3 5 4" xfId="6369"/>
    <cellStyle name="Comma 2 3 6" xfId="1438"/>
    <cellStyle name="Comma 2 3 6 2" xfId="4248"/>
    <cellStyle name="Comma 2 3 6 2 2" xfId="9884"/>
    <cellStyle name="Comma 2 3 6 3" xfId="7074"/>
    <cellStyle name="Comma 2 3 7" xfId="2847"/>
    <cellStyle name="Comma 2 3 7 2" xfId="8483"/>
    <cellStyle name="Comma 2 3 8" xfId="5673"/>
    <cellStyle name="Comma 2 4" xfId="85"/>
    <cellStyle name="Comma 2 4 2" xfId="257"/>
    <cellStyle name="Comma 2 4 2 2" xfId="601"/>
    <cellStyle name="Comma 2 4 2 2 2" xfId="1297"/>
    <cellStyle name="Comma 2 4 2 2 2 2" xfId="2698"/>
    <cellStyle name="Comma 2 4 2 2 2 2 2" xfId="5508"/>
    <cellStyle name="Comma 2 4 2 2 2 2 2 2" xfId="11144"/>
    <cellStyle name="Comma 2 4 2 2 2 2 3" xfId="8334"/>
    <cellStyle name="Comma 2 4 2 2 2 3" xfId="4107"/>
    <cellStyle name="Comma 2 4 2 2 2 3 2" xfId="9743"/>
    <cellStyle name="Comma 2 4 2 2 2 4" xfId="6933"/>
    <cellStyle name="Comma 2 4 2 2 3" xfId="2002"/>
    <cellStyle name="Comma 2 4 2 2 3 2" xfId="4812"/>
    <cellStyle name="Comma 2 4 2 2 3 2 2" xfId="10448"/>
    <cellStyle name="Comma 2 4 2 2 3 3" xfId="7638"/>
    <cellStyle name="Comma 2 4 2 2 4" xfId="3411"/>
    <cellStyle name="Comma 2 4 2 2 4 2" xfId="9047"/>
    <cellStyle name="Comma 2 4 2 2 5" xfId="6237"/>
    <cellStyle name="Comma 2 4 2 3" xfId="953"/>
    <cellStyle name="Comma 2 4 2 3 2" xfId="2354"/>
    <cellStyle name="Comma 2 4 2 3 2 2" xfId="5164"/>
    <cellStyle name="Comma 2 4 2 3 2 2 2" xfId="10800"/>
    <cellStyle name="Comma 2 4 2 3 2 3" xfId="7990"/>
    <cellStyle name="Comma 2 4 2 3 3" xfId="3763"/>
    <cellStyle name="Comma 2 4 2 3 3 2" xfId="9399"/>
    <cellStyle name="Comma 2 4 2 3 4" xfId="6589"/>
    <cellStyle name="Comma 2 4 2 4" xfId="1658"/>
    <cellStyle name="Comma 2 4 2 4 2" xfId="4468"/>
    <cellStyle name="Comma 2 4 2 4 2 2" xfId="10104"/>
    <cellStyle name="Comma 2 4 2 4 3" xfId="7294"/>
    <cellStyle name="Comma 2 4 2 5" xfId="3067"/>
    <cellStyle name="Comma 2 4 2 5 2" xfId="8703"/>
    <cellStyle name="Comma 2 4 2 6" xfId="5893"/>
    <cellStyle name="Comma 2 4 3" xfId="429"/>
    <cellStyle name="Comma 2 4 3 2" xfId="1125"/>
    <cellStyle name="Comma 2 4 3 2 2" xfId="2526"/>
    <cellStyle name="Comma 2 4 3 2 2 2" xfId="5336"/>
    <cellStyle name="Comma 2 4 3 2 2 2 2" xfId="10972"/>
    <cellStyle name="Comma 2 4 3 2 2 3" xfId="8162"/>
    <cellStyle name="Comma 2 4 3 2 3" xfId="3935"/>
    <cellStyle name="Comma 2 4 3 2 3 2" xfId="9571"/>
    <cellStyle name="Comma 2 4 3 2 4" xfId="6761"/>
    <cellStyle name="Comma 2 4 3 3" xfId="1830"/>
    <cellStyle name="Comma 2 4 3 3 2" xfId="4640"/>
    <cellStyle name="Comma 2 4 3 3 2 2" xfId="10276"/>
    <cellStyle name="Comma 2 4 3 3 3" xfId="7466"/>
    <cellStyle name="Comma 2 4 3 4" xfId="3239"/>
    <cellStyle name="Comma 2 4 3 4 2" xfId="8875"/>
    <cellStyle name="Comma 2 4 3 5" xfId="6065"/>
    <cellStyle name="Comma 2 4 4" xfId="781"/>
    <cellStyle name="Comma 2 4 4 2" xfId="2182"/>
    <cellStyle name="Comma 2 4 4 2 2" xfId="4992"/>
    <cellStyle name="Comma 2 4 4 2 2 2" xfId="10628"/>
    <cellStyle name="Comma 2 4 4 2 3" xfId="7818"/>
    <cellStyle name="Comma 2 4 4 3" xfId="3591"/>
    <cellStyle name="Comma 2 4 4 3 2" xfId="9227"/>
    <cellStyle name="Comma 2 4 4 4" xfId="6417"/>
    <cellStyle name="Comma 2 4 5" xfId="1486"/>
    <cellStyle name="Comma 2 4 5 2" xfId="4296"/>
    <cellStyle name="Comma 2 4 5 2 2" xfId="9932"/>
    <cellStyle name="Comma 2 4 5 3" xfId="7122"/>
    <cellStyle name="Comma 2 4 6" xfId="2895"/>
    <cellStyle name="Comma 2 4 6 2" xfId="8531"/>
    <cellStyle name="Comma 2 4 7" xfId="5721"/>
    <cellStyle name="Comma 2 5" xfId="177"/>
    <cellStyle name="Comma 2 5 2" xfId="521"/>
    <cellStyle name="Comma 2 5 2 2" xfId="1217"/>
    <cellStyle name="Comma 2 5 2 2 2" xfId="2618"/>
    <cellStyle name="Comma 2 5 2 2 2 2" xfId="5428"/>
    <cellStyle name="Comma 2 5 2 2 2 2 2" xfId="11064"/>
    <cellStyle name="Comma 2 5 2 2 2 3" xfId="8254"/>
    <cellStyle name="Comma 2 5 2 2 3" xfId="4027"/>
    <cellStyle name="Comma 2 5 2 2 3 2" xfId="9663"/>
    <cellStyle name="Comma 2 5 2 2 4" xfId="6853"/>
    <cellStyle name="Comma 2 5 2 3" xfId="1922"/>
    <cellStyle name="Comma 2 5 2 3 2" xfId="4732"/>
    <cellStyle name="Comma 2 5 2 3 2 2" xfId="10368"/>
    <cellStyle name="Comma 2 5 2 3 3" xfId="7558"/>
    <cellStyle name="Comma 2 5 2 4" xfId="3331"/>
    <cellStyle name="Comma 2 5 2 4 2" xfId="8967"/>
    <cellStyle name="Comma 2 5 2 5" xfId="6157"/>
    <cellStyle name="Comma 2 5 3" xfId="873"/>
    <cellStyle name="Comma 2 5 3 2" xfId="2274"/>
    <cellStyle name="Comma 2 5 3 2 2" xfId="5084"/>
    <cellStyle name="Comma 2 5 3 2 2 2" xfId="10720"/>
    <cellStyle name="Comma 2 5 3 2 3" xfId="7910"/>
    <cellStyle name="Comma 2 5 3 3" xfId="3683"/>
    <cellStyle name="Comma 2 5 3 3 2" xfId="9319"/>
    <cellStyle name="Comma 2 5 3 4" xfId="6509"/>
    <cellStyle name="Comma 2 5 4" xfId="1578"/>
    <cellStyle name="Comma 2 5 4 2" xfId="4388"/>
    <cellStyle name="Comma 2 5 4 2 2" xfId="10024"/>
    <cellStyle name="Comma 2 5 4 3" xfId="7214"/>
    <cellStyle name="Comma 2 5 5" xfId="2987"/>
    <cellStyle name="Comma 2 5 5 2" xfId="8623"/>
    <cellStyle name="Comma 2 5 6" xfId="5813"/>
    <cellStyle name="Comma 2 6" xfId="349"/>
    <cellStyle name="Comma 2 6 2" xfId="1045"/>
    <cellStyle name="Comma 2 6 2 2" xfId="2446"/>
    <cellStyle name="Comma 2 6 2 2 2" xfId="5256"/>
    <cellStyle name="Comma 2 6 2 2 2 2" xfId="10892"/>
    <cellStyle name="Comma 2 6 2 2 3" xfId="8082"/>
    <cellStyle name="Comma 2 6 2 3" xfId="3855"/>
    <cellStyle name="Comma 2 6 2 3 2" xfId="9491"/>
    <cellStyle name="Comma 2 6 2 4" xfId="6681"/>
    <cellStyle name="Comma 2 6 3" xfId="1750"/>
    <cellStyle name="Comma 2 6 3 2" xfId="4560"/>
    <cellStyle name="Comma 2 6 3 2 2" xfId="10196"/>
    <cellStyle name="Comma 2 6 3 3" xfId="7386"/>
    <cellStyle name="Comma 2 6 4" xfId="3159"/>
    <cellStyle name="Comma 2 6 4 2" xfId="8795"/>
    <cellStyle name="Comma 2 6 5" xfId="5985"/>
    <cellStyle name="Comma 2 7" xfId="701"/>
    <cellStyle name="Comma 2 7 2" xfId="2102"/>
    <cellStyle name="Comma 2 7 2 2" xfId="4912"/>
    <cellStyle name="Comma 2 7 2 2 2" xfId="10548"/>
    <cellStyle name="Comma 2 7 2 3" xfId="7738"/>
    <cellStyle name="Comma 2 7 3" xfId="3511"/>
    <cellStyle name="Comma 2 7 3 2" xfId="9147"/>
    <cellStyle name="Comma 2 7 4" xfId="6337"/>
    <cellStyle name="Comma 2 8" xfId="1406"/>
    <cellStyle name="Comma 2 8 2" xfId="4216"/>
    <cellStyle name="Comma 2 8 2 2" xfId="9852"/>
    <cellStyle name="Comma 2 8 3" xfId="7042"/>
    <cellStyle name="Comma 2 9" xfId="2815"/>
    <cellStyle name="Comma 2 9 2" xfId="8451"/>
    <cellStyle name="Comma 20" xfId="165"/>
    <cellStyle name="Comma 20 2" xfId="337"/>
    <cellStyle name="Comma 20 2 2" xfId="681"/>
    <cellStyle name="Comma 20 2 2 2" xfId="1377"/>
    <cellStyle name="Comma 20 2 2 2 2" xfId="2778"/>
    <cellStyle name="Comma 20 2 2 2 2 2" xfId="5588"/>
    <cellStyle name="Comma 20 2 2 2 2 2 2" xfId="11224"/>
    <cellStyle name="Comma 20 2 2 2 2 3" xfId="8414"/>
    <cellStyle name="Comma 20 2 2 2 3" xfId="4187"/>
    <cellStyle name="Comma 20 2 2 2 3 2" xfId="9823"/>
    <cellStyle name="Comma 20 2 2 2 4" xfId="7013"/>
    <cellStyle name="Comma 20 2 2 3" xfId="2082"/>
    <cellStyle name="Comma 20 2 2 3 2" xfId="4892"/>
    <cellStyle name="Comma 20 2 2 3 2 2" xfId="10528"/>
    <cellStyle name="Comma 20 2 2 3 3" xfId="7718"/>
    <cellStyle name="Comma 20 2 2 4" xfId="3491"/>
    <cellStyle name="Comma 20 2 2 4 2" xfId="9127"/>
    <cellStyle name="Comma 20 2 2 5" xfId="6317"/>
    <cellStyle name="Comma 20 2 3" xfId="1033"/>
    <cellStyle name="Comma 20 2 3 2" xfId="2434"/>
    <cellStyle name="Comma 20 2 3 2 2" xfId="5244"/>
    <cellStyle name="Comma 20 2 3 2 2 2" xfId="10880"/>
    <cellStyle name="Comma 20 2 3 2 3" xfId="8070"/>
    <cellStyle name="Comma 20 2 3 3" xfId="3843"/>
    <cellStyle name="Comma 20 2 3 3 2" xfId="9479"/>
    <cellStyle name="Comma 20 2 3 4" xfId="6669"/>
    <cellStyle name="Comma 20 2 4" xfId="1738"/>
    <cellStyle name="Comma 20 2 4 2" xfId="4548"/>
    <cellStyle name="Comma 20 2 4 2 2" xfId="10184"/>
    <cellStyle name="Comma 20 2 4 3" xfId="7374"/>
    <cellStyle name="Comma 20 2 5" xfId="3147"/>
    <cellStyle name="Comma 20 2 5 2" xfId="8783"/>
    <cellStyle name="Comma 20 2 6" xfId="5973"/>
    <cellStyle name="Comma 20 3" xfId="509"/>
    <cellStyle name="Comma 20 3 2" xfId="1205"/>
    <cellStyle name="Comma 20 3 2 2" xfId="2606"/>
    <cellStyle name="Comma 20 3 2 2 2" xfId="5416"/>
    <cellStyle name="Comma 20 3 2 2 2 2" xfId="11052"/>
    <cellStyle name="Comma 20 3 2 2 3" xfId="8242"/>
    <cellStyle name="Comma 20 3 2 3" xfId="4015"/>
    <cellStyle name="Comma 20 3 2 3 2" xfId="9651"/>
    <cellStyle name="Comma 20 3 2 4" xfId="6841"/>
    <cellStyle name="Comma 20 3 3" xfId="1910"/>
    <cellStyle name="Comma 20 3 3 2" xfId="4720"/>
    <cellStyle name="Comma 20 3 3 2 2" xfId="10356"/>
    <cellStyle name="Comma 20 3 3 3" xfId="7546"/>
    <cellStyle name="Comma 20 3 4" xfId="3319"/>
    <cellStyle name="Comma 20 3 4 2" xfId="8955"/>
    <cellStyle name="Comma 20 3 5" xfId="6145"/>
    <cellStyle name="Comma 20 4" xfId="861"/>
    <cellStyle name="Comma 20 4 2" xfId="2262"/>
    <cellStyle name="Comma 20 4 2 2" xfId="5072"/>
    <cellStyle name="Comma 20 4 2 2 2" xfId="10708"/>
    <cellStyle name="Comma 20 4 2 3" xfId="7898"/>
    <cellStyle name="Comma 20 4 3" xfId="3671"/>
    <cellStyle name="Comma 20 4 3 2" xfId="9307"/>
    <cellStyle name="Comma 20 4 4" xfId="6497"/>
    <cellStyle name="Comma 20 5" xfId="1566"/>
    <cellStyle name="Comma 20 5 2" xfId="4376"/>
    <cellStyle name="Comma 20 5 2 2" xfId="10012"/>
    <cellStyle name="Comma 20 5 3" xfId="7202"/>
    <cellStyle name="Comma 20 6" xfId="2975"/>
    <cellStyle name="Comma 20 6 2" xfId="8611"/>
    <cellStyle name="Comma 20 7" xfId="5801"/>
    <cellStyle name="Comma 21" xfId="167"/>
    <cellStyle name="Comma 21 2" xfId="339"/>
    <cellStyle name="Comma 21 2 2" xfId="683"/>
    <cellStyle name="Comma 21 2 2 2" xfId="1379"/>
    <cellStyle name="Comma 21 2 2 2 2" xfId="2780"/>
    <cellStyle name="Comma 21 2 2 2 2 2" xfId="5590"/>
    <cellStyle name="Comma 21 2 2 2 2 2 2" xfId="11226"/>
    <cellStyle name="Comma 21 2 2 2 2 3" xfId="8416"/>
    <cellStyle name="Comma 21 2 2 2 3" xfId="4189"/>
    <cellStyle name="Comma 21 2 2 2 3 2" xfId="9825"/>
    <cellStyle name="Comma 21 2 2 2 4" xfId="7015"/>
    <cellStyle name="Comma 21 2 2 3" xfId="2084"/>
    <cellStyle name="Comma 21 2 2 3 2" xfId="4894"/>
    <cellStyle name="Comma 21 2 2 3 2 2" xfId="10530"/>
    <cellStyle name="Comma 21 2 2 3 3" xfId="7720"/>
    <cellStyle name="Comma 21 2 2 4" xfId="3493"/>
    <cellStyle name="Comma 21 2 2 4 2" xfId="9129"/>
    <cellStyle name="Comma 21 2 2 5" xfId="6319"/>
    <cellStyle name="Comma 21 2 3" xfId="1035"/>
    <cellStyle name="Comma 21 2 3 2" xfId="2436"/>
    <cellStyle name="Comma 21 2 3 2 2" xfId="5246"/>
    <cellStyle name="Comma 21 2 3 2 2 2" xfId="10882"/>
    <cellStyle name="Comma 21 2 3 2 3" xfId="8072"/>
    <cellStyle name="Comma 21 2 3 3" xfId="3845"/>
    <cellStyle name="Comma 21 2 3 3 2" xfId="9481"/>
    <cellStyle name="Comma 21 2 3 4" xfId="6671"/>
    <cellStyle name="Comma 21 2 4" xfId="1740"/>
    <cellStyle name="Comma 21 2 4 2" xfId="4550"/>
    <cellStyle name="Comma 21 2 4 2 2" xfId="10186"/>
    <cellStyle name="Comma 21 2 4 3" xfId="7376"/>
    <cellStyle name="Comma 21 2 5" xfId="3149"/>
    <cellStyle name="Comma 21 2 5 2" xfId="8785"/>
    <cellStyle name="Comma 21 2 6" xfId="5975"/>
    <cellStyle name="Comma 21 3" xfId="511"/>
    <cellStyle name="Comma 21 3 2" xfId="1207"/>
    <cellStyle name="Comma 21 3 2 2" xfId="2608"/>
    <cellStyle name="Comma 21 3 2 2 2" xfId="5418"/>
    <cellStyle name="Comma 21 3 2 2 2 2" xfId="11054"/>
    <cellStyle name="Comma 21 3 2 2 3" xfId="8244"/>
    <cellStyle name="Comma 21 3 2 3" xfId="4017"/>
    <cellStyle name="Comma 21 3 2 3 2" xfId="9653"/>
    <cellStyle name="Comma 21 3 2 4" xfId="6843"/>
    <cellStyle name="Comma 21 3 3" xfId="1912"/>
    <cellStyle name="Comma 21 3 3 2" xfId="4722"/>
    <cellStyle name="Comma 21 3 3 2 2" xfId="10358"/>
    <cellStyle name="Comma 21 3 3 3" xfId="7548"/>
    <cellStyle name="Comma 21 3 4" xfId="3321"/>
    <cellStyle name="Comma 21 3 4 2" xfId="8957"/>
    <cellStyle name="Comma 21 3 5" xfId="6147"/>
    <cellStyle name="Comma 21 4" xfId="863"/>
    <cellStyle name="Comma 21 4 2" xfId="2264"/>
    <cellStyle name="Comma 21 4 2 2" xfId="5074"/>
    <cellStyle name="Comma 21 4 2 2 2" xfId="10710"/>
    <cellStyle name="Comma 21 4 2 3" xfId="7900"/>
    <cellStyle name="Comma 21 4 3" xfId="3673"/>
    <cellStyle name="Comma 21 4 3 2" xfId="9309"/>
    <cellStyle name="Comma 21 4 4" xfId="6499"/>
    <cellStyle name="Comma 21 5" xfId="1568"/>
    <cellStyle name="Comma 21 5 2" xfId="4378"/>
    <cellStyle name="Comma 21 5 2 2" xfId="10014"/>
    <cellStyle name="Comma 21 5 3" xfId="7204"/>
    <cellStyle name="Comma 21 6" xfId="2977"/>
    <cellStyle name="Comma 21 6 2" xfId="8613"/>
    <cellStyle name="Comma 21 7" xfId="5803"/>
    <cellStyle name="Comma 22" xfId="169"/>
    <cellStyle name="Comma 22 2" xfId="341"/>
    <cellStyle name="Comma 22 2 2" xfId="685"/>
    <cellStyle name="Comma 22 2 2 2" xfId="1381"/>
    <cellStyle name="Comma 22 2 2 2 2" xfId="2782"/>
    <cellStyle name="Comma 22 2 2 2 2 2" xfId="5592"/>
    <cellStyle name="Comma 22 2 2 2 2 2 2" xfId="11228"/>
    <cellStyle name="Comma 22 2 2 2 2 3" xfId="8418"/>
    <cellStyle name="Comma 22 2 2 2 3" xfId="4191"/>
    <cellStyle name="Comma 22 2 2 2 3 2" xfId="9827"/>
    <cellStyle name="Comma 22 2 2 2 4" xfId="7017"/>
    <cellStyle name="Comma 22 2 2 3" xfId="2086"/>
    <cellStyle name="Comma 22 2 2 3 2" xfId="4896"/>
    <cellStyle name="Comma 22 2 2 3 2 2" xfId="10532"/>
    <cellStyle name="Comma 22 2 2 3 3" xfId="7722"/>
    <cellStyle name="Comma 22 2 2 4" xfId="3495"/>
    <cellStyle name="Comma 22 2 2 4 2" xfId="9131"/>
    <cellStyle name="Comma 22 2 2 5" xfId="6321"/>
    <cellStyle name="Comma 22 2 3" xfId="1037"/>
    <cellStyle name="Comma 22 2 3 2" xfId="2438"/>
    <cellStyle name="Comma 22 2 3 2 2" xfId="5248"/>
    <cellStyle name="Comma 22 2 3 2 2 2" xfId="10884"/>
    <cellStyle name="Comma 22 2 3 2 3" xfId="8074"/>
    <cellStyle name="Comma 22 2 3 3" xfId="3847"/>
    <cellStyle name="Comma 22 2 3 3 2" xfId="9483"/>
    <cellStyle name="Comma 22 2 3 4" xfId="6673"/>
    <cellStyle name="Comma 22 2 4" xfId="1742"/>
    <cellStyle name="Comma 22 2 4 2" xfId="4552"/>
    <cellStyle name="Comma 22 2 4 2 2" xfId="10188"/>
    <cellStyle name="Comma 22 2 4 3" xfId="7378"/>
    <cellStyle name="Comma 22 2 5" xfId="3151"/>
    <cellStyle name="Comma 22 2 5 2" xfId="8787"/>
    <cellStyle name="Comma 22 2 6" xfId="5977"/>
    <cellStyle name="Comma 22 3" xfId="513"/>
    <cellStyle name="Comma 22 3 2" xfId="1209"/>
    <cellStyle name="Comma 22 3 2 2" xfId="2610"/>
    <cellStyle name="Comma 22 3 2 2 2" xfId="5420"/>
    <cellStyle name="Comma 22 3 2 2 2 2" xfId="11056"/>
    <cellStyle name="Comma 22 3 2 2 3" xfId="8246"/>
    <cellStyle name="Comma 22 3 2 3" xfId="4019"/>
    <cellStyle name="Comma 22 3 2 3 2" xfId="9655"/>
    <cellStyle name="Comma 22 3 2 4" xfId="6845"/>
    <cellStyle name="Comma 22 3 3" xfId="1914"/>
    <cellStyle name="Comma 22 3 3 2" xfId="4724"/>
    <cellStyle name="Comma 22 3 3 2 2" xfId="10360"/>
    <cellStyle name="Comma 22 3 3 3" xfId="7550"/>
    <cellStyle name="Comma 22 3 4" xfId="3323"/>
    <cellStyle name="Comma 22 3 4 2" xfId="8959"/>
    <cellStyle name="Comma 22 3 5" xfId="6149"/>
    <cellStyle name="Comma 22 4" xfId="865"/>
    <cellStyle name="Comma 22 4 2" xfId="2266"/>
    <cellStyle name="Comma 22 4 2 2" xfId="5076"/>
    <cellStyle name="Comma 22 4 2 2 2" xfId="10712"/>
    <cellStyle name="Comma 22 4 2 3" xfId="7902"/>
    <cellStyle name="Comma 22 4 3" xfId="3675"/>
    <cellStyle name="Comma 22 4 3 2" xfId="9311"/>
    <cellStyle name="Comma 22 4 4" xfId="6501"/>
    <cellStyle name="Comma 22 5" xfId="1570"/>
    <cellStyle name="Comma 22 5 2" xfId="4380"/>
    <cellStyle name="Comma 22 5 2 2" xfId="10016"/>
    <cellStyle name="Comma 22 5 3" xfId="7206"/>
    <cellStyle name="Comma 22 6" xfId="2979"/>
    <cellStyle name="Comma 22 6 2" xfId="8615"/>
    <cellStyle name="Comma 22 7" xfId="5805"/>
    <cellStyle name="Comma 23" xfId="171"/>
    <cellStyle name="Comma 23 2" xfId="343"/>
    <cellStyle name="Comma 23 2 2" xfId="687"/>
    <cellStyle name="Comma 23 2 2 2" xfId="1383"/>
    <cellStyle name="Comma 23 2 2 2 2" xfId="2784"/>
    <cellStyle name="Comma 23 2 2 2 2 2" xfId="5594"/>
    <cellStyle name="Comma 23 2 2 2 2 2 2" xfId="11230"/>
    <cellStyle name="Comma 23 2 2 2 2 3" xfId="8420"/>
    <cellStyle name="Comma 23 2 2 2 3" xfId="4193"/>
    <cellStyle name="Comma 23 2 2 2 3 2" xfId="9829"/>
    <cellStyle name="Comma 23 2 2 2 4" xfId="7019"/>
    <cellStyle name="Comma 23 2 2 3" xfId="2088"/>
    <cellStyle name="Comma 23 2 2 3 2" xfId="4898"/>
    <cellStyle name="Comma 23 2 2 3 2 2" xfId="10534"/>
    <cellStyle name="Comma 23 2 2 3 3" xfId="7724"/>
    <cellStyle name="Comma 23 2 2 4" xfId="3497"/>
    <cellStyle name="Comma 23 2 2 4 2" xfId="9133"/>
    <cellStyle name="Comma 23 2 2 5" xfId="6323"/>
    <cellStyle name="Comma 23 2 3" xfId="1039"/>
    <cellStyle name="Comma 23 2 3 2" xfId="2440"/>
    <cellStyle name="Comma 23 2 3 2 2" xfId="5250"/>
    <cellStyle name="Comma 23 2 3 2 2 2" xfId="10886"/>
    <cellStyle name="Comma 23 2 3 2 3" xfId="8076"/>
    <cellStyle name="Comma 23 2 3 3" xfId="3849"/>
    <cellStyle name="Comma 23 2 3 3 2" xfId="9485"/>
    <cellStyle name="Comma 23 2 3 4" xfId="6675"/>
    <cellStyle name="Comma 23 2 4" xfId="1744"/>
    <cellStyle name="Comma 23 2 4 2" xfId="4554"/>
    <cellStyle name="Comma 23 2 4 2 2" xfId="10190"/>
    <cellStyle name="Comma 23 2 4 3" xfId="7380"/>
    <cellStyle name="Comma 23 2 5" xfId="3153"/>
    <cellStyle name="Comma 23 2 5 2" xfId="8789"/>
    <cellStyle name="Comma 23 2 6" xfId="5979"/>
    <cellStyle name="Comma 23 3" xfId="515"/>
    <cellStyle name="Comma 23 3 2" xfId="1211"/>
    <cellStyle name="Comma 23 3 2 2" xfId="2612"/>
    <cellStyle name="Comma 23 3 2 2 2" xfId="5422"/>
    <cellStyle name="Comma 23 3 2 2 2 2" xfId="11058"/>
    <cellStyle name="Comma 23 3 2 2 3" xfId="8248"/>
    <cellStyle name="Comma 23 3 2 3" xfId="4021"/>
    <cellStyle name="Comma 23 3 2 3 2" xfId="9657"/>
    <cellStyle name="Comma 23 3 2 4" xfId="6847"/>
    <cellStyle name="Comma 23 3 3" xfId="1916"/>
    <cellStyle name="Comma 23 3 3 2" xfId="4726"/>
    <cellStyle name="Comma 23 3 3 2 2" xfId="10362"/>
    <cellStyle name="Comma 23 3 3 3" xfId="7552"/>
    <cellStyle name="Comma 23 3 4" xfId="3325"/>
    <cellStyle name="Comma 23 3 4 2" xfId="8961"/>
    <cellStyle name="Comma 23 3 5" xfId="6151"/>
    <cellStyle name="Comma 23 4" xfId="867"/>
    <cellStyle name="Comma 23 4 2" xfId="2268"/>
    <cellStyle name="Comma 23 4 2 2" xfId="5078"/>
    <cellStyle name="Comma 23 4 2 2 2" xfId="10714"/>
    <cellStyle name="Comma 23 4 2 3" xfId="7904"/>
    <cellStyle name="Comma 23 4 3" xfId="3677"/>
    <cellStyle name="Comma 23 4 3 2" xfId="9313"/>
    <cellStyle name="Comma 23 4 4" xfId="6503"/>
    <cellStyle name="Comma 23 5" xfId="1572"/>
    <cellStyle name="Comma 23 5 2" xfId="4382"/>
    <cellStyle name="Comma 23 5 2 2" xfId="10018"/>
    <cellStyle name="Comma 23 5 3" xfId="7208"/>
    <cellStyle name="Comma 23 6" xfId="2981"/>
    <cellStyle name="Comma 23 6 2" xfId="8617"/>
    <cellStyle name="Comma 23 7" xfId="5807"/>
    <cellStyle name="Comma 24" xfId="173"/>
    <cellStyle name="Comma 24 2" xfId="517"/>
    <cellStyle name="Comma 24 2 2" xfId="1213"/>
    <cellStyle name="Comma 24 2 2 2" xfId="2614"/>
    <cellStyle name="Comma 24 2 2 2 2" xfId="5424"/>
    <cellStyle name="Comma 24 2 2 2 2 2" xfId="11060"/>
    <cellStyle name="Comma 24 2 2 2 3" xfId="8250"/>
    <cellStyle name="Comma 24 2 2 3" xfId="4023"/>
    <cellStyle name="Comma 24 2 2 3 2" xfId="9659"/>
    <cellStyle name="Comma 24 2 2 4" xfId="6849"/>
    <cellStyle name="Comma 24 2 3" xfId="1918"/>
    <cellStyle name="Comma 24 2 3 2" xfId="4728"/>
    <cellStyle name="Comma 24 2 3 2 2" xfId="10364"/>
    <cellStyle name="Comma 24 2 3 3" xfId="7554"/>
    <cellStyle name="Comma 24 2 4" xfId="3327"/>
    <cellStyle name="Comma 24 2 4 2" xfId="8963"/>
    <cellStyle name="Comma 24 2 5" xfId="6153"/>
    <cellStyle name="Comma 24 3" xfId="869"/>
    <cellStyle name="Comma 24 3 2" xfId="2270"/>
    <cellStyle name="Comma 24 3 2 2" xfId="5080"/>
    <cellStyle name="Comma 24 3 2 2 2" xfId="10716"/>
    <cellStyle name="Comma 24 3 2 3" xfId="7906"/>
    <cellStyle name="Comma 24 3 3" xfId="3679"/>
    <cellStyle name="Comma 24 3 3 2" xfId="9315"/>
    <cellStyle name="Comma 24 3 4" xfId="6505"/>
    <cellStyle name="Comma 24 4" xfId="1574"/>
    <cellStyle name="Comma 24 4 2" xfId="4384"/>
    <cellStyle name="Comma 24 4 2 2" xfId="10020"/>
    <cellStyle name="Comma 24 4 3" xfId="7210"/>
    <cellStyle name="Comma 24 5" xfId="2983"/>
    <cellStyle name="Comma 24 5 2" xfId="8619"/>
    <cellStyle name="Comma 24 6" xfId="5809"/>
    <cellStyle name="Comma 25" xfId="345"/>
    <cellStyle name="Comma 25 2" xfId="1041"/>
    <cellStyle name="Comma 25 2 2" xfId="2442"/>
    <cellStyle name="Comma 25 2 2 2" xfId="5252"/>
    <cellStyle name="Comma 25 2 2 2 2" xfId="10888"/>
    <cellStyle name="Comma 25 2 2 3" xfId="8078"/>
    <cellStyle name="Comma 25 2 3" xfId="3851"/>
    <cellStyle name="Comma 25 2 3 2" xfId="9487"/>
    <cellStyle name="Comma 25 2 4" xfId="6677"/>
    <cellStyle name="Comma 25 3" xfId="1746"/>
    <cellStyle name="Comma 25 3 2" xfId="4556"/>
    <cellStyle name="Comma 25 3 2 2" xfId="10192"/>
    <cellStyle name="Comma 25 3 3" xfId="7382"/>
    <cellStyle name="Comma 25 4" xfId="3155"/>
    <cellStyle name="Comma 25 4 2" xfId="8791"/>
    <cellStyle name="Comma 25 5" xfId="5981"/>
    <cellStyle name="Comma 26" xfId="689"/>
    <cellStyle name="Comma 26 2" xfId="1385"/>
    <cellStyle name="Comma 26 2 2" xfId="2786"/>
    <cellStyle name="Comma 26 2 2 2" xfId="5596"/>
    <cellStyle name="Comma 26 2 2 2 2" xfId="11232"/>
    <cellStyle name="Comma 26 2 2 3" xfId="8422"/>
    <cellStyle name="Comma 26 2 3" xfId="4195"/>
    <cellStyle name="Comma 26 2 3 2" xfId="9831"/>
    <cellStyle name="Comma 26 2 4" xfId="7021"/>
    <cellStyle name="Comma 26 3" xfId="2090"/>
    <cellStyle name="Comma 26 3 2" xfId="4900"/>
    <cellStyle name="Comma 26 3 2 2" xfId="10536"/>
    <cellStyle name="Comma 26 3 3" xfId="7726"/>
    <cellStyle name="Comma 26 4" xfId="3499"/>
    <cellStyle name="Comma 26 4 2" xfId="9135"/>
    <cellStyle name="Comma 26 5" xfId="6325"/>
    <cellStyle name="Comma 27" xfId="691"/>
    <cellStyle name="Comma 27 2" xfId="1387"/>
    <cellStyle name="Comma 27 2 2" xfId="2788"/>
    <cellStyle name="Comma 27 2 2 2" xfId="5598"/>
    <cellStyle name="Comma 27 2 2 2 2" xfId="11234"/>
    <cellStyle name="Comma 27 2 2 3" xfId="8424"/>
    <cellStyle name="Comma 27 2 3" xfId="4197"/>
    <cellStyle name="Comma 27 2 3 2" xfId="9833"/>
    <cellStyle name="Comma 27 2 4" xfId="7023"/>
    <cellStyle name="Comma 27 3" xfId="2092"/>
    <cellStyle name="Comma 27 3 2" xfId="4902"/>
    <cellStyle name="Comma 27 3 2 2" xfId="10538"/>
    <cellStyle name="Comma 27 3 3" xfId="7728"/>
    <cellStyle name="Comma 27 4" xfId="3501"/>
    <cellStyle name="Comma 27 4 2" xfId="9137"/>
    <cellStyle name="Comma 27 5" xfId="6327"/>
    <cellStyle name="Comma 28" xfId="693"/>
    <cellStyle name="Comma 28 2" xfId="1389"/>
    <cellStyle name="Comma 28 2 2" xfId="2790"/>
    <cellStyle name="Comma 28 2 2 2" xfId="5600"/>
    <cellStyle name="Comma 28 2 2 2 2" xfId="11236"/>
    <cellStyle name="Comma 28 2 2 3" xfId="8426"/>
    <cellStyle name="Comma 28 2 3" xfId="4199"/>
    <cellStyle name="Comma 28 2 3 2" xfId="9835"/>
    <cellStyle name="Comma 28 2 4" xfId="7025"/>
    <cellStyle name="Comma 28 3" xfId="2094"/>
    <cellStyle name="Comma 28 3 2" xfId="4904"/>
    <cellStyle name="Comma 28 3 2 2" xfId="10540"/>
    <cellStyle name="Comma 28 3 3" xfId="7730"/>
    <cellStyle name="Comma 28 4" xfId="3503"/>
    <cellStyle name="Comma 28 4 2" xfId="9139"/>
    <cellStyle name="Comma 28 5" xfId="6329"/>
    <cellStyle name="Comma 29" xfId="695"/>
    <cellStyle name="Comma 29 2" xfId="1391"/>
    <cellStyle name="Comma 29 2 2" xfId="2792"/>
    <cellStyle name="Comma 29 2 2 2" xfId="5602"/>
    <cellStyle name="Comma 29 2 2 2 2" xfId="11238"/>
    <cellStyle name="Comma 29 2 2 3" xfId="8428"/>
    <cellStyle name="Comma 29 2 3" xfId="4201"/>
    <cellStyle name="Comma 29 2 3 2" xfId="9837"/>
    <cellStyle name="Comma 29 2 4" xfId="7027"/>
    <cellStyle name="Comma 29 3" xfId="2096"/>
    <cellStyle name="Comma 29 3 2" xfId="4906"/>
    <cellStyle name="Comma 29 3 2 2" xfId="10542"/>
    <cellStyle name="Comma 29 3 3" xfId="7732"/>
    <cellStyle name="Comma 29 4" xfId="3505"/>
    <cellStyle name="Comma 29 4 2" xfId="9141"/>
    <cellStyle name="Comma 29 5" xfId="6331"/>
    <cellStyle name="Comma 3" xfId="7"/>
    <cellStyle name="Comma 3 10" xfId="5643"/>
    <cellStyle name="Comma 3 2" xfId="19"/>
    <cellStyle name="Comma 3 2 2" xfId="51"/>
    <cellStyle name="Comma 3 2 2 2" xfId="131"/>
    <cellStyle name="Comma 3 2 2 2 2" xfId="303"/>
    <cellStyle name="Comma 3 2 2 2 2 2" xfId="647"/>
    <cellStyle name="Comma 3 2 2 2 2 2 2" xfId="1343"/>
    <cellStyle name="Comma 3 2 2 2 2 2 2 2" xfId="2744"/>
    <cellStyle name="Comma 3 2 2 2 2 2 2 2 2" xfId="5554"/>
    <cellStyle name="Comma 3 2 2 2 2 2 2 2 2 2" xfId="11190"/>
    <cellStyle name="Comma 3 2 2 2 2 2 2 2 3" xfId="8380"/>
    <cellStyle name="Comma 3 2 2 2 2 2 2 3" xfId="4153"/>
    <cellStyle name="Comma 3 2 2 2 2 2 2 3 2" xfId="9789"/>
    <cellStyle name="Comma 3 2 2 2 2 2 2 4" xfId="6979"/>
    <cellStyle name="Comma 3 2 2 2 2 2 3" xfId="2048"/>
    <cellStyle name="Comma 3 2 2 2 2 2 3 2" xfId="4858"/>
    <cellStyle name="Comma 3 2 2 2 2 2 3 2 2" xfId="10494"/>
    <cellStyle name="Comma 3 2 2 2 2 2 3 3" xfId="7684"/>
    <cellStyle name="Comma 3 2 2 2 2 2 4" xfId="3457"/>
    <cellStyle name="Comma 3 2 2 2 2 2 4 2" xfId="9093"/>
    <cellStyle name="Comma 3 2 2 2 2 2 5" xfId="6283"/>
    <cellStyle name="Comma 3 2 2 2 2 3" xfId="999"/>
    <cellStyle name="Comma 3 2 2 2 2 3 2" xfId="2400"/>
    <cellStyle name="Comma 3 2 2 2 2 3 2 2" xfId="5210"/>
    <cellStyle name="Comma 3 2 2 2 2 3 2 2 2" xfId="10846"/>
    <cellStyle name="Comma 3 2 2 2 2 3 2 3" xfId="8036"/>
    <cellStyle name="Comma 3 2 2 2 2 3 3" xfId="3809"/>
    <cellStyle name="Comma 3 2 2 2 2 3 3 2" xfId="9445"/>
    <cellStyle name="Comma 3 2 2 2 2 3 4" xfId="6635"/>
    <cellStyle name="Comma 3 2 2 2 2 4" xfId="1704"/>
    <cellStyle name="Comma 3 2 2 2 2 4 2" xfId="4514"/>
    <cellStyle name="Comma 3 2 2 2 2 4 2 2" xfId="10150"/>
    <cellStyle name="Comma 3 2 2 2 2 4 3" xfId="7340"/>
    <cellStyle name="Comma 3 2 2 2 2 5" xfId="3113"/>
    <cellStyle name="Comma 3 2 2 2 2 5 2" xfId="8749"/>
    <cellStyle name="Comma 3 2 2 2 2 6" xfId="5939"/>
    <cellStyle name="Comma 3 2 2 2 3" xfId="475"/>
    <cellStyle name="Comma 3 2 2 2 3 2" xfId="1171"/>
    <cellStyle name="Comma 3 2 2 2 3 2 2" xfId="2572"/>
    <cellStyle name="Comma 3 2 2 2 3 2 2 2" xfId="5382"/>
    <cellStyle name="Comma 3 2 2 2 3 2 2 2 2" xfId="11018"/>
    <cellStyle name="Comma 3 2 2 2 3 2 2 3" xfId="8208"/>
    <cellStyle name="Comma 3 2 2 2 3 2 3" xfId="3981"/>
    <cellStyle name="Comma 3 2 2 2 3 2 3 2" xfId="9617"/>
    <cellStyle name="Comma 3 2 2 2 3 2 4" xfId="6807"/>
    <cellStyle name="Comma 3 2 2 2 3 3" xfId="1876"/>
    <cellStyle name="Comma 3 2 2 2 3 3 2" xfId="4686"/>
    <cellStyle name="Comma 3 2 2 2 3 3 2 2" xfId="10322"/>
    <cellStyle name="Comma 3 2 2 2 3 3 3" xfId="7512"/>
    <cellStyle name="Comma 3 2 2 2 3 4" xfId="3285"/>
    <cellStyle name="Comma 3 2 2 2 3 4 2" xfId="8921"/>
    <cellStyle name="Comma 3 2 2 2 3 5" xfId="6111"/>
    <cellStyle name="Comma 3 2 2 2 4" xfId="827"/>
    <cellStyle name="Comma 3 2 2 2 4 2" xfId="2228"/>
    <cellStyle name="Comma 3 2 2 2 4 2 2" xfId="5038"/>
    <cellStyle name="Comma 3 2 2 2 4 2 2 2" xfId="10674"/>
    <cellStyle name="Comma 3 2 2 2 4 2 3" xfId="7864"/>
    <cellStyle name="Comma 3 2 2 2 4 3" xfId="3637"/>
    <cellStyle name="Comma 3 2 2 2 4 3 2" xfId="9273"/>
    <cellStyle name="Comma 3 2 2 2 4 4" xfId="6463"/>
    <cellStyle name="Comma 3 2 2 2 5" xfId="1532"/>
    <cellStyle name="Comma 3 2 2 2 5 2" xfId="4342"/>
    <cellStyle name="Comma 3 2 2 2 5 2 2" xfId="9978"/>
    <cellStyle name="Comma 3 2 2 2 5 3" xfId="7168"/>
    <cellStyle name="Comma 3 2 2 2 6" xfId="2941"/>
    <cellStyle name="Comma 3 2 2 2 6 2" xfId="8577"/>
    <cellStyle name="Comma 3 2 2 2 7" xfId="5767"/>
    <cellStyle name="Comma 3 2 2 3" xfId="223"/>
    <cellStyle name="Comma 3 2 2 3 2" xfId="567"/>
    <cellStyle name="Comma 3 2 2 3 2 2" xfId="1263"/>
    <cellStyle name="Comma 3 2 2 3 2 2 2" xfId="2664"/>
    <cellStyle name="Comma 3 2 2 3 2 2 2 2" xfId="5474"/>
    <cellStyle name="Comma 3 2 2 3 2 2 2 2 2" xfId="11110"/>
    <cellStyle name="Comma 3 2 2 3 2 2 2 3" xfId="8300"/>
    <cellStyle name="Comma 3 2 2 3 2 2 3" xfId="4073"/>
    <cellStyle name="Comma 3 2 2 3 2 2 3 2" xfId="9709"/>
    <cellStyle name="Comma 3 2 2 3 2 2 4" xfId="6899"/>
    <cellStyle name="Comma 3 2 2 3 2 3" xfId="1968"/>
    <cellStyle name="Comma 3 2 2 3 2 3 2" xfId="4778"/>
    <cellStyle name="Comma 3 2 2 3 2 3 2 2" xfId="10414"/>
    <cellStyle name="Comma 3 2 2 3 2 3 3" xfId="7604"/>
    <cellStyle name="Comma 3 2 2 3 2 4" xfId="3377"/>
    <cellStyle name="Comma 3 2 2 3 2 4 2" xfId="9013"/>
    <cellStyle name="Comma 3 2 2 3 2 5" xfId="6203"/>
    <cellStyle name="Comma 3 2 2 3 3" xfId="919"/>
    <cellStyle name="Comma 3 2 2 3 3 2" xfId="2320"/>
    <cellStyle name="Comma 3 2 2 3 3 2 2" xfId="5130"/>
    <cellStyle name="Comma 3 2 2 3 3 2 2 2" xfId="10766"/>
    <cellStyle name="Comma 3 2 2 3 3 2 3" xfId="7956"/>
    <cellStyle name="Comma 3 2 2 3 3 3" xfId="3729"/>
    <cellStyle name="Comma 3 2 2 3 3 3 2" xfId="9365"/>
    <cellStyle name="Comma 3 2 2 3 3 4" xfId="6555"/>
    <cellStyle name="Comma 3 2 2 3 4" xfId="1624"/>
    <cellStyle name="Comma 3 2 2 3 4 2" xfId="4434"/>
    <cellStyle name="Comma 3 2 2 3 4 2 2" xfId="10070"/>
    <cellStyle name="Comma 3 2 2 3 4 3" xfId="7260"/>
    <cellStyle name="Comma 3 2 2 3 5" xfId="3033"/>
    <cellStyle name="Comma 3 2 2 3 5 2" xfId="8669"/>
    <cellStyle name="Comma 3 2 2 3 6" xfId="5859"/>
    <cellStyle name="Comma 3 2 2 4" xfId="395"/>
    <cellStyle name="Comma 3 2 2 4 2" xfId="1091"/>
    <cellStyle name="Comma 3 2 2 4 2 2" xfId="2492"/>
    <cellStyle name="Comma 3 2 2 4 2 2 2" xfId="5302"/>
    <cellStyle name="Comma 3 2 2 4 2 2 2 2" xfId="10938"/>
    <cellStyle name="Comma 3 2 2 4 2 2 3" xfId="8128"/>
    <cellStyle name="Comma 3 2 2 4 2 3" xfId="3901"/>
    <cellStyle name="Comma 3 2 2 4 2 3 2" xfId="9537"/>
    <cellStyle name="Comma 3 2 2 4 2 4" xfId="6727"/>
    <cellStyle name="Comma 3 2 2 4 3" xfId="1796"/>
    <cellStyle name="Comma 3 2 2 4 3 2" xfId="4606"/>
    <cellStyle name="Comma 3 2 2 4 3 2 2" xfId="10242"/>
    <cellStyle name="Comma 3 2 2 4 3 3" xfId="7432"/>
    <cellStyle name="Comma 3 2 2 4 4" xfId="3205"/>
    <cellStyle name="Comma 3 2 2 4 4 2" xfId="8841"/>
    <cellStyle name="Comma 3 2 2 4 5" xfId="6031"/>
    <cellStyle name="Comma 3 2 2 5" xfId="747"/>
    <cellStyle name="Comma 3 2 2 5 2" xfId="2148"/>
    <cellStyle name="Comma 3 2 2 5 2 2" xfId="4958"/>
    <cellStyle name="Comma 3 2 2 5 2 2 2" xfId="10594"/>
    <cellStyle name="Comma 3 2 2 5 2 3" xfId="7784"/>
    <cellStyle name="Comma 3 2 2 5 3" xfId="3557"/>
    <cellStyle name="Comma 3 2 2 5 3 2" xfId="9193"/>
    <cellStyle name="Comma 3 2 2 5 4" xfId="6383"/>
    <cellStyle name="Comma 3 2 2 6" xfId="1452"/>
    <cellStyle name="Comma 3 2 2 6 2" xfId="4262"/>
    <cellStyle name="Comma 3 2 2 6 2 2" xfId="9898"/>
    <cellStyle name="Comma 3 2 2 6 3" xfId="7088"/>
    <cellStyle name="Comma 3 2 2 7" xfId="2861"/>
    <cellStyle name="Comma 3 2 2 7 2" xfId="8497"/>
    <cellStyle name="Comma 3 2 2 8" xfId="5687"/>
    <cellStyle name="Comma 3 2 3" xfId="99"/>
    <cellStyle name="Comma 3 2 3 2" xfId="271"/>
    <cellStyle name="Comma 3 2 3 2 2" xfId="615"/>
    <cellStyle name="Comma 3 2 3 2 2 2" xfId="1311"/>
    <cellStyle name="Comma 3 2 3 2 2 2 2" xfId="2712"/>
    <cellStyle name="Comma 3 2 3 2 2 2 2 2" xfId="5522"/>
    <cellStyle name="Comma 3 2 3 2 2 2 2 2 2" xfId="11158"/>
    <cellStyle name="Comma 3 2 3 2 2 2 2 3" xfId="8348"/>
    <cellStyle name="Comma 3 2 3 2 2 2 3" xfId="4121"/>
    <cellStyle name="Comma 3 2 3 2 2 2 3 2" xfId="9757"/>
    <cellStyle name="Comma 3 2 3 2 2 2 4" xfId="6947"/>
    <cellStyle name="Comma 3 2 3 2 2 3" xfId="2016"/>
    <cellStyle name="Comma 3 2 3 2 2 3 2" xfId="4826"/>
    <cellStyle name="Comma 3 2 3 2 2 3 2 2" xfId="10462"/>
    <cellStyle name="Comma 3 2 3 2 2 3 3" xfId="7652"/>
    <cellStyle name="Comma 3 2 3 2 2 4" xfId="3425"/>
    <cellStyle name="Comma 3 2 3 2 2 4 2" xfId="9061"/>
    <cellStyle name="Comma 3 2 3 2 2 5" xfId="6251"/>
    <cellStyle name="Comma 3 2 3 2 3" xfId="967"/>
    <cellStyle name="Comma 3 2 3 2 3 2" xfId="2368"/>
    <cellStyle name="Comma 3 2 3 2 3 2 2" xfId="5178"/>
    <cellStyle name="Comma 3 2 3 2 3 2 2 2" xfId="10814"/>
    <cellStyle name="Comma 3 2 3 2 3 2 3" xfId="8004"/>
    <cellStyle name="Comma 3 2 3 2 3 3" xfId="3777"/>
    <cellStyle name="Comma 3 2 3 2 3 3 2" xfId="9413"/>
    <cellStyle name="Comma 3 2 3 2 3 4" xfId="6603"/>
    <cellStyle name="Comma 3 2 3 2 4" xfId="1672"/>
    <cellStyle name="Comma 3 2 3 2 4 2" xfId="4482"/>
    <cellStyle name="Comma 3 2 3 2 4 2 2" xfId="10118"/>
    <cellStyle name="Comma 3 2 3 2 4 3" xfId="7308"/>
    <cellStyle name="Comma 3 2 3 2 5" xfId="3081"/>
    <cellStyle name="Comma 3 2 3 2 5 2" xfId="8717"/>
    <cellStyle name="Comma 3 2 3 2 6" xfId="5907"/>
    <cellStyle name="Comma 3 2 3 3" xfId="443"/>
    <cellStyle name="Comma 3 2 3 3 2" xfId="1139"/>
    <cellStyle name="Comma 3 2 3 3 2 2" xfId="2540"/>
    <cellStyle name="Comma 3 2 3 3 2 2 2" xfId="5350"/>
    <cellStyle name="Comma 3 2 3 3 2 2 2 2" xfId="10986"/>
    <cellStyle name="Comma 3 2 3 3 2 2 3" xfId="8176"/>
    <cellStyle name="Comma 3 2 3 3 2 3" xfId="3949"/>
    <cellStyle name="Comma 3 2 3 3 2 3 2" xfId="9585"/>
    <cellStyle name="Comma 3 2 3 3 2 4" xfId="6775"/>
    <cellStyle name="Comma 3 2 3 3 3" xfId="1844"/>
    <cellStyle name="Comma 3 2 3 3 3 2" xfId="4654"/>
    <cellStyle name="Comma 3 2 3 3 3 2 2" xfId="10290"/>
    <cellStyle name="Comma 3 2 3 3 3 3" xfId="7480"/>
    <cellStyle name="Comma 3 2 3 3 4" xfId="3253"/>
    <cellStyle name="Comma 3 2 3 3 4 2" xfId="8889"/>
    <cellStyle name="Comma 3 2 3 3 5" xfId="6079"/>
    <cellStyle name="Comma 3 2 3 4" xfId="795"/>
    <cellStyle name="Comma 3 2 3 4 2" xfId="2196"/>
    <cellStyle name="Comma 3 2 3 4 2 2" xfId="5006"/>
    <cellStyle name="Comma 3 2 3 4 2 2 2" xfId="10642"/>
    <cellStyle name="Comma 3 2 3 4 2 3" xfId="7832"/>
    <cellStyle name="Comma 3 2 3 4 3" xfId="3605"/>
    <cellStyle name="Comma 3 2 3 4 3 2" xfId="9241"/>
    <cellStyle name="Comma 3 2 3 4 4" xfId="6431"/>
    <cellStyle name="Comma 3 2 3 5" xfId="1500"/>
    <cellStyle name="Comma 3 2 3 5 2" xfId="4310"/>
    <cellStyle name="Comma 3 2 3 5 2 2" xfId="9946"/>
    <cellStyle name="Comma 3 2 3 5 3" xfId="7136"/>
    <cellStyle name="Comma 3 2 3 6" xfId="2909"/>
    <cellStyle name="Comma 3 2 3 6 2" xfId="8545"/>
    <cellStyle name="Comma 3 2 3 7" xfId="5735"/>
    <cellStyle name="Comma 3 2 4" xfId="191"/>
    <cellStyle name="Comma 3 2 4 2" xfId="535"/>
    <cellStyle name="Comma 3 2 4 2 2" xfId="1231"/>
    <cellStyle name="Comma 3 2 4 2 2 2" xfId="2632"/>
    <cellStyle name="Comma 3 2 4 2 2 2 2" xfId="5442"/>
    <cellStyle name="Comma 3 2 4 2 2 2 2 2" xfId="11078"/>
    <cellStyle name="Comma 3 2 4 2 2 2 3" xfId="8268"/>
    <cellStyle name="Comma 3 2 4 2 2 3" xfId="4041"/>
    <cellStyle name="Comma 3 2 4 2 2 3 2" xfId="9677"/>
    <cellStyle name="Comma 3 2 4 2 2 4" xfId="6867"/>
    <cellStyle name="Comma 3 2 4 2 3" xfId="1936"/>
    <cellStyle name="Comma 3 2 4 2 3 2" xfId="4746"/>
    <cellStyle name="Comma 3 2 4 2 3 2 2" xfId="10382"/>
    <cellStyle name="Comma 3 2 4 2 3 3" xfId="7572"/>
    <cellStyle name="Comma 3 2 4 2 4" xfId="3345"/>
    <cellStyle name="Comma 3 2 4 2 4 2" xfId="8981"/>
    <cellStyle name="Comma 3 2 4 2 5" xfId="6171"/>
    <cellStyle name="Comma 3 2 4 3" xfId="887"/>
    <cellStyle name="Comma 3 2 4 3 2" xfId="2288"/>
    <cellStyle name="Comma 3 2 4 3 2 2" xfId="5098"/>
    <cellStyle name="Comma 3 2 4 3 2 2 2" xfId="10734"/>
    <cellStyle name="Comma 3 2 4 3 2 3" xfId="7924"/>
    <cellStyle name="Comma 3 2 4 3 3" xfId="3697"/>
    <cellStyle name="Comma 3 2 4 3 3 2" xfId="9333"/>
    <cellStyle name="Comma 3 2 4 3 4" xfId="6523"/>
    <cellStyle name="Comma 3 2 4 4" xfId="1592"/>
    <cellStyle name="Comma 3 2 4 4 2" xfId="4402"/>
    <cellStyle name="Comma 3 2 4 4 2 2" xfId="10038"/>
    <cellStyle name="Comma 3 2 4 4 3" xfId="7228"/>
    <cellStyle name="Comma 3 2 4 5" xfId="3001"/>
    <cellStyle name="Comma 3 2 4 5 2" xfId="8637"/>
    <cellStyle name="Comma 3 2 4 6" xfId="5827"/>
    <cellStyle name="Comma 3 2 5" xfId="363"/>
    <cellStyle name="Comma 3 2 5 2" xfId="1059"/>
    <cellStyle name="Comma 3 2 5 2 2" xfId="2460"/>
    <cellStyle name="Comma 3 2 5 2 2 2" xfId="5270"/>
    <cellStyle name="Comma 3 2 5 2 2 2 2" xfId="10906"/>
    <cellStyle name="Comma 3 2 5 2 2 3" xfId="8096"/>
    <cellStyle name="Comma 3 2 5 2 3" xfId="3869"/>
    <cellStyle name="Comma 3 2 5 2 3 2" xfId="9505"/>
    <cellStyle name="Comma 3 2 5 2 4" xfId="6695"/>
    <cellStyle name="Comma 3 2 5 3" xfId="1764"/>
    <cellStyle name="Comma 3 2 5 3 2" xfId="4574"/>
    <cellStyle name="Comma 3 2 5 3 2 2" xfId="10210"/>
    <cellStyle name="Comma 3 2 5 3 3" xfId="7400"/>
    <cellStyle name="Comma 3 2 5 4" xfId="3173"/>
    <cellStyle name="Comma 3 2 5 4 2" xfId="8809"/>
    <cellStyle name="Comma 3 2 5 5" xfId="5999"/>
    <cellStyle name="Comma 3 2 6" xfId="715"/>
    <cellStyle name="Comma 3 2 6 2" xfId="2116"/>
    <cellStyle name="Comma 3 2 6 2 2" xfId="4926"/>
    <cellStyle name="Comma 3 2 6 2 2 2" xfId="10562"/>
    <cellStyle name="Comma 3 2 6 2 3" xfId="7752"/>
    <cellStyle name="Comma 3 2 6 3" xfId="3525"/>
    <cellStyle name="Comma 3 2 6 3 2" xfId="9161"/>
    <cellStyle name="Comma 3 2 6 4" xfId="6351"/>
    <cellStyle name="Comma 3 2 7" xfId="1420"/>
    <cellStyle name="Comma 3 2 7 2" xfId="4230"/>
    <cellStyle name="Comma 3 2 7 2 2" xfId="9866"/>
    <cellStyle name="Comma 3 2 7 3" xfId="7056"/>
    <cellStyle name="Comma 3 2 8" xfId="2829"/>
    <cellStyle name="Comma 3 2 8 2" xfId="8465"/>
    <cellStyle name="Comma 3 2 9" xfId="5655"/>
    <cellStyle name="Comma 3 3" xfId="39"/>
    <cellStyle name="Comma 3 3 2" xfId="119"/>
    <cellStyle name="Comma 3 3 2 2" xfId="291"/>
    <cellStyle name="Comma 3 3 2 2 2" xfId="635"/>
    <cellStyle name="Comma 3 3 2 2 2 2" xfId="1331"/>
    <cellStyle name="Comma 3 3 2 2 2 2 2" xfId="2732"/>
    <cellStyle name="Comma 3 3 2 2 2 2 2 2" xfId="5542"/>
    <cellStyle name="Comma 3 3 2 2 2 2 2 2 2" xfId="11178"/>
    <cellStyle name="Comma 3 3 2 2 2 2 2 3" xfId="8368"/>
    <cellStyle name="Comma 3 3 2 2 2 2 3" xfId="4141"/>
    <cellStyle name="Comma 3 3 2 2 2 2 3 2" xfId="9777"/>
    <cellStyle name="Comma 3 3 2 2 2 2 4" xfId="6967"/>
    <cellStyle name="Comma 3 3 2 2 2 3" xfId="2036"/>
    <cellStyle name="Comma 3 3 2 2 2 3 2" xfId="4846"/>
    <cellStyle name="Comma 3 3 2 2 2 3 2 2" xfId="10482"/>
    <cellStyle name="Comma 3 3 2 2 2 3 3" xfId="7672"/>
    <cellStyle name="Comma 3 3 2 2 2 4" xfId="3445"/>
    <cellStyle name="Comma 3 3 2 2 2 4 2" xfId="9081"/>
    <cellStyle name="Comma 3 3 2 2 2 5" xfId="6271"/>
    <cellStyle name="Comma 3 3 2 2 3" xfId="987"/>
    <cellStyle name="Comma 3 3 2 2 3 2" xfId="2388"/>
    <cellStyle name="Comma 3 3 2 2 3 2 2" xfId="5198"/>
    <cellStyle name="Comma 3 3 2 2 3 2 2 2" xfId="10834"/>
    <cellStyle name="Comma 3 3 2 2 3 2 3" xfId="8024"/>
    <cellStyle name="Comma 3 3 2 2 3 3" xfId="3797"/>
    <cellStyle name="Comma 3 3 2 2 3 3 2" xfId="9433"/>
    <cellStyle name="Comma 3 3 2 2 3 4" xfId="6623"/>
    <cellStyle name="Comma 3 3 2 2 4" xfId="1692"/>
    <cellStyle name="Comma 3 3 2 2 4 2" xfId="4502"/>
    <cellStyle name="Comma 3 3 2 2 4 2 2" xfId="10138"/>
    <cellStyle name="Comma 3 3 2 2 4 3" xfId="7328"/>
    <cellStyle name="Comma 3 3 2 2 5" xfId="3101"/>
    <cellStyle name="Comma 3 3 2 2 5 2" xfId="8737"/>
    <cellStyle name="Comma 3 3 2 2 6" xfId="5927"/>
    <cellStyle name="Comma 3 3 2 3" xfId="463"/>
    <cellStyle name="Comma 3 3 2 3 2" xfId="1159"/>
    <cellStyle name="Comma 3 3 2 3 2 2" xfId="2560"/>
    <cellStyle name="Comma 3 3 2 3 2 2 2" xfId="5370"/>
    <cellStyle name="Comma 3 3 2 3 2 2 2 2" xfId="11006"/>
    <cellStyle name="Comma 3 3 2 3 2 2 3" xfId="8196"/>
    <cellStyle name="Comma 3 3 2 3 2 3" xfId="3969"/>
    <cellStyle name="Comma 3 3 2 3 2 3 2" xfId="9605"/>
    <cellStyle name="Comma 3 3 2 3 2 4" xfId="6795"/>
    <cellStyle name="Comma 3 3 2 3 3" xfId="1864"/>
    <cellStyle name="Comma 3 3 2 3 3 2" xfId="4674"/>
    <cellStyle name="Comma 3 3 2 3 3 2 2" xfId="10310"/>
    <cellStyle name="Comma 3 3 2 3 3 3" xfId="7500"/>
    <cellStyle name="Comma 3 3 2 3 4" xfId="3273"/>
    <cellStyle name="Comma 3 3 2 3 4 2" xfId="8909"/>
    <cellStyle name="Comma 3 3 2 3 5" xfId="6099"/>
    <cellStyle name="Comma 3 3 2 4" xfId="815"/>
    <cellStyle name="Comma 3 3 2 4 2" xfId="2216"/>
    <cellStyle name="Comma 3 3 2 4 2 2" xfId="5026"/>
    <cellStyle name="Comma 3 3 2 4 2 2 2" xfId="10662"/>
    <cellStyle name="Comma 3 3 2 4 2 3" xfId="7852"/>
    <cellStyle name="Comma 3 3 2 4 3" xfId="3625"/>
    <cellStyle name="Comma 3 3 2 4 3 2" xfId="9261"/>
    <cellStyle name="Comma 3 3 2 4 4" xfId="6451"/>
    <cellStyle name="Comma 3 3 2 5" xfId="1520"/>
    <cellStyle name="Comma 3 3 2 5 2" xfId="4330"/>
    <cellStyle name="Comma 3 3 2 5 2 2" xfId="9966"/>
    <cellStyle name="Comma 3 3 2 5 3" xfId="7156"/>
    <cellStyle name="Comma 3 3 2 6" xfId="2929"/>
    <cellStyle name="Comma 3 3 2 6 2" xfId="8565"/>
    <cellStyle name="Comma 3 3 2 7" xfId="5755"/>
    <cellStyle name="Comma 3 3 3" xfId="211"/>
    <cellStyle name="Comma 3 3 3 2" xfId="555"/>
    <cellStyle name="Comma 3 3 3 2 2" xfId="1251"/>
    <cellStyle name="Comma 3 3 3 2 2 2" xfId="2652"/>
    <cellStyle name="Comma 3 3 3 2 2 2 2" xfId="5462"/>
    <cellStyle name="Comma 3 3 3 2 2 2 2 2" xfId="11098"/>
    <cellStyle name="Comma 3 3 3 2 2 2 3" xfId="8288"/>
    <cellStyle name="Comma 3 3 3 2 2 3" xfId="4061"/>
    <cellStyle name="Comma 3 3 3 2 2 3 2" xfId="9697"/>
    <cellStyle name="Comma 3 3 3 2 2 4" xfId="6887"/>
    <cellStyle name="Comma 3 3 3 2 3" xfId="1956"/>
    <cellStyle name="Comma 3 3 3 2 3 2" xfId="4766"/>
    <cellStyle name="Comma 3 3 3 2 3 2 2" xfId="10402"/>
    <cellStyle name="Comma 3 3 3 2 3 3" xfId="7592"/>
    <cellStyle name="Comma 3 3 3 2 4" xfId="3365"/>
    <cellStyle name="Comma 3 3 3 2 4 2" xfId="9001"/>
    <cellStyle name="Comma 3 3 3 2 5" xfId="6191"/>
    <cellStyle name="Comma 3 3 3 3" xfId="907"/>
    <cellStyle name="Comma 3 3 3 3 2" xfId="2308"/>
    <cellStyle name="Comma 3 3 3 3 2 2" xfId="5118"/>
    <cellStyle name="Comma 3 3 3 3 2 2 2" xfId="10754"/>
    <cellStyle name="Comma 3 3 3 3 2 3" xfId="7944"/>
    <cellStyle name="Comma 3 3 3 3 3" xfId="3717"/>
    <cellStyle name="Comma 3 3 3 3 3 2" xfId="9353"/>
    <cellStyle name="Comma 3 3 3 3 4" xfId="6543"/>
    <cellStyle name="Comma 3 3 3 4" xfId="1612"/>
    <cellStyle name="Comma 3 3 3 4 2" xfId="4422"/>
    <cellStyle name="Comma 3 3 3 4 2 2" xfId="10058"/>
    <cellStyle name="Comma 3 3 3 4 3" xfId="7248"/>
    <cellStyle name="Comma 3 3 3 5" xfId="3021"/>
    <cellStyle name="Comma 3 3 3 5 2" xfId="8657"/>
    <cellStyle name="Comma 3 3 3 6" xfId="5847"/>
    <cellStyle name="Comma 3 3 4" xfId="383"/>
    <cellStyle name="Comma 3 3 4 2" xfId="1079"/>
    <cellStyle name="Comma 3 3 4 2 2" xfId="2480"/>
    <cellStyle name="Comma 3 3 4 2 2 2" xfId="5290"/>
    <cellStyle name="Comma 3 3 4 2 2 2 2" xfId="10926"/>
    <cellStyle name="Comma 3 3 4 2 2 3" xfId="8116"/>
    <cellStyle name="Comma 3 3 4 2 3" xfId="3889"/>
    <cellStyle name="Comma 3 3 4 2 3 2" xfId="9525"/>
    <cellStyle name="Comma 3 3 4 2 4" xfId="6715"/>
    <cellStyle name="Comma 3 3 4 3" xfId="1784"/>
    <cellStyle name="Comma 3 3 4 3 2" xfId="4594"/>
    <cellStyle name="Comma 3 3 4 3 2 2" xfId="10230"/>
    <cellStyle name="Comma 3 3 4 3 3" xfId="7420"/>
    <cellStyle name="Comma 3 3 4 4" xfId="3193"/>
    <cellStyle name="Comma 3 3 4 4 2" xfId="8829"/>
    <cellStyle name="Comma 3 3 4 5" xfId="6019"/>
    <cellStyle name="Comma 3 3 5" xfId="735"/>
    <cellStyle name="Comma 3 3 5 2" xfId="2136"/>
    <cellStyle name="Comma 3 3 5 2 2" xfId="4946"/>
    <cellStyle name="Comma 3 3 5 2 2 2" xfId="10582"/>
    <cellStyle name="Comma 3 3 5 2 3" xfId="7772"/>
    <cellStyle name="Comma 3 3 5 3" xfId="3545"/>
    <cellStyle name="Comma 3 3 5 3 2" xfId="9181"/>
    <cellStyle name="Comma 3 3 5 4" xfId="6371"/>
    <cellStyle name="Comma 3 3 6" xfId="1440"/>
    <cellStyle name="Comma 3 3 6 2" xfId="4250"/>
    <cellStyle name="Comma 3 3 6 2 2" xfId="9886"/>
    <cellStyle name="Comma 3 3 6 3" xfId="7076"/>
    <cellStyle name="Comma 3 3 7" xfId="2849"/>
    <cellStyle name="Comma 3 3 7 2" xfId="8485"/>
    <cellStyle name="Comma 3 3 8" xfId="5675"/>
    <cellStyle name="Comma 3 4" xfId="87"/>
    <cellStyle name="Comma 3 4 2" xfId="259"/>
    <cellStyle name="Comma 3 4 2 2" xfId="603"/>
    <cellStyle name="Comma 3 4 2 2 2" xfId="1299"/>
    <cellStyle name="Comma 3 4 2 2 2 2" xfId="2700"/>
    <cellStyle name="Comma 3 4 2 2 2 2 2" xfId="5510"/>
    <cellStyle name="Comma 3 4 2 2 2 2 2 2" xfId="11146"/>
    <cellStyle name="Comma 3 4 2 2 2 2 3" xfId="8336"/>
    <cellStyle name="Comma 3 4 2 2 2 3" xfId="4109"/>
    <cellStyle name="Comma 3 4 2 2 2 3 2" xfId="9745"/>
    <cellStyle name="Comma 3 4 2 2 2 4" xfId="6935"/>
    <cellStyle name="Comma 3 4 2 2 3" xfId="2004"/>
    <cellStyle name="Comma 3 4 2 2 3 2" xfId="4814"/>
    <cellStyle name="Comma 3 4 2 2 3 2 2" xfId="10450"/>
    <cellStyle name="Comma 3 4 2 2 3 3" xfId="7640"/>
    <cellStyle name="Comma 3 4 2 2 4" xfId="3413"/>
    <cellStyle name="Comma 3 4 2 2 4 2" xfId="9049"/>
    <cellStyle name="Comma 3 4 2 2 5" xfId="6239"/>
    <cellStyle name="Comma 3 4 2 3" xfId="955"/>
    <cellStyle name="Comma 3 4 2 3 2" xfId="2356"/>
    <cellStyle name="Comma 3 4 2 3 2 2" xfId="5166"/>
    <cellStyle name="Comma 3 4 2 3 2 2 2" xfId="10802"/>
    <cellStyle name="Comma 3 4 2 3 2 3" xfId="7992"/>
    <cellStyle name="Comma 3 4 2 3 3" xfId="3765"/>
    <cellStyle name="Comma 3 4 2 3 3 2" xfId="9401"/>
    <cellStyle name="Comma 3 4 2 3 4" xfId="6591"/>
    <cellStyle name="Comma 3 4 2 4" xfId="1660"/>
    <cellStyle name="Comma 3 4 2 4 2" xfId="4470"/>
    <cellStyle name="Comma 3 4 2 4 2 2" xfId="10106"/>
    <cellStyle name="Comma 3 4 2 4 3" xfId="7296"/>
    <cellStyle name="Comma 3 4 2 5" xfId="3069"/>
    <cellStyle name="Comma 3 4 2 5 2" xfId="8705"/>
    <cellStyle name="Comma 3 4 2 6" xfId="5895"/>
    <cellStyle name="Comma 3 4 3" xfId="431"/>
    <cellStyle name="Comma 3 4 3 2" xfId="1127"/>
    <cellStyle name="Comma 3 4 3 2 2" xfId="2528"/>
    <cellStyle name="Comma 3 4 3 2 2 2" xfId="5338"/>
    <cellStyle name="Comma 3 4 3 2 2 2 2" xfId="10974"/>
    <cellStyle name="Comma 3 4 3 2 2 3" xfId="8164"/>
    <cellStyle name="Comma 3 4 3 2 3" xfId="3937"/>
    <cellStyle name="Comma 3 4 3 2 3 2" xfId="9573"/>
    <cellStyle name="Comma 3 4 3 2 4" xfId="6763"/>
    <cellStyle name="Comma 3 4 3 3" xfId="1832"/>
    <cellStyle name="Comma 3 4 3 3 2" xfId="4642"/>
    <cellStyle name="Comma 3 4 3 3 2 2" xfId="10278"/>
    <cellStyle name="Comma 3 4 3 3 3" xfId="7468"/>
    <cellStyle name="Comma 3 4 3 4" xfId="3241"/>
    <cellStyle name="Comma 3 4 3 4 2" xfId="8877"/>
    <cellStyle name="Comma 3 4 3 5" xfId="6067"/>
    <cellStyle name="Comma 3 4 4" xfId="783"/>
    <cellStyle name="Comma 3 4 4 2" xfId="2184"/>
    <cellStyle name="Comma 3 4 4 2 2" xfId="4994"/>
    <cellStyle name="Comma 3 4 4 2 2 2" xfId="10630"/>
    <cellStyle name="Comma 3 4 4 2 3" xfId="7820"/>
    <cellStyle name="Comma 3 4 4 3" xfId="3593"/>
    <cellStyle name="Comma 3 4 4 3 2" xfId="9229"/>
    <cellStyle name="Comma 3 4 4 4" xfId="6419"/>
    <cellStyle name="Comma 3 4 5" xfId="1488"/>
    <cellStyle name="Comma 3 4 5 2" xfId="4298"/>
    <cellStyle name="Comma 3 4 5 2 2" xfId="9934"/>
    <cellStyle name="Comma 3 4 5 3" xfId="7124"/>
    <cellStyle name="Comma 3 4 6" xfId="2897"/>
    <cellStyle name="Comma 3 4 6 2" xfId="8533"/>
    <cellStyle name="Comma 3 4 7" xfId="5723"/>
    <cellStyle name="Comma 3 5" xfId="179"/>
    <cellStyle name="Comma 3 5 2" xfId="523"/>
    <cellStyle name="Comma 3 5 2 2" xfId="1219"/>
    <cellStyle name="Comma 3 5 2 2 2" xfId="2620"/>
    <cellStyle name="Comma 3 5 2 2 2 2" xfId="5430"/>
    <cellStyle name="Comma 3 5 2 2 2 2 2" xfId="11066"/>
    <cellStyle name="Comma 3 5 2 2 2 3" xfId="8256"/>
    <cellStyle name="Comma 3 5 2 2 3" xfId="4029"/>
    <cellStyle name="Comma 3 5 2 2 3 2" xfId="9665"/>
    <cellStyle name="Comma 3 5 2 2 4" xfId="6855"/>
    <cellStyle name="Comma 3 5 2 3" xfId="1924"/>
    <cellStyle name="Comma 3 5 2 3 2" xfId="4734"/>
    <cellStyle name="Comma 3 5 2 3 2 2" xfId="10370"/>
    <cellStyle name="Comma 3 5 2 3 3" xfId="7560"/>
    <cellStyle name="Comma 3 5 2 4" xfId="3333"/>
    <cellStyle name="Comma 3 5 2 4 2" xfId="8969"/>
    <cellStyle name="Comma 3 5 2 5" xfId="6159"/>
    <cellStyle name="Comma 3 5 3" xfId="875"/>
    <cellStyle name="Comma 3 5 3 2" xfId="2276"/>
    <cellStyle name="Comma 3 5 3 2 2" xfId="5086"/>
    <cellStyle name="Comma 3 5 3 2 2 2" xfId="10722"/>
    <cellStyle name="Comma 3 5 3 2 3" xfId="7912"/>
    <cellStyle name="Comma 3 5 3 3" xfId="3685"/>
    <cellStyle name="Comma 3 5 3 3 2" xfId="9321"/>
    <cellStyle name="Comma 3 5 3 4" xfId="6511"/>
    <cellStyle name="Comma 3 5 4" xfId="1580"/>
    <cellStyle name="Comma 3 5 4 2" xfId="4390"/>
    <cellStyle name="Comma 3 5 4 2 2" xfId="10026"/>
    <cellStyle name="Comma 3 5 4 3" xfId="7216"/>
    <cellStyle name="Comma 3 5 5" xfId="2989"/>
    <cellStyle name="Comma 3 5 5 2" xfId="8625"/>
    <cellStyle name="Comma 3 5 6" xfId="5815"/>
    <cellStyle name="Comma 3 6" xfId="351"/>
    <cellStyle name="Comma 3 6 2" xfId="1047"/>
    <cellStyle name="Comma 3 6 2 2" xfId="2448"/>
    <cellStyle name="Comma 3 6 2 2 2" xfId="5258"/>
    <cellStyle name="Comma 3 6 2 2 2 2" xfId="10894"/>
    <cellStyle name="Comma 3 6 2 2 3" xfId="8084"/>
    <cellStyle name="Comma 3 6 2 3" xfId="3857"/>
    <cellStyle name="Comma 3 6 2 3 2" xfId="9493"/>
    <cellStyle name="Comma 3 6 2 4" xfId="6683"/>
    <cellStyle name="Comma 3 6 3" xfId="1752"/>
    <cellStyle name="Comma 3 6 3 2" xfId="4562"/>
    <cellStyle name="Comma 3 6 3 2 2" xfId="10198"/>
    <cellStyle name="Comma 3 6 3 3" xfId="7388"/>
    <cellStyle name="Comma 3 6 4" xfId="3161"/>
    <cellStyle name="Comma 3 6 4 2" xfId="8797"/>
    <cellStyle name="Comma 3 6 5" xfId="5987"/>
    <cellStyle name="Comma 3 7" xfId="703"/>
    <cellStyle name="Comma 3 7 2" xfId="2104"/>
    <cellStyle name="Comma 3 7 2 2" xfId="4914"/>
    <cellStyle name="Comma 3 7 2 2 2" xfId="10550"/>
    <cellStyle name="Comma 3 7 2 3" xfId="7740"/>
    <cellStyle name="Comma 3 7 3" xfId="3513"/>
    <cellStyle name="Comma 3 7 3 2" xfId="9149"/>
    <cellStyle name="Comma 3 7 4" xfId="6339"/>
    <cellStyle name="Comma 3 8" xfId="1408"/>
    <cellStyle name="Comma 3 8 2" xfId="4218"/>
    <cellStyle name="Comma 3 8 2 2" xfId="9854"/>
    <cellStyle name="Comma 3 8 3" xfId="7044"/>
    <cellStyle name="Comma 3 9" xfId="2817"/>
    <cellStyle name="Comma 3 9 2" xfId="8453"/>
    <cellStyle name="Comma 30" xfId="697"/>
    <cellStyle name="Comma 30 2" xfId="2098"/>
    <cellStyle name="Comma 30 2 2" xfId="4908"/>
    <cellStyle name="Comma 30 2 2 2" xfId="10544"/>
    <cellStyle name="Comma 30 2 3" xfId="7734"/>
    <cellStyle name="Comma 30 3" xfId="3507"/>
    <cellStyle name="Comma 30 3 2" xfId="9143"/>
    <cellStyle name="Comma 30 4" xfId="6333"/>
    <cellStyle name="Comma 31" xfId="1392"/>
    <cellStyle name="Comma 31 2" xfId="2793"/>
    <cellStyle name="Comma 31 2 2" xfId="5603"/>
    <cellStyle name="Comma 31 2 2 2" xfId="11239"/>
    <cellStyle name="Comma 31 2 3" xfId="8429"/>
    <cellStyle name="Comma 31 3" xfId="4202"/>
    <cellStyle name="Comma 31 3 2" xfId="9838"/>
    <cellStyle name="Comma 31 4" xfId="7028"/>
    <cellStyle name="Comma 32" xfId="1396"/>
    <cellStyle name="Comma 32 2" xfId="2797"/>
    <cellStyle name="Comma 32 2 2" xfId="5607"/>
    <cellStyle name="Comma 32 2 2 2" xfId="11243"/>
    <cellStyle name="Comma 32 2 3" xfId="8433"/>
    <cellStyle name="Comma 32 3" xfId="4206"/>
    <cellStyle name="Comma 32 3 2" xfId="9842"/>
    <cellStyle name="Comma 32 4" xfId="7032"/>
    <cellStyle name="Comma 33" xfId="1398"/>
    <cellStyle name="Comma 33 2" xfId="2799"/>
    <cellStyle name="Comma 33 2 2" xfId="5609"/>
    <cellStyle name="Comma 33 2 2 2" xfId="11245"/>
    <cellStyle name="Comma 33 2 3" xfId="8435"/>
    <cellStyle name="Comma 33 3" xfId="4208"/>
    <cellStyle name="Comma 33 3 2" xfId="9844"/>
    <cellStyle name="Comma 33 4" xfId="7034"/>
    <cellStyle name="Comma 34" xfId="1400"/>
    <cellStyle name="Comma 34 2" xfId="2801"/>
    <cellStyle name="Comma 34 2 2" xfId="5611"/>
    <cellStyle name="Comma 34 2 2 2" xfId="11247"/>
    <cellStyle name="Comma 34 2 3" xfId="8437"/>
    <cellStyle name="Comma 34 3" xfId="4210"/>
    <cellStyle name="Comma 34 3 2" xfId="9846"/>
    <cellStyle name="Comma 34 4" xfId="7036"/>
    <cellStyle name="Comma 35" xfId="1402"/>
    <cellStyle name="Comma 35 2" xfId="4212"/>
    <cellStyle name="Comma 35 2 2" xfId="9848"/>
    <cellStyle name="Comma 35 3" xfId="7038"/>
    <cellStyle name="Comma 36" xfId="2802"/>
    <cellStyle name="Comma 36 2" xfId="5612"/>
    <cellStyle name="Comma 36 2 2" xfId="11248"/>
    <cellStyle name="Comma 36 3" xfId="8438"/>
    <cellStyle name="Comma 37" xfId="2806"/>
    <cellStyle name="Comma 37 2" xfId="5616"/>
    <cellStyle name="Comma 37 2 2" xfId="11252"/>
    <cellStyle name="Comma 37 3" xfId="8442"/>
    <cellStyle name="Comma 38" xfId="2808"/>
    <cellStyle name="Comma 38 2" xfId="5618"/>
    <cellStyle name="Comma 38 2 2" xfId="11254"/>
    <cellStyle name="Comma 38 3" xfId="8444"/>
    <cellStyle name="Comma 39" xfId="2810"/>
    <cellStyle name="Comma 39 2" xfId="5620"/>
    <cellStyle name="Comma 39 2 2" xfId="11256"/>
    <cellStyle name="Comma 39 3" xfId="8446"/>
    <cellStyle name="Comma 4" xfId="9"/>
    <cellStyle name="Comma 4 10" xfId="5645"/>
    <cellStyle name="Comma 4 2" xfId="21"/>
    <cellStyle name="Comma 4 2 2" xfId="53"/>
    <cellStyle name="Comma 4 2 2 2" xfId="133"/>
    <cellStyle name="Comma 4 2 2 2 2" xfId="305"/>
    <cellStyle name="Comma 4 2 2 2 2 2" xfId="649"/>
    <cellStyle name="Comma 4 2 2 2 2 2 2" xfId="1345"/>
    <cellStyle name="Comma 4 2 2 2 2 2 2 2" xfId="2746"/>
    <cellStyle name="Comma 4 2 2 2 2 2 2 2 2" xfId="5556"/>
    <cellStyle name="Comma 4 2 2 2 2 2 2 2 2 2" xfId="11192"/>
    <cellStyle name="Comma 4 2 2 2 2 2 2 2 3" xfId="8382"/>
    <cellStyle name="Comma 4 2 2 2 2 2 2 3" xfId="4155"/>
    <cellStyle name="Comma 4 2 2 2 2 2 2 3 2" xfId="9791"/>
    <cellStyle name="Comma 4 2 2 2 2 2 2 4" xfId="6981"/>
    <cellStyle name="Comma 4 2 2 2 2 2 3" xfId="2050"/>
    <cellStyle name="Comma 4 2 2 2 2 2 3 2" xfId="4860"/>
    <cellStyle name="Comma 4 2 2 2 2 2 3 2 2" xfId="10496"/>
    <cellStyle name="Comma 4 2 2 2 2 2 3 3" xfId="7686"/>
    <cellStyle name="Comma 4 2 2 2 2 2 4" xfId="3459"/>
    <cellStyle name="Comma 4 2 2 2 2 2 4 2" xfId="9095"/>
    <cellStyle name="Comma 4 2 2 2 2 2 5" xfId="6285"/>
    <cellStyle name="Comma 4 2 2 2 2 3" xfId="1001"/>
    <cellStyle name="Comma 4 2 2 2 2 3 2" xfId="2402"/>
    <cellStyle name="Comma 4 2 2 2 2 3 2 2" xfId="5212"/>
    <cellStyle name="Comma 4 2 2 2 2 3 2 2 2" xfId="10848"/>
    <cellStyle name="Comma 4 2 2 2 2 3 2 3" xfId="8038"/>
    <cellStyle name="Comma 4 2 2 2 2 3 3" xfId="3811"/>
    <cellStyle name="Comma 4 2 2 2 2 3 3 2" xfId="9447"/>
    <cellStyle name="Comma 4 2 2 2 2 3 4" xfId="6637"/>
    <cellStyle name="Comma 4 2 2 2 2 4" xfId="1706"/>
    <cellStyle name="Comma 4 2 2 2 2 4 2" xfId="4516"/>
    <cellStyle name="Comma 4 2 2 2 2 4 2 2" xfId="10152"/>
    <cellStyle name="Comma 4 2 2 2 2 4 3" xfId="7342"/>
    <cellStyle name="Comma 4 2 2 2 2 5" xfId="3115"/>
    <cellStyle name="Comma 4 2 2 2 2 5 2" xfId="8751"/>
    <cellStyle name="Comma 4 2 2 2 2 6" xfId="5941"/>
    <cellStyle name="Comma 4 2 2 2 3" xfId="477"/>
    <cellStyle name="Comma 4 2 2 2 3 2" xfId="1173"/>
    <cellStyle name="Comma 4 2 2 2 3 2 2" xfId="2574"/>
    <cellStyle name="Comma 4 2 2 2 3 2 2 2" xfId="5384"/>
    <cellStyle name="Comma 4 2 2 2 3 2 2 2 2" xfId="11020"/>
    <cellStyle name="Comma 4 2 2 2 3 2 2 3" xfId="8210"/>
    <cellStyle name="Comma 4 2 2 2 3 2 3" xfId="3983"/>
    <cellStyle name="Comma 4 2 2 2 3 2 3 2" xfId="9619"/>
    <cellStyle name="Comma 4 2 2 2 3 2 4" xfId="6809"/>
    <cellStyle name="Comma 4 2 2 2 3 3" xfId="1878"/>
    <cellStyle name="Comma 4 2 2 2 3 3 2" xfId="4688"/>
    <cellStyle name="Comma 4 2 2 2 3 3 2 2" xfId="10324"/>
    <cellStyle name="Comma 4 2 2 2 3 3 3" xfId="7514"/>
    <cellStyle name="Comma 4 2 2 2 3 4" xfId="3287"/>
    <cellStyle name="Comma 4 2 2 2 3 4 2" xfId="8923"/>
    <cellStyle name="Comma 4 2 2 2 3 5" xfId="6113"/>
    <cellStyle name="Comma 4 2 2 2 4" xfId="829"/>
    <cellStyle name="Comma 4 2 2 2 4 2" xfId="2230"/>
    <cellStyle name="Comma 4 2 2 2 4 2 2" xfId="5040"/>
    <cellStyle name="Comma 4 2 2 2 4 2 2 2" xfId="10676"/>
    <cellStyle name="Comma 4 2 2 2 4 2 3" xfId="7866"/>
    <cellStyle name="Comma 4 2 2 2 4 3" xfId="3639"/>
    <cellStyle name="Comma 4 2 2 2 4 3 2" xfId="9275"/>
    <cellStyle name="Comma 4 2 2 2 4 4" xfId="6465"/>
    <cellStyle name="Comma 4 2 2 2 5" xfId="1534"/>
    <cellStyle name="Comma 4 2 2 2 5 2" xfId="4344"/>
    <cellStyle name="Comma 4 2 2 2 5 2 2" xfId="9980"/>
    <cellStyle name="Comma 4 2 2 2 5 3" xfId="7170"/>
    <cellStyle name="Comma 4 2 2 2 6" xfId="2943"/>
    <cellStyle name="Comma 4 2 2 2 6 2" xfId="8579"/>
    <cellStyle name="Comma 4 2 2 2 7" xfId="5769"/>
    <cellStyle name="Comma 4 2 2 3" xfId="225"/>
    <cellStyle name="Comma 4 2 2 3 2" xfId="569"/>
    <cellStyle name="Comma 4 2 2 3 2 2" xfId="1265"/>
    <cellStyle name="Comma 4 2 2 3 2 2 2" xfId="2666"/>
    <cellStyle name="Comma 4 2 2 3 2 2 2 2" xfId="5476"/>
    <cellStyle name="Comma 4 2 2 3 2 2 2 2 2" xfId="11112"/>
    <cellStyle name="Comma 4 2 2 3 2 2 2 3" xfId="8302"/>
    <cellStyle name="Comma 4 2 2 3 2 2 3" xfId="4075"/>
    <cellStyle name="Comma 4 2 2 3 2 2 3 2" xfId="9711"/>
    <cellStyle name="Comma 4 2 2 3 2 2 4" xfId="6901"/>
    <cellStyle name="Comma 4 2 2 3 2 3" xfId="1970"/>
    <cellStyle name="Comma 4 2 2 3 2 3 2" xfId="4780"/>
    <cellStyle name="Comma 4 2 2 3 2 3 2 2" xfId="10416"/>
    <cellStyle name="Comma 4 2 2 3 2 3 3" xfId="7606"/>
    <cellStyle name="Comma 4 2 2 3 2 4" xfId="3379"/>
    <cellStyle name="Comma 4 2 2 3 2 4 2" xfId="9015"/>
    <cellStyle name="Comma 4 2 2 3 2 5" xfId="6205"/>
    <cellStyle name="Comma 4 2 2 3 3" xfId="921"/>
    <cellStyle name="Comma 4 2 2 3 3 2" xfId="2322"/>
    <cellStyle name="Comma 4 2 2 3 3 2 2" xfId="5132"/>
    <cellStyle name="Comma 4 2 2 3 3 2 2 2" xfId="10768"/>
    <cellStyle name="Comma 4 2 2 3 3 2 3" xfId="7958"/>
    <cellStyle name="Comma 4 2 2 3 3 3" xfId="3731"/>
    <cellStyle name="Comma 4 2 2 3 3 3 2" xfId="9367"/>
    <cellStyle name="Comma 4 2 2 3 3 4" xfId="6557"/>
    <cellStyle name="Comma 4 2 2 3 4" xfId="1626"/>
    <cellStyle name="Comma 4 2 2 3 4 2" xfId="4436"/>
    <cellStyle name="Comma 4 2 2 3 4 2 2" xfId="10072"/>
    <cellStyle name="Comma 4 2 2 3 4 3" xfId="7262"/>
    <cellStyle name="Comma 4 2 2 3 5" xfId="3035"/>
    <cellStyle name="Comma 4 2 2 3 5 2" xfId="8671"/>
    <cellStyle name="Comma 4 2 2 3 6" xfId="5861"/>
    <cellStyle name="Comma 4 2 2 4" xfId="397"/>
    <cellStyle name="Comma 4 2 2 4 2" xfId="1093"/>
    <cellStyle name="Comma 4 2 2 4 2 2" xfId="2494"/>
    <cellStyle name="Comma 4 2 2 4 2 2 2" xfId="5304"/>
    <cellStyle name="Comma 4 2 2 4 2 2 2 2" xfId="10940"/>
    <cellStyle name="Comma 4 2 2 4 2 2 3" xfId="8130"/>
    <cellStyle name="Comma 4 2 2 4 2 3" xfId="3903"/>
    <cellStyle name="Comma 4 2 2 4 2 3 2" xfId="9539"/>
    <cellStyle name="Comma 4 2 2 4 2 4" xfId="6729"/>
    <cellStyle name="Comma 4 2 2 4 3" xfId="1798"/>
    <cellStyle name="Comma 4 2 2 4 3 2" xfId="4608"/>
    <cellStyle name="Comma 4 2 2 4 3 2 2" xfId="10244"/>
    <cellStyle name="Comma 4 2 2 4 3 3" xfId="7434"/>
    <cellStyle name="Comma 4 2 2 4 4" xfId="3207"/>
    <cellStyle name="Comma 4 2 2 4 4 2" xfId="8843"/>
    <cellStyle name="Comma 4 2 2 4 5" xfId="6033"/>
    <cellStyle name="Comma 4 2 2 5" xfId="749"/>
    <cellStyle name="Comma 4 2 2 5 2" xfId="2150"/>
    <cellStyle name="Comma 4 2 2 5 2 2" xfId="4960"/>
    <cellStyle name="Comma 4 2 2 5 2 2 2" xfId="10596"/>
    <cellStyle name="Comma 4 2 2 5 2 3" xfId="7786"/>
    <cellStyle name="Comma 4 2 2 5 3" xfId="3559"/>
    <cellStyle name="Comma 4 2 2 5 3 2" xfId="9195"/>
    <cellStyle name="Comma 4 2 2 5 4" xfId="6385"/>
    <cellStyle name="Comma 4 2 2 6" xfId="1454"/>
    <cellStyle name="Comma 4 2 2 6 2" xfId="4264"/>
    <cellStyle name="Comma 4 2 2 6 2 2" xfId="9900"/>
    <cellStyle name="Comma 4 2 2 6 3" xfId="7090"/>
    <cellStyle name="Comma 4 2 2 7" xfId="2863"/>
    <cellStyle name="Comma 4 2 2 7 2" xfId="8499"/>
    <cellStyle name="Comma 4 2 2 8" xfId="5689"/>
    <cellStyle name="Comma 4 2 3" xfId="101"/>
    <cellStyle name="Comma 4 2 3 2" xfId="273"/>
    <cellStyle name="Comma 4 2 3 2 2" xfId="617"/>
    <cellStyle name="Comma 4 2 3 2 2 2" xfId="1313"/>
    <cellStyle name="Comma 4 2 3 2 2 2 2" xfId="2714"/>
    <cellStyle name="Comma 4 2 3 2 2 2 2 2" xfId="5524"/>
    <cellStyle name="Comma 4 2 3 2 2 2 2 2 2" xfId="11160"/>
    <cellStyle name="Comma 4 2 3 2 2 2 2 3" xfId="8350"/>
    <cellStyle name="Comma 4 2 3 2 2 2 3" xfId="4123"/>
    <cellStyle name="Comma 4 2 3 2 2 2 3 2" xfId="9759"/>
    <cellStyle name="Comma 4 2 3 2 2 2 4" xfId="6949"/>
    <cellStyle name="Comma 4 2 3 2 2 3" xfId="2018"/>
    <cellStyle name="Comma 4 2 3 2 2 3 2" xfId="4828"/>
    <cellStyle name="Comma 4 2 3 2 2 3 2 2" xfId="10464"/>
    <cellStyle name="Comma 4 2 3 2 2 3 3" xfId="7654"/>
    <cellStyle name="Comma 4 2 3 2 2 4" xfId="3427"/>
    <cellStyle name="Comma 4 2 3 2 2 4 2" xfId="9063"/>
    <cellStyle name="Comma 4 2 3 2 2 5" xfId="6253"/>
    <cellStyle name="Comma 4 2 3 2 3" xfId="969"/>
    <cellStyle name="Comma 4 2 3 2 3 2" xfId="2370"/>
    <cellStyle name="Comma 4 2 3 2 3 2 2" xfId="5180"/>
    <cellStyle name="Comma 4 2 3 2 3 2 2 2" xfId="10816"/>
    <cellStyle name="Comma 4 2 3 2 3 2 3" xfId="8006"/>
    <cellStyle name="Comma 4 2 3 2 3 3" xfId="3779"/>
    <cellStyle name="Comma 4 2 3 2 3 3 2" xfId="9415"/>
    <cellStyle name="Comma 4 2 3 2 3 4" xfId="6605"/>
    <cellStyle name="Comma 4 2 3 2 4" xfId="1674"/>
    <cellStyle name="Comma 4 2 3 2 4 2" xfId="4484"/>
    <cellStyle name="Comma 4 2 3 2 4 2 2" xfId="10120"/>
    <cellStyle name="Comma 4 2 3 2 4 3" xfId="7310"/>
    <cellStyle name="Comma 4 2 3 2 5" xfId="3083"/>
    <cellStyle name="Comma 4 2 3 2 5 2" xfId="8719"/>
    <cellStyle name="Comma 4 2 3 2 6" xfId="5909"/>
    <cellStyle name="Comma 4 2 3 3" xfId="445"/>
    <cellStyle name="Comma 4 2 3 3 2" xfId="1141"/>
    <cellStyle name="Comma 4 2 3 3 2 2" xfId="2542"/>
    <cellStyle name="Comma 4 2 3 3 2 2 2" xfId="5352"/>
    <cellStyle name="Comma 4 2 3 3 2 2 2 2" xfId="10988"/>
    <cellStyle name="Comma 4 2 3 3 2 2 3" xfId="8178"/>
    <cellStyle name="Comma 4 2 3 3 2 3" xfId="3951"/>
    <cellStyle name="Comma 4 2 3 3 2 3 2" xfId="9587"/>
    <cellStyle name="Comma 4 2 3 3 2 4" xfId="6777"/>
    <cellStyle name="Comma 4 2 3 3 3" xfId="1846"/>
    <cellStyle name="Comma 4 2 3 3 3 2" xfId="4656"/>
    <cellStyle name="Comma 4 2 3 3 3 2 2" xfId="10292"/>
    <cellStyle name="Comma 4 2 3 3 3 3" xfId="7482"/>
    <cellStyle name="Comma 4 2 3 3 4" xfId="3255"/>
    <cellStyle name="Comma 4 2 3 3 4 2" xfId="8891"/>
    <cellStyle name="Comma 4 2 3 3 5" xfId="6081"/>
    <cellStyle name="Comma 4 2 3 4" xfId="797"/>
    <cellStyle name="Comma 4 2 3 4 2" xfId="2198"/>
    <cellStyle name="Comma 4 2 3 4 2 2" xfId="5008"/>
    <cellStyle name="Comma 4 2 3 4 2 2 2" xfId="10644"/>
    <cellStyle name="Comma 4 2 3 4 2 3" xfId="7834"/>
    <cellStyle name="Comma 4 2 3 4 3" xfId="3607"/>
    <cellStyle name="Comma 4 2 3 4 3 2" xfId="9243"/>
    <cellStyle name="Comma 4 2 3 4 4" xfId="6433"/>
    <cellStyle name="Comma 4 2 3 5" xfId="1502"/>
    <cellStyle name="Comma 4 2 3 5 2" xfId="4312"/>
    <cellStyle name="Comma 4 2 3 5 2 2" xfId="9948"/>
    <cellStyle name="Comma 4 2 3 5 3" xfId="7138"/>
    <cellStyle name="Comma 4 2 3 6" xfId="2911"/>
    <cellStyle name="Comma 4 2 3 6 2" xfId="8547"/>
    <cellStyle name="Comma 4 2 3 7" xfId="5737"/>
    <cellStyle name="Comma 4 2 4" xfId="193"/>
    <cellStyle name="Comma 4 2 4 2" xfId="537"/>
    <cellStyle name="Comma 4 2 4 2 2" xfId="1233"/>
    <cellStyle name="Comma 4 2 4 2 2 2" xfId="2634"/>
    <cellStyle name="Comma 4 2 4 2 2 2 2" xfId="5444"/>
    <cellStyle name="Comma 4 2 4 2 2 2 2 2" xfId="11080"/>
    <cellStyle name="Comma 4 2 4 2 2 2 3" xfId="8270"/>
    <cellStyle name="Comma 4 2 4 2 2 3" xfId="4043"/>
    <cellStyle name="Comma 4 2 4 2 2 3 2" xfId="9679"/>
    <cellStyle name="Comma 4 2 4 2 2 4" xfId="6869"/>
    <cellStyle name="Comma 4 2 4 2 3" xfId="1938"/>
    <cellStyle name="Comma 4 2 4 2 3 2" xfId="4748"/>
    <cellStyle name="Comma 4 2 4 2 3 2 2" xfId="10384"/>
    <cellStyle name="Comma 4 2 4 2 3 3" xfId="7574"/>
    <cellStyle name="Comma 4 2 4 2 4" xfId="3347"/>
    <cellStyle name="Comma 4 2 4 2 4 2" xfId="8983"/>
    <cellStyle name="Comma 4 2 4 2 5" xfId="6173"/>
    <cellStyle name="Comma 4 2 4 3" xfId="889"/>
    <cellStyle name="Comma 4 2 4 3 2" xfId="2290"/>
    <cellStyle name="Comma 4 2 4 3 2 2" xfId="5100"/>
    <cellStyle name="Comma 4 2 4 3 2 2 2" xfId="10736"/>
    <cellStyle name="Comma 4 2 4 3 2 3" xfId="7926"/>
    <cellStyle name="Comma 4 2 4 3 3" xfId="3699"/>
    <cellStyle name="Comma 4 2 4 3 3 2" xfId="9335"/>
    <cellStyle name="Comma 4 2 4 3 4" xfId="6525"/>
    <cellStyle name="Comma 4 2 4 4" xfId="1594"/>
    <cellStyle name="Comma 4 2 4 4 2" xfId="4404"/>
    <cellStyle name="Comma 4 2 4 4 2 2" xfId="10040"/>
    <cellStyle name="Comma 4 2 4 4 3" xfId="7230"/>
    <cellStyle name="Comma 4 2 4 5" xfId="3003"/>
    <cellStyle name="Comma 4 2 4 5 2" xfId="8639"/>
    <cellStyle name="Comma 4 2 4 6" xfId="5829"/>
    <cellStyle name="Comma 4 2 5" xfId="365"/>
    <cellStyle name="Comma 4 2 5 2" xfId="1061"/>
    <cellStyle name="Comma 4 2 5 2 2" xfId="2462"/>
    <cellStyle name="Comma 4 2 5 2 2 2" xfId="5272"/>
    <cellStyle name="Comma 4 2 5 2 2 2 2" xfId="10908"/>
    <cellStyle name="Comma 4 2 5 2 2 3" xfId="8098"/>
    <cellStyle name="Comma 4 2 5 2 3" xfId="3871"/>
    <cellStyle name="Comma 4 2 5 2 3 2" xfId="9507"/>
    <cellStyle name="Comma 4 2 5 2 4" xfId="6697"/>
    <cellStyle name="Comma 4 2 5 3" xfId="1766"/>
    <cellStyle name="Comma 4 2 5 3 2" xfId="4576"/>
    <cellStyle name="Comma 4 2 5 3 2 2" xfId="10212"/>
    <cellStyle name="Comma 4 2 5 3 3" xfId="7402"/>
    <cellStyle name="Comma 4 2 5 4" xfId="3175"/>
    <cellStyle name="Comma 4 2 5 4 2" xfId="8811"/>
    <cellStyle name="Comma 4 2 5 5" xfId="6001"/>
    <cellStyle name="Comma 4 2 6" xfId="717"/>
    <cellStyle name="Comma 4 2 6 2" xfId="2118"/>
    <cellStyle name="Comma 4 2 6 2 2" xfId="4928"/>
    <cellStyle name="Comma 4 2 6 2 2 2" xfId="10564"/>
    <cellStyle name="Comma 4 2 6 2 3" xfId="7754"/>
    <cellStyle name="Comma 4 2 6 3" xfId="3527"/>
    <cellStyle name="Comma 4 2 6 3 2" xfId="9163"/>
    <cellStyle name="Comma 4 2 6 4" xfId="6353"/>
    <cellStyle name="Comma 4 2 7" xfId="1422"/>
    <cellStyle name="Comma 4 2 7 2" xfId="4232"/>
    <cellStyle name="Comma 4 2 7 2 2" xfId="9868"/>
    <cellStyle name="Comma 4 2 7 3" xfId="7058"/>
    <cellStyle name="Comma 4 2 8" xfId="2831"/>
    <cellStyle name="Comma 4 2 8 2" xfId="8467"/>
    <cellStyle name="Comma 4 2 9" xfId="5657"/>
    <cellStyle name="Comma 4 3" xfId="41"/>
    <cellStyle name="Comma 4 3 2" xfId="121"/>
    <cellStyle name="Comma 4 3 2 2" xfId="293"/>
    <cellStyle name="Comma 4 3 2 2 2" xfId="637"/>
    <cellStyle name="Comma 4 3 2 2 2 2" xfId="1333"/>
    <cellStyle name="Comma 4 3 2 2 2 2 2" xfId="2734"/>
    <cellStyle name="Comma 4 3 2 2 2 2 2 2" xfId="5544"/>
    <cellStyle name="Comma 4 3 2 2 2 2 2 2 2" xfId="11180"/>
    <cellStyle name="Comma 4 3 2 2 2 2 2 3" xfId="8370"/>
    <cellStyle name="Comma 4 3 2 2 2 2 3" xfId="4143"/>
    <cellStyle name="Comma 4 3 2 2 2 2 3 2" xfId="9779"/>
    <cellStyle name="Comma 4 3 2 2 2 2 4" xfId="6969"/>
    <cellStyle name="Comma 4 3 2 2 2 3" xfId="2038"/>
    <cellStyle name="Comma 4 3 2 2 2 3 2" xfId="4848"/>
    <cellStyle name="Comma 4 3 2 2 2 3 2 2" xfId="10484"/>
    <cellStyle name="Comma 4 3 2 2 2 3 3" xfId="7674"/>
    <cellStyle name="Comma 4 3 2 2 2 4" xfId="3447"/>
    <cellStyle name="Comma 4 3 2 2 2 4 2" xfId="9083"/>
    <cellStyle name="Comma 4 3 2 2 2 5" xfId="6273"/>
    <cellStyle name="Comma 4 3 2 2 3" xfId="989"/>
    <cellStyle name="Comma 4 3 2 2 3 2" xfId="2390"/>
    <cellStyle name="Comma 4 3 2 2 3 2 2" xfId="5200"/>
    <cellStyle name="Comma 4 3 2 2 3 2 2 2" xfId="10836"/>
    <cellStyle name="Comma 4 3 2 2 3 2 3" xfId="8026"/>
    <cellStyle name="Comma 4 3 2 2 3 3" xfId="3799"/>
    <cellStyle name="Comma 4 3 2 2 3 3 2" xfId="9435"/>
    <cellStyle name="Comma 4 3 2 2 3 4" xfId="6625"/>
    <cellStyle name="Comma 4 3 2 2 4" xfId="1694"/>
    <cellStyle name="Comma 4 3 2 2 4 2" xfId="4504"/>
    <cellStyle name="Comma 4 3 2 2 4 2 2" xfId="10140"/>
    <cellStyle name="Comma 4 3 2 2 4 3" xfId="7330"/>
    <cellStyle name="Comma 4 3 2 2 5" xfId="3103"/>
    <cellStyle name="Comma 4 3 2 2 5 2" xfId="8739"/>
    <cellStyle name="Comma 4 3 2 2 6" xfId="5929"/>
    <cellStyle name="Comma 4 3 2 3" xfId="465"/>
    <cellStyle name="Comma 4 3 2 3 2" xfId="1161"/>
    <cellStyle name="Comma 4 3 2 3 2 2" xfId="2562"/>
    <cellStyle name="Comma 4 3 2 3 2 2 2" xfId="5372"/>
    <cellStyle name="Comma 4 3 2 3 2 2 2 2" xfId="11008"/>
    <cellStyle name="Comma 4 3 2 3 2 2 3" xfId="8198"/>
    <cellStyle name="Comma 4 3 2 3 2 3" xfId="3971"/>
    <cellStyle name="Comma 4 3 2 3 2 3 2" xfId="9607"/>
    <cellStyle name="Comma 4 3 2 3 2 4" xfId="6797"/>
    <cellStyle name="Comma 4 3 2 3 3" xfId="1866"/>
    <cellStyle name="Comma 4 3 2 3 3 2" xfId="4676"/>
    <cellStyle name="Comma 4 3 2 3 3 2 2" xfId="10312"/>
    <cellStyle name="Comma 4 3 2 3 3 3" xfId="7502"/>
    <cellStyle name="Comma 4 3 2 3 4" xfId="3275"/>
    <cellStyle name="Comma 4 3 2 3 4 2" xfId="8911"/>
    <cellStyle name="Comma 4 3 2 3 5" xfId="6101"/>
    <cellStyle name="Comma 4 3 2 4" xfId="817"/>
    <cellStyle name="Comma 4 3 2 4 2" xfId="2218"/>
    <cellStyle name="Comma 4 3 2 4 2 2" xfId="5028"/>
    <cellStyle name="Comma 4 3 2 4 2 2 2" xfId="10664"/>
    <cellStyle name="Comma 4 3 2 4 2 3" xfId="7854"/>
    <cellStyle name="Comma 4 3 2 4 3" xfId="3627"/>
    <cellStyle name="Comma 4 3 2 4 3 2" xfId="9263"/>
    <cellStyle name="Comma 4 3 2 4 4" xfId="6453"/>
    <cellStyle name="Comma 4 3 2 5" xfId="1522"/>
    <cellStyle name="Comma 4 3 2 5 2" xfId="4332"/>
    <cellStyle name="Comma 4 3 2 5 2 2" xfId="9968"/>
    <cellStyle name="Comma 4 3 2 5 3" xfId="7158"/>
    <cellStyle name="Comma 4 3 2 6" xfId="2931"/>
    <cellStyle name="Comma 4 3 2 6 2" xfId="8567"/>
    <cellStyle name="Comma 4 3 2 7" xfId="5757"/>
    <cellStyle name="Comma 4 3 3" xfId="213"/>
    <cellStyle name="Comma 4 3 3 2" xfId="557"/>
    <cellStyle name="Comma 4 3 3 2 2" xfId="1253"/>
    <cellStyle name="Comma 4 3 3 2 2 2" xfId="2654"/>
    <cellStyle name="Comma 4 3 3 2 2 2 2" xfId="5464"/>
    <cellStyle name="Comma 4 3 3 2 2 2 2 2" xfId="11100"/>
    <cellStyle name="Comma 4 3 3 2 2 2 3" xfId="8290"/>
    <cellStyle name="Comma 4 3 3 2 2 3" xfId="4063"/>
    <cellStyle name="Comma 4 3 3 2 2 3 2" xfId="9699"/>
    <cellStyle name="Comma 4 3 3 2 2 4" xfId="6889"/>
    <cellStyle name="Comma 4 3 3 2 3" xfId="1958"/>
    <cellStyle name="Comma 4 3 3 2 3 2" xfId="4768"/>
    <cellStyle name="Comma 4 3 3 2 3 2 2" xfId="10404"/>
    <cellStyle name="Comma 4 3 3 2 3 3" xfId="7594"/>
    <cellStyle name="Comma 4 3 3 2 4" xfId="3367"/>
    <cellStyle name="Comma 4 3 3 2 4 2" xfId="9003"/>
    <cellStyle name="Comma 4 3 3 2 5" xfId="6193"/>
    <cellStyle name="Comma 4 3 3 3" xfId="909"/>
    <cellStyle name="Comma 4 3 3 3 2" xfId="2310"/>
    <cellStyle name="Comma 4 3 3 3 2 2" xfId="5120"/>
    <cellStyle name="Comma 4 3 3 3 2 2 2" xfId="10756"/>
    <cellStyle name="Comma 4 3 3 3 2 3" xfId="7946"/>
    <cellStyle name="Comma 4 3 3 3 3" xfId="3719"/>
    <cellStyle name="Comma 4 3 3 3 3 2" xfId="9355"/>
    <cellStyle name="Comma 4 3 3 3 4" xfId="6545"/>
    <cellStyle name="Comma 4 3 3 4" xfId="1614"/>
    <cellStyle name="Comma 4 3 3 4 2" xfId="4424"/>
    <cellStyle name="Comma 4 3 3 4 2 2" xfId="10060"/>
    <cellStyle name="Comma 4 3 3 4 3" xfId="7250"/>
    <cellStyle name="Comma 4 3 3 5" xfId="3023"/>
    <cellStyle name="Comma 4 3 3 5 2" xfId="8659"/>
    <cellStyle name="Comma 4 3 3 6" xfId="5849"/>
    <cellStyle name="Comma 4 3 4" xfId="385"/>
    <cellStyle name="Comma 4 3 4 2" xfId="1081"/>
    <cellStyle name="Comma 4 3 4 2 2" xfId="2482"/>
    <cellStyle name="Comma 4 3 4 2 2 2" xfId="5292"/>
    <cellStyle name="Comma 4 3 4 2 2 2 2" xfId="10928"/>
    <cellStyle name="Comma 4 3 4 2 2 3" xfId="8118"/>
    <cellStyle name="Comma 4 3 4 2 3" xfId="3891"/>
    <cellStyle name="Comma 4 3 4 2 3 2" xfId="9527"/>
    <cellStyle name="Comma 4 3 4 2 4" xfId="6717"/>
    <cellStyle name="Comma 4 3 4 3" xfId="1786"/>
    <cellStyle name="Comma 4 3 4 3 2" xfId="4596"/>
    <cellStyle name="Comma 4 3 4 3 2 2" xfId="10232"/>
    <cellStyle name="Comma 4 3 4 3 3" xfId="7422"/>
    <cellStyle name="Comma 4 3 4 4" xfId="3195"/>
    <cellStyle name="Comma 4 3 4 4 2" xfId="8831"/>
    <cellStyle name="Comma 4 3 4 5" xfId="6021"/>
    <cellStyle name="Comma 4 3 5" xfId="737"/>
    <cellStyle name="Comma 4 3 5 2" xfId="2138"/>
    <cellStyle name="Comma 4 3 5 2 2" xfId="4948"/>
    <cellStyle name="Comma 4 3 5 2 2 2" xfId="10584"/>
    <cellStyle name="Comma 4 3 5 2 3" xfId="7774"/>
    <cellStyle name="Comma 4 3 5 3" xfId="3547"/>
    <cellStyle name="Comma 4 3 5 3 2" xfId="9183"/>
    <cellStyle name="Comma 4 3 5 4" xfId="6373"/>
    <cellStyle name="Comma 4 3 6" xfId="1442"/>
    <cellStyle name="Comma 4 3 6 2" xfId="4252"/>
    <cellStyle name="Comma 4 3 6 2 2" xfId="9888"/>
    <cellStyle name="Comma 4 3 6 3" xfId="7078"/>
    <cellStyle name="Comma 4 3 7" xfId="2851"/>
    <cellStyle name="Comma 4 3 7 2" xfId="8487"/>
    <cellStyle name="Comma 4 3 8" xfId="5677"/>
    <cellStyle name="Comma 4 4" xfId="89"/>
    <cellStyle name="Comma 4 4 2" xfId="261"/>
    <cellStyle name="Comma 4 4 2 2" xfId="605"/>
    <cellStyle name="Comma 4 4 2 2 2" xfId="1301"/>
    <cellStyle name="Comma 4 4 2 2 2 2" xfId="2702"/>
    <cellStyle name="Comma 4 4 2 2 2 2 2" xfId="5512"/>
    <cellStyle name="Comma 4 4 2 2 2 2 2 2" xfId="11148"/>
    <cellStyle name="Comma 4 4 2 2 2 2 3" xfId="8338"/>
    <cellStyle name="Comma 4 4 2 2 2 3" xfId="4111"/>
    <cellStyle name="Comma 4 4 2 2 2 3 2" xfId="9747"/>
    <cellStyle name="Comma 4 4 2 2 2 4" xfId="6937"/>
    <cellStyle name="Comma 4 4 2 2 3" xfId="2006"/>
    <cellStyle name="Comma 4 4 2 2 3 2" xfId="4816"/>
    <cellStyle name="Comma 4 4 2 2 3 2 2" xfId="10452"/>
    <cellStyle name="Comma 4 4 2 2 3 3" xfId="7642"/>
    <cellStyle name="Comma 4 4 2 2 4" xfId="3415"/>
    <cellStyle name="Comma 4 4 2 2 4 2" xfId="9051"/>
    <cellStyle name="Comma 4 4 2 2 5" xfId="6241"/>
    <cellStyle name="Comma 4 4 2 3" xfId="957"/>
    <cellStyle name="Comma 4 4 2 3 2" xfId="2358"/>
    <cellStyle name="Comma 4 4 2 3 2 2" xfId="5168"/>
    <cellStyle name="Comma 4 4 2 3 2 2 2" xfId="10804"/>
    <cellStyle name="Comma 4 4 2 3 2 3" xfId="7994"/>
    <cellStyle name="Comma 4 4 2 3 3" xfId="3767"/>
    <cellStyle name="Comma 4 4 2 3 3 2" xfId="9403"/>
    <cellStyle name="Comma 4 4 2 3 4" xfId="6593"/>
    <cellStyle name="Comma 4 4 2 4" xfId="1662"/>
    <cellStyle name="Comma 4 4 2 4 2" xfId="4472"/>
    <cellStyle name="Comma 4 4 2 4 2 2" xfId="10108"/>
    <cellStyle name="Comma 4 4 2 4 3" xfId="7298"/>
    <cellStyle name="Comma 4 4 2 5" xfId="3071"/>
    <cellStyle name="Comma 4 4 2 5 2" xfId="8707"/>
    <cellStyle name="Comma 4 4 2 6" xfId="5897"/>
    <cellStyle name="Comma 4 4 3" xfId="433"/>
    <cellStyle name="Comma 4 4 3 2" xfId="1129"/>
    <cellStyle name="Comma 4 4 3 2 2" xfId="2530"/>
    <cellStyle name="Comma 4 4 3 2 2 2" xfId="5340"/>
    <cellStyle name="Comma 4 4 3 2 2 2 2" xfId="10976"/>
    <cellStyle name="Comma 4 4 3 2 2 3" xfId="8166"/>
    <cellStyle name="Comma 4 4 3 2 3" xfId="3939"/>
    <cellStyle name="Comma 4 4 3 2 3 2" xfId="9575"/>
    <cellStyle name="Comma 4 4 3 2 4" xfId="6765"/>
    <cellStyle name="Comma 4 4 3 3" xfId="1834"/>
    <cellStyle name="Comma 4 4 3 3 2" xfId="4644"/>
    <cellStyle name="Comma 4 4 3 3 2 2" xfId="10280"/>
    <cellStyle name="Comma 4 4 3 3 3" xfId="7470"/>
    <cellStyle name="Comma 4 4 3 4" xfId="3243"/>
    <cellStyle name="Comma 4 4 3 4 2" xfId="8879"/>
    <cellStyle name="Comma 4 4 3 5" xfId="6069"/>
    <cellStyle name="Comma 4 4 4" xfId="785"/>
    <cellStyle name="Comma 4 4 4 2" xfId="2186"/>
    <cellStyle name="Comma 4 4 4 2 2" xfId="4996"/>
    <cellStyle name="Comma 4 4 4 2 2 2" xfId="10632"/>
    <cellStyle name="Comma 4 4 4 2 3" xfId="7822"/>
    <cellStyle name="Comma 4 4 4 3" xfId="3595"/>
    <cellStyle name="Comma 4 4 4 3 2" xfId="9231"/>
    <cellStyle name="Comma 4 4 4 4" xfId="6421"/>
    <cellStyle name="Comma 4 4 5" xfId="1490"/>
    <cellStyle name="Comma 4 4 5 2" xfId="4300"/>
    <cellStyle name="Comma 4 4 5 2 2" xfId="9936"/>
    <cellStyle name="Comma 4 4 5 3" xfId="7126"/>
    <cellStyle name="Comma 4 4 6" xfId="2899"/>
    <cellStyle name="Comma 4 4 6 2" xfId="8535"/>
    <cellStyle name="Comma 4 4 7" xfId="5725"/>
    <cellStyle name="Comma 4 5" xfId="181"/>
    <cellStyle name="Comma 4 5 2" xfId="525"/>
    <cellStyle name="Comma 4 5 2 2" xfId="1221"/>
    <cellStyle name="Comma 4 5 2 2 2" xfId="2622"/>
    <cellStyle name="Comma 4 5 2 2 2 2" xfId="5432"/>
    <cellStyle name="Comma 4 5 2 2 2 2 2" xfId="11068"/>
    <cellStyle name="Comma 4 5 2 2 2 3" xfId="8258"/>
    <cellStyle name="Comma 4 5 2 2 3" xfId="4031"/>
    <cellStyle name="Comma 4 5 2 2 3 2" xfId="9667"/>
    <cellStyle name="Comma 4 5 2 2 4" xfId="6857"/>
    <cellStyle name="Comma 4 5 2 3" xfId="1926"/>
    <cellStyle name="Comma 4 5 2 3 2" xfId="4736"/>
    <cellStyle name="Comma 4 5 2 3 2 2" xfId="10372"/>
    <cellStyle name="Comma 4 5 2 3 3" xfId="7562"/>
    <cellStyle name="Comma 4 5 2 4" xfId="3335"/>
    <cellStyle name="Comma 4 5 2 4 2" xfId="8971"/>
    <cellStyle name="Comma 4 5 2 5" xfId="6161"/>
    <cellStyle name="Comma 4 5 3" xfId="877"/>
    <cellStyle name="Comma 4 5 3 2" xfId="2278"/>
    <cellStyle name="Comma 4 5 3 2 2" xfId="5088"/>
    <cellStyle name="Comma 4 5 3 2 2 2" xfId="10724"/>
    <cellStyle name="Comma 4 5 3 2 3" xfId="7914"/>
    <cellStyle name="Comma 4 5 3 3" xfId="3687"/>
    <cellStyle name="Comma 4 5 3 3 2" xfId="9323"/>
    <cellStyle name="Comma 4 5 3 4" xfId="6513"/>
    <cellStyle name="Comma 4 5 4" xfId="1582"/>
    <cellStyle name="Comma 4 5 4 2" xfId="4392"/>
    <cellStyle name="Comma 4 5 4 2 2" xfId="10028"/>
    <cellStyle name="Comma 4 5 4 3" xfId="7218"/>
    <cellStyle name="Comma 4 5 5" xfId="2991"/>
    <cellStyle name="Comma 4 5 5 2" xfId="8627"/>
    <cellStyle name="Comma 4 5 6" xfId="5817"/>
    <cellStyle name="Comma 4 6" xfId="353"/>
    <cellStyle name="Comma 4 6 2" xfId="1049"/>
    <cellStyle name="Comma 4 6 2 2" xfId="2450"/>
    <cellStyle name="Comma 4 6 2 2 2" xfId="5260"/>
    <cellStyle name="Comma 4 6 2 2 2 2" xfId="10896"/>
    <cellStyle name="Comma 4 6 2 2 3" xfId="8086"/>
    <cellStyle name="Comma 4 6 2 3" xfId="3859"/>
    <cellStyle name="Comma 4 6 2 3 2" xfId="9495"/>
    <cellStyle name="Comma 4 6 2 4" xfId="6685"/>
    <cellStyle name="Comma 4 6 3" xfId="1754"/>
    <cellStyle name="Comma 4 6 3 2" xfId="4564"/>
    <cellStyle name="Comma 4 6 3 2 2" xfId="10200"/>
    <cellStyle name="Comma 4 6 3 3" xfId="7390"/>
    <cellStyle name="Comma 4 6 4" xfId="3163"/>
    <cellStyle name="Comma 4 6 4 2" xfId="8799"/>
    <cellStyle name="Comma 4 6 5" xfId="5989"/>
    <cellStyle name="Comma 4 7" xfId="705"/>
    <cellStyle name="Comma 4 7 2" xfId="2106"/>
    <cellStyle name="Comma 4 7 2 2" xfId="4916"/>
    <cellStyle name="Comma 4 7 2 2 2" xfId="10552"/>
    <cellStyle name="Comma 4 7 2 3" xfId="7742"/>
    <cellStyle name="Comma 4 7 3" xfId="3515"/>
    <cellStyle name="Comma 4 7 3 2" xfId="9151"/>
    <cellStyle name="Comma 4 7 4" xfId="6341"/>
    <cellStyle name="Comma 4 8" xfId="1410"/>
    <cellStyle name="Comma 4 8 2" xfId="4220"/>
    <cellStyle name="Comma 4 8 2 2" xfId="9856"/>
    <cellStyle name="Comma 4 8 3" xfId="7046"/>
    <cellStyle name="Comma 4 9" xfId="2819"/>
    <cellStyle name="Comma 4 9 2" xfId="8455"/>
    <cellStyle name="Comma 40" xfId="2812"/>
    <cellStyle name="Comma 40 2" xfId="8448"/>
    <cellStyle name="Comma 41" xfId="5623"/>
    <cellStyle name="Comma 41 2" xfId="11259"/>
    <cellStyle name="Comma 42" xfId="5625"/>
    <cellStyle name="Comma 42 2" xfId="11261"/>
    <cellStyle name="Comma 43" xfId="5631"/>
    <cellStyle name="Comma 43 2" xfId="11267"/>
    <cellStyle name="Comma 44" xfId="5637"/>
    <cellStyle name="Comma 5" xfId="12"/>
    <cellStyle name="Comma 5 10" xfId="5648"/>
    <cellStyle name="Comma 5 2" xfId="24"/>
    <cellStyle name="Comma 5 2 2" xfId="56"/>
    <cellStyle name="Comma 5 2 2 2" xfId="136"/>
    <cellStyle name="Comma 5 2 2 2 2" xfId="308"/>
    <cellStyle name="Comma 5 2 2 2 2 2" xfId="652"/>
    <cellStyle name="Comma 5 2 2 2 2 2 2" xfId="1348"/>
    <cellStyle name="Comma 5 2 2 2 2 2 2 2" xfId="2749"/>
    <cellStyle name="Comma 5 2 2 2 2 2 2 2 2" xfId="5559"/>
    <cellStyle name="Comma 5 2 2 2 2 2 2 2 2 2" xfId="11195"/>
    <cellStyle name="Comma 5 2 2 2 2 2 2 2 3" xfId="8385"/>
    <cellStyle name="Comma 5 2 2 2 2 2 2 3" xfId="4158"/>
    <cellStyle name="Comma 5 2 2 2 2 2 2 3 2" xfId="9794"/>
    <cellStyle name="Comma 5 2 2 2 2 2 2 4" xfId="6984"/>
    <cellStyle name="Comma 5 2 2 2 2 2 3" xfId="2053"/>
    <cellStyle name="Comma 5 2 2 2 2 2 3 2" xfId="4863"/>
    <cellStyle name="Comma 5 2 2 2 2 2 3 2 2" xfId="10499"/>
    <cellStyle name="Comma 5 2 2 2 2 2 3 3" xfId="7689"/>
    <cellStyle name="Comma 5 2 2 2 2 2 4" xfId="3462"/>
    <cellStyle name="Comma 5 2 2 2 2 2 4 2" xfId="9098"/>
    <cellStyle name="Comma 5 2 2 2 2 2 5" xfId="6288"/>
    <cellStyle name="Comma 5 2 2 2 2 3" xfId="1004"/>
    <cellStyle name="Comma 5 2 2 2 2 3 2" xfId="2405"/>
    <cellStyle name="Comma 5 2 2 2 2 3 2 2" xfId="5215"/>
    <cellStyle name="Comma 5 2 2 2 2 3 2 2 2" xfId="10851"/>
    <cellStyle name="Comma 5 2 2 2 2 3 2 3" xfId="8041"/>
    <cellStyle name="Comma 5 2 2 2 2 3 3" xfId="3814"/>
    <cellStyle name="Comma 5 2 2 2 2 3 3 2" xfId="9450"/>
    <cellStyle name="Comma 5 2 2 2 2 3 4" xfId="6640"/>
    <cellStyle name="Comma 5 2 2 2 2 4" xfId="1709"/>
    <cellStyle name="Comma 5 2 2 2 2 4 2" xfId="4519"/>
    <cellStyle name="Comma 5 2 2 2 2 4 2 2" xfId="10155"/>
    <cellStyle name="Comma 5 2 2 2 2 4 3" xfId="7345"/>
    <cellStyle name="Comma 5 2 2 2 2 5" xfId="3118"/>
    <cellStyle name="Comma 5 2 2 2 2 5 2" xfId="8754"/>
    <cellStyle name="Comma 5 2 2 2 2 6" xfId="5944"/>
    <cellStyle name="Comma 5 2 2 2 3" xfId="480"/>
    <cellStyle name="Comma 5 2 2 2 3 2" xfId="1176"/>
    <cellStyle name="Comma 5 2 2 2 3 2 2" xfId="2577"/>
    <cellStyle name="Comma 5 2 2 2 3 2 2 2" xfId="5387"/>
    <cellStyle name="Comma 5 2 2 2 3 2 2 2 2" xfId="11023"/>
    <cellStyle name="Comma 5 2 2 2 3 2 2 3" xfId="8213"/>
    <cellStyle name="Comma 5 2 2 2 3 2 3" xfId="3986"/>
    <cellStyle name="Comma 5 2 2 2 3 2 3 2" xfId="9622"/>
    <cellStyle name="Comma 5 2 2 2 3 2 4" xfId="6812"/>
    <cellStyle name="Comma 5 2 2 2 3 3" xfId="1881"/>
    <cellStyle name="Comma 5 2 2 2 3 3 2" xfId="4691"/>
    <cellStyle name="Comma 5 2 2 2 3 3 2 2" xfId="10327"/>
    <cellStyle name="Comma 5 2 2 2 3 3 3" xfId="7517"/>
    <cellStyle name="Comma 5 2 2 2 3 4" xfId="3290"/>
    <cellStyle name="Comma 5 2 2 2 3 4 2" xfId="8926"/>
    <cellStyle name="Comma 5 2 2 2 3 5" xfId="6116"/>
    <cellStyle name="Comma 5 2 2 2 4" xfId="832"/>
    <cellStyle name="Comma 5 2 2 2 4 2" xfId="2233"/>
    <cellStyle name="Comma 5 2 2 2 4 2 2" xfId="5043"/>
    <cellStyle name="Comma 5 2 2 2 4 2 2 2" xfId="10679"/>
    <cellStyle name="Comma 5 2 2 2 4 2 3" xfId="7869"/>
    <cellStyle name="Comma 5 2 2 2 4 3" xfId="3642"/>
    <cellStyle name="Comma 5 2 2 2 4 3 2" xfId="9278"/>
    <cellStyle name="Comma 5 2 2 2 4 4" xfId="6468"/>
    <cellStyle name="Comma 5 2 2 2 5" xfId="1537"/>
    <cellStyle name="Comma 5 2 2 2 5 2" xfId="4347"/>
    <cellStyle name="Comma 5 2 2 2 5 2 2" xfId="9983"/>
    <cellStyle name="Comma 5 2 2 2 5 3" xfId="7173"/>
    <cellStyle name="Comma 5 2 2 2 6" xfId="2946"/>
    <cellStyle name="Comma 5 2 2 2 6 2" xfId="8582"/>
    <cellStyle name="Comma 5 2 2 2 7" xfId="5772"/>
    <cellStyle name="Comma 5 2 2 3" xfId="228"/>
    <cellStyle name="Comma 5 2 2 3 2" xfId="572"/>
    <cellStyle name="Comma 5 2 2 3 2 2" xfId="1268"/>
    <cellStyle name="Comma 5 2 2 3 2 2 2" xfId="2669"/>
    <cellStyle name="Comma 5 2 2 3 2 2 2 2" xfId="5479"/>
    <cellStyle name="Comma 5 2 2 3 2 2 2 2 2" xfId="11115"/>
    <cellStyle name="Comma 5 2 2 3 2 2 2 3" xfId="8305"/>
    <cellStyle name="Comma 5 2 2 3 2 2 3" xfId="4078"/>
    <cellStyle name="Comma 5 2 2 3 2 2 3 2" xfId="9714"/>
    <cellStyle name="Comma 5 2 2 3 2 2 4" xfId="6904"/>
    <cellStyle name="Comma 5 2 2 3 2 3" xfId="1973"/>
    <cellStyle name="Comma 5 2 2 3 2 3 2" xfId="4783"/>
    <cellStyle name="Comma 5 2 2 3 2 3 2 2" xfId="10419"/>
    <cellStyle name="Comma 5 2 2 3 2 3 3" xfId="7609"/>
    <cellStyle name="Comma 5 2 2 3 2 4" xfId="3382"/>
    <cellStyle name="Comma 5 2 2 3 2 4 2" xfId="9018"/>
    <cellStyle name="Comma 5 2 2 3 2 5" xfId="6208"/>
    <cellStyle name="Comma 5 2 2 3 3" xfId="924"/>
    <cellStyle name="Comma 5 2 2 3 3 2" xfId="2325"/>
    <cellStyle name="Comma 5 2 2 3 3 2 2" xfId="5135"/>
    <cellStyle name="Comma 5 2 2 3 3 2 2 2" xfId="10771"/>
    <cellStyle name="Comma 5 2 2 3 3 2 3" xfId="7961"/>
    <cellStyle name="Comma 5 2 2 3 3 3" xfId="3734"/>
    <cellStyle name="Comma 5 2 2 3 3 3 2" xfId="9370"/>
    <cellStyle name="Comma 5 2 2 3 3 4" xfId="6560"/>
    <cellStyle name="Comma 5 2 2 3 4" xfId="1629"/>
    <cellStyle name="Comma 5 2 2 3 4 2" xfId="4439"/>
    <cellStyle name="Comma 5 2 2 3 4 2 2" xfId="10075"/>
    <cellStyle name="Comma 5 2 2 3 4 3" xfId="7265"/>
    <cellStyle name="Comma 5 2 2 3 5" xfId="3038"/>
    <cellStyle name="Comma 5 2 2 3 5 2" xfId="8674"/>
    <cellStyle name="Comma 5 2 2 3 6" xfId="5864"/>
    <cellStyle name="Comma 5 2 2 4" xfId="400"/>
    <cellStyle name="Comma 5 2 2 4 2" xfId="1096"/>
    <cellStyle name="Comma 5 2 2 4 2 2" xfId="2497"/>
    <cellStyle name="Comma 5 2 2 4 2 2 2" xfId="5307"/>
    <cellStyle name="Comma 5 2 2 4 2 2 2 2" xfId="10943"/>
    <cellStyle name="Comma 5 2 2 4 2 2 3" xfId="8133"/>
    <cellStyle name="Comma 5 2 2 4 2 3" xfId="3906"/>
    <cellStyle name="Comma 5 2 2 4 2 3 2" xfId="9542"/>
    <cellStyle name="Comma 5 2 2 4 2 4" xfId="6732"/>
    <cellStyle name="Comma 5 2 2 4 3" xfId="1801"/>
    <cellStyle name="Comma 5 2 2 4 3 2" xfId="4611"/>
    <cellStyle name="Comma 5 2 2 4 3 2 2" xfId="10247"/>
    <cellStyle name="Comma 5 2 2 4 3 3" xfId="7437"/>
    <cellStyle name="Comma 5 2 2 4 4" xfId="3210"/>
    <cellStyle name="Comma 5 2 2 4 4 2" xfId="8846"/>
    <cellStyle name="Comma 5 2 2 4 5" xfId="6036"/>
    <cellStyle name="Comma 5 2 2 5" xfId="752"/>
    <cellStyle name="Comma 5 2 2 5 2" xfId="2153"/>
    <cellStyle name="Comma 5 2 2 5 2 2" xfId="4963"/>
    <cellStyle name="Comma 5 2 2 5 2 2 2" xfId="10599"/>
    <cellStyle name="Comma 5 2 2 5 2 3" xfId="7789"/>
    <cellStyle name="Comma 5 2 2 5 3" xfId="3562"/>
    <cellStyle name="Comma 5 2 2 5 3 2" xfId="9198"/>
    <cellStyle name="Comma 5 2 2 5 4" xfId="6388"/>
    <cellStyle name="Comma 5 2 2 6" xfId="1457"/>
    <cellStyle name="Comma 5 2 2 6 2" xfId="4267"/>
    <cellStyle name="Comma 5 2 2 6 2 2" xfId="9903"/>
    <cellStyle name="Comma 5 2 2 6 3" xfId="7093"/>
    <cellStyle name="Comma 5 2 2 7" xfId="2866"/>
    <cellStyle name="Comma 5 2 2 7 2" xfId="8502"/>
    <cellStyle name="Comma 5 2 2 8" xfId="5692"/>
    <cellStyle name="Comma 5 2 3" xfId="104"/>
    <cellStyle name="Comma 5 2 3 2" xfId="276"/>
    <cellStyle name="Comma 5 2 3 2 2" xfId="620"/>
    <cellStyle name="Comma 5 2 3 2 2 2" xfId="1316"/>
    <cellStyle name="Comma 5 2 3 2 2 2 2" xfId="2717"/>
    <cellStyle name="Comma 5 2 3 2 2 2 2 2" xfId="5527"/>
    <cellStyle name="Comma 5 2 3 2 2 2 2 2 2" xfId="11163"/>
    <cellStyle name="Comma 5 2 3 2 2 2 2 3" xfId="8353"/>
    <cellStyle name="Comma 5 2 3 2 2 2 3" xfId="4126"/>
    <cellStyle name="Comma 5 2 3 2 2 2 3 2" xfId="9762"/>
    <cellStyle name="Comma 5 2 3 2 2 2 4" xfId="6952"/>
    <cellStyle name="Comma 5 2 3 2 2 3" xfId="2021"/>
    <cellStyle name="Comma 5 2 3 2 2 3 2" xfId="4831"/>
    <cellStyle name="Comma 5 2 3 2 2 3 2 2" xfId="10467"/>
    <cellStyle name="Comma 5 2 3 2 2 3 3" xfId="7657"/>
    <cellStyle name="Comma 5 2 3 2 2 4" xfId="3430"/>
    <cellStyle name="Comma 5 2 3 2 2 4 2" xfId="9066"/>
    <cellStyle name="Comma 5 2 3 2 2 5" xfId="6256"/>
    <cellStyle name="Comma 5 2 3 2 3" xfId="972"/>
    <cellStyle name="Comma 5 2 3 2 3 2" xfId="2373"/>
    <cellStyle name="Comma 5 2 3 2 3 2 2" xfId="5183"/>
    <cellStyle name="Comma 5 2 3 2 3 2 2 2" xfId="10819"/>
    <cellStyle name="Comma 5 2 3 2 3 2 3" xfId="8009"/>
    <cellStyle name="Comma 5 2 3 2 3 3" xfId="3782"/>
    <cellStyle name="Comma 5 2 3 2 3 3 2" xfId="9418"/>
    <cellStyle name="Comma 5 2 3 2 3 4" xfId="6608"/>
    <cellStyle name="Comma 5 2 3 2 4" xfId="1677"/>
    <cellStyle name="Comma 5 2 3 2 4 2" xfId="4487"/>
    <cellStyle name="Comma 5 2 3 2 4 2 2" xfId="10123"/>
    <cellStyle name="Comma 5 2 3 2 4 3" xfId="7313"/>
    <cellStyle name="Comma 5 2 3 2 5" xfId="3086"/>
    <cellStyle name="Comma 5 2 3 2 5 2" xfId="8722"/>
    <cellStyle name="Comma 5 2 3 2 6" xfId="5912"/>
    <cellStyle name="Comma 5 2 3 3" xfId="448"/>
    <cellStyle name="Comma 5 2 3 3 2" xfId="1144"/>
    <cellStyle name="Comma 5 2 3 3 2 2" xfId="2545"/>
    <cellStyle name="Comma 5 2 3 3 2 2 2" xfId="5355"/>
    <cellStyle name="Comma 5 2 3 3 2 2 2 2" xfId="10991"/>
    <cellStyle name="Comma 5 2 3 3 2 2 3" xfId="8181"/>
    <cellStyle name="Comma 5 2 3 3 2 3" xfId="3954"/>
    <cellStyle name="Comma 5 2 3 3 2 3 2" xfId="9590"/>
    <cellStyle name="Comma 5 2 3 3 2 4" xfId="6780"/>
    <cellStyle name="Comma 5 2 3 3 3" xfId="1849"/>
    <cellStyle name="Comma 5 2 3 3 3 2" xfId="4659"/>
    <cellStyle name="Comma 5 2 3 3 3 2 2" xfId="10295"/>
    <cellStyle name="Comma 5 2 3 3 3 3" xfId="7485"/>
    <cellStyle name="Comma 5 2 3 3 4" xfId="3258"/>
    <cellStyle name="Comma 5 2 3 3 4 2" xfId="8894"/>
    <cellStyle name="Comma 5 2 3 3 5" xfId="6084"/>
    <cellStyle name="Comma 5 2 3 4" xfId="800"/>
    <cellStyle name="Comma 5 2 3 4 2" xfId="2201"/>
    <cellStyle name="Comma 5 2 3 4 2 2" xfId="5011"/>
    <cellStyle name="Comma 5 2 3 4 2 2 2" xfId="10647"/>
    <cellStyle name="Comma 5 2 3 4 2 3" xfId="7837"/>
    <cellStyle name="Comma 5 2 3 4 3" xfId="3610"/>
    <cellStyle name="Comma 5 2 3 4 3 2" xfId="9246"/>
    <cellStyle name="Comma 5 2 3 4 4" xfId="6436"/>
    <cellStyle name="Comma 5 2 3 5" xfId="1505"/>
    <cellStyle name="Comma 5 2 3 5 2" xfId="4315"/>
    <cellStyle name="Comma 5 2 3 5 2 2" xfId="9951"/>
    <cellStyle name="Comma 5 2 3 5 3" xfId="7141"/>
    <cellStyle name="Comma 5 2 3 6" xfId="2914"/>
    <cellStyle name="Comma 5 2 3 6 2" xfId="8550"/>
    <cellStyle name="Comma 5 2 3 7" xfId="5740"/>
    <cellStyle name="Comma 5 2 4" xfId="196"/>
    <cellStyle name="Comma 5 2 4 2" xfId="540"/>
    <cellStyle name="Comma 5 2 4 2 2" xfId="1236"/>
    <cellStyle name="Comma 5 2 4 2 2 2" xfId="2637"/>
    <cellStyle name="Comma 5 2 4 2 2 2 2" xfId="5447"/>
    <cellStyle name="Comma 5 2 4 2 2 2 2 2" xfId="11083"/>
    <cellStyle name="Comma 5 2 4 2 2 2 3" xfId="8273"/>
    <cellStyle name="Comma 5 2 4 2 2 3" xfId="4046"/>
    <cellStyle name="Comma 5 2 4 2 2 3 2" xfId="9682"/>
    <cellStyle name="Comma 5 2 4 2 2 4" xfId="6872"/>
    <cellStyle name="Comma 5 2 4 2 3" xfId="1941"/>
    <cellStyle name="Comma 5 2 4 2 3 2" xfId="4751"/>
    <cellStyle name="Comma 5 2 4 2 3 2 2" xfId="10387"/>
    <cellStyle name="Comma 5 2 4 2 3 3" xfId="7577"/>
    <cellStyle name="Comma 5 2 4 2 4" xfId="3350"/>
    <cellStyle name="Comma 5 2 4 2 4 2" xfId="8986"/>
    <cellStyle name="Comma 5 2 4 2 5" xfId="6176"/>
    <cellStyle name="Comma 5 2 4 3" xfId="892"/>
    <cellStyle name="Comma 5 2 4 3 2" xfId="2293"/>
    <cellStyle name="Comma 5 2 4 3 2 2" xfId="5103"/>
    <cellStyle name="Comma 5 2 4 3 2 2 2" xfId="10739"/>
    <cellStyle name="Comma 5 2 4 3 2 3" xfId="7929"/>
    <cellStyle name="Comma 5 2 4 3 3" xfId="3702"/>
    <cellStyle name="Comma 5 2 4 3 3 2" xfId="9338"/>
    <cellStyle name="Comma 5 2 4 3 4" xfId="6528"/>
    <cellStyle name="Comma 5 2 4 4" xfId="1597"/>
    <cellStyle name="Comma 5 2 4 4 2" xfId="4407"/>
    <cellStyle name="Comma 5 2 4 4 2 2" xfId="10043"/>
    <cellStyle name="Comma 5 2 4 4 3" xfId="7233"/>
    <cellStyle name="Comma 5 2 4 5" xfId="3006"/>
    <cellStyle name="Comma 5 2 4 5 2" xfId="8642"/>
    <cellStyle name="Comma 5 2 4 6" xfId="5832"/>
    <cellStyle name="Comma 5 2 5" xfId="368"/>
    <cellStyle name="Comma 5 2 5 2" xfId="1064"/>
    <cellStyle name="Comma 5 2 5 2 2" xfId="2465"/>
    <cellStyle name="Comma 5 2 5 2 2 2" xfId="5275"/>
    <cellStyle name="Comma 5 2 5 2 2 2 2" xfId="10911"/>
    <cellStyle name="Comma 5 2 5 2 2 3" xfId="8101"/>
    <cellStyle name="Comma 5 2 5 2 3" xfId="3874"/>
    <cellStyle name="Comma 5 2 5 2 3 2" xfId="9510"/>
    <cellStyle name="Comma 5 2 5 2 4" xfId="6700"/>
    <cellStyle name="Comma 5 2 5 3" xfId="1769"/>
    <cellStyle name="Comma 5 2 5 3 2" xfId="4579"/>
    <cellStyle name="Comma 5 2 5 3 2 2" xfId="10215"/>
    <cellStyle name="Comma 5 2 5 3 3" xfId="7405"/>
    <cellStyle name="Comma 5 2 5 4" xfId="3178"/>
    <cellStyle name="Comma 5 2 5 4 2" xfId="8814"/>
    <cellStyle name="Comma 5 2 5 5" xfId="6004"/>
    <cellStyle name="Comma 5 2 6" xfId="720"/>
    <cellStyle name="Comma 5 2 6 2" xfId="2121"/>
    <cellStyle name="Comma 5 2 6 2 2" xfId="4931"/>
    <cellStyle name="Comma 5 2 6 2 2 2" xfId="10567"/>
    <cellStyle name="Comma 5 2 6 2 3" xfId="7757"/>
    <cellStyle name="Comma 5 2 6 3" xfId="3530"/>
    <cellStyle name="Comma 5 2 6 3 2" xfId="9166"/>
    <cellStyle name="Comma 5 2 6 4" xfId="6356"/>
    <cellStyle name="Comma 5 2 7" xfId="1425"/>
    <cellStyle name="Comma 5 2 7 2" xfId="4235"/>
    <cellStyle name="Comma 5 2 7 2 2" xfId="9871"/>
    <cellStyle name="Comma 5 2 7 3" xfId="7061"/>
    <cellStyle name="Comma 5 2 8" xfId="2834"/>
    <cellStyle name="Comma 5 2 8 2" xfId="8470"/>
    <cellStyle name="Comma 5 2 9" xfId="5660"/>
    <cellStyle name="Comma 5 3" xfId="44"/>
    <cellStyle name="Comma 5 3 2" xfId="124"/>
    <cellStyle name="Comma 5 3 2 2" xfId="296"/>
    <cellStyle name="Comma 5 3 2 2 2" xfId="640"/>
    <cellStyle name="Comma 5 3 2 2 2 2" xfId="1336"/>
    <cellStyle name="Comma 5 3 2 2 2 2 2" xfId="2737"/>
    <cellStyle name="Comma 5 3 2 2 2 2 2 2" xfId="5547"/>
    <cellStyle name="Comma 5 3 2 2 2 2 2 2 2" xfId="11183"/>
    <cellStyle name="Comma 5 3 2 2 2 2 2 3" xfId="8373"/>
    <cellStyle name="Comma 5 3 2 2 2 2 3" xfId="4146"/>
    <cellStyle name="Comma 5 3 2 2 2 2 3 2" xfId="9782"/>
    <cellStyle name="Comma 5 3 2 2 2 2 4" xfId="6972"/>
    <cellStyle name="Comma 5 3 2 2 2 3" xfId="2041"/>
    <cellStyle name="Comma 5 3 2 2 2 3 2" xfId="4851"/>
    <cellStyle name="Comma 5 3 2 2 2 3 2 2" xfId="10487"/>
    <cellStyle name="Comma 5 3 2 2 2 3 3" xfId="7677"/>
    <cellStyle name="Comma 5 3 2 2 2 4" xfId="3450"/>
    <cellStyle name="Comma 5 3 2 2 2 4 2" xfId="9086"/>
    <cellStyle name="Comma 5 3 2 2 2 5" xfId="6276"/>
    <cellStyle name="Comma 5 3 2 2 3" xfId="992"/>
    <cellStyle name="Comma 5 3 2 2 3 2" xfId="2393"/>
    <cellStyle name="Comma 5 3 2 2 3 2 2" xfId="5203"/>
    <cellStyle name="Comma 5 3 2 2 3 2 2 2" xfId="10839"/>
    <cellStyle name="Comma 5 3 2 2 3 2 3" xfId="8029"/>
    <cellStyle name="Comma 5 3 2 2 3 3" xfId="3802"/>
    <cellStyle name="Comma 5 3 2 2 3 3 2" xfId="9438"/>
    <cellStyle name="Comma 5 3 2 2 3 4" xfId="6628"/>
    <cellStyle name="Comma 5 3 2 2 4" xfId="1697"/>
    <cellStyle name="Comma 5 3 2 2 4 2" xfId="4507"/>
    <cellStyle name="Comma 5 3 2 2 4 2 2" xfId="10143"/>
    <cellStyle name="Comma 5 3 2 2 4 3" xfId="7333"/>
    <cellStyle name="Comma 5 3 2 2 5" xfId="3106"/>
    <cellStyle name="Comma 5 3 2 2 5 2" xfId="8742"/>
    <cellStyle name="Comma 5 3 2 2 6" xfId="5932"/>
    <cellStyle name="Comma 5 3 2 3" xfId="468"/>
    <cellStyle name="Comma 5 3 2 3 2" xfId="1164"/>
    <cellStyle name="Comma 5 3 2 3 2 2" xfId="2565"/>
    <cellStyle name="Comma 5 3 2 3 2 2 2" xfId="5375"/>
    <cellStyle name="Comma 5 3 2 3 2 2 2 2" xfId="11011"/>
    <cellStyle name="Comma 5 3 2 3 2 2 3" xfId="8201"/>
    <cellStyle name="Comma 5 3 2 3 2 3" xfId="3974"/>
    <cellStyle name="Comma 5 3 2 3 2 3 2" xfId="9610"/>
    <cellStyle name="Comma 5 3 2 3 2 4" xfId="6800"/>
    <cellStyle name="Comma 5 3 2 3 3" xfId="1869"/>
    <cellStyle name="Comma 5 3 2 3 3 2" xfId="4679"/>
    <cellStyle name="Comma 5 3 2 3 3 2 2" xfId="10315"/>
    <cellStyle name="Comma 5 3 2 3 3 3" xfId="7505"/>
    <cellStyle name="Comma 5 3 2 3 4" xfId="3278"/>
    <cellStyle name="Comma 5 3 2 3 4 2" xfId="8914"/>
    <cellStyle name="Comma 5 3 2 3 5" xfId="6104"/>
    <cellStyle name="Comma 5 3 2 4" xfId="820"/>
    <cellStyle name="Comma 5 3 2 4 2" xfId="2221"/>
    <cellStyle name="Comma 5 3 2 4 2 2" xfId="5031"/>
    <cellStyle name="Comma 5 3 2 4 2 2 2" xfId="10667"/>
    <cellStyle name="Comma 5 3 2 4 2 3" xfId="7857"/>
    <cellStyle name="Comma 5 3 2 4 3" xfId="3630"/>
    <cellStyle name="Comma 5 3 2 4 3 2" xfId="9266"/>
    <cellStyle name="Comma 5 3 2 4 4" xfId="6456"/>
    <cellStyle name="Comma 5 3 2 5" xfId="1525"/>
    <cellStyle name="Comma 5 3 2 5 2" xfId="4335"/>
    <cellStyle name="Comma 5 3 2 5 2 2" xfId="9971"/>
    <cellStyle name="Comma 5 3 2 5 3" xfId="7161"/>
    <cellStyle name="Comma 5 3 2 6" xfId="2934"/>
    <cellStyle name="Comma 5 3 2 6 2" xfId="8570"/>
    <cellStyle name="Comma 5 3 2 7" xfId="5760"/>
    <cellStyle name="Comma 5 3 3" xfId="216"/>
    <cellStyle name="Comma 5 3 3 2" xfId="560"/>
    <cellStyle name="Comma 5 3 3 2 2" xfId="1256"/>
    <cellStyle name="Comma 5 3 3 2 2 2" xfId="2657"/>
    <cellStyle name="Comma 5 3 3 2 2 2 2" xfId="5467"/>
    <cellStyle name="Comma 5 3 3 2 2 2 2 2" xfId="11103"/>
    <cellStyle name="Comma 5 3 3 2 2 2 3" xfId="8293"/>
    <cellStyle name="Comma 5 3 3 2 2 3" xfId="4066"/>
    <cellStyle name="Comma 5 3 3 2 2 3 2" xfId="9702"/>
    <cellStyle name="Comma 5 3 3 2 2 4" xfId="6892"/>
    <cellStyle name="Comma 5 3 3 2 3" xfId="1961"/>
    <cellStyle name="Comma 5 3 3 2 3 2" xfId="4771"/>
    <cellStyle name="Comma 5 3 3 2 3 2 2" xfId="10407"/>
    <cellStyle name="Comma 5 3 3 2 3 3" xfId="7597"/>
    <cellStyle name="Comma 5 3 3 2 4" xfId="3370"/>
    <cellStyle name="Comma 5 3 3 2 4 2" xfId="9006"/>
    <cellStyle name="Comma 5 3 3 2 5" xfId="6196"/>
    <cellStyle name="Comma 5 3 3 3" xfId="912"/>
    <cellStyle name="Comma 5 3 3 3 2" xfId="2313"/>
    <cellStyle name="Comma 5 3 3 3 2 2" xfId="5123"/>
    <cellStyle name="Comma 5 3 3 3 2 2 2" xfId="10759"/>
    <cellStyle name="Comma 5 3 3 3 2 3" xfId="7949"/>
    <cellStyle name="Comma 5 3 3 3 3" xfId="3722"/>
    <cellStyle name="Comma 5 3 3 3 3 2" xfId="9358"/>
    <cellStyle name="Comma 5 3 3 3 4" xfId="6548"/>
    <cellStyle name="Comma 5 3 3 4" xfId="1617"/>
    <cellStyle name="Comma 5 3 3 4 2" xfId="4427"/>
    <cellStyle name="Comma 5 3 3 4 2 2" xfId="10063"/>
    <cellStyle name="Comma 5 3 3 4 3" xfId="7253"/>
    <cellStyle name="Comma 5 3 3 5" xfId="3026"/>
    <cellStyle name="Comma 5 3 3 5 2" xfId="8662"/>
    <cellStyle name="Comma 5 3 3 6" xfId="5852"/>
    <cellStyle name="Comma 5 3 4" xfId="388"/>
    <cellStyle name="Comma 5 3 4 2" xfId="1084"/>
    <cellStyle name="Comma 5 3 4 2 2" xfId="2485"/>
    <cellStyle name="Comma 5 3 4 2 2 2" xfId="5295"/>
    <cellStyle name="Comma 5 3 4 2 2 2 2" xfId="10931"/>
    <cellStyle name="Comma 5 3 4 2 2 3" xfId="8121"/>
    <cellStyle name="Comma 5 3 4 2 3" xfId="3894"/>
    <cellStyle name="Comma 5 3 4 2 3 2" xfId="9530"/>
    <cellStyle name="Comma 5 3 4 2 4" xfId="6720"/>
    <cellStyle name="Comma 5 3 4 3" xfId="1789"/>
    <cellStyle name="Comma 5 3 4 3 2" xfId="4599"/>
    <cellStyle name="Comma 5 3 4 3 2 2" xfId="10235"/>
    <cellStyle name="Comma 5 3 4 3 3" xfId="7425"/>
    <cellStyle name="Comma 5 3 4 4" xfId="3198"/>
    <cellStyle name="Comma 5 3 4 4 2" xfId="8834"/>
    <cellStyle name="Comma 5 3 4 5" xfId="6024"/>
    <cellStyle name="Comma 5 3 5" xfId="740"/>
    <cellStyle name="Comma 5 3 5 2" xfId="2141"/>
    <cellStyle name="Comma 5 3 5 2 2" xfId="4951"/>
    <cellStyle name="Comma 5 3 5 2 2 2" xfId="10587"/>
    <cellStyle name="Comma 5 3 5 2 3" xfId="7777"/>
    <cellStyle name="Comma 5 3 5 3" xfId="3550"/>
    <cellStyle name="Comma 5 3 5 3 2" xfId="9186"/>
    <cellStyle name="Comma 5 3 5 4" xfId="6376"/>
    <cellStyle name="Comma 5 3 6" xfId="1445"/>
    <cellStyle name="Comma 5 3 6 2" xfId="4255"/>
    <cellStyle name="Comma 5 3 6 2 2" xfId="9891"/>
    <cellStyle name="Comma 5 3 6 3" xfId="7081"/>
    <cellStyle name="Comma 5 3 7" xfId="2854"/>
    <cellStyle name="Comma 5 3 7 2" xfId="8490"/>
    <cellStyle name="Comma 5 3 8" xfId="5680"/>
    <cellStyle name="Comma 5 4" xfId="92"/>
    <cellStyle name="Comma 5 4 2" xfId="264"/>
    <cellStyle name="Comma 5 4 2 2" xfId="608"/>
    <cellStyle name="Comma 5 4 2 2 2" xfId="1304"/>
    <cellStyle name="Comma 5 4 2 2 2 2" xfId="2705"/>
    <cellStyle name="Comma 5 4 2 2 2 2 2" xfId="5515"/>
    <cellStyle name="Comma 5 4 2 2 2 2 2 2" xfId="11151"/>
    <cellStyle name="Comma 5 4 2 2 2 2 3" xfId="8341"/>
    <cellStyle name="Comma 5 4 2 2 2 3" xfId="4114"/>
    <cellStyle name="Comma 5 4 2 2 2 3 2" xfId="9750"/>
    <cellStyle name="Comma 5 4 2 2 2 4" xfId="6940"/>
    <cellStyle name="Comma 5 4 2 2 3" xfId="2009"/>
    <cellStyle name="Comma 5 4 2 2 3 2" xfId="4819"/>
    <cellStyle name="Comma 5 4 2 2 3 2 2" xfId="10455"/>
    <cellStyle name="Comma 5 4 2 2 3 3" xfId="7645"/>
    <cellStyle name="Comma 5 4 2 2 4" xfId="3418"/>
    <cellStyle name="Comma 5 4 2 2 4 2" xfId="9054"/>
    <cellStyle name="Comma 5 4 2 2 5" xfId="6244"/>
    <cellStyle name="Comma 5 4 2 3" xfId="960"/>
    <cellStyle name="Comma 5 4 2 3 2" xfId="2361"/>
    <cellStyle name="Comma 5 4 2 3 2 2" xfId="5171"/>
    <cellStyle name="Comma 5 4 2 3 2 2 2" xfId="10807"/>
    <cellStyle name="Comma 5 4 2 3 2 3" xfId="7997"/>
    <cellStyle name="Comma 5 4 2 3 3" xfId="3770"/>
    <cellStyle name="Comma 5 4 2 3 3 2" xfId="9406"/>
    <cellStyle name="Comma 5 4 2 3 4" xfId="6596"/>
    <cellStyle name="Comma 5 4 2 4" xfId="1665"/>
    <cellStyle name="Comma 5 4 2 4 2" xfId="4475"/>
    <cellStyle name="Comma 5 4 2 4 2 2" xfId="10111"/>
    <cellStyle name="Comma 5 4 2 4 3" xfId="7301"/>
    <cellStyle name="Comma 5 4 2 5" xfId="3074"/>
    <cellStyle name="Comma 5 4 2 5 2" xfId="8710"/>
    <cellStyle name="Comma 5 4 2 6" xfId="5900"/>
    <cellStyle name="Comma 5 4 3" xfId="436"/>
    <cellStyle name="Comma 5 4 3 2" xfId="1132"/>
    <cellStyle name="Comma 5 4 3 2 2" xfId="2533"/>
    <cellStyle name="Comma 5 4 3 2 2 2" xfId="5343"/>
    <cellStyle name="Comma 5 4 3 2 2 2 2" xfId="10979"/>
    <cellStyle name="Comma 5 4 3 2 2 3" xfId="8169"/>
    <cellStyle name="Comma 5 4 3 2 3" xfId="3942"/>
    <cellStyle name="Comma 5 4 3 2 3 2" xfId="9578"/>
    <cellStyle name="Comma 5 4 3 2 4" xfId="6768"/>
    <cellStyle name="Comma 5 4 3 3" xfId="1837"/>
    <cellStyle name="Comma 5 4 3 3 2" xfId="4647"/>
    <cellStyle name="Comma 5 4 3 3 2 2" xfId="10283"/>
    <cellStyle name="Comma 5 4 3 3 3" xfId="7473"/>
    <cellStyle name="Comma 5 4 3 4" xfId="3246"/>
    <cellStyle name="Comma 5 4 3 4 2" xfId="8882"/>
    <cellStyle name="Comma 5 4 3 5" xfId="6072"/>
    <cellStyle name="Comma 5 4 4" xfId="788"/>
    <cellStyle name="Comma 5 4 4 2" xfId="2189"/>
    <cellStyle name="Comma 5 4 4 2 2" xfId="4999"/>
    <cellStyle name="Comma 5 4 4 2 2 2" xfId="10635"/>
    <cellStyle name="Comma 5 4 4 2 3" xfId="7825"/>
    <cellStyle name="Comma 5 4 4 3" xfId="3598"/>
    <cellStyle name="Comma 5 4 4 3 2" xfId="9234"/>
    <cellStyle name="Comma 5 4 4 4" xfId="6424"/>
    <cellStyle name="Comma 5 4 5" xfId="1493"/>
    <cellStyle name="Comma 5 4 5 2" xfId="4303"/>
    <cellStyle name="Comma 5 4 5 2 2" xfId="9939"/>
    <cellStyle name="Comma 5 4 5 3" xfId="7129"/>
    <cellStyle name="Comma 5 4 6" xfId="2902"/>
    <cellStyle name="Comma 5 4 6 2" xfId="8538"/>
    <cellStyle name="Comma 5 4 7" xfId="5728"/>
    <cellStyle name="Comma 5 5" xfId="184"/>
    <cellStyle name="Comma 5 5 2" xfId="528"/>
    <cellStyle name="Comma 5 5 2 2" xfId="1224"/>
    <cellStyle name="Comma 5 5 2 2 2" xfId="2625"/>
    <cellStyle name="Comma 5 5 2 2 2 2" xfId="5435"/>
    <cellStyle name="Comma 5 5 2 2 2 2 2" xfId="11071"/>
    <cellStyle name="Comma 5 5 2 2 2 3" xfId="8261"/>
    <cellStyle name="Comma 5 5 2 2 3" xfId="4034"/>
    <cellStyle name="Comma 5 5 2 2 3 2" xfId="9670"/>
    <cellStyle name="Comma 5 5 2 2 4" xfId="6860"/>
    <cellStyle name="Comma 5 5 2 3" xfId="1929"/>
    <cellStyle name="Comma 5 5 2 3 2" xfId="4739"/>
    <cellStyle name="Comma 5 5 2 3 2 2" xfId="10375"/>
    <cellStyle name="Comma 5 5 2 3 3" xfId="7565"/>
    <cellStyle name="Comma 5 5 2 4" xfId="3338"/>
    <cellStyle name="Comma 5 5 2 4 2" xfId="8974"/>
    <cellStyle name="Comma 5 5 2 5" xfId="6164"/>
    <cellStyle name="Comma 5 5 3" xfId="880"/>
    <cellStyle name="Comma 5 5 3 2" xfId="2281"/>
    <cellStyle name="Comma 5 5 3 2 2" xfId="5091"/>
    <cellStyle name="Comma 5 5 3 2 2 2" xfId="10727"/>
    <cellStyle name="Comma 5 5 3 2 3" xfId="7917"/>
    <cellStyle name="Comma 5 5 3 3" xfId="3690"/>
    <cellStyle name="Comma 5 5 3 3 2" xfId="9326"/>
    <cellStyle name="Comma 5 5 3 4" xfId="6516"/>
    <cellStyle name="Comma 5 5 4" xfId="1585"/>
    <cellStyle name="Comma 5 5 4 2" xfId="4395"/>
    <cellStyle name="Comma 5 5 4 2 2" xfId="10031"/>
    <cellStyle name="Comma 5 5 4 3" xfId="7221"/>
    <cellStyle name="Comma 5 5 5" xfId="2994"/>
    <cellStyle name="Comma 5 5 5 2" xfId="8630"/>
    <cellStyle name="Comma 5 5 6" xfId="5820"/>
    <cellStyle name="Comma 5 6" xfId="356"/>
    <cellStyle name="Comma 5 6 2" xfId="1052"/>
    <cellStyle name="Comma 5 6 2 2" xfId="2453"/>
    <cellStyle name="Comma 5 6 2 2 2" xfId="5263"/>
    <cellStyle name="Comma 5 6 2 2 2 2" xfId="10899"/>
    <cellStyle name="Comma 5 6 2 2 3" xfId="8089"/>
    <cellStyle name="Comma 5 6 2 3" xfId="3862"/>
    <cellStyle name="Comma 5 6 2 3 2" xfId="9498"/>
    <cellStyle name="Comma 5 6 2 4" xfId="6688"/>
    <cellStyle name="Comma 5 6 3" xfId="1757"/>
    <cellStyle name="Comma 5 6 3 2" xfId="4567"/>
    <cellStyle name="Comma 5 6 3 2 2" xfId="10203"/>
    <cellStyle name="Comma 5 6 3 3" xfId="7393"/>
    <cellStyle name="Comma 5 6 4" xfId="3166"/>
    <cellStyle name="Comma 5 6 4 2" xfId="8802"/>
    <cellStyle name="Comma 5 6 5" xfId="5992"/>
    <cellStyle name="Comma 5 7" xfId="708"/>
    <cellStyle name="Comma 5 7 2" xfId="2109"/>
    <cellStyle name="Comma 5 7 2 2" xfId="4919"/>
    <cellStyle name="Comma 5 7 2 2 2" xfId="10555"/>
    <cellStyle name="Comma 5 7 2 3" xfId="7745"/>
    <cellStyle name="Comma 5 7 3" xfId="3518"/>
    <cellStyle name="Comma 5 7 3 2" xfId="9154"/>
    <cellStyle name="Comma 5 7 4" xfId="6344"/>
    <cellStyle name="Comma 5 8" xfId="1413"/>
    <cellStyle name="Comma 5 8 2" xfId="4223"/>
    <cellStyle name="Comma 5 8 2 2" xfId="9859"/>
    <cellStyle name="Comma 5 8 3" xfId="7049"/>
    <cellStyle name="Comma 5 9" xfId="2822"/>
    <cellStyle name="Comma 5 9 2" xfId="8458"/>
    <cellStyle name="Comma 6" xfId="14"/>
    <cellStyle name="Comma 6 2" xfId="46"/>
    <cellStyle name="Comma 6 2 2" xfId="126"/>
    <cellStyle name="Comma 6 2 2 2" xfId="298"/>
    <cellStyle name="Comma 6 2 2 2 2" xfId="642"/>
    <cellStyle name="Comma 6 2 2 2 2 2" xfId="1338"/>
    <cellStyle name="Comma 6 2 2 2 2 2 2" xfId="2739"/>
    <cellStyle name="Comma 6 2 2 2 2 2 2 2" xfId="5549"/>
    <cellStyle name="Comma 6 2 2 2 2 2 2 2 2" xfId="11185"/>
    <cellStyle name="Comma 6 2 2 2 2 2 2 3" xfId="8375"/>
    <cellStyle name="Comma 6 2 2 2 2 2 3" xfId="4148"/>
    <cellStyle name="Comma 6 2 2 2 2 2 3 2" xfId="9784"/>
    <cellStyle name="Comma 6 2 2 2 2 2 4" xfId="6974"/>
    <cellStyle name="Comma 6 2 2 2 2 3" xfId="2043"/>
    <cellStyle name="Comma 6 2 2 2 2 3 2" xfId="4853"/>
    <cellStyle name="Comma 6 2 2 2 2 3 2 2" xfId="10489"/>
    <cellStyle name="Comma 6 2 2 2 2 3 3" xfId="7679"/>
    <cellStyle name="Comma 6 2 2 2 2 4" xfId="3452"/>
    <cellStyle name="Comma 6 2 2 2 2 4 2" xfId="9088"/>
    <cellStyle name="Comma 6 2 2 2 2 5" xfId="6278"/>
    <cellStyle name="Comma 6 2 2 2 3" xfId="994"/>
    <cellStyle name="Comma 6 2 2 2 3 2" xfId="2395"/>
    <cellStyle name="Comma 6 2 2 2 3 2 2" xfId="5205"/>
    <cellStyle name="Comma 6 2 2 2 3 2 2 2" xfId="10841"/>
    <cellStyle name="Comma 6 2 2 2 3 2 3" xfId="8031"/>
    <cellStyle name="Comma 6 2 2 2 3 3" xfId="3804"/>
    <cellStyle name="Comma 6 2 2 2 3 3 2" xfId="9440"/>
    <cellStyle name="Comma 6 2 2 2 3 4" xfId="6630"/>
    <cellStyle name="Comma 6 2 2 2 4" xfId="1699"/>
    <cellStyle name="Comma 6 2 2 2 4 2" xfId="4509"/>
    <cellStyle name="Comma 6 2 2 2 4 2 2" xfId="10145"/>
    <cellStyle name="Comma 6 2 2 2 4 3" xfId="7335"/>
    <cellStyle name="Comma 6 2 2 2 5" xfId="3108"/>
    <cellStyle name="Comma 6 2 2 2 5 2" xfId="8744"/>
    <cellStyle name="Comma 6 2 2 2 6" xfId="5934"/>
    <cellStyle name="Comma 6 2 2 3" xfId="470"/>
    <cellStyle name="Comma 6 2 2 3 2" xfId="1166"/>
    <cellStyle name="Comma 6 2 2 3 2 2" xfId="2567"/>
    <cellStyle name="Comma 6 2 2 3 2 2 2" xfId="5377"/>
    <cellStyle name="Comma 6 2 2 3 2 2 2 2" xfId="11013"/>
    <cellStyle name="Comma 6 2 2 3 2 2 3" xfId="8203"/>
    <cellStyle name="Comma 6 2 2 3 2 3" xfId="3976"/>
    <cellStyle name="Comma 6 2 2 3 2 3 2" xfId="9612"/>
    <cellStyle name="Comma 6 2 2 3 2 4" xfId="6802"/>
    <cellStyle name="Comma 6 2 2 3 3" xfId="1871"/>
    <cellStyle name="Comma 6 2 2 3 3 2" xfId="4681"/>
    <cellStyle name="Comma 6 2 2 3 3 2 2" xfId="10317"/>
    <cellStyle name="Comma 6 2 2 3 3 3" xfId="7507"/>
    <cellStyle name="Comma 6 2 2 3 4" xfId="3280"/>
    <cellStyle name="Comma 6 2 2 3 4 2" xfId="8916"/>
    <cellStyle name="Comma 6 2 2 3 5" xfId="6106"/>
    <cellStyle name="Comma 6 2 2 4" xfId="822"/>
    <cellStyle name="Comma 6 2 2 4 2" xfId="2223"/>
    <cellStyle name="Comma 6 2 2 4 2 2" xfId="5033"/>
    <cellStyle name="Comma 6 2 2 4 2 2 2" xfId="10669"/>
    <cellStyle name="Comma 6 2 2 4 2 3" xfId="7859"/>
    <cellStyle name="Comma 6 2 2 4 3" xfId="3632"/>
    <cellStyle name="Comma 6 2 2 4 3 2" xfId="9268"/>
    <cellStyle name="Comma 6 2 2 4 4" xfId="6458"/>
    <cellStyle name="Comma 6 2 2 5" xfId="1527"/>
    <cellStyle name="Comma 6 2 2 5 2" xfId="4337"/>
    <cellStyle name="Comma 6 2 2 5 2 2" xfId="9973"/>
    <cellStyle name="Comma 6 2 2 5 3" xfId="7163"/>
    <cellStyle name="Comma 6 2 2 6" xfId="2936"/>
    <cellStyle name="Comma 6 2 2 6 2" xfId="8572"/>
    <cellStyle name="Comma 6 2 2 7" xfId="5762"/>
    <cellStyle name="Comma 6 2 3" xfId="218"/>
    <cellStyle name="Comma 6 2 3 2" xfId="562"/>
    <cellStyle name="Comma 6 2 3 2 2" xfId="1258"/>
    <cellStyle name="Comma 6 2 3 2 2 2" xfId="2659"/>
    <cellStyle name="Comma 6 2 3 2 2 2 2" xfId="5469"/>
    <cellStyle name="Comma 6 2 3 2 2 2 2 2" xfId="11105"/>
    <cellStyle name="Comma 6 2 3 2 2 2 3" xfId="8295"/>
    <cellStyle name="Comma 6 2 3 2 2 3" xfId="4068"/>
    <cellStyle name="Comma 6 2 3 2 2 3 2" xfId="9704"/>
    <cellStyle name="Comma 6 2 3 2 2 4" xfId="6894"/>
    <cellStyle name="Comma 6 2 3 2 3" xfId="1963"/>
    <cellStyle name="Comma 6 2 3 2 3 2" xfId="4773"/>
    <cellStyle name="Comma 6 2 3 2 3 2 2" xfId="10409"/>
    <cellStyle name="Comma 6 2 3 2 3 3" xfId="7599"/>
    <cellStyle name="Comma 6 2 3 2 4" xfId="3372"/>
    <cellStyle name="Comma 6 2 3 2 4 2" xfId="9008"/>
    <cellStyle name="Comma 6 2 3 2 5" xfId="6198"/>
    <cellStyle name="Comma 6 2 3 3" xfId="914"/>
    <cellStyle name="Comma 6 2 3 3 2" xfId="2315"/>
    <cellStyle name="Comma 6 2 3 3 2 2" xfId="5125"/>
    <cellStyle name="Comma 6 2 3 3 2 2 2" xfId="10761"/>
    <cellStyle name="Comma 6 2 3 3 2 3" xfId="7951"/>
    <cellStyle name="Comma 6 2 3 3 3" xfId="3724"/>
    <cellStyle name="Comma 6 2 3 3 3 2" xfId="9360"/>
    <cellStyle name="Comma 6 2 3 3 4" xfId="6550"/>
    <cellStyle name="Comma 6 2 3 4" xfId="1619"/>
    <cellStyle name="Comma 6 2 3 4 2" xfId="4429"/>
    <cellStyle name="Comma 6 2 3 4 2 2" xfId="10065"/>
    <cellStyle name="Comma 6 2 3 4 3" xfId="7255"/>
    <cellStyle name="Comma 6 2 3 5" xfId="3028"/>
    <cellStyle name="Comma 6 2 3 5 2" xfId="8664"/>
    <cellStyle name="Comma 6 2 3 6" xfId="5854"/>
    <cellStyle name="Comma 6 2 4" xfId="390"/>
    <cellStyle name="Comma 6 2 4 2" xfId="1086"/>
    <cellStyle name="Comma 6 2 4 2 2" xfId="2487"/>
    <cellStyle name="Comma 6 2 4 2 2 2" xfId="5297"/>
    <cellStyle name="Comma 6 2 4 2 2 2 2" xfId="10933"/>
    <cellStyle name="Comma 6 2 4 2 2 3" xfId="8123"/>
    <cellStyle name="Comma 6 2 4 2 3" xfId="3896"/>
    <cellStyle name="Comma 6 2 4 2 3 2" xfId="9532"/>
    <cellStyle name="Comma 6 2 4 2 4" xfId="6722"/>
    <cellStyle name="Comma 6 2 4 3" xfId="1791"/>
    <cellStyle name="Comma 6 2 4 3 2" xfId="4601"/>
    <cellStyle name="Comma 6 2 4 3 2 2" xfId="10237"/>
    <cellStyle name="Comma 6 2 4 3 3" xfId="7427"/>
    <cellStyle name="Comma 6 2 4 4" xfId="3200"/>
    <cellStyle name="Comma 6 2 4 4 2" xfId="8836"/>
    <cellStyle name="Comma 6 2 4 5" xfId="6026"/>
    <cellStyle name="Comma 6 2 5" xfId="742"/>
    <cellStyle name="Comma 6 2 5 2" xfId="2143"/>
    <cellStyle name="Comma 6 2 5 2 2" xfId="4953"/>
    <cellStyle name="Comma 6 2 5 2 2 2" xfId="10589"/>
    <cellStyle name="Comma 6 2 5 2 3" xfId="7779"/>
    <cellStyle name="Comma 6 2 5 3" xfId="3552"/>
    <cellStyle name="Comma 6 2 5 3 2" xfId="9188"/>
    <cellStyle name="Comma 6 2 5 4" xfId="6378"/>
    <cellStyle name="Comma 6 2 6" xfId="1447"/>
    <cellStyle name="Comma 6 2 6 2" xfId="4257"/>
    <cellStyle name="Comma 6 2 6 2 2" xfId="9893"/>
    <cellStyle name="Comma 6 2 6 3" xfId="7083"/>
    <cellStyle name="Comma 6 2 7" xfId="2856"/>
    <cellStyle name="Comma 6 2 7 2" xfId="8492"/>
    <cellStyle name="Comma 6 2 8" xfId="5682"/>
    <cellStyle name="Comma 6 3" xfId="94"/>
    <cellStyle name="Comma 6 3 2" xfId="266"/>
    <cellStyle name="Comma 6 3 2 2" xfId="610"/>
    <cellStyle name="Comma 6 3 2 2 2" xfId="1306"/>
    <cellStyle name="Comma 6 3 2 2 2 2" xfId="2707"/>
    <cellStyle name="Comma 6 3 2 2 2 2 2" xfId="5517"/>
    <cellStyle name="Comma 6 3 2 2 2 2 2 2" xfId="11153"/>
    <cellStyle name="Comma 6 3 2 2 2 2 3" xfId="8343"/>
    <cellStyle name="Comma 6 3 2 2 2 3" xfId="4116"/>
    <cellStyle name="Comma 6 3 2 2 2 3 2" xfId="9752"/>
    <cellStyle name="Comma 6 3 2 2 2 4" xfId="6942"/>
    <cellStyle name="Comma 6 3 2 2 3" xfId="2011"/>
    <cellStyle name="Comma 6 3 2 2 3 2" xfId="4821"/>
    <cellStyle name="Comma 6 3 2 2 3 2 2" xfId="10457"/>
    <cellStyle name="Comma 6 3 2 2 3 3" xfId="7647"/>
    <cellStyle name="Comma 6 3 2 2 4" xfId="3420"/>
    <cellStyle name="Comma 6 3 2 2 4 2" xfId="9056"/>
    <cellStyle name="Comma 6 3 2 2 5" xfId="6246"/>
    <cellStyle name="Comma 6 3 2 3" xfId="962"/>
    <cellStyle name="Comma 6 3 2 3 2" xfId="2363"/>
    <cellStyle name="Comma 6 3 2 3 2 2" xfId="5173"/>
    <cellStyle name="Comma 6 3 2 3 2 2 2" xfId="10809"/>
    <cellStyle name="Comma 6 3 2 3 2 3" xfId="7999"/>
    <cellStyle name="Comma 6 3 2 3 3" xfId="3772"/>
    <cellStyle name="Comma 6 3 2 3 3 2" xfId="9408"/>
    <cellStyle name="Comma 6 3 2 3 4" xfId="6598"/>
    <cellStyle name="Comma 6 3 2 4" xfId="1667"/>
    <cellStyle name="Comma 6 3 2 4 2" xfId="4477"/>
    <cellStyle name="Comma 6 3 2 4 2 2" xfId="10113"/>
    <cellStyle name="Comma 6 3 2 4 3" xfId="7303"/>
    <cellStyle name="Comma 6 3 2 5" xfId="3076"/>
    <cellStyle name="Comma 6 3 2 5 2" xfId="8712"/>
    <cellStyle name="Comma 6 3 2 6" xfId="5902"/>
    <cellStyle name="Comma 6 3 3" xfId="438"/>
    <cellStyle name="Comma 6 3 3 2" xfId="1134"/>
    <cellStyle name="Comma 6 3 3 2 2" xfId="2535"/>
    <cellStyle name="Comma 6 3 3 2 2 2" xfId="5345"/>
    <cellStyle name="Comma 6 3 3 2 2 2 2" xfId="10981"/>
    <cellStyle name="Comma 6 3 3 2 2 3" xfId="8171"/>
    <cellStyle name="Comma 6 3 3 2 3" xfId="3944"/>
    <cellStyle name="Comma 6 3 3 2 3 2" xfId="9580"/>
    <cellStyle name="Comma 6 3 3 2 4" xfId="6770"/>
    <cellStyle name="Comma 6 3 3 3" xfId="1839"/>
    <cellStyle name="Comma 6 3 3 3 2" xfId="4649"/>
    <cellStyle name="Comma 6 3 3 3 2 2" xfId="10285"/>
    <cellStyle name="Comma 6 3 3 3 3" xfId="7475"/>
    <cellStyle name="Comma 6 3 3 4" xfId="3248"/>
    <cellStyle name="Comma 6 3 3 4 2" xfId="8884"/>
    <cellStyle name="Comma 6 3 3 5" xfId="6074"/>
    <cellStyle name="Comma 6 3 4" xfId="790"/>
    <cellStyle name="Comma 6 3 4 2" xfId="2191"/>
    <cellStyle name="Comma 6 3 4 2 2" xfId="5001"/>
    <cellStyle name="Comma 6 3 4 2 2 2" xfId="10637"/>
    <cellStyle name="Comma 6 3 4 2 3" xfId="7827"/>
    <cellStyle name="Comma 6 3 4 3" xfId="3600"/>
    <cellStyle name="Comma 6 3 4 3 2" xfId="9236"/>
    <cellStyle name="Comma 6 3 4 4" xfId="6426"/>
    <cellStyle name="Comma 6 3 5" xfId="1495"/>
    <cellStyle name="Comma 6 3 5 2" xfId="4305"/>
    <cellStyle name="Comma 6 3 5 2 2" xfId="9941"/>
    <cellStyle name="Comma 6 3 5 3" xfId="7131"/>
    <cellStyle name="Comma 6 3 6" xfId="2904"/>
    <cellStyle name="Comma 6 3 6 2" xfId="8540"/>
    <cellStyle name="Comma 6 3 7" xfId="5730"/>
    <cellStyle name="Comma 6 4" xfId="186"/>
    <cellStyle name="Comma 6 4 2" xfId="530"/>
    <cellStyle name="Comma 6 4 2 2" xfId="1226"/>
    <cellStyle name="Comma 6 4 2 2 2" xfId="2627"/>
    <cellStyle name="Comma 6 4 2 2 2 2" xfId="5437"/>
    <cellStyle name="Comma 6 4 2 2 2 2 2" xfId="11073"/>
    <cellStyle name="Comma 6 4 2 2 2 3" xfId="8263"/>
    <cellStyle name="Comma 6 4 2 2 3" xfId="4036"/>
    <cellStyle name="Comma 6 4 2 2 3 2" xfId="9672"/>
    <cellStyle name="Comma 6 4 2 2 4" xfId="6862"/>
    <cellStyle name="Comma 6 4 2 3" xfId="1931"/>
    <cellStyle name="Comma 6 4 2 3 2" xfId="4741"/>
    <cellStyle name="Comma 6 4 2 3 2 2" xfId="10377"/>
    <cellStyle name="Comma 6 4 2 3 3" xfId="7567"/>
    <cellStyle name="Comma 6 4 2 4" xfId="3340"/>
    <cellStyle name="Comma 6 4 2 4 2" xfId="8976"/>
    <cellStyle name="Comma 6 4 2 5" xfId="6166"/>
    <cellStyle name="Comma 6 4 3" xfId="882"/>
    <cellStyle name="Comma 6 4 3 2" xfId="2283"/>
    <cellStyle name="Comma 6 4 3 2 2" xfId="5093"/>
    <cellStyle name="Comma 6 4 3 2 2 2" xfId="10729"/>
    <cellStyle name="Comma 6 4 3 2 3" xfId="7919"/>
    <cellStyle name="Comma 6 4 3 3" xfId="3692"/>
    <cellStyle name="Comma 6 4 3 3 2" xfId="9328"/>
    <cellStyle name="Comma 6 4 3 4" xfId="6518"/>
    <cellStyle name="Comma 6 4 4" xfId="1587"/>
    <cellStyle name="Comma 6 4 4 2" xfId="4397"/>
    <cellStyle name="Comma 6 4 4 2 2" xfId="10033"/>
    <cellStyle name="Comma 6 4 4 3" xfId="7223"/>
    <cellStyle name="Comma 6 4 5" xfId="2996"/>
    <cellStyle name="Comma 6 4 5 2" xfId="8632"/>
    <cellStyle name="Comma 6 4 6" xfId="5822"/>
    <cellStyle name="Comma 6 5" xfId="358"/>
    <cellStyle name="Comma 6 5 2" xfId="1054"/>
    <cellStyle name="Comma 6 5 2 2" xfId="2455"/>
    <cellStyle name="Comma 6 5 2 2 2" xfId="5265"/>
    <cellStyle name="Comma 6 5 2 2 2 2" xfId="10901"/>
    <cellStyle name="Comma 6 5 2 2 3" xfId="8091"/>
    <cellStyle name="Comma 6 5 2 3" xfId="3864"/>
    <cellStyle name="Comma 6 5 2 3 2" xfId="9500"/>
    <cellStyle name="Comma 6 5 2 4" xfId="6690"/>
    <cellStyle name="Comma 6 5 3" xfId="1759"/>
    <cellStyle name="Comma 6 5 3 2" xfId="4569"/>
    <cellStyle name="Comma 6 5 3 2 2" xfId="10205"/>
    <cellStyle name="Comma 6 5 3 3" xfId="7395"/>
    <cellStyle name="Comma 6 5 4" xfId="3168"/>
    <cellStyle name="Comma 6 5 4 2" xfId="8804"/>
    <cellStyle name="Comma 6 5 5" xfId="5994"/>
    <cellStyle name="Comma 6 6" xfId="710"/>
    <cellStyle name="Comma 6 6 2" xfId="2111"/>
    <cellStyle name="Comma 6 6 2 2" xfId="4921"/>
    <cellStyle name="Comma 6 6 2 2 2" xfId="10557"/>
    <cellStyle name="Comma 6 6 2 3" xfId="7747"/>
    <cellStyle name="Comma 6 6 3" xfId="3520"/>
    <cellStyle name="Comma 6 6 3 2" xfId="9156"/>
    <cellStyle name="Comma 6 6 4" xfId="6346"/>
    <cellStyle name="Comma 6 7" xfId="1415"/>
    <cellStyle name="Comma 6 7 2" xfId="4225"/>
    <cellStyle name="Comma 6 7 2 2" xfId="9861"/>
    <cellStyle name="Comma 6 7 3" xfId="7051"/>
    <cellStyle name="Comma 6 8" xfId="2824"/>
    <cellStyle name="Comma 6 8 2" xfId="8460"/>
    <cellStyle name="Comma 6 9" xfId="5650"/>
    <cellStyle name="Comma 7" xfId="27"/>
    <cellStyle name="Comma 7 2" xfId="59"/>
    <cellStyle name="Comma 7 2 2" xfId="139"/>
    <cellStyle name="Comma 7 2 2 2" xfId="311"/>
    <cellStyle name="Comma 7 2 2 2 2" xfId="655"/>
    <cellStyle name="Comma 7 2 2 2 2 2" xfId="1351"/>
    <cellStyle name="Comma 7 2 2 2 2 2 2" xfId="2752"/>
    <cellStyle name="Comma 7 2 2 2 2 2 2 2" xfId="5562"/>
    <cellStyle name="Comma 7 2 2 2 2 2 2 2 2" xfId="11198"/>
    <cellStyle name="Comma 7 2 2 2 2 2 2 3" xfId="8388"/>
    <cellStyle name="Comma 7 2 2 2 2 2 3" xfId="4161"/>
    <cellStyle name="Comma 7 2 2 2 2 2 3 2" xfId="9797"/>
    <cellStyle name="Comma 7 2 2 2 2 2 4" xfId="6987"/>
    <cellStyle name="Comma 7 2 2 2 2 3" xfId="2056"/>
    <cellStyle name="Comma 7 2 2 2 2 3 2" xfId="4866"/>
    <cellStyle name="Comma 7 2 2 2 2 3 2 2" xfId="10502"/>
    <cellStyle name="Comma 7 2 2 2 2 3 3" xfId="7692"/>
    <cellStyle name="Comma 7 2 2 2 2 4" xfId="3465"/>
    <cellStyle name="Comma 7 2 2 2 2 4 2" xfId="9101"/>
    <cellStyle name="Comma 7 2 2 2 2 5" xfId="6291"/>
    <cellStyle name="Comma 7 2 2 2 3" xfId="1007"/>
    <cellStyle name="Comma 7 2 2 2 3 2" xfId="2408"/>
    <cellStyle name="Comma 7 2 2 2 3 2 2" xfId="5218"/>
    <cellStyle name="Comma 7 2 2 2 3 2 2 2" xfId="10854"/>
    <cellStyle name="Comma 7 2 2 2 3 2 3" xfId="8044"/>
    <cellStyle name="Comma 7 2 2 2 3 3" xfId="3817"/>
    <cellStyle name="Comma 7 2 2 2 3 3 2" xfId="9453"/>
    <cellStyle name="Comma 7 2 2 2 3 4" xfId="6643"/>
    <cellStyle name="Comma 7 2 2 2 4" xfId="1712"/>
    <cellStyle name="Comma 7 2 2 2 4 2" xfId="4522"/>
    <cellStyle name="Comma 7 2 2 2 4 2 2" xfId="10158"/>
    <cellStyle name="Comma 7 2 2 2 4 3" xfId="7348"/>
    <cellStyle name="Comma 7 2 2 2 5" xfId="3121"/>
    <cellStyle name="Comma 7 2 2 2 5 2" xfId="8757"/>
    <cellStyle name="Comma 7 2 2 2 6" xfId="5947"/>
    <cellStyle name="Comma 7 2 2 3" xfId="483"/>
    <cellStyle name="Comma 7 2 2 3 2" xfId="1179"/>
    <cellStyle name="Comma 7 2 2 3 2 2" xfId="2580"/>
    <cellStyle name="Comma 7 2 2 3 2 2 2" xfId="5390"/>
    <cellStyle name="Comma 7 2 2 3 2 2 2 2" xfId="11026"/>
    <cellStyle name="Comma 7 2 2 3 2 2 3" xfId="8216"/>
    <cellStyle name="Comma 7 2 2 3 2 3" xfId="3989"/>
    <cellStyle name="Comma 7 2 2 3 2 3 2" xfId="9625"/>
    <cellStyle name="Comma 7 2 2 3 2 4" xfId="6815"/>
    <cellStyle name="Comma 7 2 2 3 3" xfId="1884"/>
    <cellStyle name="Comma 7 2 2 3 3 2" xfId="4694"/>
    <cellStyle name="Comma 7 2 2 3 3 2 2" xfId="10330"/>
    <cellStyle name="Comma 7 2 2 3 3 3" xfId="7520"/>
    <cellStyle name="Comma 7 2 2 3 4" xfId="3293"/>
    <cellStyle name="Comma 7 2 2 3 4 2" xfId="8929"/>
    <cellStyle name="Comma 7 2 2 3 5" xfId="6119"/>
    <cellStyle name="Comma 7 2 2 4" xfId="835"/>
    <cellStyle name="Comma 7 2 2 4 2" xfId="2236"/>
    <cellStyle name="Comma 7 2 2 4 2 2" xfId="5046"/>
    <cellStyle name="Comma 7 2 2 4 2 2 2" xfId="10682"/>
    <cellStyle name="Comma 7 2 2 4 2 3" xfId="7872"/>
    <cellStyle name="Comma 7 2 2 4 3" xfId="3645"/>
    <cellStyle name="Comma 7 2 2 4 3 2" xfId="9281"/>
    <cellStyle name="Comma 7 2 2 4 4" xfId="6471"/>
    <cellStyle name="Comma 7 2 2 5" xfId="1540"/>
    <cellStyle name="Comma 7 2 2 5 2" xfId="4350"/>
    <cellStyle name="Comma 7 2 2 5 2 2" xfId="9986"/>
    <cellStyle name="Comma 7 2 2 5 3" xfId="7176"/>
    <cellStyle name="Comma 7 2 2 6" xfId="2949"/>
    <cellStyle name="Comma 7 2 2 6 2" xfId="8585"/>
    <cellStyle name="Comma 7 2 2 7" xfId="5775"/>
    <cellStyle name="Comma 7 2 3" xfId="231"/>
    <cellStyle name="Comma 7 2 3 2" xfId="575"/>
    <cellStyle name="Comma 7 2 3 2 2" xfId="1271"/>
    <cellStyle name="Comma 7 2 3 2 2 2" xfId="2672"/>
    <cellStyle name="Comma 7 2 3 2 2 2 2" xfId="5482"/>
    <cellStyle name="Comma 7 2 3 2 2 2 2 2" xfId="11118"/>
    <cellStyle name="Comma 7 2 3 2 2 2 3" xfId="8308"/>
    <cellStyle name="Comma 7 2 3 2 2 3" xfId="4081"/>
    <cellStyle name="Comma 7 2 3 2 2 3 2" xfId="9717"/>
    <cellStyle name="Comma 7 2 3 2 2 4" xfId="6907"/>
    <cellStyle name="Comma 7 2 3 2 3" xfId="1976"/>
    <cellStyle name="Comma 7 2 3 2 3 2" xfId="4786"/>
    <cellStyle name="Comma 7 2 3 2 3 2 2" xfId="10422"/>
    <cellStyle name="Comma 7 2 3 2 3 3" xfId="7612"/>
    <cellStyle name="Comma 7 2 3 2 4" xfId="3385"/>
    <cellStyle name="Comma 7 2 3 2 4 2" xfId="9021"/>
    <cellStyle name="Comma 7 2 3 2 5" xfId="6211"/>
    <cellStyle name="Comma 7 2 3 3" xfId="927"/>
    <cellStyle name="Comma 7 2 3 3 2" xfId="2328"/>
    <cellStyle name="Comma 7 2 3 3 2 2" xfId="5138"/>
    <cellStyle name="Comma 7 2 3 3 2 2 2" xfId="10774"/>
    <cellStyle name="Comma 7 2 3 3 2 3" xfId="7964"/>
    <cellStyle name="Comma 7 2 3 3 3" xfId="3737"/>
    <cellStyle name="Comma 7 2 3 3 3 2" xfId="9373"/>
    <cellStyle name="Comma 7 2 3 3 4" xfId="6563"/>
    <cellStyle name="Comma 7 2 3 4" xfId="1632"/>
    <cellStyle name="Comma 7 2 3 4 2" xfId="4442"/>
    <cellStyle name="Comma 7 2 3 4 2 2" xfId="10078"/>
    <cellStyle name="Comma 7 2 3 4 3" xfId="7268"/>
    <cellStyle name="Comma 7 2 3 5" xfId="3041"/>
    <cellStyle name="Comma 7 2 3 5 2" xfId="8677"/>
    <cellStyle name="Comma 7 2 3 6" xfId="5867"/>
    <cellStyle name="Comma 7 2 4" xfId="403"/>
    <cellStyle name="Comma 7 2 4 2" xfId="1099"/>
    <cellStyle name="Comma 7 2 4 2 2" xfId="2500"/>
    <cellStyle name="Comma 7 2 4 2 2 2" xfId="5310"/>
    <cellStyle name="Comma 7 2 4 2 2 2 2" xfId="10946"/>
    <cellStyle name="Comma 7 2 4 2 2 3" xfId="8136"/>
    <cellStyle name="Comma 7 2 4 2 3" xfId="3909"/>
    <cellStyle name="Comma 7 2 4 2 3 2" xfId="9545"/>
    <cellStyle name="Comma 7 2 4 2 4" xfId="6735"/>
    <cellStyle name="Comma 7 2 4 3" xfId="1804"/>
    <cellStyle name="Comma 7 2 4 3 2" xfId="4614"/>
    <cellStyle name="Comma 7 2 4 3 2 2" xfId="10250"/>
    <cellStyle name="Comma 7 2 4 3 3" xfId="7440"/>
    <cellStyle name="Comma 7 2 4 4" xfId="3213"/>
    <cellStyle name="Comma 7 2 4 4 2" xfId="8849"/>
    <cellStyle name="Comma 7 2 4 5" xfId="6039"/>
    <cellStyle name="Comma 7 2 5" xfId="755"/>
    <cellStyle name="Comma 7 2 5 2" xfId="2156"/>
    <cellStyle name="Comma 7 2 5 2 2" xfId="4966"/>
    <cellStyle name="Comma 7 2 5 2 2 2" xfId="10602"/>
    <cellStyle name="Comma 7 2 5 2 3" xfId="7792"/>
    <cellStyle name="Comma 7 2 5 3" xfId="3565"/>
    <cellStyle name="Comma 7 2 5 3 2" xfId="9201"/>
    <cellStyle name="Comma 7 2 5 4" xfId="6391"/>
    <cellStyle name="Comma 7 2 6" xfId="1460"/>
    <cellStyle name="Comma 7 2 6 2" xfId="4270"/>
    <cellStyle name="Comma 7 2 6 2 2" xfId="9906"/>
    <cellStyle name="Comma 7 2 6 3" xfId="7096"/>
    <cellStyle name="Comma 7 2 7" xfId="2869"/>
    <cellStyle name="Comma 7 2 7 2" xfId="8505"/>
    <cellStyle name="Comma 7 2 8" xfId="5695"/>
    <cellStyle name="Comma 7 3" xfId="107"/>
    <cellStyle name="Comma 7 3 2" xfId="279"/>
    <cellStyle name="Comma 7 3 2 2" xfId="623"/>
    <cellStyle name="Comma 7 3 2 2 2" xfId="1319"/>
    <cellStyle name="Comma 7 3 2 2 2 2" xfId="2720"/>
    <cellStyle name="Comma 7 3 2 2 2 2 2" xfId="5530"/>
    <cellStyle name="Comma 7 3 2 2 2 2 2 2" xfId="11166"/>
    <cellStyle name="Comma 7 3 2 2 2 2 3" xfId="8356"/>
    <cellStyle name="Comma 7 3 2 2 2 3" xfId="4129"/>
    <cellStyle name="Comma 7 3 2 2 2 3 2" xfId="9765"/>
    <cellStyle name="Comma 7 3 2 2 2 4" xfId="6955"/>
    <cellStyle name="Comma 7 3 2 2 3" xfId="2024"/>
    <cellStyle name="Comma 7 3 2 2 3 2" xfId="4834"/>
    <cellStyle name="Comma 7 3 2 2 3 2 2" xfId="10470"/>
    <cellStyle name="Comma 7 3 2 2 3 3" xfId="7660"/>
    <cellStyle name="Comma 7 3 2 2 4" xfId="3433"/>
    <cellStyle name="Comma 7 3 2 2 4 2" xfId="9069"/>
    <cellStyle name="Comma 7 3 2 2 5" xfId="6259"/>
    <cellStyle name="Comma 7 3 2 3" xfId="975"/>
    <cellStyle name="Comma 7 3 2 3 2" xfId="2376"/>
    <cellStyle name="Comma 7 3 2 3 2 2" xfId="5186"/>
    <cellStyle name="Comma 7 3 2 3 2 2 2" xfId="10822"/>
    <cellStyle name="Comma 7 3 2 3 2 3" xfId="8012"/>
    <cellStyle name="Comma 7 3 2 3 3" xfId="3785"/>
    <cellStyle name="Comma 7 3 2 3 3 2" xfId="9421"/>
    <cellStyle name="Comma 7 3 2 3 4" xfId="6611"/>
    <cellStyle name="Comma 7 3 2 4" xfId="1680"/>
    <cellStyle name="Comma 7 3 2 4 2" xfId="4490"/>
    <cellStyle name="Comma 7 3 2 4 2 2" xfId="10126"/>
    <cellStyle name="Comma 7 3 2 4 3" xfId="7316"/>
    <cellStyle name="Comma 7 3 2 5" xfId="3089"/>
    <cellStyle name="Comma 7 3 2 5 2" xfId="8725"/>
    <cellStyle name="Comma 7 3 2 6" xfId="5915"/>
    <cellStyle name="Comma 7 3 3" xfId="451"/>
    <cellStyle name="Comma 7 3 3 2" xfId="1147"/>
    <cellStyle name="Comma 7 3 3 2 2" xfId="2548"/>
    <cellStyle name="Comma 7 3 3 2 2 2" xfId="5358"/>
    <cellStyle name="Comma 7 3 3 2 2 2 2" xfId="10994"/>
    <cellStyle name="Comma 7 3 3 2 2 3" xfId="8184"/>
    <cellStyle name="Comma 7 3 3 2 3" xfId="3957"/>
    <cellStyle name="Comma 7 3 3 2 3 2" xfId="9593"/>
    <cellStyle name="Comma 7 3 3 2 4" xfId="6783"/>
    <cellStyle name="Comma 7 3 3 3" xfId="1852"/>
    <cellStyle name="Comma 7 3 3 3 2" xfId="4662"/>
    <cellStyle name="Comma 7 3 3 3 2 2" xfId="10298"/>
    <cellStyle name="Comma 7 3 3 3 3" xfId="7488"/>
    <cellStyle name="Comma 7 3 3 4" xfId="3261"/>
    <cellStyle name="Comma 7 3 3 4 2" xfId="8897"/>
    <cellStyle name="Comma 7 3 3 5" xfId="6087"/>
    <cellStyle name="Comma 7 3 4" xfId="803"/>
    <cellStyle name="Comma 7 3 4 2" xfId="2204"/>
    <cellStyle name="Comma 7 3 4 2 2" xfId="5014"/>
    <cellStyle name="Comma 7 3 4 2 2 2" xfId="10650"/>
    <cellStyle name="Comma 7 3 4 2 3" xfId="7840"/>
    <cellStyle name="Comma 7 3 4 3" xfId="3613"/>
    <cellStyle name="Comma 7 3 4 3 2" xfId="9249"/>
    <cellStyle name="Comma 7 3 4 4" xfId="6439"/>
    <cellStyle name="Comma 7 3 5" xfId="1508"/>
    <cellStyle name="Comma 7 3 5 2" xfId="4318"/>
    <cellStyle name="Comma 7 3 5 2 2" xfId="9954"/>
    <cellStyle name="Comma 7 3 5 3" xfId="7144"/>
    <cellStyle name="Comma 7 3 6" xfId="2917"/>
    <cellStyle name="Comma 7 3 6 2" xfId="8553"/>
    <cellStyle name="Comma 7 3 7" xfId="5743"/>
    <cellStyle name="Comma 7 4" xfId="199"/>
    <cellStyle name="Comma 7 4 2" xfId="543"/>
    <cellStyle name="Comma 7 4 2 2" xfId="1239"/>
    <cellStyle name="Comma 7 4 2 2 2" xfId="2640"/>
    <cellStyle name="Comma 7 4 2 2 2 2" xfId="5450"/>
    <cellStyle name="Comma 7 4 2 2 2 2 2" xfId="11086"/>
    <cellStyle name="Comma 7 4 2 2 2 3" xfId="8276"/>
    <cellStyle name="Comma 7 4 2 2 3" xfId="4049"/>
    <cellStyle name="Comma 7 4 2 2 3 2" xfId="9685"/>
    <cellStyle name="Comma 7 4 2 2 4" xfId="6875"/>
    <cellStyle name="Comma 7 4 2 3" xfId="1944"/>
    <cellStyle name="Comma 7 4 2 3 2" xfId="4754"/>
    <cellStyle name="Comma 7 4 2 3 2 2" xfId="10390"/>
    <cellStyle name="Comma 7 4 2 3 3" xfId="7580"/>
    <cellStyle name="Comma 7 4 2 4" xfId="3353"/>
    <cellStyle name="Comma 7 4 2 4 2" xfId="8989"/>
    <cellStyle name="Comma 7 4 2 5" xfId="6179"/>
    <cellStyle name="Comma 7 4 3" xfId="895"/>
    <cellStyle name="Comma 7 4 3 2" xfId="2296"/>
    <cellStyle name="Comma 7 4 3 2 2" xfId="5106"/>
    <cellStyle name="Comma 7 4 3 2 2 2" xfId="10742"/>
    <cellStyle name="Comma 7 4 3 2 3" xfId="7932"/>
    <cellStyle name="Comma 7 4 3 3" xfId="3705"/>
    <cellStyle name="Comma 7 4 3 3 2" xfId="9341"/>
    <cellStyle name="Comma 7 4 3 4" xfId="6531"/>
    <cellStyle name="Comma 7 4 4" xfId="1600"/>
    <cellStyle name="Comma 7 4 4 2" xfId="4410"/>
    <cellStyle name="Comma 7 4 4 2 2" xfId="10046"/>
    <cellStyle name="Comma 7 4 4 3" xfId="7236"/>
    <cellStyle name="Comma 7 4 5" xfId="3009"/>
    <cellStyle name="Comma 7 4 5 2" xfId="8645"/>
    <cellStyle name="Comma 7 4 6" xfId="5835"/>
    <cellStyle name="Comma 7 5" xfId="371"/>
    <cellStyle name="Comma 7 5 2" xfId="1067"/>
    <cellStyle name="Comma 7 5 2 2" xfId="2468"/>
    <cellStyle name="Comma 7 5 2 2 2" xfId="5278"/>
    <cellStyle name="Comma 7 5 2 2 2 2" xfId="10914"/>
    <cellStyle name="Comma 7 5 2 2 3" xfId="8104"/>
    <cellStyle name="Comma 7 5 2 3" xfId="3877"/>
    <cellStyle name="Comma 7 5 2 3 2" xfId="9513"/>
    <cellStyle name="Comma 7 5 2 4" xfId="6703"/>
    <cellStyle name="Comma 7 5 3" xfId="1772"/>
    <cellStyle name="Comma 7 5 3 2" xfId="4582"/>
    <cellStyle name="Comma 7 5 3 2 2" xfId="10218"/>
    <cellStyle name="Comma 7 5 3 3" xfId="7408"/>
    <cellStyle name="Comma 7 5 4" xfId="3181"/>
    <cellStyle name="Comma 7 5 4 2" xfId="8817"/>
    <cellStyle name="Comma 7 5 5" xfId="6007"/>
    <cellStyle name="Comma 7 6" xfId="723"/>
    <cellStyle name="Comma 7 6 2" xfId="2124"/>
    <cellStyle name="Comma 7 6 2 2" xfId="4934"/>
    <cellStyle name="Comma 7 6 2 2 2" xfId="10570"/>
    <cellStyle name="Comma 7 6 2 3" xfId="7760"/>
    <cellStyle name="Comma 7 6 3" xfId="3533"/>
    <cellStyle name="Comma 7 6 3 2" xfId="9169"/>
    <cellStyle name="Comma 7 6 4" xfId="6359"/>
    <cellStyle name="Comma 7 7" xfId="1428"/>
    <cellStyle name="Comma 7 7 2" xfId="4238"/>
    <cellStyle name="Comma 7 7 2 2" xfId="9874"/>
    <cellStyle name="Comma 7 7 3" xfId="7064"/>
    <cellStyle name="Comma 7 8" xfId="2837"/>
    <cellStyle name="Comma 7 8 2" xfId="8473"/>
    <cellStyle name="Comma 7 9" xfId="5663"/>
    <cellStyle name="Comma 8" xfId="29"/>
    <cellStyle name="Comma 8 2" xfId="61"/>
    <cellStyle name="Comma 8 2 2" xfId="141"/>
    <cellStyle name="Comma 8 2 2 2" xfId="313"/>
    <cellStyle name="Comma 8 2 2 2 2" xfId="657"/>
    <cellStyle name="Comma 8 2 2 2 2 2" xfId="1353"/>
    <cellStyle name="Comma 8 2 2 2 2 2 2" xfId="2754"/>
    <cellStyle name="Comma 8 2 2 2 2 2 2 2" xfId="5564"/>
    <cellStyle name="Comma 8 2 2 2 2 2 2 2 2" xfId="11200"/>
    <cellStyle name="Comma 8 2 2 2 2 2 2 3" xfId="8390"/>
    <cellStyle name="Comma 8 2 2 2 2 2 3" xfId="4163"/>
    <cellStyle name="Comma 8 2 2 2 2 2 3 2" xfId="9799"/>
    <cellStyle name="Comma 8 2 2 2 2 2 4" xfId="6989"/>
    <cellStyle name="Comma 8 2 2 2 2 3" xfId="2058"/>
    <cellStyle name="Comma 8 2 2 2 2 3 2" xfId="4868"/>
    <cellStyle name="Comma 8 2 2 2 2 3 2 2" xfId="10504"/>
    <cellStyle name="Comma 8 2 2 2 2 3 3" xfId="7694"/>
    <cellStyle name="Comma 8 2 2 2 2 4" xfId="3467"/>
    <cellStyle name="Comma 8 2 2 2 2 4 2" xfId="9103"/>
    <cellStyle name="Comma 8 2 2 2 2 5" xfId="6293"/>
    <cellStyle name="Comma 8 2 2 2 3" xfId="1009"/>
    <cellStyle name="Comma 8 2 2 2 3 2" xfId="2410"/>
    <cellStyle name="Comma 8 2 2 2 3 2 2" xfId="5220"/>
    <cellStyle name="Comma 8 2 2 2 3 2 2 2" xfId="10856"/>
    <cellStyle name="Comma 8 2 2 2 3 2 3" xfId="8046"/>
    <cellStyle name="Comma 8 2 2 2 3 3" xfId="3819"/>
    <cellStyle name="Comma 8 2 2 2 3 3 2" xfId="9455"/>
    <cellStyle name="Comma 8 2 2 2 3 4" xfId="6645"/>
    <cellStyle name="Comma 8 2 2 2 4" xfId="1714"/>
    <cellStyle name="Comma 8 2 2 2 4 2" xfId="4524"/>
    <cellStyle name="Comma 8 2 2 2 4 2 2" xfId="10160"/>
    <cellStyle name="Comma 8 2 2 2 4 3" xfId="7350"/>
    <cellStyle name="Comma 8 2 2 2 5" xfId="3123"/>
    <cellStyle name="Comma 8 2 2 2 5 2" xfId="8759"/>
    <cellStyle name="Comma 8 2 2 2 6" xfId="5949"/>
    <cellStyle name="Comma 8 2 2 3" xfId="485"/>
    <cellStyle name="Comma 8 2 2 3 2" xfId="1181"/>
    <cellStyle name="Comma 8 2 2 3 2 2" xfId="2582"/>
    <cellStyle name="Comma 8 2 2 3 2 2 2" xfId="5392"/>
    <cellStyle name="Comma 8 2 2 3 2 2 2 2" xfId="11028"/>
    <cellStyle name="Comma 8 2 2 3 2 2 3" xfId="8218"/>
    <cellStyle name="Comma 8 2 2 3 2 3" xfId="3991"/>
    <cellStyle name="Comma 8 2 2 3 2 3 2" xfId="9627"/>
    <cellStyle name="Comma 8 2 2 3 2 4" xfId="6817"/>
    <cellStyle name="Comma 8 2 2 3 3" xfId="1886"/>
    <cellStyle name="Comma 8 2 2 3 3 2" xfId="4696"/>
    <cellStyle name="Comma 8 2 2 3 3 2 2" xfId="10332"/>
    <cellStyle name="Comma 8 2 2 3 3 3" xfId="7522"/>
    <cellStyle name="Comma 8 2 2 3 4" xfId="3295"/>
    <cellStyle name="Comma 8 2 2 3 4 2" xfId="8931"/>
    <cellStyle name="Comma 8 2 2 3 5" xfId="6121"/>
    <cellStyle name="Comma 8 2 2 4" xfId="837"/>
    <cellStyle name="Comma 8 2 2 4 2" xfId="2238"/>
    <cellStyle name="Comma 8 2 2 4 2 2" xfId="5048"/>
    <cellStyle name="Comma 8 2 2 4 2 2 2" xfId="10684"/>
    <cellStyle name="Comma 8 2 2 4 2 3" xfId="7874"/>
    <cellStyle name="Comma 8 2 2 4 3" xfId="3647"/>
    <cellStyle name="Comma 8 2 2 4 3 2" xfId="9283"/>
    <cellStyle name="Comma 8 2 2 4 4" xfId="6473"/>
    <cellStyle name="Comma 8 2 2 5" xfId="1542"/>
    <cellStyle name="Comma 8 2 2 5 2" xfId="4352"/>
    <cellStyle name="Comma 8 2 2 5 2 2" xfId="9988"/>
    <cellStyle name="Comma 8 2 2 5 3" xfId="7178"/>
    <cellStyle name="Comma 8 2 2 6" xfId="2951"/>
    <cellStyle name="Comma 8 2 2 6 2" xfId="8587"/>
    <cellStyle name="Comma 8 2 2 7" xfId="5777"/>
    <cellStyle name="Comma 8 2 3" xfId="233"/>
    <cellStyle name="Comma 8 2 3 2" xfId="577"/>
    <cellStyle name="Comma 8 2 3 2 2" xfId="1273"/>
    <cellStyle name="Comma 8 2 3 2 2 2" xfId="2674"/>
    <cellStyle name="Comma 8 2 3 2 2 2 2" xfId="5484"/>
    <cellStyle name="Comma 8 2 3 2 2 2 2 2" xfId="11120"/>
    <cellStyle name="Comma 8 2 3 2 2 2 3" xfId="8310"/>
    <cellStyle name="Comma 8 2 3 2 2 3" xfId="4083"/>
    <cellStyle name="Comma 8 2 3 2 2 3 2" xfId="9719"/>
    <cellStyle name="Comma 8 2 3 2 2 4" xfId="6909"/>
    <cellStyle name="Comma 8 2 3 2 3" xfId="1978"/>
    <cellStyle name="Comma 8 2 3 2 3 2" xfId="4788"/>
    <cellStyle name="Comma 8 2 3 2 3 2 2" xfId="10424"/>
    <cellStyle name="Comma 8 2 3 2 3 3" xfId="7614"/>
    <cellStyle name="Comma 8 2 3 2 4" xfId="3387"/>
    <cellStyle name="Comma 8 2 3 2 4 2" xfId="9023"/>
    <cellStyle name="Comma 8 2 3 2 5" xfId="6213"/>
    <cellStyle name="Comma 8 2 3 3" xfId="929"/>
    <cellStyle name="Comma 8 2 3 3 2" xfId="2330"/>
    <cellStyle name="Comma 8 2 3 3 2 2" xfId="5140"/>
    <cellStyle name="Comma 8 2 3 3 2 2 2" xfId="10776"/>
    <cellStyle name="Comma 8 2 3 3 2 3" xfId="7966"/>
    <cellStyle name="Comma 8 2 3 3 3" xfId="3739"/>
    <cellStyle name="Comma 8 2 3 3 3 2" xfId="9375"/>
    <cellStyle name="Comma 8 2 3 3 4" xfId="6565"/>
    <cellStyle name="Comma 8 2 3 4" xfId="1634"/>
    <cellStyle name="Comma 8 2 3 4 2" xfId="4444"/>
    <cellStyle name="Comma 8 2 3 4 2 2" xfId="10080"/>
    <cellStyle name="Comma 8 2 3 4 3" xfId="7270"/>
    <cellStyle name="Comma 8 2 3 5" xfId="3043"/>
    <cellStyle name="Comma 8 2 3 5 2" xfId="8679"/>
    <cellStyle name="Comma 8 2 3 6" xfId="5869"/>
    <cellStyle name="Comma 8 2 4" xfId="405"/>
    <cellStyle name="Comma 8 2 4 2" xfId="1101"/>
    <cellStyle name="Comma 8 2 4 2 2" xfId="2502"/>
    <cellStyle name="Comma 8 2 4 2 2 2" xfId="5312"/>
    <cellStyle name="Comma 8 2 4 2 2 2 2" xfId="10948"/>
    <cellStyle name="Comma 8 2 4 2 2 3" xfId="8138"/>
    <cellStyle name="Comma 8 2 4 2 3" xfId="3911"/>
    <cellStyle name="Comma 8 2 4 2 3 2" xfId="9547"/>
    <cellStyle name="Comma 8 2 4 2 4" xfId="6737"/>
    <cellStyle name="Comma 8 2 4 3" xfId="1806"/>
    <cellStyle name="Comma 8 2 4 3 2" xfId="4616"/>
    <cellStyle name="Comma 8 2 4 3 2 2" xfId="10252"/>
    <cellStyle name="Comma 8 2 4 3 3" xfId="7442"/>
    <cellStyle name="Comma 8 2 4 4" xfId="3215"/>
    <cellStyle name="Comma 8 2 4 4 2" xfId="8851"/>
    <cellStyle name="Comma 8 2 4 5" xfId="6041"/>
    <cellStyle name="Comma 8 2 5" xfId="757"/>
    <cellStyle name="Comma 8 2 5 2" xfId="2158"/>
    <cellStyle name="Comma 8 2 5 2 2" xfId="4968"/>
    <cellStyle name="Comma 8 2 5 2 2 2" xfId="10604"/>
    <cellStyle name="Comma 8 2 5 2 3" xfId="7794"/>
    <cellStyle name="Comma 8 2 5 3" xfId="3567"/>
    <cellStyle name="Comma 8 2 5 3 2" xfId="9203"/>
    <cellStyle name="Comma 8 2 5 4" xfId="6393"/>
    <cellStyle name="Comma 8 2 6" xfId="1462"/>
    <cellStyle name="Comma 8 2 6 2" xfId="4272"/>
    <cellStyle name="Comma 8 2 6 2 2" xfId="9908"/>
    <cellStyle name="Comma 8 2 6 3" xfId="7098"/>
    <cellStyle name="Comma 8 2 7" xfId="2871"/>
    <cellStyle name="Comma 8 2 7 2" xfId="8507"/>
    <cellStyle name="Comma 8 2 8" xfId="5697"/>
    <cellStyle name="Comma 8 3" xfId="109"/>
    <cellStyle name="Comma 8 3 2" xfId="281"/>
    <cellStyle name="Comma 8 3 2 2" xfId="625"/>
    <cellStyle name="Comma 8 3 2 2 2" xfId="1321"/>
    <cellStyle name="Comma 8 3 2 2 2 2" xfId="2722"/>
    <cellStyle name="Comma 8 3 2 2 2 2 2" xfId="5532"/>
    <cellStyle name="Comma 8 3 2 2 2 2 2 2" xfId="11168"/>
    <cellStyle name="Comma 8 3 2 2 2 2 3" xfId="8358"/>
    <cellStyle name="Comma 8 3 2 2 2 3" xfId="4131"/>
    <cellStyle name="Comma 8 3 2 2 2 3 2" xfId="9767"/>
    <cellStyle name="Comma 8 3 2 2 2 4" xfId="6957"/>
    <cellStyle name="Comma 8 3 2 2 3" xfId="2026"/>
    <cellStyle name="Comma 8 3 2 2 3 2" xfId="4836"/>
    <cellStyle name="Comma 8 3 2 2 3 2 2" xfId="10472"/>
    <cellStyle name="Comma 8 3 2 2 3 3" xfId="7662"/>
    <cellStyle name="Comma 8 3 2 2 4" xfId="3435"/>
    <cellStyle name="Comma 8 3 2 2 4 2" xfId="9071"/>
    <cellStyle name="Comma 8 3 2 2 5" xfId="6261"/>
    <cellStyle name="Comma 8 3 2 3" xfId="977"/>
    <cellStyle name="Comma 8 3 2 3 2" xfId="2378"/>
    <cellStyle name="Comma 8 3 2 3 2 2" xfId="5188"/>
    <cellStyle name="Comma 8 3 2 3 2 2 2" xfId="10824"/>
    <cellStyle name="Comma 8 3 2 3 2 3" xfId="8014"/>
    <cellStyle name="Comma 8 3 2 3 3" xfId="3787"/>
    <cellStyle name="Comma 8 3 2 3 3 2" xfId="9423"/>
    <cellStyle name="Comma 8 3 2 3 4" xfId="6613"/>
    <cellStyle name="Comma 8 3 2 4" xfId="1682"/>
    <cellStyle name="Comma 8 3 2 4 2" xfId="4492"/>
    <cellStyle name="Comma 8 3 2 4 2 2" xfId="10128"/>
    <cellStyle name="Comma 8 3 2 4 3" xfId="7318"/>
    <cellStyle name="Comma 8 3 2 5" xfId="3091"/>
    <cellStyle name="Comma 8 3 2 5 2" xfId="8727"/>
    <cellStyle name="Comma 8 3 2 6" xfId="5917"/>
    <cellStyle name="Comma 8 3 3" xfId="453"/>
    <cellStyle name="Comma 8 3 3 2" xfId="1149"/>
    <cellStyle name="Comma 8 3 3 2 2" xfId="2550"/>
    <cellStyle name="Comma 8 3 3 2 2 2" xfId="5360"/>
    <cellStyle name="Comma 8 3 3 2 2 2 2" xfId="10996"/>
    <cellStyle name="Comma 8 3 3 2 2 3" xfId="8186"/>
    <cellStyle name="Comma 8 3 3 2 3" xfId="3959"/>
    <cellStyle name="Comma 8 3 3 2 3 2" xfId="9595"/>
    <cellStyle name="Comma 8 3 3 2 4" xfId="6785"/>
    <cellStyle name="Comma 8 3 3 3" xfId="1854"/>
    <cellStyle name="Comma 8 3 3 3 2" xfId="4664"/>
    <cellStyle name="Comma 8 3 3 3 2 2" xfId="10300"/>
    <cellStyle name="Comma 8 3 3 3 3" xfId="7490"/>
    <cellStyle name="Comma 8 3 3 4" xfId="3263"/>
    <cellStyle name="Comma 8 3 3 4 2" xfId="8899"/>
    <cellStyle name="Comma 8 3 3 5" xfId="6089"/>
    <cellStyle name="Comma 8 3 4" xfId="805"/>
    <cellStyle name="Comma 8 3 4 2" xfId="2206"/>
    <cellStyle name="Comma 8 3 4 2 2" xfId="5016"/>
    <cellStyle name="Comma 8 3 4 2 2 2" xfId="10652"/>
    <cellStyle name="Comma 8 3 4 2 3" xfId="7842"/>
    <cellStyle name="Comma 8 3 4 3" xfId="3615"/>
    <cellStyle name="Comma 8 3 4 3 2" xfId="9251"/>
    <cellStyle name="Comma 8 3 4 4" xfId="6441"/>
    <cellStyle name="Comma 8 3 5" xfId="1510"/>
    <cellStyle name="Comma 8 3 5 2" xfId="4320"/>
    <cellStyle name="Comma 8 3 5 2 2" xfId="9956"/>
    <cellStyle name="Comma 8 3 5 3" xfId="7146"/>
    <cellStyle name="Comma 8 3 6" xfId="2919"/>
    <cellStyle name="Comma 8 3 6 2" xfId="8555"/>
    <cellStyle name="Comma 8 3 7" xfId="5745"/>
    <cellStyle name="Comma 8 4" xfId="201"/>
    <cellStyle name="Comma 8 4 2" xfId="545"/>
    <cellStyle name="Comma 8 4 2 2" xfId="1241"/>
    <cellStyle name="Comma 8 4 2 2 2" xfId="2642"/>
    <cellStyle name="Comma 8 4 2 2 2 2" xfId="5452"/>
    <cellStyle name="Comma 8 4 2 2 2 2 2" xfId="11088"/>
    <cellStyle name="Comma 8 4 2 2 2 3" xfId="8278"/>
    <cellStyle name="Comma 8 4 2 2 3" xfId="4051"/>
    <cellStyle name="Comma 8 4 2 2 3 2" xfId="9687"/>
    <cellStyle name="Comma 8 4 2 2 4" xfId="6877"/>
    <cellStyle name="Comma 8 4 2 3" xfId="1946"/>
    <cellStyle name="Comma 8 4 2 3 2" xfId="4756"/>
    <cellStyle name="Comma 8 4 2 3 2 2" xfId="10392"/>
    <cellStyle name="Comma 8 4 2 3 3" xfId="7582"/>
    <cellStyle name="Comma 8 4 2 4" xfId="3355"/>
    <cellStyle name="Comma 8 4 2 4 2" xfId="8991"/>
    <cellStyle name="Comma 8 4 2 5" xfId="6181"/>
    <cellStyle name="Comma 8 4 3" xfId="897"/>
    <cellStyle name="Comma 8 4 3 2" xfId="2298"/>
    <cellStyle name="Comma 8 4 3 2 2" xfId="5108"/>
    <cellStyle name="Comma 8 4 3 2 2 2" xfId="10744"/>
    <cellStyle name="Comma 8 4 3 2 3" xfId="7934"/>
    <cellStyle name="Comma 8 4 3 3" xfId="3707"/>
    <cellStyle name="Comma 8 4 3 3 2" xfId="9343"/>
    <cellStyle name="Comma 8 4 3 4" xfId="6533"/>
    <cellStyle name="Comma 8 4 4" xfId="1602"/>
    <cellStyle name="Comma 8 4 4 2" xfId="4412"/>
    <cellStyle name="Comma 8 4 4 2 2" xfId="10048"/>
    <cellStyle name="Comma 8 4 4 3" xfId="7238"/>
    <cellStyle name="Comma 8 4 5" xfId="3011"/>
    <cellStyle name="Comma 8 4 5 2" xfId="8647"/>
    <cellStyle name="Comma 8 4 6" xfId="5837"/>
    <cellStyle name="Comma 8 5" xfId="373"/>
    <cellStyle name="Comma 8 5 2" xfId="1069"/>
    <cellStyle name="Comma 8 5 2 2" xfId="2470"/>
    <cellStyle name="Comma 8 5 2 2 2" xfId="5280"/>
    <cellStyle name="Comma 8 5 2 2 2 2" xfId="10916"/>
    <cellStyle name="Comma 8 5 2 2 3" xfId="8106"/>
    <cellStyle name="Comma 8 5 2 3" xfId="3879"/>
    <cellStyle name="Comma 8 5 2 3 2" xfId="9515"/>
    <cellStyle name="Comma 8 5 2 4" xfId="6705"/>
    <cellStyle name="Comma 8 5 3" xfId="1774"/>
    <cellStyle name="Comma 8 5 3 2" xfId="4584"/>
    <cellStyle name="Comma 8 5 3 2 2" xfId="10220"/>
    <cellStyle name="Comma 8 5 3 3" xfId="7410"/>
    <cellStyle name="Comma 8 5 4" xfId="3183"/>
    <cellStyle name="Comma 8 5 4 2" xfId="8819"/>
    <cellStyle name="Comma 8 5 5" xfId="6009"/>
    <cellStyle name="Comma 8 6" xfId="725"/>
    <cellStyle name="Comma 8 6 2" xfId="2126"/>
    <cellStyle name="Comma 8 6 2 2" xfId="4936"/>
    <cellStyle name="Comma 8 6 2 2 2" xfId="10572"/>
    <cellStyle name="Comma 8 6 2 3" xfId="7762"/>
    <cellStyle name="Comma 8 6 3" xfId="3535"/>
    <cellStyle name="Comma 8 6 3 2" xfId="9171"/>
    <cellStyle name="Comma 8 6 4" xfId="6361"/>
    <cellStyle name="Comma 8 7" xfId="1430"/>
    <cellStyle name="Comma 8 7 2" xfId="4240"/>
    <cellStyle name="Comma 8 7 2 2" xfId="9876"/>
    <cellStyle name="Comma 8 7 3" xfId="7066"/>
    <cellStyle name="Comma 8 8" xfId="2839"/>
    <cellStyle name="Comma 8 8 2" xfId="8475"/>
    <cellStyle name="Comma 8 9" xfId="5665"/>
    <cellStyle name="Comma 9" xfId="31"/>
    <cellStyle name="Comma 9 2" xfId="63"/>
    <cellStyle name="Comma 9 2 2" xfId="143"/>
    <cellStyle name="Comma 9 2 2 2" xfId="315"/>
    <cellStyle name="Comma 9 2 2 2 2" xfId="659"/>
    <cellStyle name="Comma 9 2 2 2 2 2" xfId="1355"/>
    <cellStyle name="Comma 9 2 2 2 2 2 2" xfId="2756"/>
    <cellStyle name="Comma 9 2 2 2 2 2 2 2" xfId="5566"/>
    <cellStyle name="Comma 9 2 2 2 2 2 2 2 2" xfId="11202"/>
    <cellStyle name="Comma 9 2 2 2 2 2 2 3" xfId="8392"/>
    <cellStyle name="Comma 9 2 2 2 2 2 3" xfId="4165"/>
    <cellStyle name="Comma 9 2 2 2 2 2 3 2" xfId="9801"/>
    <cellStyle name="Comma 9 2 2 2 2 2 4" xfId="6991"/>
    <cellStyle name="Comma 9 2 2 2 2 3" xfId="2060"/>
    <cellStyle name="Comma 9 2 2 2 2 3 2" xfId="4870"/>
    <cellStyle name="Comma 9 2 2 2 2 3 2 2" xfId="10506"/>
    <cellStyle name="Comma 9 2 2 2 2 3 3" xfId="7696"/>
    <cellStyle name="Comma 9 2 2 2 2 4" xfId="3469"/>
    <cellStyle name="Comma 9 2 2 2 2 4 2" xfId="9105"/>
    <cellStyle name="Comma 9 2 2 2 2 5" xfId="6295"/>
    <cellStyle name="Comma 9 2 2 2 3" xfId="1011"/>
    <cellStyle name="Comma 9 2 2 2 3 2" xfId="2412"/>
    <cellStyle name="Comma 9 2 2 2 3 2 2" xfId="5222"/>
    <cellStyle name="Comma 9 2 2 2 3 2 2 2" xfId="10858"/>
    <cellStyle name="Comma 9 2 2 2 3 2 3" xfId="8048"/>
    <cellStyle name="Comma 9 2 2 2 3 3" xfId="3821"/>
    <cellStyle name="Comma 9 2 2 2 3 3 2" xfId="9457"/>
    <cellStyle name="Comma 9 2 2 2 3 4" xfId="6647"/>
    <cellStyle name="Comma 9 2 2 2 4" xfId="1716"/>
    <cellStyle name="Comma 9 2 2 2 4 2" xfId="4526"/>
    <cellStyle name="Comma 9 2 2 2 4 2 2" xfId="10162"/>
    <cellStyle name="Comma 9 2 2 2 4 3" xfId="7352"/>
    <cellStyle name="Comma 9 2 2 2 5" xfId="3125"/>
    <cellStyle name="Comma 9 2 2 2 5 2" xfId="8761"/>
    <cellStyle name="Comma 9 2 2 2 6" xfId="5951"/>
    <cellStyle name="Comma 9 2 2 3" xfId="487"/>
    <cellStyle name="Comma 9 2 2 3 2" xfId="1183"/>
    <cellStyle name="Comma 9 2 2 3 2 2" xfId="2584"/>
    <cellStyle name="Comma 9 2 2 3 2 2 2" xfId="5394"/>
    <cellStyle name="Comma 9 2 2 3 2 2 2 2" xfId="11030"/>
    <cellStyle name="Comma 9 2 2 3 2 2 3" xfId="8220"/>
    <cellStyle name="Comma 9 2 2 3 2 3" xfId="3993"/>
    <cellStyle name="Comma 9 2 2 3 2 3 2" xfId="9629"/>
    <cellStyle name="Comma 9 2 2 3 2 4" xfId="6819"/>
    <cellStyle name="Comma 9 2 2 3 3" xfId="1888"/>
    <cellStyle name="Comma 9 2 2 3 3 2" xfId="4698"/>
    <cellStyle name="Comma 9 2 2 3 3 2 2" xfId="10334"/>
    <cellStyle name="Comma 9 2 2 3 3 3" xfId="7524"/>
    <cellStyle name="Comma 9 2 2 3 4" xfId="3297"/>
    <cellStyle name="Comma 9 2 2 3 4 2" xfId="8933"/>
    <cellStyle name="Comma 9 2 2 3 5" xfId="6123"/>
    <cellStyle name="Comma 9 2 2 4" xfId="839"/>
    <cellStyle name="Comma 9 2 2 4 2" xfId="2240"/>
    <cellStyle name="Comma 9 2 2 4 2 2" xfId="5050"/>
    <cellStyle name="Comma 9 2 2 4 2 2 2" xfId="10686"/>
    <cellStyle name="Comma 9 2 2 4 2 3" xfId="7876"/>
    <cellStyle name="Comma 9 2 2 4 3" xfId="3649"/>
    <cellStyle name="Comma 9 2 2 4 3 2" xfId="9285"/>
    <cellStyle name="Comma 9 2 2 4 4" xfId="6475"/>
    <cellStyle name="Comma 9 2 2 5" xfId="1544"/>
    <cellStyle name="Comma 9 2 2 5 2" xfId="4354"/>
    <cellStyle name="Comma 9 2 2 5 2 2" xfId="9990"/>
    <cellStyle name="Comma 9 2 2 5 3" xfId="7180"/>
    <cellStyle name="Comma 9 2 2 6" xfId="2953"/>
    <cellStyle name="Comma 9 2 2 6 2" xfId="8589"/>
    <cellStyle name="Comma 9 2 2 7" xfId="5779"/>
    <cellStyle name="Comma 9 2 3" xfId="235"/>
    <cellStyle name="Comma 9 2 3 2" xfId="579"/>
    <cellStyle name="Comma 9 2 3 2 2" xfId="1275"/>
    <cellStyle name="Comma 9 2 3 2 2 2" xfId="2676"/>
    <cellStyle name="Comma 9 2 3 2 2 2 2" xfId="5486"/>
    <cellStyle name="Comma 9 2 3 2 2 2 2 2" xfId="11122"/>
    <cellStyle name="Comma 9 2 3 2 2 2 3" xfId="8312"/>
    <cellStyle name="Comma 9 2 3 2 2 3" xfId="4085"/>
    <cellStyle name="Comma 9 2 3 2 2 3 2" xfId="9721"/>
    <cellStyle name="Comma 9 2 3 2 2 4" xfId="6911"/>
    <cellStyle name="Comma 9 2 3 2 3" xfId="1980"/>
    <cellStyle name="Comma 9 2 3 2 3 2" xfId="4790"/>
    <cellStyle name="Comma 9 2 3 2 3 2 2" xfId="10426"/>
    <cellStyle name="Comma 9 2 3 2 3 3" xfId="7616"/>
    <cellStyle name="Comma 9 2 3 2 4" xfId="3389"/>
    <cellStyle name="Comma 9 2 3 2 4 2" xfId="9025"/>
    <cellStyle name="Comma 9 2 3 2 5" xfId="6215"/>
    <cellStyle name="Comma 9 2 3 3" xfId="931"/>
    <cellStyle name="Comma 9 2 3 3 2" xfId="2332"/>
    <cellStyle name="Comma 9 2 3 3 2 2" xfId="5142"/>
    <cellStyle name="Comma 9 2 3 3 2 2 2" xfId="10778"/>
    <cellStyle name="Comma 9 2 3 3 2 3" xfId="7968"/>
    <cellStyle name="Comma 9 2 3 3 3" xfId="3741"/>
    <cellStyle name="Comma 9 2 3 3 3 2" xfId="9377"/>
    <cellStyle name="Comma 9 2 3 3 4" xfId="6567"/>
    <cellStyle name="Comma 9 2 3 4" xfId="1636"/>
    <cellStyle name="Comma 9 2 3 4 2" xfId="4446"/>
    <cellStyle name="Comma 9 2 3 4 2 2" xfId="10082"/>
    <cellStyle name="Comma 9 2 3 4 3" xfId="7272"/>
    <cellStyle name="Comma 9 2 3 5" xfId="3045"/>
    <cellStyle name="Comma 9 2 3 5 2" xfId="8681"/>
    <cellStyle name="Comma 9 2 3 6" xfId="5871"/>
    <cellStyle name="Comma 9 2 4" xfId="407"/>
    <cellStyle name="Comma 9 2 4 2" xfId="1103"/>
    <cellStyle name="Comma 9 2 4 2 2" xfId="2504"/>
    <cellStyle name="Comma 9 2 4 2 2 2" xfId="5314"/>
    <cellStyle name="Comma 9 2 4 2 2 2 2" xfId="10950"/>
    <cellStyle name="Comma 9 2 4 2 2 3" xfId="8140"/>
    <cellStyle name="Comma 9 2 4 2 3" xfId="3913"/>
    <cellStyle name="Comma 9 2 4 2 3 2" xfId="9549"/>
    <cellStyle name="Comma 9 2 4 2 4" xfId="6739"/>
    <cellStyle name="Comma 9 2 4 3" xfId="1808"/>
    <cellStyle name="Comma 9 2 4 3 2" xfId="4618"/>
    <cellStyle name="Comma 9 2 4 3 2 2" xfId="10254"/>
    <cellStyle name="Comma 9 2 4 3 3" xfId="7444"/>
    <cellStyle name="Comma 9 2 4 4" xfId="3217"/>
    <cellStyle name="Comma 9 2 4 4 2" xfId="8853"/>
    <cellStyle name="Comma 9 2 4 5" xfId="6043"/>
    <cellStyle name="Comma 9 2 5" xfId="759"/>
    <cellStyle name="Comma 9 2 5 2" xfId="2160"/>
    <cellStyle name="Comma 9 2 5 2 2" xfId="4970"/>
    <cellStyle name="Comma 9 2 5 2 2 2" xfId="10606"/>
    <cellStyle name="Comma 9 2 5 2 3" xfId="7796"/>
    <cellStyle name="Comma 9 2 5 3" xfId="3569"/>
    <cellStyle name="Comma 9 2 5 3 2" xfId="9205"/>
    <cellStyle name="Comma 9 2 5 4" xfId="6395"/>
    <cellStyle name="Comma 9 2 6" xfId="1464"/>
    <cellStyle name="Comma 9 2 6 2" xfId="4274"/>
    <cellStyle name="Comma 9 2 6 2 2" xfId="9910"/>
    <cellStyle name="Comma 9 2 6 3" xfId="7100"/>
    <cellStyle name="Comma 9 2 7" xfId="2873"/>
    <cellStyle name="Comma 9 2 7 2" xfId="8509"/>
    <cellStyle name="Comma 9 2 8" xfId="5699"/>
    <cellStyle name="Comma 9 3" xfId="111"/>
    <cellStyle name="Comma 9 3 2" xfId="283"/>
    <cellStyle name="Comma 9 3 2 2" xfId="627"/>
    <cellStyle name="Comma 9 3 2 2 2" xfId="1323"/>
    <cellStyle name="Comma 9 3 2 2 2 2" xfId="2724"/>
    <cellStyle name="Comma 9 3 2 2 2 2 2" xfId="5534"/>
    <cellStyle name="Comma 9 3 2 2 2 2 2 2" xfId="11170"/>
    <cellStyle name="Comma 9 3 2 2 2 2 3" xfId="8360"/>
    <cellStyle name="Comma 9 3 2 2 2 3" xfId="4133"/>
    <cellStyle name="Comma 9 3 2 2 2 3 2" xfId="9769"/>
    <cellStyle name="Comma 9 3 2 2 2 4" xfId="6959"/>
    <cellStyle name="Comma 9 3 2 2 3" xfId="2028"/>
    <cellStyle name="Comma 9 3 2 2 3 2" xfId="4838"/>
    <cellStyle name="Comma 9 3 2 2 3 2 2" xfId="10474"/>
    <cellStyle name="Comma 9 3 2 2 3 3" xfId="7664"/>
    <cellStyle name="Comma 9 3 2 2 4" xfId="3437"/>
    <cellStyle name="Comma 9 3 2 2 4 2" xfId="9073"/>
    <cellStyle name="Comma 9 3 2 2 5" xfId="6263"/>
    <cellStyle name="Comma 9 3 2 3" xfId="979"/>
    <cellStyle name="Comma 9 3 2 3 2" xfId="2380"/>
    <cellStyle name="Comma 9 3 2 3 2 2" xfId="5190"/>
    <cellStyle name="Comma 9 3 2 3 2 2 2" xfId="10826"/>
    <cellStyle name="Comma 9 3 2 3 2 3" xfId="8016"/>
    <cellStyle name="Comma 9 3 2 3 3" xfId="3789"/>
    <cellStyle name="Comma 9 3 2 3 3 2" xfId="9425"/>
    <cellStyle name="Comma 9 3 2 3 4" xfId="6615"/>
    <cellStyle name="Comma 9 3 2 4" xfId="1684"/>
    <cellStyle name="Comma 9 3 2 4 2" xfId="4494"/>
    <cellStyle name="Comma 9 3 2 4 2 2" xfId="10130"/>
    <cellStyle name="Comma 9 3 2 4 3" xfId="7320"/>
    <cellStyle name="Comma 9 3 2 5" xfId="3093"/>
    <cellStyle name="Comma 9 3 2 5 2" xfId="8729"/>
    <cellStyle name="Comma 9 3 2 6" xfId="5919"/>
    <cellStyle name="Comma 9 3 3" xfId="455"/>
    <cellStyle name="Comma 9 3 3 2" xfId="1151"/>
    <cellStyle name="Comma 9 3 3 2 2" xfId="2552"/>
    <cellStyle name="Comma 9 3 3 2 2 2" xfId="5362"/>
    <cellStyle name="Comma 9 3 3 2 2 2 2" xfId="10998"/>
    <cellStyle name="Comma 9 3 3 2 2 3" xfId="8188"/>
    <cellStyle name="Comma 9 3 3 2 3" xfId="3961"/>
    <cellStyle name="Comma 9 3 3 2 3 2" xfId="9597"/>
    <cellStyle name="Comma 9 3 3 2 4" xfId="6787"/>
    <cellStyle name="Comma 9 3 3 3" xfId="1856"/>
    <cellStyle name="Comma 9 3 3 3 2" xfId="4666"/>
    <cellStyle name="Comma 9 3 3 3 2 2" xfId="10302"/>
    <cellStyle name="Comma 9 3 3 3 3" xfId="7492"/>
    <cellStyle name="Comma 9 3 3 4" xfId="3265"/>
    <cellStyle name="Comma 9 3 3 4 2" xfId="8901"/>
    <cellStyle name="Comma 9 3 3 5" xfId="6091"/>
    <cellStyle name="Comma 9 3 4" xfId="807"/>
    <cellStyle name="Comma 9 3 4 2" xfId="2208"/>
    <cellStyle name="Comma 9 3 4 2 2" xfId="5018"/>
    <cellStyle name="Comma 9 3 4 2 2 2" xfId="10654"/>
    <cellStyle name="Comma 9 3 4 2 3" xfId="7844"/>
    <cellStyle name="Comma 9 3 4 3" xfId="3617"/>
    <cellStyle name="Comma 9 3 4 3 2" xfId="9253"/>
    <cellStyle name="Comma 9 3 4 4" xfId="6443"/>
    <cellStyle name="Comma 9 3 5" xfId="1512"/>
    <cellStyle name="Comma 9 3 5 2" xfId="4322"/>
    <cellStyle name="Comma 9 3 5 2 2" xfId="9958"/>
    <cellStyle name="Comma 9 3 5 3" xfId="7148"/>
    <cellStyle name="Comma 9 3 6" xfId="2921"/>
    <cellStyle name="Comma 9 3 6 2" xfId="8557"/>
    <cellStyle name="Comma 9 3 7" xfId="5747"/>
    <cellStyle name="Comma 9 4" xfId="203"/>
    <cellStyle name="Comma 9 4 2" xfId="547"/>
    <cellStyle name="Comma 9 4 2 2" xfId="1243"/>
    <cellStyle name="Comma 9 4 2 2 2" xfId="2644"/>
    <cellStyle name="Comma 9 4 2 2 2 2" xfId="5454"/>
    <cellStyle name="Comma 9 4 2 2 2 2 2" xfId="11090"/>
    <cellStyle name="Comma 9 4 2 2 2 3" xfId="8280"/>
    <cellStyle name="Comma 9 4 2 2 3" xfId="4053"/>
    <cellStyle name="Comma 9 4 2 2 3 2" xfId="9689"/>
    <cellStyle name="Comma 9 4 2 2 4" xfId="6879"/>
    <cellStyle name="Comma 9 4 2 3" xfId="1948"/>
    <cellStyle name="Comma 9 4 2 3 2" xfId="4758"/>
    <cellStyle name="Comma 9 4 2 3 2 2" xfId="10394"/>
    <cellStyle name="Comma 9 4 2 3 3" xfId="7584"/>
    <cellStyle name="Comma 9 4 2 4" xfId="3357"/>
    <cellStyle name="Comma 9 4 2 4 2" xfId="8993"/>
    <cellStyle name="Comma 9 4 2 5" xfId="6183"/>
    <cellStyle name="Comma 9 4 3" xfId="899"/>
    <cellStyle name="Comma 9 4 3 2" xfId="2300"/>
    <cellStyle name="Comma 9 4 3 2 2" xfId="5110"/>
    <cellStyle name="Comma 9 4 3 2 2 2" xfId="10746"/>
    <cellStyle name="Comma 9 4 3 2 3" xfId="7936"/>
    <cellStyle name="Comma 9 4 3 3" xfId="3709"/>
    <cellStyle name="Comma 9 4 3 3 2" xfId="9345"/>
    <cellStyle name="Comma 9 4 3 4" xfId="6535"/>
    <cellStyle name="Comma 9 4 4" xfId="1604"/>
    <cellStyle name="Comma 9 4 4 2" xfId="4414"/>
    <cellStyle name="Comma 9 4 4 2 2" xfId="10050"/>
    <cellStyle name="Comma 9 4 4 3" xfId="7240"/>
    <cellStyle name="Comma 9 4 5" xfId="3013"/>
    <cellStyle name="Comma 9 4 5 2" xfId="8649"/>
    <cellStyle name="Comma 9 4 6" xfId="5839"/>
    <cellStyle name="Comma 9 5" xfId="375"/>
    <cellStyle name="Comma 9 5 2" xfId="1071"/>
    <cellStyle name="Comma 9 5 2 2" xfId="2472"/>
    <cellStyle name="Comma 9 5 2 2 2" xfId="5282"/>
    <cellStyle name="Comma 9 5 2 2 2 2" xfId="10918"/>
    <cellStyle name="Comma 9 5 2 2 3" xfId="8108"/>
    <cellStyle name="Comma 9 5 2 3" xfId="3881"/>
    <cellStyle name="Comma 9 5 2 3 2" xfId="9517"/>
    <cellStyle name="Comma 9 5 2 4" xfId="6707"/>
    <cellStyle name="Comma 9 5 3" xfId="1776"/>
    <cellStyle name="Comma 9 5 3 2" xfId="4586"/>
    <cellStyle name="Comma 9 5 3 2 2" xfId="10222"/>
    <cellStyle name="Comma 9 5 3 3" xfId="7412"/>
    <cellStyle name="Comma 9 5 4" xfId="3185"/>
    <cellStyle name="Comma 9 5 4 2" xfId="8821"/>
    <cellStyle name="Comma 9 5 5" xfId="6011"/>
    <cellStyle name="Comma 9 6" xfId="727"/>
    <cellStyle name="Comma 9 6 2" xfId="2128"/>
    <cellStyle name="Comma 9 6 2 2" xfId="4938"/>
    <cellStyle name="Comma 9 6 2 2 2" xfId="10574"/>
    <cellStyle name="Comma 9 6 2 3" xfId="7764"/>
    <cellStyle name="Comma 9 6 3" xfId="3537"/>
    <cellStyle name="Comma 9 6 3 2" xfId="9173"/>
    <cellStyle name="Comma 9 6 4" xfId="6363"/>
    <cellStyle name="Comma 9 7" xfId="1432"/>
    <cellStyle name="Comma 9 7 2" xfId="4242"/>
    <cellStyle name="Comma 9 7 2 2" xfId="9878"/>
    <cellStyle name="Comma 9 7 3" xfId="7068"/>
    <cellStyle name="Comma 9 8" xfId="2841"/>
    <cellStyle name="Comma 9 8 2" xfId="8477"/>
    <cellStyle name="Comma 9 9" xfId="5667"/>
    <cellStyle name="Currency 10" xfId="699"/>
    <cellStyle name="Currency 10 2" xfId="2100"/>
    <cellStyle name="Currency 10 2 2" xfId="4910"/>
    <cellStyle name="Currency 10 2 2 2" xfId="10546"/>
    <cellStyle name="Currency 10 2 3" xfId="7736"/>
    <cellStyle name="Currency 10 3" xfId="3509"/>
    <cellStyle name="Currency 10 3 2" xfId="9145"/>
    <cellStyle name="Currency 10 4" xfId="6335"/>
    <cellStyle name="Currency 11" xfId="1394"/>
    <cellStyle name="Currency 11 2" xfId="2795"/>
    <cellStyle name="Currency 11 2 2" xfId="5605"/>
    <cellStyle name="Currency 11 2 2 2" xfId="11241"/>
    <cellStyle name="Currency 11 2 3" xfId="8431"/>
    <cellStyle name="Currency 11 3" xfId="4204"/>
    <cellStyle name="Currency 11 3 2" xfId="9840"/>
    <cellStyle name="Currency 11 4" xfId="7030"/>
    <cellStyle name="Currency 12" xfId="1404"/>
    <cellStyle name="Currency 12 2" xfId="4214"/>
    <cellStyle name="Currency 12 2 2" xfId="9850"/>
    <cellStyle name="Currency 12 3" xfId="7040"/>
    <cellStyle name="Currency 13" xfId="2804"/>
    <cellStyle name="Currency 13 2" xfId="5614"/>
    <cellStyle name="Currency 13 2 2" xfId="11250"/>
    <cellStyle name="Currency 13 3" xfId="8440"/>
    <cellStyle name="Currency 14" xfId="2813"/>
    <cellStyle name="Currency 14 2" xfId="8449"/>
    <cellStyle name="Currency 15" xfId="5621"/>
    <cellStyle name="Currency 15 2" xfId="11257"/>
    <cellStyle name="Currency 16" xfId="5639"/>
    <cellStyle name="Currency 2" xfId="15"/>
    <cellStyle name="Currency 2 2" xfId="47"/>
    <cellStyle name="Currency 2 2 2" xfId="127"/>
    <cellStyle name="Currency 2 2 2 2" xfId="299"/>
    <cellStyle name="Currency 2 2 2 2 2" xfId="643"/>
    <cellStyle name="Currency 2 2 2 2 2 2" xfId="1339"/>
    <cellStyle name="Currency 2 2 2 2 2 2 2" xfId="2740"/>
    <cellStyle name="Currency 2 2 2 2 2 2 2 2" xfId="5550"/>
    <cellStyle name="Currency 2 2 2 2 2 2 2 2 2" xfId="11186"/>
    <cellStyle name="Currency 2 2 2 2 2 2 2 3" xfId="8376"/>
    <cellStyle name="Currency 2 2 2 2 2 2 3" xfId="4149"/>
    <cellStyle name="Currency 2 2 2 2 2 2 3 2" xfId="9785"/>
    <cellStyle name="Currency 2 2 2 2 2 2 4" xfId="6975"/>
    <cellStyle name="Currency 2 2 2 2 2 3" xfId="2044"/>
    <cellStyle name="Currency 2 2 2 2 2 3 2" xfId="4854"/>
    <cellStyle name="Currency 2 2 2 2 2 3 2 2" xfId="10490"/>
    <cellStyle name="Currency 2 2 2 2 2 3 3" xfId="7680"/>
    <cellStyle name="Currency 2 2 2 2 2 4" xfId="3453"/>
    <cellStyle name="Currency 2 2 2 2 2 4 2" xfId="9089"/>
    <cellStyle name="Currency 2 2 2 2 2 5" xfId="6279"/>
    <cellStyle name="Currency 2 2 2 2 3" xfId="995"/>
    <cellStyle name="Currency 2 2 2 2 3 2" xfId="2396"/>
    <cellStyle name="Currency 2 2 2 2 3 2 2" xfId="5206"/>
    <cellStyle name="Currency 2 2 2 2 3 2 2 2" xfId="10842"/>
    <cellStyle name="Currency 2 2 2 2 3 2 3" xfId="8032"/>
    <cellStyle name="Currency 2 2 2 2 3 3" xfId="3805"/>
    <cellStyle name="Currency 2 2 2 2 3 3 2" xfId="9441"/>
    <cellStyle name="Currency 2 2 2 2 3 4" xfId="6631"/>
    <cellStyle name="Currency 2 2 2 2 4" xfId="1700"/>
    <cellStyle name="Currency 2 2 2 2 4 2" xfId="4510"/>
    <cellStyle name="Currency 2 2 2 2 4 2 2" xfId="10146"/>
    <cellStyle name="Currency 2 2 2 2 4 3" xfId="7336"/>
    <cellStyle name="Currency 2 2 2 2 5" xfId="3109"/>
    <cellStyle name="Currency 2 2 2 2 5 2" xfId="8745"/>
    <cellStyle name="Currency 2 2 2 2 6" xfId="5935"/>
    <cellStyle name="Currency 2 2 2 3" xfId="471"/>
    <cellStyle name="Currency 2 2 2 3 2" xfId="1167"/>
    <cellStyle name="Currency 2 2 2 3 2 2" xfId="2568"/>
    <cellStyle name="Currency 2 2 2 3 2 2 2" xfId="5378"/>
    <cellStyle name="Currency 2 2 2 3 2 2 2 2" xfId="11014"/>
    <cellStyle name="Currency 2 2 2 3 2 2 3" xfId="8204"/>
    <cellStyle name="Currency 2 2 2 3 2 3" xfId="3977"/>
    <cellStyle name="Currency 2 2 2 3 2 3 2" xfId="9613"/>
    <cellStyle name="Currency 2 2 2 3 2 4" xfId="6803"/>
    <cellStyle name="Currency 2 2 2 3 3" xfId="1872"/>
    <cellStyle name="Currency 2 2 2 3 3 2" xfId="4682"/>
    <cellStyle name="Currency 2 2 2 3 3 2 2" xfId="10318"/>
    <cellStyle name="Currency 2 2 2 3 3 3" xfId="7508"/>
    <cellStyle name="Currency 2 2 2 3 4" xfId="3281"/>
    <cellStyle name="Currency 2 2 2 3 4 2" xfId="8917"/>
    <cellStyle name="Currency 2 2 2 3 5" xfId="6107"/>
    <cellStyle name="Currency 2 2 2 4" xfId="823"/>
    <cellStyle name="Currency 2 2 2 4 2" xfId="2224"/>
    <cellStyle name="Currency 2 2 2 4 2 2" xfId="5034"/>
    <cellStyle name="Currency 2 2 2 4 2 2 2" xfId="10670"/>
    <cellStyle name="Currency 2 2 2 4 2 3" xfId="7860"/>
    <cellStyle name="Currency 2 2 2 4 3" xfId="3633"/>
    <cellStyle name="Currency 2 2 2 4 3 2" xfId="9269"/>
    <cellStyle name="Currency 2 2 2 4 4" xfId="6459"/>
    <cellStyle name="Currency 2 2 2 5" xfId="1528"/>
    <cellStyle name="Currency 2 2 2 5 2" xfId="4338"/>
    <cellStyle name="Currency 2 2 2 5 2 2" xfId="9974"/>
    <cellStyle name="Currency 2 2 2 5 3" xfId="7164"/>
    <cellStyle name="Currency 2 2 2 6" xfId="2937"/>
    <cellStyle name="Currency 2 2 2 6 2" xfId="8573"/>
    <cellStyle name="Currency 2 2 2 7" xfId="5763"/>
    <cellStyle name="Currency 2 2 3" xfId="219"/>
    <cellStyle name="Currency 2 2 3 2" xfId="563"/>
    <cellStyle name="Currency 2 2 3 2 2" xfId="1259"/>
    <cellStyle name="Currency 2 2 3 2 2 2" xfId="2660"/>
    <cellStyle name="Currency 2 2 3 2 2 2 2" xfId="5470"/>
    <cellStyle name="Currency 2 2 3 2 2 2 2 2" xfId="11106"/>
    <cellStyle name="Currency 2 2 3 2 2 2 3" xfId="8296"/>
    <cellStyle name="Currency 2 2 3 2 2 3" xfId="4069"/>
    <cellStyle name="Currency 2 2 3 2 2 3 2" xfId="9705"/>
    <cellStyle name="Currency 2 2 3 2 2 4" xfId="6895"/>
    <cellStyle name="Currency 2 2 3 2 3" xfId="1964"/>
    <cellStyle name="Currency 2 2 3 2 3 2" xfId="4774"/>
    <cellStyle name="Currency 2 2 3 2 3 2 2" xfId="10410"/>
    <cellStyle name="Currency 2 2 3 2 3 3" xfId="7600"/>
    <cellStyle name="Currency 2 2 3 2 4" xfId="3373"/>
    <cellStyle name="Currency 2 2 3 2 4 2" xfId="9009"/>
    <cellStyle name="Currency 2 2 3 2 5" xfId="6199"/>
    <cellStyle name="Currency 2 2 3 3" xfId="915"/>
    <cellStyle name="Currency 2 2 3 3 2" xfId="2316"/>
    <cellStyle name="Currency 2 2 3 3 2 2" xfId="5126"/>
    <cellStyle name="Currency 2 2 3 3 2 2 2" xfId="10762"/>
    <cellStyle name="Currency 2 2 3 3 2 3" xfId="7952"/>
    <cellStyle name="Currency 2 2 3 3 3" xfId="3725"/>
    <cellStyle name="Currency 2 2 3 3 3 2" xfId="9361"/>
    <cellStyle name="Currency 2 2 3 3 4" xfId="6551"/>
    <cellStyle name="Currency 2 2 3 4" xfId="1620"/>
    <cellStyle name="Currency 2 2 3 4 2" xfId="4430"/>
    <cellStyle name="Currency 2 2 3 4 2 2" xfId="10066"/>
    <cellStyle name="Currency 2 2 3 4 3" xfId="7256"/>
    <cellStyle name="Currency 2 2 3 5" xfId="3029"/>
    <cellStyle name="Currency 2 2 3 5 2" xfId="8665"/>
    <cellStyle name="Currency 2 2 3 6" xfId="5855"/>
    <cellStyle name="Currency 2 2 4" xfId="391"/>
    <cellStyle name="Currency 2 2 4 2" xfId="1087"/>
    <cellStyle name="Currency 2 2 4 2 2" xfId="2488"/>
    <cellStyle name="Currency 2 2 4 2 2 2" xfId="5298"/>
    <cellStyle name="Currency 2 2 4 2 2 2 2" xfId="10934"/>
    <cellStyle name="Currency 2 2 4 2 2 3" xfId="8124"/>
    <cellStyle name="Currency 2 2 4 2 3" xfId="3897"/>
    <cellStyle name="Currency 2 2 4 2 3 2" xfId="9533"/>
    <cellStyle name="Currency 2 2 4 2 4" xfId="6723"/>
    <cellStyle name="Currency 2 2 4 3" xfId="1792"/>
    <cellStyle name="Currency 2 2 4 3 2" xfId="4602"/>
    <cellStyle name="Currency 2 2 4 3 2 2" xfId="10238"/>
    <cellStyle name="Currency 2 2 4 3 3" xfId="7428"/>
    <cellStyle name="Currency 2 2 4 4" xfId="3201"/>
    <cellStyle name="Currency 2 2 4 4 2" xfId="8837"/>
    <cellStyle name="Currency 2 2 4 5" xfId="6027"/>
    <cellStyle name="Currency 2 2 5" xfId="743"/>
    <cellStyle name="Currency 2 2 5 2" xfId="2144"/>
    <cellStyle name="Currency 2 2 5 2 2" xfId="4954"/>
    <cellStyle name="Currency 2 2 5 2 2 2" xfId="10590"/>
    <cellStyle name="Currency 2 2 5 2 3" xfId="7780"/>
    <cellStyle name="Currency 2 2 5 3" xfId="3553"/>
    <cellStyle name="Currency 2 2 5 3 2" xfId="9189"/>
    <cellStyle name="Currency 2 2 5 4" xfId="6379"/>
    <cellStyle name="Currency 2 2 6" xfId="1448"/>
    <cellStyle name="Currency 2 2 6 2" xfId="4258"/>
    <cellStyle name="Currency 2 2 6 2 2" xfId="9894"/>
    <cellStyle name="Currency 2 2 6 3" xfId="7084"/>
    <cellStyle name="Currency 2 2 7" xfId="2857"/>
    <cellStyle name="Currency 2 2 7 2" xfId="8493"/>
    <cellStyle name="Currency 2 2 8" xfId="5683"/>
    <cellStyle name="Currency 2 3" xfId="95"/>
    <cellStyle name="Currency 2 3 2" xfId="267"/>
    <cellStyle name="Currency 2 3 2 2" xfId="611"/>
    <cellStyle name="Currency 2 3 2 2 2" xfId="1307"/>
    <cellStyle name="Currency 2 3 2 2 2 2" xfId="2708"/>
    <cellStyle name="Currency 2 3 2 2 2 2 2" xfId="5518"/>
    <cellStyle name="Currency 2 3 2 2 2 2 2 2" xfId="11154"/>
    <cellStyle name="Currency 2 3 2 2 2 2 3" xfId="8344"/>
    <cellStyle name="Currency 2 3 2 2 2 3" xfId="4117"/>
    <cellStyle name="Currency 2 3 2 2 2 3 2" xfId="9753"/>
    <cellStyle name="Currency 2 3 2 2 2 4" xfId="6943"/>
    <cellStyle name="Currency 2 3 2 2 3" xfId="2012"/>
    <cellStyle name="Currency 2 3 2 2 3 2" xfId="4822"/>
    <cellStyle name="Currency 2 3 2 2 3 2 2" xfId="10458"/>
    <cellStyle name="Currency 2 3 2 2 3 3" xfId="7648"/>
    <cellStyle name="Currency 2 3 2 2 4" xfId="3421"/>
    <cellStyle name="Currency 2 3 2 2 4 2" xfId="9057"/>
    <cellStyle name="Currency 2 3 2 2 5" xfId="6247"/>
    <cellStyle name="Currency 2 3 2 3" xfId="963"/>
    <cellStyle name="Currency 2 3 2 3 2" xfId="2364"/>
    <cellStyle name="Currency 2 3 2 3 2 2" xfId="5174"/>
    <cellStyle name="Currency 2 3 2 3 2 2 2" xfId="10810"/>
    <cellStyle name="Currency 2 3 2 3 2 3" xfId="8000"/>
    <cellStyle name="Currency 2 3 2 3 3" xfId="3773"/>
    <cellStyle name="Currency 2 3 2 3 3 2" xfId="9409"/>
    <cellStyle name="Currency 2 3 2 3 4" xfId="6599"/>
    <cellStyle name="Currency 2 3 2 4" xfId="1668"/>
    <cellStyle name="Currency 2 3 2 4 2" xfId="4478"/>
    <cellStyle name="Currency 2 3 2 4 2 2" xfId="10114"/>
    <cellStyle name="Currency 2 3 2 4 3" xfId="7304"/>
    <cellStyle name="Currency 2 3 2 5" xfId="3077"/>
    <cellStyle name="Currency 2 3 2 5 2" xfId="8713"/>
    <cellStyle name="Currency 2 3 2 6" xfId="5903"/>
    <cellStyle name="Currency 2 3 3" xfId="439"/>
    <cellStyle name="Currency 2 3 3 2" xfId="1135"/>
    <cellStyle name="Currency 2 3 3 2 2" xfId="2536"/>
    <cellStyle name="Currency 2 3 3 2 2 2" xfId="5346"/>
    <cellStyle name="Currency 2 3 3 2 2 2 2" xfId="10982"/>
    <cellStyle name="Currency 2 3 3 2 2 3" xfId="8172"/>
    <cellStyle name="Currency 2 3 3 2 3" xfId="3945"/>
    <cellStyle name="Currency 2 3 3 2 3 2" xfId="9581"/>
    <cellStyle name="Currency 2 3 3 2 4" xfId="6771"/>
    <cellStyle name="Currency 2 3 3 3" xfId="1840"/>
    <cellStyle name="Currency 2 3 3 3 2" xfId="4650"/>
    <cellStyle name="Currency 2 3 3 3 2 2" xfId="10286"/>
    <cellStyle name="Currency 2 3 3 3 3" xfId="7476"/>
    <cellStyle name="Currency 2 3 3 4" xfId="3249"/>
    <cellStyle name="Currency 2 3 3 4 2" xfId="8885"/>
    <cellStyle name="Currency 2 3 3 5" xfId="6075"/>
    <cellStyle name="Currency 2 3 4" xfId="791"/>
    <cellStyle name="Currency 2 3 4 2" xfId="2192"/>
    <cellStyle name="Currency 2 3 4 2 2" xfId="5002"/>
    <cellStyle name="Currency 2 3 4 2 2 2" xfId="10638"/>
    <cellStyle name="Currency 2 3 4 2 3" xfId="7828"/>
    <cellStyle name="Currency 2 3 4 3" xfId="3601"/>
    <cellStyle name="Currency 2 3 4 3 2" xfId="9237"/>
    <cellStyle name="Currency 2 3 4 4" xfId="6427"/>
    <cellStyle name="Currency 2 3 5" xfId="1496"/>
    <cellStyle name="Currency 2 3 5 2" xfId="4306"/>
    <cellStyle name="Currency 2 3 5 2 2" xfId="9942"/>
    <cellStyle name="Currency 2 3 5 3" xfId="7132"/>
    <cellStyle name="Currency 2 3 6" xfId="2905"/>
    <cellStyle name="Currency 2 3 6 2" xfId="8541"/>
    <cellStyle name="Currency 2 3 7" xfId="5731"/>
    <cellStyle name="Currency 2 4" xfId="187"/>
    <cellStyle name="Currency 2 4 2" xfId="531"/>
    <cellStyle name="Currency 2 4 2 2" xfId="1227"/>
    <cellStyle name="Currency 2 4 2 2 2" xfId="2628"/>
    <cellStyle name="Currency 2 4 2 2 2 2" xfId="5438"/>
    <cellStyle name="Currency 2 4 2 2 2 2 2" xfId="11074"/>
    <cellStyle name="Currency 2 4 2 2 2 3" xfId="8264"/>
    <cellStyle name="Currency 2 4 2 2 3" xfId="4037"/>
    <cellStyle name="Currency 2 4 2 2 3 2" xfId="9673"/>
    <cellStyle name="Currency 2 4 2 2 4" xfId="6863"/>
    <cellStyle name="Currency 2 4 2 3" xfId="1932"/>
    <cellStyle name="Currency 2 4 2 3 2" xfId="4742"/>
    <cellStyle name="Currency 2 4 2 3 2 2" xfId="10378"/>
    <cellStyle name="Currency 2 4 2 3 3" xfId="7568"/>
    <cellStyle name="Currency 2 4 2 4" xfId="3341"/>
    <cellStyle name="Currency 2 4 2 4 2" xfId="8977"/>
    <cellStyle name="Currency 2 4 2 5" xfId="6167"/>
    <cellStyle name="Currency 2 4 3" xfId="883"/>
    <cellStyle name="Currency 2 4 3 2" xfId="2284"/>
    <cellStyle name="Currency 2 4 3 2 2" xfId="5094"/>
    <cellStyle name="Currency 2 4 3 2 2 2" xfId="10730"/>
    <cellStyle name="Currency 2 4 3 2 3" xfId="7920"/>
    <cellStyle name="Currency 2 4 3 3" xfId="3693"/>
    <cellStyle name="Currency 2 4 3 3 2" xfId="9329"/>
    <cellStyle name="Currency 2 4 3 4" xfId="6519"/>
    <cellStyle name="Currency 2 4 4" xfId="1588"/>
    <cellStyle name="Currency 2 4 4 2" xfId="4398"/>
    <cellStyle name="Currency 2 4 4 2 2" xfId="10034"/>
    <cellStyle name="Currency 2 4 4 3" xfId="7224"/>
    <cellStyle name="Currency 2 4 5" xfId="2997"/>
    <cellStyle name="Currency 2 4 5 2" xfId="8633"/>
    <cellStyle name="Currency 2 4 6" xfId="5823"/>
    <cellStyle name="Currency 2 5" xfId="359"/>
    <cellStyle name="Currency 2 5 2" xfId="1055"/>
    <cellStyle name="Currency 2 5 2 2" xfId="2456"/>
    <cellStyle name="Currency 2 5 2 2 2" xfId="5266"/>
    <cellStyle name="Currency 2 5 2 2 2 2" xfId="10902"/>
    <cellStyle name="Currency 2 5 2 2 3" xfId="8092"/>
    <cellStyle name="Currency 2 5 2 3" xfId="3865"/>
    <cellStyle name="Currency 2 5 2 3 2" xfId="9501"/>
    <cellStyle name="Currency 2 5 2 4" xfId="6691"/>
    <cellStyle name="Currency 2 5 3" xfId="1760"/>
    <cellStyle name="Currency 2 5 3 2" xfId="4570"/>
    <cellStyle name="Currency 2 5 3 2 2" xfId="10206"/>
    <cellStyle name="Currency 2 5 3 3" xfId="7396"/>
    <cellStyle name="Currency 2 5 4" xfId="3169"/>
    <cellStyle name="Currency 2 5 4 2" xfId="8805"/>
    <cellStyle name="Currency 2 5 5" xfId="5995"/>
    <cellStyle name="Currency 2 6" xfId="711"/>
    <cellStyle name="Currency 2 6 2" xfId="2112"/>
    <cellStyle name="Currency 2 6 2 2" xfId="4922"/>
    <cellStyle name="Currency 2 6 2 2 2" xfId="10558"/>
    <cellStyle name="Currency 2 6 2 3" xfId="7748"/>
    <cellStyle name="Currency 2 6 3" xfId="3521"/>
    <cellStyle name="Currency 2 6 3 2" xfId="9157"/>
    <cellStyle name="Currency 2 6 4" xfId="6347"/>
    <cellStyle name="Currency 2 7" xfId="1416"/>
    <cellStyle name="Currency 2 7 2" xfId="4226"/>
    <cellStyle name="Currency 2 7 2 2" xfId="9862"/>
    <cellStyle name="Currency 2 7 3" xfId="7052"/>
    <cellStyle name="Currency 2 8" xfId="2825"/>
    <cellStyle name="Currency 2 8 2" xfId="8461"/>
    <cellStyle name="Currency 2 9" xfId="5651"/>
    <cellStyle name="Currency 3" xfId="25"/>
    <cellStyle name="Currency 3 2" xfId="57"/>
    <cellStyle name="Currency 3 2 2" xfId="137"/>
    <cellStyle name="Currency 3 2 2 2" xfId="309"/>
    <cellStyle name="Currency 3 2 2 2 2" xfId="653"/>
    <cellStyle name="Currency 3 2 2 2 2 2" xfId="1349"/>
    <cellStyle name="Currency 3 2 2 2 2 2 2" xfId="2750"/>
    <cellStyle name="Currency 3 2 2 2 2 2 2 2" xfId="5560"/>
    <cellStyle name="Currency 3 2 2 2 2 2 2 2 2" xfId="11196"/>
    <cellStyle name="Currency 3 2 2 2 2 2 2 3" xfId="8386"/>
    <cellStyle name="Currency 3 2 2 2 2 2 3" xfId="4159"/>
    <cellStyle name="Currency 3 2 2 2 2 2 3 2" xfId="9795"/>
    <cellStyle name="Currency 3 2 2 2 2 2 4" xfId="6985"/>
    <cellStyle name="Currency 3 2 2 2 2 3" xfId="2054"/>
    <cellStyle name="Currency 3 2 2 2 2 3 2" xfId="4864"/>
    <cellStyle name="Currency 3 2 2 2 2 3 2 2" xfId="10500"/>
    <cellStyle name="Currency 3 2 2 2 2 3 3" xfId="7690"/>
    <cellStyle name="Currency 3 2 2 2 2 4" xfId="3463"/>
    <cellStyle name="Currency 3 2 2 2 2 4 2" xfId="9099"/>
    <cellStyle name="Currency 3 2 2 2 2 5" xfId="6289"/>
    <cellStyle name="Currency 3 2 2 2 3" xfId="1005"/>
    <cellStyle name="Currency 3 2 2 2 3 2" xfId="2406"/>
    <cellStyle name="Currency 3 2 2 2 3 2 2" xfId="5216"/>
    <cellStyle name="Currency 3 2 2 2 3 2 2 2" xfId="10852"/>
    <cellStyle name="Currency 3 2 2 2 3 2 3" xfId="8042"/>
    <cellStyle name="Currency 3 2 2 2 3 3" xfId="3815"/>
    <cellStyle name="Currency 3 2 2 2 3 3 2" xfId="9451"/>
    <cellStyle name="Currency 3 2 2 2 3 4" xfId="6641"/>
    <cellStyle name="Currency 3 2 2 2 4" xfId="1710"/>
    <cellStyle name="Currency 3 2 2 2 4 2" xfId="4520"/>
    <cellStyle name="Currency 3 2 2 2 4 2 2" xfId="10156"/>
    <cellStyle name="Currency 3 2 2 2 4 3" xfId="7346"/>
    <cellStyle name="Currency 3 2 2 2 5" xfId="3119"/>
    <cellStyle name="Currency 3 2 2 2 5 2" xfId="8755"/>
    <cellStyle name="Currency 3 2 2 2 6" xfId="5945"/>
    <cellStyle name="Currency 3 2 2 3" xfId="481"/>
    <cellStyle name="Currency 3 2 2 3 2" xfId="1177"/>
    <cellStyle name="Currency 3 2 2 3 2 2" xfId="2578"/>
    <cellStyle name="Currency 3 2 2 3 2 2 2" xfId="5388"/>
    <cellStyle name="Currency 3 2 2 3 2 2 2 2" xfId="11024"/>
    <cellStyle name="Currency 3 2 2 3 2 2 3" xfId="8214"/>
    <cellStyle name="Currency 3 2 2 3 2 3" xfId="3987"/>
    <cellStyle name="Currency 3 2 2 3 2 3 2" xfId="9623"/>
    <cellStyle name="Currency 3 2 2 3 2 4" xfId="6813"/>
    <cellStyle name="Currency 3 2 2 3 3" xfId="1882"/>
    <cellStyle name="Currency 3 2 2 3 3 2" xfId="4692"/>
    <cellStyle name="Currency 3 2 2 3 3 2 2" xfId="10328"/>
    <cellStyle name="Currency 3 2 2 3 3 3" xfId="7518"/>
    <cellStyle name="Currency 3 2 2 3 4" xfId="3291"/>
    <cellStyle name="Currency 3 2 2 3 4 2" xfId="8927"/>
    <cellStyle name="Currency 3 2 2 3 5" xfId="6117"/>
    <cellStyle name="Currency 3 2 2 4" xfId="833"/>
    <cellStyle name="Currency 3 2 2 4 2" xfId="2234"/>
    <cellStyle name="Currency 3 2 2 4 2 2" xfId="5044"/>
    <cellStyle name="Currency 3 2 2 4 2 2 2" xfId="10680"/>
    <cellStyle name="Currency 3 2 2 4 2 3" xfId="7870"/>
    <cellStyle name="Currency 3 2 2 4 3" xfId="3643"/>
    <cellStyle name="Currency 3 2 2 4 3 2" xfId="9279"/>
    <cellStyle name="Currency 3 2 2 4 4" xfId="6469"/>
    <cellStyle name="Currency 3 2 2 5" xfId="1538"/>
    <cellStyle name="Currency 3 2 2 5 2" xfId="4348"/>
    <cellStyle name="Currency 3 2 2 5 2 2" xfId="9984"/>
    <cellStyle name="Currency 3 2 2 5 3" xfId="7174"/>
    <cellStyle name="Currency 3 2 2 6" xfId="2947"/>
    <cellStyle name="Currency 3 2 2 6 2" xfId="8583"/>
    <cellStyle name="Currency 3 2 2 7" xfId="5773"/>
    <cellStyle name="Currency 3 2 3" xfId="229"/>
    <cellStyle name="Currency 3 2 3 2" xfId="573"/>
    <cellStyle name="Currency 3 2 3 2 2" xfId="1269"/>
    <cellStyle name="Currency 3 2 3 2 2 2" xfId="2670"/>
    <cellStyle name="Currency 3 2 3 2 2 2 2" xfId="5480"/>
    <cellStyle name="Currency 3 2 3 2 2 2 2 2" xfId="11116"/>
    <cellStyle name="Currency 3 2 3 2 2 2 3" xfId="8306"/>
    <cellStyle name="Currency 3 2 3 2 2 3" xfId="4079"/>
    <cellStyle name="Currency 3 2 3 2 2 3 2" xfId="9715"/>
    <cellStyle name="Currency 3 2 3 2 2 4" xfId="6905"/>
    <cellStyle name="Currency 3 2 3 2 3" xfId="1974"/>
    <cellStyle name="Currency 3 2 3 2 3 2" xfId="4784"/>
    <cellStyle name="Currency 3 2 3 2 3 2 2" xfId="10420"/>
    <cellStyle name="Currency 3 2 3 2 3 3" xfId="7610"/>
    <cellStyle name="Currency 3 2 3 2 4" xfId="3383"/>
    <cellStyle name="Currency 3 2 3 2 4 2" xfId="9019"/>
    <cellStyle name="Currency 3 2 3 2 5" xfId="6209"/>
    <cellStyle name="Currency 3 2 3 3" xfId="925"/>
    <cellStyle name="Currency 3 2 3 3 2" xfId="2326"/>
    <cellStyle name="Currency 3 2 3 3 2 2" xfId="5136"/>
    <cellStyle name="Currency 3 2 3 3 2 2 2" xfId="10772"/>
    <cellStyle name="Currency 3 2 3 3 2 3" xfId="7962"/>
    <cellStyle name="Currency 3 2 3 3 3" xfId="3735"/>
    <cellStyle name="Currency 3 2 3 3 3 2" xfId="9371"/>
    <cellStyle name="Currency 3 2 3 3 4" xfId="6561"/>
    <cellStyle name="Currency 3 2 3 4" xfId="1630"/>
    <cellStyle name="Currency 3 2 3 4 2" xfId="4440"/>
    <cellStyle name="Currency 3 2 3 4 2 2" xfId="10076"/>
    <cellStyle name="Currency 3 2 3 4 3" xfId="7266"/>
    <cellStyle name="Currency 3 2 3 5" xfId="3039"/>
    <cellStyle name="Currency 3 2 3 5 2" xfId="8675"/>
    <cellStyle name="Currency 3 2 3 6" xfId="5865"/>
    <cellStyle name="Currency 3 2 4" xfId="401"/>
    <cellStyle name="Currency 3 2 4 2" xfId="1097"/>
    <cellStyle name="Currency 3 2 4 2 2" xfId="2498"/>
    <cellStyle name="Currency 3 2 4 2 2 2" xfId="5308"/>
    <cellStyle name="Currency 3 2 4 2 2 2 2" xfId="10944"/>
    <cellStyle name="Currency 3 2 4 2 2 3" xfId="8134"/>
    <cellStyle name="Currency 3 2 4 2 3" xfId="3907"/>
    <cellStyle name="Currency 3 2 4 2 3 2" xfId="9543"/>
    <cellStyle name="Currency 3 2 4 2 4" xfId="6733"/>
    <cellStyle name="Currency 3 2 4 3" xfId="1802"/>
    <cellStyle name="Currency 3 2 4 3 2" xfId="4612"/>
    <cellStyle name="Currency 3 2 4 3 2 2" xfId="10248"/>
    <cellStyle name="Currency 3 2 4 3 3" xfId="7438"/>
    <cellStyle name="Currency 3 2 4 4" xfId="3211"/>
    <cellStyle name="Currency 3 2 4 4 2" xfId="8847"/>
    <cellStyle name="Currency 3 2 4 5" xfId="6037"/>
    <cellStyle name="Currency 3 2 5" xfId="753"/>
    <cellStyle name="Currency 3 2 5 2" xfId="2154"/>
    <cellStyle name="Currency 3 2 5 2 2" xfId="4964"/>
    <cellStyle name="Currency 3 2 5 2 2 2" xfId="10600"/>
    <cellStyle name="Currency 3 2 5 2 3" xfId="7790"/>
    <cellStyle name="Currency 3 2 5 3" xfId="3563"/>
    <cellStyle name="Currency 3 2 5 3 2" xfId="9199"/>
    <cellStyle name="Currency 3 2 5 4" xfId="6389"/>
    <cellStyle name="Currency 3 2 6" xfId="1458"/>
    <cellStyle name="Currency 3 2 6 2" xfId="4268"/>
    <cellStyle name="Currency 3 2 6 2 2" xfId="9904"/>
    <cellStyle name="Currency 3 2 6 3" xfId="7094"/>
    <cellStyle name="Currency 3 2 7" xfId="2867"/>
    <cellStyle name="Currency 3 2 7 2" xfId="8503"/>
    <cellStyle name="Currency 3 2 8" xfId="5693"/>
    <cellStyle name="Currency 3 3" xfId="105"/>
    <cellStyle name="Currency 3 3 2" xfId="277"/>
    <cellStyle name="Currency 3 3 2 2" xfId="621"/>
    <cellStyle name="Currency 3 3 2 2 2" xfId="1317"/>
    <cellStyle name="Currency 3 3 2 2 2 2" xfId="2718"/>
    <cellStyle name="Currency 3 3 2 2 2 2 2" xfId="5528"/>
    <cellStyle name="Currency 3 3 2 2 2 2 2 2" xfId="11164"/>
    <cellStyle name="Currency 3 3 2 2 2 2 3" xfId="8354"/>
    <cellStyle name="Currency 3 3 2 2 2 3" xfId="4127"/>
    <cellStyle name="Currency 3 3 2 2 2 3 2" xfId="9763"/>
    <cellStyle name="Currency 3 3 2 2 2 4" xfId="6953"/>
    <cellStyle name="Currency 3 3 2 2 3" xfId="2022"/>
    <cellStyle name="Currency 3 3 2 2 3 2" xfId="4832"/>
    <cellStyle name="Currency 3 3 2 2 3 2 2" xfId="10468"/>
    <cellStyle name="Currency 3 3 2 2 3 3" xfId="7658"/>
    <cellStyle name="Currency 3 3 2 2 4" xfId="3431"/>
    <cellStyle name="Currency 3 3 2 2 4 2" xfId="9067"/>
    <cellStyle name="Currency 3 3 2 2 5" xfId="6257"/>
    <cellStyle name="Currency 3 3 2 3" xfId="973"/>
    <cellStyle name="Currency 3 3 2 3 2" xfId="2374"/>
    <cellStyle name="Currency 3 3 2 3 2 2" xfId="5184"/>
    <cellStyle name="Currency 3 3 2 3 2 2 2" xfId="10820"/>
    <cellStyle name="Currency 3 3 2 3 2 3" xfId="8010"/>
    <cellStyle name="Currency 3 3 2 3 3" xfId="3783"/>
    <cellStyle name="Currency 3 3 2 3 3 2" xfId="9419"/>
    <cellStyle name="Currency 3 3 2 3 4" xfId="6609"/>
    <cellStyle name="Currency 3 3 2 4" xfId="1678"/>
    <cellStyle name="Currency 3 3 2 4 2" xfId="4488"/>
    <cellStyle name="Currency 3 3 2 4 2 2" xfId="10124"/>
    <cellStyle name="Currency 3 3 2 4 3" xfId="7314"/>
    <cellStyle name="Currency 3 3 2 5" xfId="3087"/>
    <cellStyle name="Currency 3 3 2 5 2" xfId="8723"/>
    <cellStyle name="Currency 3 3 2 6" xfId="5913"/>
    <cellStyle name="Currency 3 3 3" xfId="449"/>
    <cellStyle name="Currency 3 3 3 2" xfId="1145"/>
    <cellStyle name="Currency 3 3 3 2 2" xfId="2546"/>
    <cellStyle name="Currency 3 3 3 2 2 2" xfId="5356"/>
    <cellStyle name="Currency 3 3 3 2 2 2 2" xfId="10992"/>
    <cellStyle name="Currency 3 3 3 2 2 3" xfId="8182"/>
    <cellStyle name="Currency 3 3 3 2 3" xfId="3955"/>
    <cellStyle name="Currency 3 3 3 2 3 2" xfId="9591"/>
    <cellStyle name="Currency 3 3 3 2 4" xfId="6781"/>
    <cellStyle name="Currency 3 3 3 3" xfId="1850"/>
    <cellStyle name="Currency 3 3 3 3 2" xfId="4660"/>
    <cellStyle name="Currency 3 3 3 3 2 2" xfId="10296"/>
    <cellStyle name="Currency 3 3 3 3 3" xfId="7486"/>
    <cellStyle name="Currency 3 3 3 4" xfId="3259"/>
    <cellStyle name="Currency 3 3 3 4 2" xfId="8895"/>
    <cellStyle name="Currency 3 3 3 5" xfId="6085"/>
    <cellStyle name="Currency 3 3 4" xfId="801"/>
    <cellStyle name="Currency 3 3 4 2" xfId="2202"/>
    <cellStyle name="Currency 3 3 4 2 2" xfId="5012"/>
    <cellStyle name="Currency 3 3 4 2 2 2" xfId="10648"/>
    <cellStyle name="Currency 3 3 4 2 3" xfId="7838"/>
    <cellStyle name="Currency 3 3 4 3" xfId="3611"/>
    <cellStyle name="Currency 3 3 4 3 2" xfId="9247"/>
    <cellStyle name="Currency 3 3 4 4" xfId="6437"/>
    <cellStyle name="Currency 3 3 5" xfId="1506"/>
    <cellStyle name="Currency 3 3 5 2" xfId="4316"/>
    <cellStyle name="Currency 3 3 5 2 2" xfId="9952"/>
    <cellStyle name="Currency 3 3 5 3" xfId="7142"/>
    <cellStyle name="Currency 3 3 6" xfId="2915"/>
    <cellStyle name="Currency 3 3 6 2" xfId="8551"/>
    <cellStyle name="Currency 3 3 7" xfId="5741"/>
    <cellStyle name="Currency 3 4" xfId="197"/>
    <cellStyle name="Currency 3 4 2" xfId="541"/>
    <cellStyle name="Currency 3 4 2 2" xfId="1237"/>
    <cellStyle name="Currency 3 4 2 2 2" xfId="2638"/>
    <cellStyle name="Currency 3 4 2 2 2 2" xfId="5448"/>
    <cellStyle name="Currency 3 4 2 2 2 2 2" xfId="11084"/>
    <cellStyle name="Currency 3 4 2 2 2 3" xfId="8274"/>
    <cellStyle name="Currency 3 4 2 2 3" xfId="4047"/>
    <cellStyle name="Currency 3 4 2 2 3 2" xfId="9683"/>
    <cellStyle name="Currency 3 4 2 2 4" xfId="6873"/>
    <cellStyle name="Currency 3 4 2 3" xfId="1942"/>
    <cellStyle name="Currency 3 4 2 3 2" xfId="4752"/>
    <cellStyle name="Currency 3 4 2 3 2 2" xfId="10388"/>
    <cellStyle name="Currency 3 4 2 3 3" xfId="7578"/>
    <cellStyle name="Currency 3 4 2 4" xfId="3351"/>
    <cellStyle name="Currency 3 4 2 4 2" xfId="8987"/>
    <cellStyle name="Currency 3 4 2 5" xfId="6177"/>
    <cellStyle name="Currency 3 4 3" xfId="893"/>
    <cellStyle name="Currency 3 4 3 2" xfId="2294"/>
    <cellStyle name="Currency 3 4 3 2 2" xfId="5104"/>
    <cellStyle name="Currency 3 4 3 2 2 2" xfId="10740"/>
    <cellStyle name="Currency 3 4 3 2 3" xfId="7930"/>
    <cellStyle name="Currency 3 4 3 3" xfId="3703"/>
    <cellStyle name="Currency 3 4 3 3 2" xfId="9339"/>
    <cellStyle name="Currency 3 4 3 4" xfId="6529"/>
    <cellStyle name="Currency 3 4 4" xfId="1598"/>
    <cellStyle name="Currency 3 4 4 2" xfId="4408"/>
    <cellStyle name="Currency 3 4 4 2 2" xfId="10044"/>
    <cellStyle name="Currency 3 4 4 3" xfId="7234"/>
    <cellStyle name="Currency 3 4 5" xfId="3007"/>
    <cellStyle name="Currency 3 4 5 2" xfId="8643"/>
    <cellStyle name="Currency 3 4 6" xfId="5833"/>
    <cellStyle name="Currency 3 5" xfId="369"/>
    <cellStyle name="Currency 3 5 2" xfId="1065"/>
    <cellStyle name="Currency 3 5 2 2" xfId="2466"/>
    <cellStyle name="Currency 3 5 2 2 2" xfId="5276"/>
    <cellStyle name="Currency 3 5 2 2 2 2" xfId="10912"/>
    <cellStyle name="Currency 3 5 2 2 3" xfId="8102"/>
    <cellStyle name="Currency 3 5 2 3" xfId="3875"/>
    <cellStyle name="Currency 3 5 2 3 2" xfId="9511"/>
    <cellStyle name="Currency 3 5 2 4" xfId="6701"/>
    <cellStyle name="Currency 3 5 3" xfId="1770"/>
    <cellStyle name="Currency 3 5 3 2" xfId="4580"/>
    <cellStyle name="Currency 3 5 3 2 2" xfId="10216"/>
    <cellStyle name="Currency 3 5 3 3" xfId="7406"/>
    <cellStyle name="Currency 3 5 4" xfId="3179"/>
    <cellStyle name="Currency 3 5 4 2" xfId="8815"/>
    <cellStyle name="Currency 3 5 5" xfId="6005"/>
    <cellStyle name="Currency 3 6" xfId="721"/>
    <cellStyle name="Currency 3 6 2" xfId="2122"/>
    <cellStyle name="Currency 3 6 2 2" xfId="4932"/>
    <cellStyle name="Currency 3 6 2 2 2" xfId="10568"/>
    <cellStyle name="Currency 3 6 2 3" xfId="7758"/>
    <cellStyle name="Currency 3 6 3" xfId="3531"/>
    <cellStyle name="Currency 3 6 3 2" xfId="9167"/>
    <cellStyle name="Currency 3 6 4" xfId="6357"/>
    <cellStyle name="Currency 3 7" xfId="1426"/>
    <cellStyle name="Currency 3 7 2" xfId="4236"/>
    <cellStyle name="Currency 3 7 2 2" xfId="9872"/>
    <cellStyle name="Currency 3 7 3" xfId="7062"/>
    <cellStyle name="Currency 3 8" xfId="2835"/>
    <cellStyle name="Currency 3 8 2" xfId="8471"/>
    <cellStyle name="Currency 3 9" xfId="5661"/>
    <cellStyle name="Currency 4" xfId="35"/>
    <cellStyle name="Currency 4 2" xfId="115"/>
    <cellStyle name="Currency 4 2 2" xfId="287"/>
    <cellStyle name="Currency 4 2 2 2" xfId="631"/>
    <cellStyle name="Currency 4 2 2 2 2" xfId="1327"/>
    <cellStyle name="Currency 4 2 2 2 2 2" xfId="2728"/>
    <cellStyle name="Currency 4 2 2 2 2 2 2" xfId="5538"/>
    <cellStyle name="Currency 4 2 2 2 2 2 2 2" xfId="11174"/>
    <cellStyle name="Currency 4 2 2 2 2 2 3" xfId="8364"/>
    <cellStyle name="Currency 4 2 2 2 2 3" xfId="4137"/>
    <cellStyle name="Currency 4 2 2 2 2 3 2" xfId="9773"/>
    <cellStyle name="Currency 4 2 2 2 2 4" xfId="6963"/>
    <cellStyle name="Currency 4 2 2 2 3" xfId="2032"/>
    <cellStyle name="Currency 4 2 2 2 3 2" xfId="4842"/>
    <cellStyle name="Currency 4 2 2 2 3 2 2" xfId="10478"/>
    <cellStyle name="Currency 4 2 2 2 3 3" xfId="7668"/>
    <cellStyle name="Currency 4 2 2 2 4" xfId="3441"/>
    <cellStyle name="Currency 4 2 2 2 4 2" xfId="9077"/>
    <cellStyle name="Currency 4 2 2 2 5" xfId="6267"/>
    <cellStyle name="Currency 4 2 2 3" xfId="983"/>
    <cellStyle name="Currency 4 2 2 3 2" xfId="2384"/>
    <cellStyle name="Currency 4 2 2 3 2 2" xfId="5194"/>
    <cellStyle name="Currency 4 2 2 3 2 2 2" xfId="10830"/>
    <cellStyle name="Currency 4 2 2 3 2 3" xfId="8020"/>
    <cellStyle name="Currency 4 2 2 3 3" xfId="3793"/>
    <cellStyle name="Currency 4 2 2 3 3 2" xfId="9429"/>
    <cellStyle name="Currency 4 2 2 3 4" xfId="6619"/>
    <cellStyle name="Currency 4 2 2 4" xfId="1688"/>
    <cellStyle name="Currency 4 2 2 4 2" xfId="4498"/>
    <cellStyle name="Currency 4 2 2 4 2 2" xfId="10134"/>
    <cellStyle name="Currency 4 2 2 4 3" xfId="7324"/>
    <cellStyle name="Currency 4 2 2 5" xfId="3097"/>
    <cellStyle name="Currency 4 2 2 5 2" xfId="8733"/>
    <cellStyle name="Currency 4 2 2 6" xfId="5923"/>
    <cellStyle name="Currency 4 2 3" xfId="459"/>
    <cellStyle name="Currency 4 2 3 2" xfId="1155"/>
    <cellStyle name="Currency 4 2 3 2 2" xfId="2556"/>
    <cellStyle name="Currency 4 2 3 2 2 2" xfId="5366"/>
    <cellStyle name="Currency 4 2 3 2 2 2 2" xfId="11002"/>
    <cellStyle name="Currency 4 2 3 2 2 3" xfId="8192"/>
    <cellStyle name="Currency 4 2 3 2 3" xfId="3965"/>
    <cellStyle name="Currency 4 2 3 2 3 2" xfId="9601"/>
    <cellStyle name="Currency 4 2 3 2 4" xfId="6791"/>
    <cellStyle name="Currency 4 2 3 3" xfId="1860"/>
    <cellStyle name="Currency 4 2 3 3 2" xfId="4670"/>
    <cellStyle name="Currency 4 2 3 3 2 2" xfId="10306"/>
    <cellStyle name="Currency 4 2 3 3 3" xfId="7496"/>
    <cellStyle name="Currency 4 2 3 4" xfId="3269"/>
    <cellStyle name="Currency 4 2 3 4 2" xfId="8905"/>
    <cellStyle name="Currency 4 2 3 5" xfId="6095"/>
    <cellStyle name="Currency 4 2 4" xfId="811"/>
    <cellStyle name="Currency 4 2 4 2" xfId="2212"/>
    <cellStyle name="Currency 4 2 4 2 2" xfId="5022"/>
    <cellStyle name="Currency 4 2 4 2 2 2" xfId="10658"/>
    <cellStyle name="Currency 4 2 4 2 3" xfId="7848"/>
    <cellStyle name="Currency 4 2 4 3" xfId="3621"/>
    <cellStyle name="Currency 4 2 4 3 2" xfId="9257"/>
    <cellStyle name="Currency 4 2 4 4" xfId="6447"/>
    <cellStyle name="Currency 4 2 5" xfId="1516"/>
    <cellStyle name="Currency 4 2 5 2" xfId="4326"/>
    <cellStyle name="Currency 4 2 5 2 2" xfId="9962"/>
    <cellStyle name="Currency 4 2 5 3" xfId="7152"/>
    <cellStyle name="Currency 4 2 6" xfId="2925"/>
    <cellStyle name="Currency 4 2 6 2" xfId="8561"/>
    <cellStyle name="Currency 4 2 7" xfId="5751"/>
    <cellStyle name="Currency 4 3" xfId="207"/>
    <cellStyle name="Currency 4 3 2" xfId="551"/>
    <cellStyle name="Currency 4 3 2 2" xfId="1247"/>
    <cellStyle name="Currency 4 3 2 2 2" xfId="2648"/>
    <cellStyle name="Currency 4 3 2 2 2 2" xfId="5458"/>
    <cellStyle name="Currency 4 3 2 2 2 2 2" xfId="11094"/>
    <cellStyle name="Currency 4 3 2 2 2 3" xfId="8284"/>
    <cellStyle name="Currency 4 3 2 2 3" xfId="4057"/>
    <cellStyle name="Currency 4 3 2 2 3 2" xfId="9693"/>
    <cellStyle name="Currency 4 3 2 2 4" xfId="6883"/>
    <cellStyle name="Currency 4 3 2 3" xfId="1952"/>
    <cellStyle name="Currency 4 3 2 3 2" xfId="4762"/>
    <cellStyle name="Currency 4 3 2 3 2 2" xfId="10398"/>
    <cellStyle name="Currency 4 3 2 3 3" xfId="7588"/>
    <cellStyle name="Currency 4 3 2 4" xfId="3361"/>
    <cellStyle name="Currency 4 3 2 4 2" xfId="8997"/>
    <cellStyle name="Currency 4 3 2 5" xfId="6187"/>
    <cellStyle name="Currency 4 3 3" xfId="903"/>
    <cellStyle name="Currency 4 3 3 2" xfId="2304"/>
    <cellStyle name="Currency 4 3 3 2 2" xfId="5114"/>
    <cellStyle name="Currency 4 3 3 2 2 2" xfId="10750"/>
    <cellStyle name="Currency 4 3 3 2 3" xfId="7940"/>
    <cellStyle name="Currency 4 3 3 3" xfId="3713"/>
    <cellStyle name="Currency 4 3 3 3 2" xfId="9349"/>
    <cellStyle name="Currency 4 3 3 4" xfId="6539"/>
    <cellStyle name="Currency 4 3 4" xfId="1608"/>
    <cellStyle name="Currency 4 3 4 2" xfId="4418"/>
    <cellStyle name="Currency 4 3 4 2 2" xfId="10054"/>
    <cellStyle name="Currency 4 3 4 3" xfId="7244"/>
    <cellStyle name="Currency 4 3 5" xfId="3017"/>
    <cellStyle name="Currency 4 3 5 2" xfId="8653"/>
    <cellStyle name="Currency 4 3 6" xfId="5843"/>
    <cellStyle name="Currency 4 4" xfId="379"/>
    <cellStyle name="Currency 4 4 2" xfId="1075"/>
    <cellStyle name="Currency 4 4 2 2" xfId="2476"/>
    <cellStyle name="Currency 4 4 2 2 2" xfId="5286"/>
    <cellStyle name="Currency 4 4 2 2 2 2" xfId="10922"/>
    <cellStyle name="Currency 4 4 2 2 3" xfId="8112"/>
    <cellStyle name="Currency 4 4 2 3" xfId="3885"/>
    <cellStyle name="Currency 4 4 2 3 2" xfId="9521"/>
    <cellStyle name="Currency 4 4 2 4" xfId="6711"/>
    <cellStyle name="Currency 4 4 3" xfId="1780"/>
    <cellStyle name="Currency 4 4 3 2" xfId="4590"/>
    <cellStyle name="Currency 4 4 3 2 2" xfId="10226"/>
    <cellStyle name="Currency 4 4 3 3" xfId="7416"/>
    <cellStyle name="Currency 4 4 4" xfId="3189"/>
    <cellStyle name="Currency 4 4 4 2" xfId="8825"/>
    <cellStyle name="Currency 4 4 5" xfId="6015"/>
    <cellStyle name="Currency 4 5" xfId="731"/>
    <cellStyle name="Currency 4 5 2" xfId="2132"/>
    <cellStyle name="Currency 4 5 2 2" xfId="4942"/>
    <cellStyle name="Currency 4 5 2 2 2" xfId="10578"/>
    <cellStyle name="Currency 4 5 2 3" xfId="7768"/>
    <cellStyle name="Currency 4 5 3" xfId="3541"/>
    <cellStyle name="Currency 4 5 3 2" xfId="9177"/>
    <cellStyle name="Currency 4 5 4" xfId="6367"/>
    <cellStyle name="Currency 4 6" xfId="1436"/>
    <cellStyle name="Currency 4 6 2" xfId="4246"/>
    <cellStyle name="Currency 4 6 2 2" xfId="9882"/>
    <cellStyle name="Currency 4 6 3" xfId="7072"/>
    <cellStyle name="Currency 4 7" xfId="2845"/>
    <cellStyle name="Currency 4 7 2" xfId="8481"/>
    <cellStyle name="Currency 4 8" xfId="5671"/>
    <cellStyle name="Currency 5" xfId="66"/>
    <cellStyle name="Currency 5 2" xfId="146"/>
    <cellStyle name="Currency 5 2 2" xfId="318"/>
    <cellStyle name="Currency 5 2 2 2" xfId="662"/>
    <cellStyle name="Currency 5 2 2 2 2" xfId="1358"/>
    <cellStyle name="Currency 5 2 2 2 2 2" xfId="2759"/>
    <cellStyle name="Currency 5 2 2 2 2 2 2" xfId="5569"/>
    <cellStyle name="Currency 5 2 2 2 2 2 2 2" xfId="11205"/>
    <cellStyle name="Currency 5 2 2 2 2 2 3" xfId="8395"/>
    <cellStyle name="Currency 5 2 2 2 2 3" xfId="4168"/>
    <cellStyle name="Currency 5 2 2 2 2 3 2" xfId="9804"/>
    <cellStyle name="Currency 5 2 2 2 2 4" xfId="6994"/>
    <cellStyle name="Currency 5 2 2 2 3" xfId="2063"/>
    <cellStyle name="Currency 5 2 2 2 3 2" xfId="4873"/>
    <cellStyle name="Currency 5 2 2 2 3 2 2" xfId="10509"/>
    <cellStyle name="Currency 5 2 2 2 3 3" xfId="7699"/>
    <cellStyle name="Currency 5 2 2 2 4" xfId="3472"/>
    <cellStyle name="Currency 5 2 2 2 4 2" xfId="9108"/>
    <cellStyle name="Currency 5 2 2 2 5" xfId="6298"/>
    <cellStyle name="Currency 5 2 2 3" xfId="1014"/>
    <cellStyle name="Currency 5 2 2 3 2" xfId="2415"/>
    <cellStyle name="Currency 5 2 2 3 2 2" xfId="5225"/>
    <cellStyle name="Currency 5 2 2 3 2 2 2" xfId="10861"/>
    <cellStyle name="Currency 5 2 2 3 2 3" xfId="8051"/>
    <cellStyle name="Currency 5 2 2 3 3" xfId="3824"/>
    <cellStyle name="Currency 5 2 2 3 3 2" xfId="9460"/>
    <cellStyle name="Currency 5 2 2 3 4" xfId="6650"/>
    <cellStyle name="Currency 5 2 2 4" xfId="1719"/>
    <cellStyle name="Currency 5 2 2 4 2" xfId="4529"/>
    <cellStyle name="Currency 5 2 2 4 2 2" xfId="10165"/>
    <cellStyle name="Currency 5 2 2 4 3" xfId="7355"/>
    <cellStyle name="Currency 5 2 2 5" xfId="3128"/>
    <cellStyle name="Currency 5 2 2 5 2" xfId="8764"/>
    <cellStyle name="Currency 5 2 2 6" xfId="5954"/>
    <cellStyle name="Currency 5 2 3" xfId="490"/>
    <cellStyle name="Currency 5 2 3 2" xfId="1186"/>
    <cellStyle name="Currency 5 2 3 2 2" xfId="2587"/>
    <cellStyle name="Currency 5 2 3 2 2 2" xfId="5397"/>
    <cellStyle name="Currency 5 2 3 2 2 2 2" xfId="11033"/>
    <cellStyle name="Currency 5 2 3 2 2 3" xfId="8223"/>
    <cellStyle name="Currency 5 2 3 2 3" xfId="3996"/>
    <cellStyle name="Currency 5 2 3 2 3 2" xfId="9632"/>
    <cellStyle name="Currency 5 2 3 2 4" xfId="6822"/>
    <cellStyle name="Currency 5 2 3 3" xfId="1891"/>
    <cellStyle name="Currency 5 2 3 3 2" xfId="4701"/>
    <cellStyle name="Currency 5 2 3 3 2 2" xfId="10337"/>
    <cellStyle name="Currency 5 2 3 3 3" xfId="7527"/>
    <cellStyle name="Currency 5 2 3 4" xfId="3300"/>
    <cellStyle name="Currency 5 2 3 4 2" xfId="8936"/>
    <cellStyle name="Currency 5 2 3 5" xfId="6126"/>
    <cellStyle name="Currency 5 2 4" xfId="842"/>
    <cellStyle name="Currency 5 2 4 2" xfId="2243"/>
    <cellStyle name="Currency 5 2 4 2 2" xfId="5053"/>
    <cellStyle name="Currency 5 2 4 2 2 2" xfId="10689"/>
    <cellStyle name="Currency 5 2 4 2 3" xfId="7879"/>
    <cellStyle name="Currency 5 2 4 3" xfId="3652"/>
    <cellStyle name="Currency 5 2 4 3 2" xfId="9288"/>
    <cellStyle name="Currency 5 2 4 4" xfId="6478"/>
    <cellStyle name="Currency 5 2 5" xfId="1547"/>
    <cellStyle name="Currency 5 2 5 2" xfId="4357"/>
    <cellStyle name="Currency 5 2 5 2 2" xfId="9993"/>
    <cellStyle name="Currency 5 2 5 3" xfId="7183"/>
    <cellStyle name="Currency 5 2 6" xfId="2956"/>
    <cellStyle name="Currency 5 2 6 2" xfId="8592"/>
    <cellStyle name="Currency 5 2 7" xfId="5782"/>
    <cellStyle name="Currency 5 3" xfId="238"/>
    <cellStyle name="Currency 5 3 2" xfId="582"/>
    <cellStyle name="Currency 5 3 2 2" xfId="1278"/>
    <cellStyle name="Currency 5 3 2 2 2" xfId="2679"/>
    <cellStyle name="Currency 5 3 2 2 2 2" xfId="5489"/>
    <cellStyle name="Currency 5 3 2 2 2 2 2" xfId="11125"/>
    <cellStyle name="Currency 5 3 2 2 2 3" xfId="8315"/>
    <cellStyle name="Currency 5 3 2 2 3" xfId="4088"/>
    <cellStyle name="Currency 5 3 2 2 3 2" xfId="9724"/>
    <cellStyle name="Currency 5 3 2 2 4" xfId="6914"/>
    <cellStyle name="Currency 5 3 2 3" xfId="1983"/>
    <cellStyle name="Currency 5 3 2 3 2" xfId="4793"/>
    <cellStyle name="Currency 5 3 2 3 2 2" xfId="10429"/>
    <cellStyle name="Currency 5 3 2 3 3" xfId="7619"/>
    <cellStyle name="Currency 5 3 2 4" xfId="3392"/>
    <cellStyle name="Currency 5 3 2 4 2" xfId="9028"/>
    <cellStyle name="Currency 5 3 2 5" xfId="6218"/>
    <cellStyle name="Currency 5 3 3" xfId="934"/>
    <cellStyle name="Currency 5 3 3 2" xfId="2335"/>
    <cellStyle name="Currency 5 3 3 2 2" xfId="5145"/>
    <cellStyle name="Currency 5 3 3 2 2 2" xfId="10781"/>
    <cellStyle name="Currency 5 3 3 2 3" xfId="7971"/>
    <cellStyle name="Currency 5 3 3 3" xfId="3744"/>
    <cellStyle name="Currency 5 3 3 3 2" xfId="9380"/>
    <cellStyle name="Currency 5 3 3 4" xfId="6570"/>
    <cellStyle name="Currency 5 3 4" xfId="1639"/>
    <cellStyle name="Currency 5 3 4 2" xfId="4449"/>
    <cellStyle name="Currency 5 3 4 2 2" xfId="10085"/>
    <cellStyle name="Currency 5 3 4 3" xfId="7275"/>
    <cellStyle name="Currency 5 3 5" xfId="3048"/>
    <cellStyle name="Currency 5 3 5 2" xfId="8684"/>
    <cellStyle name="Currency 5 3 6" xfId="5874"/>
    <cellStyle name="Currency 5 4" xfId="410"/>
    <cellStyle name="Currency 5 4 2" xfId="1106"/>
    <cellStyle name="Currency 5 4 2 2" xfId="2507"/>
    <cellStyle name="Currency 5 4 2 2 2" xfId="5317"/>
    <cellStyle name="Currency 5 4 2 2 2 2" xfId="10953"/>
    <cellStyle name="Currency 5 4 2 2 3" xfId="8143"/>
    <cellStyle name="Currency 5 4 2 3" xfId="3916"/>
    <cellStyle name="Currency 5 4 2 3 2" xfId="9552"/>
    <cellStyle name="Currency 5 4 2 4" xfId="6742"/>
    <cellStyle name="Currency 5 4 3" xfId="1811"/>
    <cellStyle name="Currency 5 4 3 2" xfId="4621"/>
    <cellStyle name="Currency 5 4 3 2 2" xfId="10257"/>
    <cellStyle name="Currency 5 4 3 3" xfId="7447"/>
    <cellStyle name="Currency 5 4 4" xfId="3220"/>
    <cellStyle name="Currency 5 4 4 2" xfId="8856"/>
    <cellStyle name="Currency 5 4 5" xfId="6046"/>
    <cellStyle name="Currency 5 5" xfId="762"/>
    <cellStyle name="Currency 5 5 2" xfId="2163"/>
    <cellStyle name="Currency 5 5 2 2" xfId="4973"/>
    <cellStyle name="Currency 5 5 2 2 2" xfId="10609"/>
    <cellStyle name="Currency 5 5 2 3" xfId="7799"/>
    <cellStyle name="Currency 5 5 3" xfId="3572"/>
    <cellStyle name="Currency 5 5 3 2" xfId="9208"/>
    <cellStyle name="Currency 5 5 4" xfId="6398"/>
    <cellStyle name="Currency 5 6" xfId="1467"/>
    <cellStyle name="Currency 5 6 2" xfId="4277"/>
    <cellStyle name="Currency 5 6 2 2" xfId="9913"/>
    <cellStyle name="Currency 5 6 3" xfId="7103"/>
    <cellStyle name="Currency 5 7" xfId="2876"/>
    <cellStyle name="Currency 5 7 2" xfId="8512"/>
    <cellStyle name="Currency 5 8" xfId="5702"/>
    <cellStyle name="Currency 6" xfId="83"/>
    <cellStyle name="Currency 6 2" xfId="255"/>
    <cellStyle name="Currency 6 2 2" xfId="599"/>
    <cellStyle name="Currency 6 2 2 2" xfId="1295"/>
    <cellStyle name="Currency 6 2 2 2 2" xfId="2696"/>
    <cellStyle name="Currency 6 2 2 2 2 2" xfId="5506"/>
    <cellStyle name="Currency 6 2 2 2 2 2 2" xfId="11142"/>
    <cellStyle name="Currency 6 2 2 2 2 3" xfId="8332"/>
    <cellStyle name="Currency 6 2 2 2 3" xfId="4105"/>
    <cellStyle name="Currency 6 2 2 2 3 2" xfId="9741"/>
    <cellStyle name="Currency 6 2 2 2 4" xfId="6931"/>
    <cellStyle name="Currency 6 2 2 3" xfId="2000"/>
    <cellStyle name="Currency 6 2 2 3 2" xfId="4810"/>
    <cellStyle name="Currency 6 2 2 3 2 2" xfId="10446"/>
    <cellStyle name="Currency 6 2 2 3 3" xfId="7636"/>
    <cellStyle name="Currency 6 2 2 4" xfId="3409"/>
    <cellStyle name="Currency 6 2 2 4 2" xfId="9045"/>
    <cellStyle name="Currency 6 2 2 5" xfId="6235"/>
    <cellStyle name="Currency 6 2 3" xfId="951"/>
    <cellStyle name="Currency 6 2 3 2" xfId="2352"/>
    <cellStyle name="Currency 6 2 3 2 2" xfId="5162"/>
    <cellStyle name="Currency 6 2 3 2 2 2" xfId="10798"/>
    <cellStyle name="Currency 6 2 3 2 3" xfId="7988"/>
    <cellStyle name="Currency 6 2 3 3" xfId="3761"/>
    <cellStyle name="Currency 6 2 3 3 2" xfId="9397"/>
    <cellStyle name="Currency 6 2 3 4" xfId="6587"/>
    <cellStyle name="Currency 6 2 4" xfId="1656"/>
    <cellStyle name="Currency 6 2 4 2" xfId="4466"/>
    <cellStyle name="Currency 6 2 4 2 2" xfId="10102"/>
    <cellStyle name="Currency 6 2 4 3" xfId="7292"/>
    <cellStyle name="Currency 6 2 5" xfId="3065"/>
    <cellStyle name="Currency 6 2 5 2" xfId="8701"/>
    <cellStyle name="Currency 6 2 6" xfId="5891"/>
    <cellStyle name="Currency 6 3" xfId="427"/>
    <cellStyle name="Currency 6 3 2" xfId="1123"/>
    <cellStyle name="Currency 6 3 2 2" xfId="2524"/>
    <cellStyle name="Currency 6 3 2 2 2" xfId="5334"/>
    <cellStyle name="Currency 6 3 2 2 2 2" xfId="10970"/>
    <cellStyle name="Currency 6 3 2 2 3" xfId="8160"/>
    <cellStyle name="Currency 6 3 2 3" xfId="3933"/>
    <cellStyle name="Currency 6 3 2 3 2" xfId="9569"/>
    <cellStyle name="Currency 6 3 2 4" xfId="6759"/>
    <cellStyle name="Currency 6 3 3" xfId="1828"/>
    <cellStyle name="Currency 6 3 3 2" xfId="4638"/>
    <cellStyle name="Currency 6 3 3 2 2" xfId="10274"/>
    <cellStyle name="Currency 6 3 3 3" xfId="7464"/>
    <cellStyle name="Currency 6 3 4" xfId="3237"/>
    <cellStyle name="Currency 6 3 4 2" xfId="8873"/>
    <cellStyle name="Currency 6 3 5" xfId="6063"/>
    <cellStyle name="Currency 6 4" xfId="779"/>
    <cellStyle name="Currency 6 4 2" xfId="2180"/>
    <cellStyle name="Currency 6 4 2 2" xfId="4990"/>
    <cellStyle name="Currency 6 4 2 2 2" xfId="10626"/>
    <cellStyle name="Currency 6 4 2 3" xfId="7816"/>
    <cellStyle name="Currency 6 4 3" xfId="3589"/>
    <cellStyle name="Currency 6 4 3 2" xfId="9225"/>
    <cellStyle name="Currency 6 4 4" xfId="6415"/>
    <cellStyle name="Currency 6 5" xfId="1484"/>
    <cellStyle name="Currency 6 5 2" xfId="4294"/>
    <cellStyle name="Currency 6 5 2 2" xfId="9930"/>
    <cellStyle name="Currency 6 5 3" xfId="7120"/>
    <cellStyle name="Currency 6 6" xfId="2893"/>
    <cellStyle name="Currency 6 6 2" xfId="8529"/>
    <cellStyle name="Currency 6 7" xfId="5719"/>
    <cellStyle name="Currency 7" xfId="161"/>
    <cellStyle name="Currency 7 2" xfId="333"/>
    <cellStyle name="Currency 7 2 2" xfId="677"/>
    <cellStyle name="Currency 7 2 2 2" xfId="1373"/>
    <cellStyle name="Currency 7 2 2 2 2" xfId="2774"/>
    <cellStyle name="Currency 7 2 2 2 2 2" xfId="5584"/>
    <cellStyle name="Currency 7 2 2 2 2 2 2" xfId="11220"/>
    <cellStyle name="Currency 7 2 2 2 2 3" xfId="8410"/>
    <cellStyle name="Currency 7 2 2 2 3" xfId="4183"/>
    <cellStyle name="Currency 7 2 2 2 3 2" xfId="9819"/>
    <cellStyle name="Currency 7 2 2 2 4" xfId="7009"/>
    <cellStyle name="Currency 7 2 2 3" xfId="2078"/>
    <cellStyle name="Currency 7 2 2 3 2" xfId="4888"/>
    <cellStyle name="Currency 7 2 2 3 2 2" xfId="10524"/>
    <cellStyle name="Currency 7 2 2 3 3" xfId="7714"/>
    <cellStyle name="Currency 7 2 2 4" xfId="3487"/>
    <cellStyle name="Currency 7 2 2 4 2" xfId="9123"/>
    <cellStyle name="Currency 7 2 2 5" xfId="6313"/>
    <cellStyle name="Currency 7 2 3" xfId="1029"/>
    <cellStyle name="Currency 7 2 3 2" xfId="2430"/>
    <cellStyle name="Currency 7 2 3 2 2" xfId="5240"/>
    <cellStyle name="Currency 7 2 3 2 2 2" xfId="10876"/>
    <cellStyle name="Currency 7 2 3 2 3" xfId="8066"/>
    <cellStyle name="Currency 7 2 3 3" xfId="3839"/>
    <cellStyle name="Currency 7 2 3 3 2" xfId="9475"/>
    <cellStyle name="Currency 7 2 3 4" xfId="6665"/>
    <cellStyle name="Currency 7 2 4" xfId="1734"/>
    <cellStyle name="Currency 7 2 4 2" xfId="4544"/>
    <cellStyle name="Currency 7 2 4 2 2" xfId="10180"/>
    <cellStyle name="Currency 7 2 4 3" xfId="7370"/>
    <cellStyle name="Currency 7 2 5" xfId="3143"/>
    <cellStyle name="Currency 7 2 5 2" xfId="8779"/>
    <cellStyle name="Currency 7 2 6" xfId="5969"/>
    <cellStyle name="Currency 7 3" xfId="505"/>
    <cellStyle name="Currency 7 3 2" xfId="1201"/>
    <cellStyle name="Currency 7 3 2 2" xfId="2602"/>
    <cellStyle name="Currency 7 3 2 2 2" xfId="5412"/>
    <cellStyle name="Currency 7 3 2 2 2 2" xfId="11048"/>
    <cellStyle name="Currency 7 3 2 2 3" xfId="8238"/>
    <cellStyle name="Currency 7 3 2 3" xfId="4011"/>
    <cellStyle name="Currency 7 3 2 3 2" xfId="9647"/>
    <cellStyle name="Currency 7 3 2 4" xfId="6837"/>
    <cellStyle name="Currency 7 3 3" xfId="1906"/>
    <cellStyle name="Currency 7 3 3 2" xfId="4716"/>
    <cellStyle name="Currency 7 3 3 2 2" xfId="10352"/>
    <cellStyle name="Currency 7 3 3 3" xfId="7542"/>
    <cellStyle name="Currency 7 3 4" xfId="3315"/>
    <cellStyle name="Currency 7 3 4 2" xfId="8951"/>
    <cellStyle name="Currency 7 3 5" xfId="6141"/>
    <cellStyle name="Currency 7 4" xfId="857"/>
    <cellStyle name="Currency 7 4 2" xfId="2258"/>
    <cellStyle name="Currency 7 4 2 2" xfId="5068"/>
    <cellStyle name="Currency 7 4 2 2 2" xfId="10704"/>
    <cellStyle name="Currency 7 4 2 3" xfId="7894"/>
    <cellStyle name="Currency 7 4 3" xfId="3667"/>
    <cellStyle name="Currency 7 4 3 2" xfId="9303"/>
    <cellStyle name="Currency 7 4 4" xfId="6493"/>
    <cellStyle name="Currency 7 5" xfId="1562"/>
    <cellStyle name="Currency 7 5 2" xfId="4372"/>
    <cellStyle name="Currency 7 5 2 2" xfId="10008"/>
    <cellStyle name="Currency 7 5 3" xfId="7198"/>
    <cellStyle name="Currency 7 6" xfId="2971"/>
    <cellStyle name="Currency 7 6 2" xfId="8607"/>
    <cellStyle name="Currency 7 7" xfId="5797"/>
    <cellStyle name="Currency 8" xfId="175"/>
    <cellStyle name="Currency 8 2" xfId="519"/>
    <cellStyle name="Currency 8 2 2" xfId="1215"/>
    <cellStyle name="Currency 8 2 2 2" xfId="2616"/>
    <cellStyle name="Currency 8 2 2 2 2" xfId="5426"/>
    <cellStyle name="Currency 8 2 2 2 2 2" xfId="11062"/>
    <cellStyle name="Currency 8 2 2 2 3" xfId="8252"/>
    <cellStyle name="Currency 8 2 2 3" xfId="4025"/>
    <cellStyle name="Currency 8 2 2 3 2" xfId="9661"/>
    <cellStyle name="Currency 8 2 2 4" xfId="6851"/>
    <cellStyle name="Currency 8 2 3" xfId="1920"/>
    <cellStyle name="Currency 8 2 3 2" xfId="4730"/>
    <cellStyle name="Currency 8 2 3 2 2" xfId="10366"/>
    <cellStyle name="Currency 8 2 3 3" xfId="7556"/>
    <cellStyle name="Currency 8 2 4" xfId="3329"/>
    <cellStyle name="Currency 8 2 4 2" xfId="8965"/>
    <cellStyle name="Currency 8 2 5" xfId="6155"/>
    <cellStyle name="Currency 8 3" xfId="871"/>
    <cellStyle name="Currency 8 3 2" xfId="2272"/>
    <cellStyle name="Currency 8 3 2 2" xfId="5082"/>
    <cellStyle name="Currency 8 3 2 2 2" xfId="10718"/>
    <cellStyle name="Currency 8 3 2 3" xfId="7908"/>
    <cellStyle name="Currency 8 3 3" xfId="3681"/>
    <cellStyle name="Currency 8 3 3 2" xfId="9317"/>
    <cellStyle name="Currency 8 3 4" xfId="6507"/>
    <cellStyle name="Currency 8 4" xfId="1576"/>
    <cellStyle name="Currency 8 4 2" xfId="4386"/>
    <cellStyle name="Currency 8 4 2 2" xfId="10022"/>
    <cellStyle name="Currency 8 4 3" xfId="7212"/>
    <cellStyle name="Currency 8 5" xfId="2985"/>
    <cellStyle name="Currency 8 5 2" xfId="8621"/>
    <cellStyle name="Currency 8 6" xfId="5811"/>
    <cellStyle name="Currency 9" xfId="347"/>
    <cellStyle name="Currency 9 2" xfId="1043"/>
    <cellStyle name="Currency 9 2 2" xfId="2444"/>
    <cellStyle name="Currency 9 2 2 2" xfId="5254"/>
    <cellStyle name="Currency 9 2 2 2 2" xfId="10890"/>
    <cellStyle name="Currency 9 2 2 3" xfId="8080"/>
    <cellStyle name="Currency 9 2 3" xfId="3853"/>
    <cellStyle name="Currency 9 2 3 2" xfId="9489"/>
    <cellStyle name="Currency 9 2 4" xfId="6679"/>
    <cellStyle name="Currency 9 3" xfId="1748"/>
    <cellStyle name="Currency 9 3 2" xfId="4558"/>
    <cellStyle name="Currency 9 3 2 2" xfId="10194"/>
    <cellStyle name="Currency 9 3 3" xfId="7384"/>
    <cellStyle name="Currency 9 4" xfId="3157"/>
    <cellStyle name="Currency 9 4 2" xfId="8793"/>
    <cellStyle name="Currency 9 5" xfId="5983"/>
    <cellStyle name="Lien hypertexte" xfId="11272" builtinId="8"/>
    <cellStyle name="Milliers" xfId="1" builtinId="3"/>
    <cellStyle name="Monétaire" xfId="3" builtinId="4"/>
    <cellStyle name="Monétaire 2" xfId="5629"/>
    <cellStyle name="Monétaire 2 2" xfId="11265"/>
    <cellStyle name="Normal" xfId="0" builtinId="0"/>
    <cellStyle name="Normal 10" xfId="30"/>
    <cellStyle name="Normal 10 2" xfId="62"/>
    <cellStyle name="Normal 10 2 2" xfId="142"/>
    <cellStyle name="Normal 10 2 2 2" xfId="314"/>
    <cellStyle name="Normal 10 2 2 2 2" xfId="658"/>
    <cellStyle name="Normal 10 2 2 2 2 2" xfId="1354"/>
    <cellStyle name="Normal 10 2 2 2 2 2 2" xfId="2755"/>
    <cellStyle name="Normal 10 2 2 2 2 2 2 2" xfId="5565"/>
    <cellStyle name="Normal 10 2 2 2 2 2 2 2 2" xfId="11201"/>
    <cellStyle name="Normal 10 2 2 2 2 2 2 3" xfId="8391"/>
    <cellStyle name="Normal 10 2 2 2 2 2 3" xfId="4164"/>
    <cellStyle name="Normal 10 2 2 2 2 2 3 2" xfId="9800"/>
    <cellStyle name="Normal 10 2 2 2 2 2 4" xfId="6990"/>
    <cellStyle name="Normal 10 2 2 2 2 3" xfId="2059"/>
    <cellStyle name="Normal 10 2 2 2 2 3 2" xfId="4869"/>
    <cellStyle name="Normal 10 2 2 2 2 3 2 2" xfId="10505"/>
    <cellStyle name="Normal 10 2 2 2 2 3 3" xfId="7695"/>
    <cellStyle name="Normal 10 2 2 2 2 4" xfId="3468"/>
    <cellStyle name="Normal 10 2 2 2 2 4 2" xfId="9104"/>
    <cellStyle name="Normal 10 2 2 2 2 5" xfId="6294"/>
    <cellStyle name="Normal 10 2 2 2 3" xfId="1010"/>
    <cellStyle name="Normal 10 2 2 2 3 2" xfId="2411"/>
    <cellStyle name="Normal 10 2 2 2 3 2 2" xfId="5221"/>
    <cellStyle name="Normal 10 2 2 2 3 2 2 2" xfId="10857"/>
    <cellStyle name="Normal 10 2 2 2 3 2 3" xfId="8047"/>
    <cellStyle name="Normal 10 2 2 2 3 3" xfId="3820"/>
    <cellStyle name="Normal 10 2 2 2 3 3 2" xfId="9456"/>
    <cellStyle name="Normal 10 2 2 2 3 4" xfId="6646"/>
    <cellStyle name="Normal 10 2 2 2 4" xfId="1715"/>
    <cellStyle name="Normal 10 2 2 2 4 2" xfId="4525"/>
    <cellStyle name="Normal 10 2 2 2 4 2 2" xfId="10161"/>
    <cellStyle name="Normal 10 2 2 2 4 3" xfId="7351"/>
    <cellStyle name="Normal 10 2 2 2 5" xfId="3124"/>
    <cellStyle name="Normal 10 2 2 2 5 2" xfId="8760"/>
    <cellStyle name="Normal 10 2 2 2 6" xfId="5950"/>
    <cellStyle name="Normal 10 2 2 3" xfId="486"/>
    <cellStyle name="Normal 10 2 2 3 2" xfId="1182"/>
    <cellStyle name="Normal 10 2 2 3 2 2" xfId="2583"/>
    <cellStyle name="Normal 10 2 2 3 2 2 2" xfId="5393"/>
    <cellStyle name="Normal 10 2 2 3 2 2 2 2" xfId="11029"/>
    <cellStyle name="Normal 10 2 2 3 2 2 3" xfId="8219"/>
    <cellStyle name="Normal 10 2 2 3 2 3" xfId="3992"/>
    <cellStyle name="Normal 10 2 2 3 2 3 2" xfId="9628"/>
    <cellStyle name="Normal 10 2 2 3 2 4" xfId="6818"/>
    <cellStyle name="Normal 10 2 2 3 3" xfId="1887"/>
    <cellStyle name="Normal 10 2 2 3 3 2" xfId="4697"/>
    <cellStyle name="Normal 10 2 2 3 3 2 2" xfId="10333"/>
    <cellStyle name="Normal 10 2 2 3 3 3" xfId="7523"/>
    <cellStyle name="Normal 10 2 2 3 4" xfId="3296"/>
    <cellStyle name="Normal 10 2 2 3 4 2" xfId="8932"/>
    <cellStyle name="Normal 10 2 2 3 5" xfId="6122"/>
    <cellStyle name="Normal 10 2 2 4" xfId="838"/>
    <cellStyle name="Normal 10 2 2 4 2" xfId="2239"/>
    <cellStyle name="Normal 10 2 2 4 2 2" xfId="5049"/>
    <cellStyle name="Normal 10 2 2 4 2 2 2" xfId="10685"/>
    <cellStyle name="Normal 10 2 2 4 2 3" xfId="7875"/>
    <cellStyle name="Normal 10 2 2 4 3" xfId="3648"/>
    <cellStyle name="Normal 10 2 2 4 3 2" xfId="9284"/>
    <cellStyle name="Normal 10 2 2 4 4" xfId="6474"/>
    <cellStyle name="Normal 10 2 2 5" xfId="1543"/>
    <cellStyle name="Normal 10 2 2 5 2" xfId="4353"/>
    <cellStyle name="Normal 10 2 2 5 2 2" xfId="9989"/>
    <cellStyle name="Normal 10 2 2 5 3" xfId="7179"/>
    <cellStyle name="Normal 10 2 2 6" xfId="2952"/>
    <cellStyle name="Normal 10 2 2 6 2" xfId="8588"/>
    <cellStyle name="Normal 10 2 2 7" xfId="5778"/>
    <cellStyle name="Normal 10 2 3" xfId="234"/>
    <cellStyle name="Normal 10 2 3 2" xfId="578"/>
    <cellStyle name="Normal 10 2 3 2 2" xfId="1274"/>
    <cellStyle name="Normal 10 2 3 2 2 2" xfId="2675"/>
    <cellStyle name="Normal 10 2 3 2 2 2 2" xfId="5485"/>
    <cellStyle name="Normal 10 2 3 2 2 2 2 2" xfId="11121"/>
    <cellStyle name="Normal 10 2 3 2 2 2 3" xfId="8311"/>
    <cellStyle name="Normal 10 2 3 2 2 3" xfId="4084"/>
    <cellStyle name="Normal 10 2 3 2 2 3 2" xfId="9720"/>
    <cellStyle name="Normal 10 2 3 2 2 4" xfId="6910"/>
    <cellStyle name="Normal 10 2 3 2 3" xfId="1979"/>
    <cellStyle name="Normal 10 2 3 2 3 2" xfId="4789"/>
    <cellStyle name="Normal 10 2 3 2 3 2 2" xfId="10425"/>
    <cellStyle name="Normal 10 2 3 2 3 3" xfId="7615"/>
    <cellStyle name="Normal 10 2 3 2 4" xfId="3388"/>
    <cellStyle name="Normal 10 2 3 2 4 2" xfId="9024"/>
    <cellStyle name="Normal 10 2 3 2 5" xfId="6214"/>
    <cellStyle name="Normal 10 2 3 3" xfId="930"/>
    <cellStyle name="Normal 10 2 3 3 2" xfId="2331"/>
    <cellStyle name="Normal 10 2 3 3 2 2" xfId="5141"/>
    <cellStyle name="Normal 10 2 3 3 2 2 2" xfId="10777"/>
    <cellStyle name="Normal 10 2 3 3 2 3" xfId="7967"/>
    <cellStyle name="Normal 10 2 3 3 3" xfId="3740"/>
    <cellStyle name="Normal 10 2 3 3 3 2" xfId="9376"/>
    <cellStyle name="Normal 10 2 3 3 4" xfId="6566"/>
    <cellStyle name="Normal 10 2 3 4" xfId="1635"/>
    <cellStyle name="Normal 10 2 3 4 2" xfId="4445"/>
    <cellStyle name="Normal 10 2 3 4 2 2" xfId="10081"/>
    <cellStyle name="Normal 10 2 3 4 3" xfId="7271"/>
    <cellStyle name="Normal 10 2 3 5" xfId="3044"/>
    <cellStyle name="Normal 10 2 3 5 2" xfId="8680"/>
    <cellStyle name="Normal 10 2 3 6" xfId="5870"/>
    <cellStyle name="Normal 10 2 4" xfId="406"/>
    <cellStyle name="Normal 10 2 4 2" xfId="1102"/>
    <cellStyle name="Normal 10 2 4 2 2" xfId="2503"/>
    <cellStyle name="Normal 10 2 4 2 2 2" xfId="5313"/>
    <cellStyle name="Normal 10 2 4 2 2 2 2" xfId="10949"/>
    <cellStyle name="Normal 10 2 4 2 2 3" xfId="8139"/>
    <cellStyle name="Normal 10 2 4 2 3" xfId="3912"/>
    <cellStyle name="Normal 10 2 4 2 3 2" xfId="9548"/>
    <cellStyle name="Normal 10 2 4 2 4" xfId="6738"/>
    <cellStyle name="Normal 10 2 4 3" xfId="1807"/>
    <cellStyle name="Normal 10 2 4 3 2" xfId="4617"/>
    <cellStyle name="Normal 10 2 4 3 2 2" xfId="10253"/>
    <cellStyle name="Normal 10 2 4 3 3" xfId="7443"/>
    <cellStyle name="Normal 10 2 4 4" xfId="3216"/>
    <cellStyle name="Normal 10 2 4 4 2" xfId="8852"/>
    <cellStyle name="Normal 10 2 4 5" xfId="6042"/>
    <cellStyle name="Normal 10 2 5" xfId="758"/>
    <cellStyle name="Normal 10 2 5 2" xfId="2159"/>
    <cellStyle name="Normal 10 2 5 2 2" xfId="4969"/>
    <cellStyle name="Normal 10 2 5 2 2 2" xfId="10605"/>
    <cellStyle name="Normal 10 2 5 2 3" xfId="7795"/>
    <cellStyle name="Normal 10 2 5 3" xfId="3568"/>
    <cellStyle name="Normal 10 2 5 3 2" xfId="9204"/>
    <cellStyle name="Normal 10 2 5 4" xfId="6394"/>
    <cellStyle name="Normal 10 2 6" xfId="1463"/>
    <cellStyle name="Normal 10 2 6 2" xfId="4273"/>
    <cellStyle name="Normal 10 2 6 2 2" xfId="9909"/>
    <cellStyle name="Normal 10 2 6 3" xfId="7099"/>
    <cellStyle name="Normal 10 2 7" xfId="2872"/>
    <cellStyle name="Normal 10 2 7 2" xfId="8508"/>
    <cellStyle name="Normal 10 2 8" xfId="5698"/>
    <cellStyle name="Normal 10 3" xfId="110"/>
    <cellStyle name="Normal 10 3 2" xfId="282"/>
    <cellStyle name="Normal 10 3 2 2" xfId="626"/>
    <cellStyle name="Normal 10 3 2 2 2" xfId="1322"/>
    <cellStyle name="Normal 10 3 2 2 2 2" xfId="2723"/>
    <cellStyle name="Normal 10 3 2 2 2 2 2" xfId="5533"/>
    <cellStyle name="Normal 10 3 2 2 2 2 2 2" xfId="11169"/>
    <cellStyle name="Normal 10 3 2 2 2 2 3" xfId="8359"/>
    <cellStyle name="Normal 10 3 2 2 2 3" xfId="4132"/>
    <cellStyle name="Normal 10 3 2 2 2 3 2" xfId="9768"/>
    <cellStyle name="Normal 10 3 2 2 2 4" xfId="6958"/>
    <cellStyle name="Normal 10 3 2 2 3" xfId="2027"/>
    <cellStyle name="Normal 10 3 2 2 3 2" xfId="4837"/>
    <cellStyle name="Normal 10 3 2 2 3 2 2" xfId="10473"/>
    <cellStyle name="Normal 10 3 2 2 3 3" xfId="7663"/>
    <cellStyle name="Normal 10 3 2 2 4" xfId="3436"/>
    <cellStyle name="Normal 10 3 2 2 4 2" xfId="9072"/>
    <cellStyle name="Normal 10 3 2 2 5" xfId="6262"/>
    <cellStyle name="Normal 10 3 2 3" xfId="978"/>
    <cellStyle name="Normal 10 3 2 3 2" xfId="2379"/>
    <cellStyle name="Normal 10 3 2 3 2 2" xfId="5189"/>
    <cellStyle name="Normal 10 3 2 3 2 2 2" xfId="10825"/>
    <cellStyle name="Normal 10 3 2 3 2 3" xfId="8015"/>
    <cellStyle name="Normal 10 3 2 3 3" xfId="3788"/>
    <cellStyle name="Normal 10 3 2 3 3 2" xfId="9424"/>
    <cellStyle name="Normal 10 3 2 3 4" xfId="6614"/>
    <cellStyle name="Normal 10 3 2 4" xfId="1683"/>
    <cellStyle name="Normal 10 3 2 4 2" xfId="4493"/>
    <cellStyle name="Normal 10 3 2 4 2 2" xfId="10129"/>
    <cellStyle name="Normal 10 3 2 4 3" xfId="7319"/>
    <cellStyle name="Normal 10 3 2 5" xfId="3092"/>
    <cellStyle name="Normal 10 3 2 5 2" xfId="8728"/>
    <cellStyle name="Normal 10 3 2 6" xfId="5918"/>
    <cellStyle name="Normal 10 3 3" xfId="454"/>
    <cellStyle name="Normal 10 3 3 2" xfId="1150"/>
    <cellStyle name="Normal 10 3 3 2 2" xfId="2551"/>
    <cellStyle name="Normal 10 3 3 2 2 2" xfId="5361"/>
    <cellStyle name="Normal 10 3 3 2 2 2 2" xfId="10997"/>
    <cellStyle name="Normal 10 3 3 2 2 3" xfId="8187"/>
    <cellStyle name="Normal 10 3 3 2 3" xfId="3960"/>
    <cellStyle name="Normal 10 3 3 2 3 2" xfId="9596"/>
    <cellStyle name="Normal 10 3 3 2 4" xfId="6786"/>
    <cellStyle name="Normal 10 3 3 3" xfId="1855"/>
    <cellStyle name="Normal 10 3 3 3 2" xfId="4665"/>
    <cellStyle name="Normal 10 3 3 3 2 2" xfId="10301"/>
    <cellStyle name="Normal 10 3 3 3 3" xfId="7491"/>
    <cellStyle name="Normal 10 3 3 4" xfId="3264"/>
    <cellStyle name="Normal 10 3 3 4 2" xfId="8900"/>
    <cellStyle name="Normal 10 3 3 5" xfId="6090"/>
    <cellStyle name="Normal 10 3 4" xfId="806"/>
    <cellStyle name="Normal 10 3 4 2" xfId="2207"/>
    <cellStyle name="Normal 10 3 4 2 2" xfId="5017"/>
    <cellStyle name="Normal 10 3 4 2 2 2" xfId="10653"/>
    <cellStyle name="Normal 10 3 4 2 3" xfId="7843"/>
    <cellStyle name="Normal 10 3 4 3" xfId="3616"/>
    <cellStyle name="Normal 10 3 4 3 2" xfId="9252"/>
    <cellStyle name="Normal 10 3 4 4" xfId="6442"/>
    <cellStyle name="Normal 10 3 5" xfId="1511"/>
    <cellStyle name="Normal 10 3 5 2" xfId="4321"/>
    <cellStyle name="Normal 10 3 5 2 2" xfId="9957"/>
    <cellStyle name="Normal 10 3 5 3" xfId="7147"/>
    <cellStyle name="Normal 10 3 6" xfId="2920"/>
    <cellStyle name="Normal 10 3 6 2" xfId="8556"/>
    <cellStyle name="Normal 10 3 7" xfId="5746"/>
    <cellStyle name="Normal 10 4" xfId="202"/>
    <cellStyle name="Normal 10 4 2" xfId="546"/>
    <cellStyle name="Normal 10 4 2 2" xfId="1242"/>
    <cellStyle name="Normal 10 4 2 2 2" xfId="2643"/>
    <cellStyle name="Normal 10 4 2 2 2 2" xfId="5453"/>
    <cellStyle name="Normal 10 4 2 2 2 2 2" xfId="11089"/>
    <cellStyle name="Normal 10 4 2 2 2 3" xfId="8279"/>
    <cellStyle name="Normal 10 4 2 2 3" xfId="4052"/>
    <cellStyle name="Normal 10 4 2 2 3 2" xfId="9688"/>
    <cellStyle name="Normal 10 4 2 2 4" xfId="6878"/>
    <cellStyle name="Normal 10 4 2 3" xfId="1947"/>
    <cellStyle name="Normal 10 4 2 3 2" xfId="4757"/>
    <cellStyle name="Normal 10 4 2 3 2 2" xfId="10393"/>
    <cellStyle name="Normal 10 4 2 3 3" xfId="7583"/>
    <cellStyle name="Normal 10 4 2 4" xfId="3356"/>
    <cellStyle name="Normal 10 4 2 4 2" xfId="8992"/>
    <cellStyle name="Normal 10 4 2 5" xfId="6182"/>
    <cellStyle name="Normal 10 4 3" xfId="898"/>
    <cellStyle name="Normal 10 4 3 2" xfId="2299"/>
    <cellStyle name="Normal 10 4 3 2 2" xfId="5109"/>
    <cellStyle name="Normal 10 4 3 2 2 2" xfId="10745"/>
    <cellStyle name="Normal 10 4 3 2 3" xfId="7935"/>
    <cellStyle name="Normal 10 4 3 3" xfId="3708"/>
    <cellStyle name="Normal 10 4 3 3 2" xfId="9344"/>
    <cellStyle name="Normal 10 4 3 4" xfId="6534"/>
    <cellStyle name="Normal 10 4 4" xfId="1603"/>
    <cellStyle name="Normal 10 4 4 2" xfId="4413"/>
    <cellStyle name="Normal 10 4 4 2 2" xfId="10049"/>
    <cellStyle name="Normal 10 4 4 3" xfId="7239"/>
    <cellStyle name="Normal 10 4 5" xfId="3012"/>
    <cellStyle name="Normal 10 4 5 2" xfId="8648"/>
    <cellStyle name="Normal 10 4 6" xfId="5838"/>
    <cellStyle name="Normal 10 5" xfId="374"/>
    <cellStyle name="Normal 10 5 2" xfId="1070"/>
    <cellStyle name="Normal 10 5 2 2" xfId="2471"/>
    <cellStyle name="Normal 10 5 2 2 2" xfId="5281"/>
    <cellStyle name="Normal 10 5 2 2 2 2" xfId="10917"/>
    <cellStyle name="Normal 10 5 2 2 3" xfId="8107"/>
    <cellStyle name="Normal 10 5 2 3" xfId="3880"/>
    <cellStyle name="Normal 10 5 2 3 2" xfId="9516"/>
    <cellStyle name="Normal 10 5 2 4" xfId="6706"/>
    <cellStyle name="Normal 10 5 3" xfId="1775"/>
    <cellStyle name="Normal 10 5 3 2" xfId="4585"/>
    <cellStyle name="Normal 10 5 3 2 2" xfId="10221"/>
    <cellStyle name="Normal 10 5 3 3" xfId="7411"/>
    <cellStyle name="Normal 10 5 4" xfId="3184"/>
    <cellStyle name="Normal 10 5 4 2" xfId="8820"/>
    <cellStyle name="Normal 10 5 5" xfId="6010"/>
    <cellStyle name="Normal 10 6" xfId="726"/>
    <cellStyle name="Normal 10 6 2" xfId="2127"/>
    <cellStyle name="Normal 10 6 2 2" xfId="4937"/>
    <cellStyle name="Normal 10 6 2 2 2" xfId="10573"/>
    <cellStyle name="Normal 10 6 2 3" xfId="7763"/>
    <cellStyle name="Normal 10 6 3" xfId="3536"/>
    <cellStyle name="Normal 10 6 3 2" xfId="9172"/>
    <cellStyle name="Normal 10 6 4" xfId="6362"/>
    <cellStyle name="Normal 10 7" xfId="1431"/>
    <cellStyle name="Normal 10 7 2" xfId="4241"/>
    <cellStyle name="Normal 10 7 2 2" xfId="9877"/>
    <cellStyle name="Normal 10 7 3" xfId="7067"/>
    <cellStyle name="Normal 10 8" xfId="2840"/>
    <cellStyle name="Normal 10 8 2" xfId="8476"/>
    <cellStyle name="Normal 10 9" xfId="5666"/>
    <cellStyle name="Normal 100" xfId="11323"/>
    <cellStyle name="Normal 101" xfId="11324"/>
    <cellStyle name="Normal 102" xfId="11325"/>
    <cellStyle name="Normal 103" xfId="11326"/>
    <cellStyle name="Normal 11" xfId="32"/>
    <cellStyle name="Normal 11 2" xfId="64"/>
    <cellStyle name="Normal 11 2 2" xfId="144"/>
    <cellStyle name="Normal 11 2 2 2" xfId="316"/>
    <cellStyle name="Normal 11 2 2 2 2" xfId="660"/>
    <cellStyle name="Normal 11 2 2 2 2 2" xfId="1356"/>
    <cellStyle name="Normal 11 2 2 2 2 2 2" xfId="2757"/>
    <cellStyle name="Normal 11 2 2 2 2 2 2 2" xfId="5567"/>
    <cellStyle name="Normal 11 2 2 2 2 2 2 2 2" xfId="11203"/>
    <cellStyle name="Normal 11 2 2 2 2 2 2 3" xfId="8393"/>
    <cellStyle name="Normal 11 2 2 2 2 2 3" xfId="4166"/>
    <cellStyle name="Normal 11 2 2 2 2 2 3 2" xfId="9802"/>
    <cellStyle name="Normal 11 2 2 2 2 2 4" xfId="6992"/>
    <cellStyle name="Normal 11 2 2 2 2 3" xfId="2061"/>
    <cellStyle name="Normal 11 2 2 2 2 3 2" xfId="4871"/>
    <cellStyle name="Normal 11 2 2 2 2 3 2 2" xfId="10507"/>
    <cellStyle name="Normal 11 2 2 2 2 3 3" xfId="7697"/>
    <cellStyle name="Normal 11 2 2 2 2 4" xfId="3470"/>
    <cellStyle name="Normal 11 2 2 2 2 4 2" xfId="9106"/>
    <cellStyle name="Normal 11 2 2 2 2 5" xfId="6296"/>
    <cellStyle name="Normal 11 2 2 2 3" xfId="1012"/>
    <cellStyle name="Normal 11 2 2 2 3 2" xfId="2413"/>
    <cellStyle name="Normal 11 2 2 2 3 2 2" xfId="5223"/>
    <cellStyle name="Normal 11 2 2 2 3 2 2 2" xfId="10859"/>
    <cellStyle name="Normal 11 2 2 2 3 2 3" xfId="8049"/>
    <cellStyle name="Normal 11 2 2 2 3 3" xfId="3822"/>
    <cellStyle name="Normal 11 2 2 2 3 3 2" xfId="9458"/>
    <cellStyle name="Normal 11 2 2 2 3 4" xfId="6648"/>
    <cellStyle name="Normal 11 2 2 2 4" xfId="1717"/>
    <cellStyle name="Normal 11 2 2 2 4 2" xfId="4527"/>
    <cellStyle name="Normal 11 2 2 2 4 2 2" xfId="10163"/>
    <cellStyle name="Normal 11 2 2 2 4 3" xfId="7353"/>
    <cellStyle name="Normal 11 2 2 2 5" xfId="3126"/>
    <cellStyle name="Normal 11 2 2 2 5 2" xfId="8762"/>
    <cellStyle name="Normal 11 2 2 2 6" xfId="5952"/>
    <cellStyle name="Normal 11 2 2 3" xfId="488"/>
    <cellStyle name="Normal 11 2 2 3 2" xfId="1184"/>
    <cellStyle name="Normal 11 2 2 3 2 2" xfId="2585"/>
    <cellStyle name="Normal 11 2 2 3 2 2 2" xfId="5395"/>
    <cellStyle name="Normal 11 2 2 3 2 2 2 2" xfId="11031"/>
    <cellStyle name="Normal 11 2 2 3 2 2 3" xfId="8221"/>
    <cellStyle name="Normal 11 2 2 3 2 3" xfId="3994"/>
    <cellStyle name="Normal 11 2 2 3 2 3 2" xfId="9630"/>
    <cellStyle name="Normal 11 2 2 3 2 4" xfId="6820"/>
    <cellStyle name="Normal 11 2 2 3 3" xfId="1889"/>
    <cellStyle name="Normal 11 2 2 3 3 2" xfId="4699"/>
    <cellStyle name="Normal 11 2 2 3 3 2 2" xfId="10335"/>
    <cellStyle name="Normal 11 2 2 3 3 3" xfId="7525"/>
    <cellStyle name="Normal 11 2 2 3 4" xfId="3298"/>
    <cellStyle name="Normal 11 2 2 3 4 2" xfId="8934"/>
    <cellStyle name="Normal 11 2 2 3 5" xfId="6124"/>
    <cellStyle name="Normal 11 2 2 4" xfId="840"/>
    <cellStyle name="Normal 11 2 2 4 2" xfId="2241"/>
    <cellStyle name="Normal 11 2 2 4 2 2" xfId="5051"/>
    <cellStyle name="Normal 11 2 2 4 2 2 2" xfId="10687"/>
    <cellStyle name="Normal 11 2 2 4 2 3" xfId="7877"/>
    <cellStyle name="Normal 11 2 2 4 3" xfId="3650"/>
    <cellStyle name="Normal 11 2 2 4 3 2" xfId="9286"/>
    <cellStyle name="Normal 11 2 2 4 4" xfId="6476"/>
    <cellStyle name="Normal 11 2 2 5" xfId="1545"/>
    <cellStyle name="Normal 11 2 2 5 2" xfId="4355"/>
    <cellStyle name="Normal 11 2 2 5 2 2" xfId="9991"/>
    <cellStyle name="Normal 11 2 2 5 3" xfId="7181"/>
    <cellStyle name="Normal 11 2 2 6" xfId="2954"/>
    <cellStyle name="Normal 11 2 2 6 2" xfId="8590"/>
    <cellStyle name="Normal 11 2 2 7" xfId="5780"/>
    <cellStyle name="Normal 11 2 3" xfId="236"/>
    <cellStyle name="Normal 11 2 3 2" xfId="580"/>
    <cellStyle name="Normal 11 2 3 2 2" xfId="1276"/>
    <cellStyle name="Normal 11 2 3 2 2 2" xfId="2677"/>
    <cellStyle name="Normal 11 2 3 2 2 2 2" xfId="5487"/>
    <cellStyle name="Normal 11 2 3 2 2 2 2 2" xfId="11123"/>
    <cellStyle name="Normal 11 2 3 2 2 2 3" xfId="8313"/>
    <cellStyle name="Normal 11 2 3 2 2 3" xfId="4086"/>
    <cellStyle name="Normal 11 2 3 2 2 3 2" xfId="9722"/>
    <cellStyle name="Normal 11 2 3 2 2 4" xfId="6912"/>
    <cellStyle name="Normal 11 2 3 2 3" xfId="1981"/>
    <cellStyle name="Normal 11 2 3 2 3 2" xfId="4791"/>
    <cellStyle name="Normal 11 2 3 2 3 2 2" xfId="10427"/>
    <cellStyle name="Normal 11 2 3 2 3 3" xfId="7617"/>
    <cellStyle name="Normal 11 2 3 2 4" xfId="3390"/>
    <cellStyle name="Normal 11 2 3 2 4 2" xfId="9026"/>
    <cellStyle name="Normal 11 2 3 2 5" xfId="6216"/>
    <cellStyle name="Normal 11 2 3 3" xfId="932"/>
    <cellStyle name="Normal 11 2 3 3 2" xfId="2333"/>
    <cellStyle name="Normal 11 2 3 3 2 2" xfId="5143"/>
    <cellStyle name="Normal 11 2 3 3 2 2 2" xfId="10779"/>
    <cellStyle name="Normal 11 2 3 3 2 3" xfId="7969"/>
    <cellStyle name="Normal 11 2 3 3 3" xfId="3742"/>
    <cellStyle name="Normal 11 2 3 3 3 2" xfId="9378"/>
    <cellStyle name="Normal 11 2 3 3 4" xfId="6568"/>
    <cellStyle name="Normal 11 2 3 4" xfId="1637"/>
    <cellStyle name="Normal 11 2 3 4 2" xfId="4447"/>
    <cellStyle name="Normal 11 2 3 4 2 2" xfId="10083"/>
    <cellStyle name="Normal 11 2 3 4 3" xfId="7273"/>
    <cellStyle name="Normal 11 2 3 5" xfId="3046"/>
    <cellStyle name="Normal 11 2 3 5 2" xfId="8682"/>
    <cellStyle name="Normal 11 2 3 6" xfId="5872"/>
    <cellStyle name="Normal 11 2 4" xfId="408"/>
    <cellStyle name="Normal 11 2 4 2" xfId="1104"/>
    <cellStyle name="Normal 11 2 4 2 2" xfId="2505"/>
    <cellStyle name="Normal 11 2 4 2 2 2" xfId="5315"/>
    <cellStyle name="Normal 11 2 4 2 2 2 2" xfId="10951"/>
    <cellStyle name="Normal 11 2 4 2 2 3" xfId="8141"/>
    <cellStyle name="Normal 11 2 4 2 3" xfId="3914"/>
    <cellStyle name="Normal 11 2 4 2 3 2" xfId="9550"/>
    <cellStyle name="Normal 11 2 4 2 4" xfId="6740"/>
    <cellStyle name="Normal 11 2 4 3" xfId="1809"/>
    <cellStyle name="Normal 11 2 4 3 2" xfId="4619"/>
    <cellStyle name="Normal 11 2 4 3 2 2" xfId="10255"/>
    <cellStyle name="Normal 11 2 4 3 3" xfId="7445"/>
    <cellStyle name="Normal 11 2 4 4" xfId="3218"/>
    <cellStyle name="Normal 11 2 4 4 2" xfId="8854"/>
    <cellStyle name="Normal 11 2 4 5" xfId="6044"/>
    <cellStyle name="Normal 11 2 5" xfId="760"/>
    <cellStyle name="Normal 11 2 5 2" xfId="2161"/>
    <cellStyle name="Normal 11 2 5 2 2" xfId="4971"/>
    <cellStyle name="Normal 11 2 5 2 2 2" xfId="10607"/>
    <cellStyle name="Normal 11 2 5 2 3" xfId="7797"/>
    <cellStyle name="Normal 11 2 5 3" xfId="3570"/>
    <cellStyle name="Normal 11 2 5 3 2" xfId="9206"/>
    <cellStyle name="Normal 11 2 5 4" xfId="6396"/>
    <cellStyle name="Normal 11 2 6" xfId="1465"/>
    <cellStyle name="Normal 11 2 6 2" xfId="4275"/>
    <cellStyle name="Normal 11 2 6 2 2" xfId="9911"/>
    <cellStyle name="Normal 11 2 6 3" xfId="7101"/>
    <cellStyle name="Normal 11 2 7" xfId="2874"/>
    <cellStyle name="Normal 11 2 7 2" xfId="8510"/>
    <cellStyle name="Normal 11 2 8" xfId="5700"/>
    <cellStyle name="Normal 11 3" xfId="112"/>
    <cellStyle name="Normal 11 3 2" xfId="284"/>
    <cellStyle name="Normal 11 3 2 2" xfId="628"/>
    <cellStyle name="Normal 11 3 2 2 2" xfId="1324"/>
    <cellStyle name="Normal 11 3 2 2 2 2" xfId="2725"/>
    <cellStyle name="Normal 11 3 2 2 2 2 2" xfId="5535"/>
    <cellStyle name="Normal 11 3 2 2 2 2 2 2" xfId="11171"/>
    <cellStyle name="Normal 11 3 2 2 2 2 3" xfId="8361"/>
    <cellStyle name="Normal 11 3 2 2 2 3" xfId="4134"/>
    <cellStyle name="Normal 11 3 2 2 2 3 2" xfId="9770"/>
    <cellStyle name="Normal 11 3 2 2 2 4" xfId="6960"/>
    <cellStyle name="Normal 11 3 2 2 3" xfId="2029"/>
    <cellStyle name="Normal 11 3 2 2 3 2" xfId="4839"/>
    <cellStyle name="Normal 11 3 2 2 3 2 2" xfId="10475"/>
    <cellStyle name="Normal 11 3 2 2 3 3" xfId="7665"/>
    <cellStyle name="Normal 11 3 2 2 4" xfId="3438"/>
    <cellStyle name="Normal 11 3 2 2 4 2" xfId="9074"/>
    <cellStyle name="Normal 11 3 2 2 5" xfId="6264"/>
    <cellStyle name="Normal 11 3 2 3" xfId="980"/>
    <cellStyle name="Normal 11 3 2 3 2" xfId="2381"/>
    <cellStyle name="Normal 11 3 2 3 2 2" xfId="5191"/>
    <cellStyle name="Normal 11 3 2 3 2 2 2" xfId="10827"/>
    <cellStyle name="Normal 11 3 2 3 2 3" xfId="8017"/>
    <cellStyle name="Normal 11 3 2 3 3" xfId="3790"/>
    <cellStyle name="Normal 11 3 2 3 3 2" xfId="9426"/>
    <cellStyle name="Normal 11 3 2 3 4" xfId="6616"/>
    <cellStyle name="Normal 11 3 2 4" xfId="1685"/>
    <cellStyle name="Normal 11 3 2 4 2" xfId="4495"/>
    <cellStyle name="Normal 11 3 2 4 2 2" xfId="10131"/>
    <cellStyle name="Normal 11 3 2 4 3" xfId="7321"/>
    <cellStyle name="Normal 11 3 2 5" xfId="3094"/>
    <cellStyle name="Normal 11 3 2 5 2" xfId="8730"/>
    <cellStyle name="Normal 11 3 2 6" xfId="5920"/>
    <cellStyle name="Normal 11 3 3" xfId="456"/>
    <cellStyle name="Normal 11 3 3 2" xfId="1152"/>
    <cellStyle name="Normal 11 3 3 2 2" xfId="2553"/>
    <cellStyle name="Normal 11 3 3 2 2 2" xfId="5363"/>
    <cellStyle name="Normal 11 3 3 2 2 2 2" xfId="10999"/>
    <cellStyle name="Normal 11 3 3 2 2 3" xfId="8189"/>
    <cellStyle name="Normal 11 3 3 2 3" xfId="3962"/>
    <cellStyle name="Normal 11 3 3 2 3 2" xfId="9598"/>
    <cellStyle name="Normal 11 3 3 2 4" xfId="6788"/>
    <cellStyle name="Normal 11 3 3 3" xfId="1857"/>
    <cellStyle name="Normal 11 3 3 3 2" xfId="4667"/>
    <cellStyle name="Normal 11 3 3 3 2 2" xfId="10303"/>
    <cellStyle name="Normal 11 3 3 3 3" xfId="7493"/>
    <cellStyle name="Normal 11 3 3 4" xfId="3266"/>
    <cellStyle name="Normal 11 3 3 4 2" xfId="8902"/>
    <cellStyle name="Normal 11 3 3 5" xfId="6092"/>
    <cellStyle name="Normal 11 3 4" xfId="808"/>
    <cellStyle name="Normal 11 3 4 2" xfId="2209"/>
    <cellStyle name="Normal 11 3 4 2 2" xfId="5019"/>
    <cellStyle name="Normal 11 3 4 2 2 2" xfId="10655"/>
    <cellStyle name="Normal 11 3 4 2 3" xfId="7845"/>
    <cellStyle name="Normal 11 3 4 3" xfId="3618"/>
    <cellStyle name="Normal 11 3 4 3 2" xfId="9254"/>
    <cellStyle name="Normal 11 3 4 4" xfId="6444"/>
    <cellStyle name="Normal 11 3 5" xfId="1513"/>
    <cellStyle name="Normal 11 3 5 2" xfId="4323"/>
    <cellStyle name="Normal 11 3 5 2 2" xfId="9959"/>
    <cellStyle name="Normal 11 3 5 3" xfId="7149"/>
    <cellStyle name="Normal 11 3 6" xfId="2922"/>
    <cellStyle name="Normal 11 3 6 2" xfId="8558"/>
    <cellStyle name="Normal 11 3 7" xfId="5748"/>
    <cellStyle name="Normal 11 4" xfId="204"/>
    <cellStyle name="Normal 11 4 2" xfId="548"/>
    <cellStyle name="Normal 11 4 2 2" xfId="1244"/>
    <cellStyle name="Normal 11 4 2 2 2" xfId="2645"/>
    <cellStyle name="Normal 11 4 2 2 2 2" xfId="5455"/>
    <cellStyle name="Normal 11 4 2 2 2 2 2" xfId="11091"/>
    <cellStyle name="Normal 11 4 2 2 2 3" xfId="8281"/>
    <cellStyle name="Normal 11 4 2 2 3" xfId="4054"/>
    <cellStyle name="Normal 11 4 2 2 3 2" xfId="9690"/>
    <cellStyle name="Normal 11 4 2 2 4" xfId="6880"/>
    <cellStyle name="Normal 11 4 2 3" xfId="1949"/>
    <cellStyle name="Normal 11 4 2 3 2" xfId="4759"/>
    <cellStyle name="Normal 11 4 2 3 2 2" xfId="10395"/>
    <cellStyle name="Normal 11 4 2 3 3" xfId="7585"/>
    <cellStyle name="Normal 11 4 2 4" xfId="3358"/>
    <cellStyle name="Normal 11 4 2 4 2" xfId="8994"/>
    <cellStyle name="Normal 11 4 2 5" xfId="6184"/>
    <cellStyle name="Normal 11 4 3" xfId="900"/>
    <cellStyle name="Normal 11 4 3 2" xfId="2301"/>
    <cellStyle name="Normal 11 4 3 2 2" xfId="5111"/>
    <cellStyle name="Normal 11 4 3 2 2 2" xfId="10747"/>
    <cellStyle name="Normal 11 4 3 2 3" xfId="7937"/>
    <cellStyle name="Normal 11 4 3 3" xfId="3710"/>
    <cellStyle name="Normal 11 4 3 3 2" xfId="9346"/>
    <cellStyle name="Normal 11 4 3 4" xfId="6536"/>
    <cellStyle name="Normal 11 4 4" xfId="1605"/>
    <cellStyle name="Normal 11 4 4 2" xfId="4415"/>
    <cellStyle name="Normal 11 4 4 2 2" xfId="10051"/>
    <cellStyle name="Normal 11 4 4 3" xfId="7241"/>
    <cellStyle name="Normal 11 4 5" xfId="3014"/>
    <cellStyle name="Normal 11 4 5 2" xfId="8650"/>
    <cellStyle name="Normal 11 4 6" xfId="5840"/>
    <cellStyle name="Normal 11 5" xfId="376"/>
    <cellStyle name="Normal 11 5 2" xfId="1072"/>
    <cellStyle name="Normal 11 5 2 2" xfId="2473"/>
    <cellStyle name="Normal 11 5 2 2 2" xfId="5283"/>
    <cellStyle name="Normal 11 5 2 2 2 2" xfId="10919"/>
    <cellStyle name="Normal 11 5 2 2 3" xfId="8109"/>
    <cellStyle name="Normal 11 5 2 3" xfId="3882"/>
    <cellStyle name="Normal 11 5 2 3 2" xfId="9518"/>
    <cellStyle name="Normal 11 5 2 4" xfId="6708"/>
    <cellStyle name="Normal 11 5 3" xfId="1777"/>
    <cellStyle name="Normal 11 5 3 2" xfId="4587"/>
    <cellStyle name="Normal 11 5 3 2 2" xfId="10223"/>
    <cellStyle name="Normal 11 5 3 3" xfId="7413"/>
    <cellStyle name="Normal 11 5 4" xfId="3186"/>
    <cellStyle name="Normal 11 5 4 2" xfId="8822"/>
    <cellStyle name="Normal 11 5 5" xfId="6012"/>
    <cellStyle name="Normal 11 6" xfId="728"/>
    <cellStyle name="Normal 11 6 2" xfId="2129"/>
    <cellStyle name="Normal 11 6 2 2" xfId="4939"/>
    <cellStyle name="Normal 11 6 2 2 2" xfId="10575"/>
    <cellStyle name="Normal 11 6 2 3" xfId="7765"/>
    <cellStyle name="Normal 11 6 3" xfId="3538"/>
    <cellStyle name="Normal 11 6 3 2" xfId="9174"/>
    <cellStyle name="Normal 11 6 4" xfId="6364"/>
    <cellStyle name="Normal 11 7" xfId="1433"/>
    <cellStyle name="Normal 11 7 2" xfId="4243"/>
    <cellStyle name="Normal 11 7 2 2" xfId="9879"/>
    <cellStyle name="Normal 11 7 3" xfId="7069"/>
    <cellStyle name="Normal 11 8" xfId="2842"/>
    <cellStyle name="Normal 11 8 2" xfId="8478"/>
    <cellStyle name="Normal 11 9" xfId="5668"/>
    <cellStyle name="Normal 12" xfId="34"/>
    <cellStyle name="Normal 12 2" xfId="114"/>
    <cellStyle name="Normal 12 2 2" xfId="286"/>
    <cellStyle name="Normal 12 2 2 2" xfId="630"/>
    <cellStyle name="Normal 12 2 2 2 2" xfId="1326"/>
    <cellStyle name="Normal 12 2 2 2 2 2" xfId="2727"/>
    <cellStyle name="Normal 12 2 2 2 2 2 2" xfId="5537"/>
    <cellStyle name="Normal 12 2 2 2 2 2 2 2" xfId="11173"/>
    <cellStyle name="Normal 12 2 2 2 2 2 3" xfId="8363"/>
    <cellStyle name="Normal 12 2 2 2 2 3" xfId="4136"/>
    <cellStyle name="Normal 12 2 2 2 2 3 2" xfId="9772"/>
    <cellStyle name="Normal 12 2 2 2 2 4" xfId="6962"/>
    <cellStyle name="Normal 12 2 2 2 3" xfId="2031"/>
    <cellStyle name="Normal 12 2 2 2 3 2" xfId="4841"/>
    <cellStyle name="Normal 12 2 2 2 3 2 2" xfId="10477"/>
    <cellStyle name="Normal 12 2 2 2 3 3" xfId="7667"/>
    <cellStyle name="Normal 12 2 2 2 4" xfId="3440"/>
    <cellStyle name="Normal 12 2 2 2 4 2" xfId="9076"/>
    <cellStyle name="Normal 12 2 2 2 5" xfId="6266"/>
    <cellStyle name="Normal 12 2 2 3" xfId="982"/>
    <cellStyle name="Normal 12 2 2 3 2" xfId="2383"/>
    <cellStyle name="Normal 12 2 2 3 2 2" xfId="5193"/>
    <cellStyle name="Normal 12 2 2 3 2 2 2" xfId="10829"/>
    <cellStyle name="Normal 12 2 2 3 2 3" xfId="8019"/>
    <cellStyle name="Normal 12 2 2 3 3" xfId="3792"/>
    <cellStyle name="Normal 12 2 2 3 3 2" xfId="9428"/>
    <cellStyle name="Normal 12 2 2 3 4" xfId="6618"/>
    <cellStyle name="Normal 12 2 2 4" xfId="1687"/>
    <cellStyle name="Normal 12 2 2 4 2" xfId="4497"/>
    <cellStyle name="Normal 12 2 2 4 2 2" xfId="10133"/>
    <cellStyle name="Normal 12 2 2 4 3" xfId="7323"/>
    <cellStyle name="Normal 12 2 2 5" xfId="3096"/>
    <cellStyle name="Normal 12 2 2 5 2" xfId="8732"/>
    <cellStyle name="Normal 12 2 2 6" xfId="5922"/>
    <cellStyle name="Normal 12 2 3" xfId="458"/>
    <cellStyle name="Normal 12 2 3 2" xfId="1154"/>
    <cellStyle name="Normal 12 2 3 2 2" xfId="2555"/>
    <cellStyle name="Normal 12 2 3 2 2 2" xfId="5365"/>
    <cellStyle name="Normal 12 2 3 2 2 2 2" xfId="11001"/>
    <cellStyle name="Normal 12 2 3 2 2 3" xfId="8191"/>
    <cellStyle name="Normal 12 2 3 2 3" xfId="3964"/>
    <cellStyle name="Normal 12 2 3 2 3 2" xfId="9600"/>
    <cellStyle name="Normal 12 2 3 2 4" xfId="6790"/>
    <cellStyle name="Normal 12 2 3 3" xfId="1859"/>
    <cellStyle name="Normal 12 2 3 3 2" xfId="4669"/>
    <cellStyle name="Normal 12 2 3 3 2 2" xfId="10305"/>
    <cellStyle name="Normal 12 2 3 3 3" xfId="7495"/>
    <cellStyle name="Normal 12 2 3 4" xfId="3268"/>
    <cellStyle name="Normal 12 2 3 4 2" xfId="8904"/>
    <cellStyle name="Normal 12 2 3 5" xfId="6094"/>
    <cellStyle name="Normal 12 2 4" xfId="810"/>
    <cellStyle name="Normal 12 2 4 2" xfId="2211"/>
    <cellStyle name="Normal 12 2 4 2 2" xfId="5021"/>
    <cellStyle name="Normal 12 2 4 2 2 2" xfId="10657"/>
    <cellStyle name="Normal 12 2 4 2 3" xfId="7847"/>
    <cellStyle name="Normal 12 2 4 3" xfId="3620"/>
    <cellStyle name="Normal 12 2 4 3 2" xfId="9256"/>
    <cellStyle name="Normal 12 2 4 4" xfId="6446"/>
    <cellStyle name="Normal 12 2 5" xfId="1515"/>
    <cellStyle name="Normal 12 2 5 2" xfId="4325"/>
    <cellStyle name="Normal 12 2 5 2 2" xfId="9961"/>
    <cellStyle name="Normal 12 2 5 3" xfId="7151"/>
    <cellStyle name="Normal 12 2 6" xfId="2924"/>
    <cellStyle name="Normal 12 2 6 2" xfId="8560"/>
    <cellStyle name="Normal 12 2 7" xfId="5750"/>
    <cellStyle name="Normal 12 3" xfId="206"/>
    <cellStyle name="Normal 12 3 2" xfId="550"/>
    <cellStyle name="Normal 12 3 2 2" xfId="1246"/>
    <cellStyle name="Normal 12 3 2 2 2" xfId="2647"/>
    <cellStyle name="Normal 12 3 2 2 2 2" xfId="5457"/>
    <cellStyle name="Normal 12 3 2 2 2 2 2" xfId="11093"/>
    <cellStyle name="Normal 12 3 2 2 2 3" xfId="8283"/>
    <cellStyle name="Normal 12 3 2 2 3" xfId="4056"/>
    <cellStyle name="Normal 12 3 2 2 3 2" xfId="9692"/>
    <cellStyle name="Normal 12 3 2 2 4" xfId="6882"/>
    <cellStyle name="Normal 12 3 2 3" xfId="1951"/>
    <cellStyle name="Normal 12 3 2 3 2" xfId="4761"/>
    <cellStyle name="Normal 12 3 2 3 2 2" xfId="10397"/>
    <cellStyle name="Normal 12 3 2 3 3" xfId="7587"/>
    <cellStyle name="Normal 12 3 2 4" xfId="3360"/>
    <cellStyle name="Normal 12 3 2 4 2" xfId="8996"/>
    <cellStyle name="Normal 12 3 2 5" xfId="6186"/>
    <cellStyle name="Normal 12 3 3" xfId="902"/>
    <cellStyle name="Normal 12 3 3 2" xfId="2303"/>
    <cellStyle name="Normal 12 3 3 2 2" xfId="5113"/>
    <cellStyle name="Normal 12 3 3 2 2 2" xfId="10749"/>
    <cellStyle name="Normal 12 3 3 2 3" xfId="7939"/>
    <cellStyle name="Normal 12 3 3 3" xfId="3712"/>
    <cellStyle name="Normal 12 3 3 3 2" xfId="9348"/>
    <cellStyle name="Normal 12 3 3 4" xfId="6538"/>
    <cellStyle name="Normal 12 3 4" xfId="1607"/>
    <cellStyle name="Normal 12 3 4 2" xfId="4417"/>
    <cellStyle name="Normal 12 3 4 2 2" xfId="10053"/>
    <cellStyle name="Normal 12 3 4 3" xfId="7243"/>
    <cellStyle name="Normal 12 3 5" xfId="3016"/>
    <cellStyle name="Normal 12 3 5 2" xfId="8652"/>
    <cellStyle name="Normal 12 3 6" xfId="5842"/>
    <cellStyle name="Normal 12 4" xfId="378"/>
    <cellStyle name="Normal 12 4 2" xfId="1074"/>
    <cellStyle name="Normal 12 4 2 2" xfId="2475"/>
    <cellStyle name="Normal 12 4 2 2 2" xfId="5285"/>
    <cellStyle name="Normal 12 4 2 2 2 2" xfId="10921"/>
    <cellStyle name="Normal 12 4 2 2 3" xfId="8111"/>
    <cellStyle name="Normal 12 4 2 3" xfId="3884"/>
    <cellStyle name="Normal 12 4 2 3 2" xfId="9520"/>
    <cellStyle name="Normal 12 4 2 4" xfId="6710"/>
    <cellStyle name="Normal 12 4 3" xfId="1779"/>
    <cellStyle name="Normal 12 4 3 2" xfId="4589"/>
    <cellStyle name="Normal 12 4 3 2 2" xfId="10225"/>
    <cellStyle name="Normal 12 4 3 3" xfId="7415"/>
    <cellStyle name="Normal 12 4 4" xfId="3188"/>
    <cellStyle name="Normal 12 4 4 2" xfId="8824"/>
    <cellStyle name="Normal 12 4 5" xfId="6014"/>
    <cellStyle name="Normal 12 5" xfId="730"/>
    <cellStyle name="Normal 12 5 2" xfId="2131"/>
    <cellStyle name="Normal 12 5 2 2" xfId="4941"/>
    <cellStyle name="Normal 12 5 2 2 2" xfId="10577"/>
    <cellStyle name="Normal 12 5 2 3" xfId="7767"/>
    <cellStyle name="Normal 12 5 3" xfId="3540"/>
    <cellStyle name="Normal 12 5 3 2" xfId="9176"/>
    <cellStyle name="Normal 12 5 4" xfId="6366"/>
    <cellStyle name="Normal 12 6" xfId="1435"/>
    <cellStyle name="Normal 12 6 2" xfId="4245"/>
    <cellStyle name="Normal 12 6 2 2" xfId="9881"/>
    <cellStyle name="Normal 12 6 3" xfId="7071"/>
    <cellStyle name="Normal 12 7" xfId="2844"/>
    <cellStyle name="Normal 12 7 2" xfId="8480"/>
    <cellStyle name="Normal 12 8" xfId="5670"/>
    <cellStyle name="Normal 13" xfId="67"/>
    <cellStyle name="Normal 13 2" xfId="147"/>
    <cellStyle name="Normal 13 2 2" xfId="319"/>
    <cellStyle name="Normal 13 2 2 2" xfId="663"/>
    <cellStyle name="Normal 13 2 2 2 2" xfId="1359"/>
    <cellStyle name="Normal 13 2 2 2 2 2" xfId="2760"/>
    <cellStyle name="Normal 13 2 2 2 2 2 2" xfId="5570"/>
    <cellStyle name="Normal 13 2 2 2 2 2 2 2" xfId="11206"/>
    <cellStyle name="Normal 13 2 2 2 2 2 3" xfId="8396"/>
    <cellStyle name="Normal 13 2 2 2 2 3" xfId="4169"/>
    <cellStyle name="Normal 13 2 2 2 2 3 2" xfId="9805"/>
    <cellStyle name="Normal 13 2 2 2 2 4" xfId="6995"/>
    <cellStyle name="Normal 13 2 2 2 3" xfId="2064"/>
    <cellStyle name="Normal 13 2 2 2 3 2" xfId="4874"/>
    <cellStyle name="Normal 13 2 2 2 3 2 2" xfId="10510"/>
    <cellStyle name="Normal 13 2 2 2 3 3" xfId="7700"/>
    <cellStyle name="Normal 13 2 2 2 4" xfId="3473"/>
    <cellStyle name="Normal 13 2 2 2 4 2" xfId="9109"/>
    <cellStyle name="Normal 13 2 2 2 5" xfId="6299"/>
    <cellStyle name="Normal 13 2 2 3" xfId="1015"/>
    <cellStyle name="Normal 13 2 2 3 2" xfId="2416"/>
    <cellStyle name="Normal 13 2 2 3 2 2" xfId="5226"/>
    <cellStyle name="Normal 13 2 2 3 2 2 2" xfId="10862"/>
    <cellStyle name="Normal 13 2 2 3 2 3" xfId="8052"/>
    <cellStyle name="Normal 13 2 2 3 3" xfId="3825"/>
    <cellStyle name="Normal 13 2 2 3 3 2" xfId="9461"/>
    <cellStyle name="Normal 13 2 2 3 4" xfId="6651"/>
    <cellStyle name="Normal 13 2 2 4" xfId="1720"/>
    <cellStyle name="Normal 13 2 2 4 2" xfId="4530"/>
    <cellStyle name="Normal 13 2 2 4 2 2" xfId="10166"/>
    <cellStyle name="Normal 13 2 2 4 3" xfId="7356"/>
    <cellStyle name="Normal 13 2 2 5" xfId="3129"/>
    <cellStyle name="Normal 13 2 2 5 2" xfId="8765"/>
    <cellStyle name="Normal 13 2 2 6" xfId="5955"/>
    <cellStyle name="Normal 13 2 3" xfId="491"/>
    <cellStyle name="Normal 13 2 3 2" xfId="1187"/>
    <cellStyle name="Normal 13 2 3 2 2" xfId="2588"/>
    <cellStyle name="Normal 13 2 3 2 2 2" xfId="5398"/>
    <cellStyle name="Normal 13 2 3 2 2 2 2" xfId="11034"/>
    <cellStyle name="Normal 13 2 3 2 2 3" xfId="8224"/>
    <cellStyle name="Normal 13 2 3 2 3" xfId="3997"/>
    <cellStyle name="Normal 13 2 3 2 3 2" xfId="9633"/>
    <cellStyle name="Normal 13 2 3 2 4" xfId="6823"/>
    <cellStyle name="Normal 13 2 3 3" xfId="1892"/>
    <cellStyle name="Normal 13 2 3 3 2" xfId="4702"/>
    <cellStyle name="Normal 13 2 3 3 2 2" xfId="10338"/>
    <cellStyle name="Normal 13 2 3 3 3" xfId="7528"/>
    <cellStyle name="Normal 13 2 3 4" xfId="3301"/>
    <cellStyle name="Normal 13 2 3 4 2" xfId="8937"/>
    <cellStyle name="Normal 13 2 3 5" xfId="6127"/>
    <cellStyle name="Normal 13 2 4" xfId="843"/>
    <cellStyle name="Normal 13 2 4 2" xfId="2244"/>
    <cellStyle name="Normal 13 2 4 2 2" xfId="5054"/>
    <cellStyle name="Normal 13 2 4 2 2 2" xfId="10690"/>
    <cellStyle name="Normal 13 2 4 2 3" xfId="7880"/>
    <cellStyle name="Normal 13 2 4 3" xfId="3653"/>
    <cellStyle name="Normal 13 2 4 3 2" xfId="9289"/>
    <cellStyle name="Normal 13 2 4 4" xfId="6479"/>
    <cellStyle name="Normal 13 2 5" xfId="1548"/>
    <cellStyle name="Normal 13 2 5 2" xfId="4358"/>
    <cellStyle name="Normal 13 2 5 2 2" xfId="9994"/>
    <cellStyle name="Normal 13 2 5 3" xfId="7184"/>
    <cellStyle name="Normal 13 2 6" xfId="2957"/>
    <cellStyle name="Normal 13 2 6 2" xfId="8593"/>
    <cellStyle name="Normal 13 2 7" xfId="5783"/>
    <cellStyle name="Normal 13 3" xfId="239"/>
    <cellStyle name="Normal 13 3 2" xfId="583"/>
    <cellStyle name="Normal 13 3 2 2" xfId="1279"/>
    <cellStyle name="Normal 13 3 2 2 2" xfId="2680"/>
    <cellStyle name="Normal 13 3 2 2 2 2" xfId="5490"/>
    <cellStyle name="Normal 13 3 2 2 2 2 2" xfId="11126"/>
    <cellStyle name="Normal 13 3 2 2 2 3" xfId="8316"/>
    <cellStyle name="Normal 13 3 2 2 3" xfId="4089"/>
    <cellStyle name="Normal 13 3 2 2 3 2" xfId="9725"/>
    <cellStyle name="Normal 13 3 2 2 4" xfId="6915"/>
    <cellStyle name="Normal 13 3 2 3" xfId="1984"/>
    <cellStyle name="Normal 13 3 2 3 2" xfId="4794"/>
    <cellStyle name="Normal 13 3 2 3 2 2" xfId="10430"/>
    <cellStyle name="Normal 13 3 2 3 3" xfId="7620"/>
    <cellStyle name="Normal 13 3 2 4" xfId="3393"/>
    <cellStyle name="Normal 13 3 2 4 2" xfId="9029"/>
    <cellStyle name="Normal 13 3 2 5" xfId="6219"/>
    <cellStyle name="Normal 13 3 3" xfId="935"/>
    <cellStyle name="Normal 13 3 3 2" xfId="2336"/>
    <cellStyle name="Normal 13 3 3 2 2" xfId="5146"/>
    <cellStyle name="Normal 13 3 3 2 2 2" xfId="10782"/>
    <cellStyle name="Normal 13 3 3 2 3" xfId="7972"/>
    <cellStyle name="Normal 13 3 3 3" xfId="3745"/>
    <cellStyle name="Normal 13 3 3 3 2" xfId="9381"/>
    <cellStyle name="Normal 13 3 3 4" xfId="6571"/>
    <cellStyle name="Normal 13 3 4" xfId="1640"/>
    <cellStyle name="Normal 13 3 4 2" xfId="4450"/>
    <cellStyle name="Normal 13 3 4 2 2" xfId="10086"/>
    <cellStyle name="Normal 13 3 4 3" xfId="7276"/>
    <cellStyle name="Normal 13 3 5" xfId="3049"/>
    <cellStyle name="Normal 13 3 5 2" xfId="8685"/>
    <cellStyle name="Normal 13 3 6" xfId="5875"/>
    <cellStyle name="Normal 13 4" xfId="411"/>
    <cellStyle name="Normal 13 4 2" xfId="1107"/>
    <cellStyle name="Normal 13 4 2 2" xfId="2508"/>
    <cellStyle name="Normal 13 4 2 2 2" xfId="5318"/>
    <cellStyle name="Normal 13 4 2 2 2 2" xfId="10954"/>
    <cellStyle name="Normal 13 4 2 2 3" xfId="8144"/>
    <cellStyle name="Normal 13 4 2 3" xfId="3917"/>
    <cellStyle name="Normal 13 4 2 3 2" xfId="9553"/>
    <cellStyle name="Normal 13 4 2 4" xfId="6743"/>
    <cellStyle name="Normal 13 4 3" xfId="1812"/>
    <cellStyle name="Normal 13 4 3 2" xfId="4622"/>
    <cellStyle name="Normal 13 4 3 2 2" xfId="10258"/>
    <cellStyle name="Normal 13 4 3 3" xfId="7448"/>
    <cellStyle name="Normal 13 4 4" xfId="3221"/>
    <cellStyle name="Normal 13 4 4 2" xfId="8857"/>
    <cellStyle name="Normal 13 4 5" xfId="6047"/>
    <cellStyle name="Normal 13 5" xfId="763"/>
    <cellStyle name="Normal 13 5 2" xfId="2164"/>
    <cellStyle name="Normal 13 5 2 2" xfId="4974"/>
    <cellStyle name="Normal 13 5 2 2 2" xfId="10610"/>
    <cellStyle name="Normal 13 5 2 3" xfId="7800"/>
    <cellStyle name="Normal 13 5 3" xfId="3573"/>
    <cellStyle name="Normal 13 5 3 2" xfId="9209"/>
    <cellStyle name="Normal 13 5 4" xfId="6399"/>
    <cellStyle name="Normal 13 6" xfId="1468"/>
    <cellStyle name="Normal 13 6 2" xfId="4278"/>
    <cellStyle name="Normal 13 6 2 2" xfId="9914"/>
    <cellStyle name="Normal 13 6 3" xfId="7104"/>
    <cellStyle name="Normal 13 7" xfId="2877"/>
    <cellStyle name="Normal 13 7 2" xfId="8513"/>
    <cellStyle name="Normal 13 8" xfId="5703"/>
    <cellStyle name="Normal 14" xfId="69"/>
    <cellStyle name="Normal 14 2" xfId="149"/>
    <cellStyle name="Normal 14 2 2" xfId="321"/>
    <cellStyle name="Normal 14 2 2 2" xfId="665"/>
    <cellStyle name="Normal 14 2 2 2 2" xfId="1361"/>
    <cellStyle name="Normal 14 2 2 2 2 2" xfId="2762"/>
    <cellStyle name="Normal 14 2 2 2 2 2 2" xfId="5572"/>
    <cellStyle name="Normal 14 2 2 2 2 2 2 2" xfId="11208"/>
    <cellStyle name="Normal 14 2 2 2 2 2 3" xfId="8398"/>
    <cellStyle name="Normal 14 2 2 2 2 3" xfId="4171"/>
    <cellStyle name="Normal 14 2 2 2 2 3 2" xfId="9807"/>
    <cellStyle name="Normal 14 2 2 2 2 4" xfId="6997"/>
    <cellStyle name="Normal 14 2 2 2 3" xfId="2066"/>
    <cellStyle name="Normal 14 2 2 2 3 2" xfId="4876"/>
    <cellStyle name="Normal 14 2 2 2 3 2 2" xfId="10512"/>
    <cellStyle name="Normal 14 2 2 2 3 3" xfId="7702"/>
    <cellStyle name="Normal 14 2 2 2 4" xfId="3475"/>
    <cellStyle name="Normal 14 2 2 2 4 2" xfId="9111"/>
    <cellStyle name="Normal 14 2 2 2 5" xfId="6301"/>
    <cellStyle name="Normal 14 2 2 3" xfId="1017"/>
    <cellStyle name="Normal 14 2 2 3 2" xfId="2418"/>
    <cellStyle name="Normal 14 2 2 3 2 2" xfId="5228"/>
    <cellStyle name="Normal 14 2 2 3 2 2 2" xfId="10864"/>
    <cellStyle name="Normal 14 2 2 3 2 3" xfId="8054"/>
    <cellStyle name="Normal 14 2 2 3 3" xfId="3827"/>
    <cellStyle name="Normal 14 2 2 3 3 2" xfId="9463"/>
    <cellStyle name="Normal 14 2 2 3 4" xfId="6653"/>
    <cellStyle name="Normal 14 2 2 4" xfId="1722"/>
    <cellStyle name="Normal 14 2 2 4 2" xfId="4532"/>
    <cellStyle name="Normal 14 2 2 4 2 2" xfId="10168"/>
    <cellStyle name="Normal 14 2 2 4 3" xfId="7358"/>
    <cellStyle name="Normal 14 2 2 5" xfId="3131"/>
    <cellStyle name="Normal 14 2 2 5 2" xfId="8767"/>
    <cellStyle name="Normal 14 2 2 6" xfId="5957"/>
    <cellStyle name="Normal 14 2 3" xfId="493"/>
    <cellStyle name="Normal 14 2 3 2" xfId="1189"/>
    <cellStyle name="Normal 14 2 3 2 2" xfId="2590"/>
    <cellStyle name="Normal 14 2 3 2 2 2" xfId="5400"/>
    <cellStyle name="Normal 14 2 3 2 2 2 2" xfId="11036"/>
    <cellStyle name="Normal 14 2 3 2 2 3" xfId="8226"/>
    <cellStyle name="Normal 14 2 3 2 3" xfId="3999"/>
    <cellStyle name="Normal 14 2 3 2 3 2" xfId="9635"/>
    <cellStyle name="Normal 14 2 3 2 4" xfId="6825"/>
    <cellStyle name="Normal 14 2 3 3" xfId="1894"/>
    <cellStyle name="Normal 14 2 3 3 2" xfId="4704"/>
    <cellStyle name="Normal 14 2 3 3 2 2" xfId="10340"/>
    <cellStyle name="Normal 14 2 3 3 3" xfId="7530"/>
    <cellStyle name="Normal 14 2 3 4" xfId="3303"/>
    <cellStyle name="Normal 14 2 3 4 2" xfId="8939"/>
    <cellStyle name="Normal 14 2 3 5" xfId="6129"/>
    <cellStyle name="Normal 14 2 4" xfId="845"/>
    <cellStyle name="Normal 14 2 4 2" xfId="2246"/>
    <cellStyle name="Normal 14 2 4 2 2" xfId="5056"/>
    <cellStyle name="Normal 14 2 4 2 2 2" xfId="10692"/>
    <cellStyle name="Normal 14 2 4 2 3" xfId="7882"/>
    <cellStyle name="Normal 14 2 4 3" xfId="3655"/>
    <cellStyle name="Normal 14 2 4 3 2" xfId="9291"/>
    <cellStyle name="Normal 14 2 4 4" xfId="6481"/>
    <cellStyle name="Normal 14 2 5" xfId="1550"/>
    <cellStyle name="Normal 14 2 5 2" xfId="4360"/>
    <cellStyle name="Normal 14 2 5 2 2" xfId="9996"/>
    <cellStyle name="Normal 14 2 5 3" xfId="7186"/>
    <cellStyle name="Normal 14 2 6" xfId="2959"/>
    <cellStyle name="Normal 14 2 6 2" xfId="8595"/>
    <cellStyle name="Normal 14 2 7" xfId="5785"/>
    <cellStyle name="Normal 14 3" xfId="241"/>
    <cellStyle name="Normal 14 3 2" xfId="585"/>
    <cellStyle name="Normal 14 3 2 2" xfId="1281"/>
    <cellStyle name="Normal 14 3 2 2 2" xfId="2682"/>
    <cellStyle name="Normal 14 3 2 2 2 2" xfId="5492"/>
    <cellStyle name="Normal 14 3 2 2 2 2 2" xfId="11128"/>
    <cellStyle name="Normal 14 3 2 2 2 3" xfId="8318"/>
    <cellStyle name="Normal 14 3 2 2 3" xfId="4091"/>
    <cellStyle name="Normal 14 3 2 2 3 2" xfId="9727"/>
    <cellStyle name="Normal 14 3 2 2 4" xfId="6917"/>
    <cellStyle name="Normal 14 3 2 3" xfId="1986"/>
    <cellStyle name="Normal 14 3 2 3 2" xfId="4796"/>
    <cellStyle name="Normal 14 3 2 3 2 2" xfId="10432"/>
    <cellStyle name="Normal 14 3 2 3 3" xfId="7622"/>
    <cellStyle name="Normal 14 3 2 4" xfId="3395"/>
    <cellStyle name="Normal 14 3 2 4 2" xfId="9031"/>
    <cellStyle name="Normal 14 3 2 5" xfId="6221"/>
    <cellStyle name="Normal 14 3 3" xfId="937"/>
    <cellStyle name="Normal 14 3 3 2" xfId="2338"/>
    <cellStyle name="Normal 14 3 3 2 2" xfId="5148"/>
    <cellStyle name="Normal 14 3 3 2 2 2" xfId="10784"/>
    <cellStyle name="Normal 14 3 3 2 3" xfId="7974"/>
    <cellStyle name="Normal 14 3 3 3" xfId="3747"/>
    <cellStyle name="Normal 14 3 3 3 2" xfId="9383"/>
    <cellStyle name="Normal 14 3 3 4" xfId="6573"/>
    <cellStyle name="Normal 14 3 4" xfId="1642"/>
    <cellStyle name="Normal 14 3 4 2" xfId="4452"/>
    <cellStyle name="Normal 14 3 4 2 2" xfId="10088"/>
    <cellStyle name="Normal 14 3 4 3" xfId="7278"/>
    <cellStyle name="Normal 14 3 5" xfId="3051"/>
    <cellStyle name="Normal 14 3 5 2" xfId="8687"/>
    <cellStyle name="Normal 14 3 6" xfId="5877"/>
    <cellStyle name="Normal 14 4" xfId="413"/>
    <cellStyle name="Normal 14 4 2" xfId="1109"/>
    <cellStyle name="Normal 14 4 2 2" xfId="2510"/>
    <cellStyle name="Normal 14 4 2 2 2" xfId="5320"/>
    <cellStyle name="Normal 14 4 2 2 2 2" xfId="10956"/>
    <cellStyle name="Normal 14 4 2 2 3" xfId="8146"/>
    <cellStyle name="Normal 14 4 2 3" xfId="3919"/>
    <cellStyle name="Normal 14 4 2 3 2" xfId="9555"/>
    <cellStyle name="Normal 14 4 2 4" xfId="6745"/>
    <cellStyle name="Normal 14 4 3" xfId="1814"/>
    <cellStyle name="Normal 14 4 3 2" xfId="4624"/>
    <cellStyle name="Normal 14 4 3 2 2" xfId="10260"/>
    <cellStyle name="Normal 14 4 3 3" xfId="7450"/>
    <cellStyle name="Normal 14 4 4" xfId="3223"/>
    <cellStyle name="Normal 14 4 4 2" xfId="8859"/>
    <cellStyle name="Normal 14 4 5" xfId="6049"/>
    <cellStyle name="Normal 14 5" xfId="765"/>
    <cellStyle name="Normal 14 5 2" xfId="2166"/>
    <cellStyle name="Normal 14 5 2 2" xfId="4976"/>
    <cellStyle name="Normal 14 5 2 2 2" xfId="10612"/>
    <cellStyle name="Normal 14 5 2 3" xfId="7802"/>
    <cellStyle name="Normal 14 5 3" xfId="3575"/>
    <cellStyle name="Normal 14 5 3 2" xfId="9211"/>
    <cellStyle name="Normal 14 5 4" xfId="6401"/>
    <cellStyle name="Normal 14 6" xfId="1470"/>
    <cellStyle name="Normal 14 6 2" xfId="4280"/>
    <cellStyle name="Normal 14 6 2 2" xfId="9916"/>
    <cellStyle name="Normal 14 6 3" xfId="7106"/>
    <cellStyle name="Normal 14 7" xfId="2879"/>
    <cellStyle name="Normal 14 7 2" xfId="8515"/>
    <cellStyle name="Normal 14 8" xfId="5705"/>
    <cellStyle name="Normal 15" xfId="71"/>
    <cellStyle name="Normal 15 2" xfId="151"/>
    <cellStyle name="Normal 15 2 2" xfId="323"/>
    <cellStyle name="Normal 15 2 2 2" xfId="667"/>
    <cellStyle name="Normal 15 2 2 2 2" xfId="1363"/>
    <cellStyle name="Normal 15 2 2 2 2 2" xfId="2764"/>
    <cellStyle name="Normal 15 2 2 2 2 2 2" xfId="5574"/>
    <cellStyle name="Normal 15 2 2 2 2 2 2 2" xfId="11210"/>
    <cellStyle name="Normal 15 2 2 2 2 2 3" xfId="8400"/>
    <cellStyle name="Normal 15 2 2 2 2 3" xfId="4173"/>
    <cellStyle name="Normal 15 2 2 2 2 3 2" xfId="9809"/>
    <cellStyle name="Normal 15 2 2 2 2 4" xfId="6999"/>
    <cellStyle name="Normal 15 2 2 2 3" xfId="2068"/>
    <cellStyle name="Normal 15 2 2 2 3 2" xfId="4878"/>
    <cellStyle name="Normal 15 2 2 2 3 2 2" xfId="10514"/>
    <cellStyle name="Normal 15 2 2 2 3 3" xfId="7704"/>
    <cellStyle name="Normal 15 2 2 2 4" xfId="3477"/>
    <cellStyle name="Normal 15 2 2 2 4 2" xfId="9113"/>
    <cellStyle name="Normal 15 2 2 2 5" xfId="6303"/>
    <cellStyle name="Normal 15 2 2 3" xfId="1019"/>
    <cellStyle name="Normal 15 2 2 3 2" xfId="2420"/>
    <cellStyle name="Normal 15 2 2 3 2 2" xfId="5230"/>
    <cellStyle name="Normal 15 2 2 3 2 2 2" xfId="10866"/>
    <cellStyle name="Normal 15 2 2 3 2 3" xfId="8056"/>
    <cellStyle name="Normal 15 2 2 3 3" xfId="3829"/>
    <cellStyle name="Normal 15 2 2 3 3 2" xfId="9465"/>
    <cellStyle name="Normal 15 2 2 3 4" xfId="6655"/>
    <cellStyle name="Normal 15 2 2 4" xfId="1724"/>
    <cellStyle name="Normal 15 2 2 4 2" xfId="4534"/>
    <cellStyle name="Normal 15 2 2 4 2 2" xfId="10170"/>
    <cellStyle name="Normal 15 2 2 4 3" xfId="7360"/>
    <cellStyle name="Normal 15 2 2 5" xfId="3133"/>
    <cellStyle name="Normal 15 2 2 5 2" xfId="8769"/>
    <cellStyle name="Normal 15 2 2 6" xfId="5959"/>
    <cellStyle name="Normal 15 2 3" xfId="495"/>
    <cellStyle name="Normal 15 2 3 2" xfId="1191"/>
    <cellStyle name="Normal 15 2 3 2 2" xfId="2592"/>
    <cellStyle name="Normal 15 2 3 2 2 2" xfId="5402"/>
    <cellStyle name="Normal 15 2 3 2 2 2 2" xfId="11038"/>
    <cellStyle name="Normal 15 2 3 2 2 3" xfId="8228"/>
    <cellStyle name="Normal 15 2 3 2 3" xfId="4001"/>
    <cellStyle name="Normal 15 2 3 2 3 2" xfId="9637"/>
    <cellStyle name="Normal 15 2 3 2 4" xfId="6827"/>
    <cellStyle name="Normal 15 2 3 3" xfId="1896"/>
    <cellStyle name="Normal 15 2 3 3 2" xfId="4706"/>
    <cellStyle name="Normal 15 2 3 3 2 2" xfId="10342"/>
    <cellStyle name="Normal 15 2 3 3 3" xfId="7532"/>
    <cellStyle name="Normal 15 2 3 4" xfId="3305"/>
    <cellStyle name="Normal 15 2 3 4 2" xfId="8941"/>
    <cellStyle name="Normal 15 2 3 5" xfId="6131"/>
    <cellStyle name="Normal 15 2 4" xfId="847"/>
    <cellStyle name="Normal 15 2 4 2" xfId="2248"/>
    <cellStyle name="Normal 15 2 4 2 2" xfId="5058"/>
    <cellStyle name="Normal 15 2 4 2 2 2" xfId="10694"/>
    <cellStyle name="Normal 15 2 4 2 3" xfId="7884"/>
    <cellStyle name="Normal 15 2 4 3" xfId="3657"/>
    <cellStyle name="Normal 15 2 4 3 2" xfId="9293"/>
    <cellStyle name="Normal 15 2 4 4" xfId="6483"/>
    <cellStyle name="Normal 15 2 5" xfId="1552"/>
    <cellStyle name="Normal 15 2 5 2" xfId="4362"/>
    <cellStyle name="Normal 15 2 5 2 2" xfId="9998"/>
    <cellStyle name="Normal 15 2 5 3" xfId="7188"/>
    <cellStyle name="Normal 15 2 6" xfId="2961"/>
    <cellStyle name="Normal 15 2 6 2" xfId="8597"/>
    <cellStyle name="Normal 15 2 7" xfId="5787"/>
    <cellStyle name="Normal 15 3" xfId="243"/>
    <cellStyle name="Normal 15 3 2" xfId="587"/>
    <cellStyle name="Normal 15 3 2 2" xfId="1283"/>
    <cellStyle name="Normal 15 3 2 2 2" xfId="2684"/>
    <cellStyle name="Normal 15 3 2 2 2 2" xfId="5494"/>
    <cellStyle name="Normal 15 3 2 2 2 2 2" xfId="11130"/>
    <cellStyle name="Normal 15 3 2 2 2 3" xfId="8320"/>
    <cellStyle name="Normal 15 3 2 2 3" xfId="4093"/>
    <cellStyle name="Normal 15 3 2 2 3 2" xfId="9729"/>
    <cellStyle name="Normal 15 3 2 2 4" xfId="6919"/>
    <cellStyle name="Normal 15 3 2 3" xfId="1988"/>
    <cellStyle name="Normal 15 3 2 3 2" xfId="4798"/>
    <cellStyle name="Normal 15 3 2 3 2 2" xfId="10434"/>
    <cellStyle name="Normal 15 3 2 3 3" xfId="7624"/>
    <cellStyle name="Normal 15 3 2 4" xfId="3397"/>
    <cellStyle name="Normal 15 3 2 4 2" xfId="9033"/>
    <cellStyle name="Normal 15 3 2 5" xfId="6223"/>
    <cellStyle name="Normal 15 3 3" xfId="939"/>
    <cellStyle name="Normal 15 3 3 2" xfId="2340"/>
    <cellStyle name="Normal 15 3 3 2 2" xfId="5150"/>
    <cellStyle name="Normal 15 3 3 2 2 2" xfId="10786"/>
    <cellStyle name="Normal 15 3 3 2 3" xfId="7976"/>
    <cellStyle name="Normal 15 3 3 3" xfId="3749"/>
    <cellStyle name="Normal 15 3 3 3 2" xfId="9385"/>
    <cellStyle name="Normal 15 3 3 4" xfId="6575"/>
    <cellStyle name="Normal 15 3 4" xfId="1644"/>
    <cellStyle name="Normal 15 3 4 2" xfId="4454"/>
    <cellStyle name="Normal 15 3 4 2 2" xfId="10090"/>
    <cellStyle name="Normal 15 3 4 3" xfId="7280"/>
    <cellStyle name="Normal 15 3 5" xfId="3053"/>
    <cellStyle name="Normal 15 3 5 2" xfId="8689"/>
    <cellStyle name="Normal 15 3 6" xfId="5879"/>
    <cellStyle name="Normal 15 4" xfId="415"/>
    <cellStyle name="Normal 15 4 2" xfId="1111"/>
    <cellStyle name="Normal 15 4 2 2" xfId="2512"/>
    <cellStyle name="Normal 15 4 2 2 2" xfId="5322"/>
    <cellStyle name="Normal 15 4 2 2 2 2" xfId="10958"/>
    <cellStyle name="Normal 15 4 2 2 3" xfId="8148"/>
    <cellStyle name="Normal 15 4 2 3" xfId="3921"/>
    <cellStyle name="Normal 15 4 2 3 2" xfId="9557"/>
    <cellStyle name="Normal 15 4 2 4" xfId="6747"/>
    <cellStyle name="Normal 15 4 3" xfId="1816"/>
    <cellStyle name="Normal 15 4 3 2" xfId="4626"/>
    <cellStyle name="Normal 15 4 3 2 2" xfId="10262"/>
    <cellStyle name="Normal 15 4 3 3" xfId="7452"/>
    <cellStyle name="Normal 15 4 4" xfId="3225"/>
    <cellStyle name="Normal 15 4 4 2" xfId="8861"/>
    <cellStyle name="Normal 15 4 5" xfId="6051"/>
    <cellStyle name="Normal 15 5" xfId="767"/>
    <cellStyle name="Normal 15 5 2" xfId="2168"/>
    <cellStyle name="Normal 15 5 2 2" xfId="4978"/>
    <cellStyle name="Normal 15 5 2 2 2" xfId="10614"/>
    <cellStyle name="Normal 15 5 2 3" xfId="7804"/>
    <cellStyle name="Normal 15 5 3" xfId="3577"/>
    <cellStyle name="Normal 15 5 3 2" xfId="9213"/>
    <cellStyle name="Normal 15 5 4" xfId="6403"/>
    <cellStyle name="Normal 15 6" xfId="1472"/>
    <cellStyle name="Normal 15 6 2" xfId="4282"/>
    <cellStyle name="Normal 15 6 2 2" xfId="9918"/>
    <cellStyle name="Normal 15 6 3" xfId="7108"/>
    <cellStyle name="Normal 15 7" xfId="2881"/>
    <cellStyle name="Normal 15 7 2" xfId="8517"/>
    <cellStyle name="Normal 15 8" xfId="5707"/>
    <cellStyle name="Normal 16" xfId="73"/>
    <cellStyle name="Normal 16 2" xfId="153"/>
    <cellStyle name="Normal 16 2 2" xfId="325"/>
    <cellStyle name="Normal 16 2 2 2" xfId="669"/>
    <cellStyle name="Normal 16 2 2 2 2" xfId="1365"/>
    <cellStyle name="Normal 16 2 2 2 2 2" xfId="2766"/>
    <cellStyle name="Normal 16 2 2 2 2 2 2" xfId="5576"/>
    <cellStyle name="Normal 16 2 2 2 2 2 2 2" xfId="11212"/>
    <cellStyle name="Normal 16 2 2 2 2 2 3" xfId="8402"/>
    <cellStyle name="Normal 16 2 2 2 2 3" xfId="4175"/>
    <cellStyle name="Normal 16 2 2 2 2 3 2" xfId="9811"/>
    <cellStyle name="Normal 16 2 2 2 2 4" xfId="7001"/>
    <cellStyle name="Normal 16 2 2 2 3" xfId="2070"/>
    <cellStyle name="Normal 16 2 2 2 3 2" xfId="4880"/>
    <cellStyle name="Normal 16 2 2 2 3 2 2" xfId="10516"/>
    <cellStyle name="Normal 16 2 2 2 3 3" xfId="7706"/>
    <cellStyle name="Normal 16 2 2 2 4" xfId="3479"/>
    <cellStyle name="Normal 16 2 2 2 4 2" xfId="9115"/>
    <cellStyle name="Normal 16 2 2 2 5" xfId="6305"/>
    <cellStyle name="Normal 16 2 2 3" xfId="1021"/>
    <cellStyle name="Normal 16 2 2 3 2" xfId="2422"/>
    <cellStyle name="Normal 16 2 2 3 2 2" xfId="5232"/>
    <cellStyle name="Normal 16 2 2 3 2 2 2" xfId="10868"/>
    <cellStyle name="Normal 16 2 2 3 2 3" xfId="8058"/>
    <cellStyle name="Normal 16 2 2 3 3" xfId="3831"/>
    <cellStyle name="Normal 16 2 2 3 3 2" xfId="9467"/>
    <cellStyle name="Normal 16 2 2 3 4" xfId="6657"/>
    <cellStyle name="Normal 16 2 2 4" xfId="1726"/>
    <cellStyle name="Normal 16 2 2 4 2" xfId="4536"/>
    <cellStyle name="Normal 16 2 2 4 2 2" xfId="10172"/>
    <cellStyle name="Normal 16 2 2 4 3" xfId="7362"/>
    <cellStyle name="Normal 16 2 2 5" xfId="3135"/>
    <cellStyle name="Normal 16 2 2 5 2" xfId="8771"/>
    <cellStyle name="Normal 16 2 2 6" xfId="5961"/>
    <cellStyle name="Normal 16 2 3" xfId="497"/>
    <cellStyle name="Normal 16 2 3 2" xfId="1193"/>
    <cellStyle name="Normal 16 2 3 2 2" xfId="2594"/>
    <cellStyle name="Normal 16 2 3 2 2 2" xfId="5404"/>
    <cellStyle name="Normal 16 2 3 2 2 2 2" xfId="11040"/>
    <cellStyle name="Normal 16 2 3 2 2 3" xfId="8230"/>
    <cellStyle name="Normal 16 2 3 2 3" xfId="4003"/>
    <cellStyle name="Normal 16 2 3 2 3 2" xfId="9639"/>
    <cellStyle name="Normal 16 2 3 2 4" xfId="6829"/>
    <cellStyle name="Normal 16 2 3 3" xfId="1898"/>
    <cellStyle name="Normal 16 2 3 3 2" xfId="4708"/>
    <cellStyle name="Normal 16 2 3 3 2 2" xfId="10344"/>
    <cellStyle name="Normal 16 2 3 3 3" xfId="7534"/>
    <cellStyle name="Normal 16 2 3 4" xfId="3307"/>
    <cellStyle name="Normal 16 2 3 4 2" xfId="8943"/>
    <cellStyle name="Normal 16 2 3 5" xfId="6133"/>
    <cellStyle name="Normal 16 2 4" xfId="849"/>
    <cellStyle name="Normal 16 2 4 2" xfId="2250"/>
    <cellStyle name="Normal 16 2 4 2 2" xfId="5060"/>
    <cellStyle name="Normal 16 2 4 2 2 2" xfId="10696"/>
    <cellStyle name="Normal 16 2 4 2 3" xfId="7886"/>
    <cellStyle name="Normal 16 2 4 3" xfId="3659"/>
    <cellStyle name="Normal 16 2 4 3 2" xfId="9295"/>
    <cellStyle name="Normal 16 2 4 4" xfId="6485"/>
    <cellStyle name="Normal 16 2 5" xfId="1554"/>
    <cellStyle name="Normal 16 2 5 2" xfId="4364"/>
    <cellStyle name="Normal 16 2 5 2 2" xfId="10000"/>
    <cellStyle name="Normal 16 2 5 3" xfId="7190"/>
    <cellStyle name="Normal 16 2 6" xfId="2963"/>
    <cellStyle name="Normal 16 2 6 2" xfId="8599"/>
    <cellStyle name="Normal 16 2 7" xfId="5789"/>
    <cellStyle name="Normal 16 3" xfId="245"/>
    <cellStyle name="Normal 16 3 2" xfId="589"/>
    <cellStyle name="Normal 16 3 2 2" xfId="1285"/>
    <cellStyle name="Normal 16 3 2 2 2" xfId="2686"/>
    <cellStyle name="Normal 16 3 2 2 2 2" xfId="5496"/>
    <cellStyle name="Normal 16 3 2 2 2 2 2" xfId="11132"/>
    <cellStyle name="Normal 16 3 2 2 2 3" xfId="8322"/>
    <cellStyle name="Normal 16 3 2 2 3" xfId="4095"/>
    <cellStyle name="Normal 16 3 2 2 3 2" xfId="9731"/>
    <cellStyle name="Normal 16 3 2 2 4" xfId="6921"/>
    <cellStyle name="Normal 16 3 2 3" xfId="1990"/>
    <cellStyle name="Normal 16 3 2 3 2" xfId="4800"/>
    <cellStyle name="Normal 16 3 2 3 2 2" xfId="10436"/>
    <cellStyle name="Normal 16 3 2 3 3" xfId="7626"/>
    <cellStyle name="Normal 16 3 2 4" xfId="3399"/>
    <cellStyle name="Normal 16 3 2 4 2" xfId="9035"/>
    <cellStyle name="Normal 16 3 2 5" xfId="6225"/>
    <cellStyle name="Normal 16 3 3" xfId="941"/>
    <cellStyle name="Normal 16 3 3 2" xfId="2342"/>
    <cellStyle name="Normal 16 3 3 2 2" xfId="5152"/>
    <cellStyle name="Normal 16 3 3 2 2 2" xfId="10788"/>
    <cellStyle name="Normal 16 3 3 2 3" xfId="7978"/>
    <cellStyle name="Normal 16 3 3 3" xfId="3751"/>
    <cellStyle name="Normal 16 3 3 3 2" xfId="9387"/>
    <cellStyle name="Normal 16 3 3 4" xfId="6577"/>
    <cellStyle name="Normal 16 3 4" xfId="1646"/>
    <cellStyle name="Normal 16 3 4 2" xfId="4456"/>
    <cellStyle name="Normal 16 3 4 2 2" xfId="10092"/>
    <cellStyle name="Normal 16 3 4 3" xfId="7282"/>
    <cellStyle name="Normal 16 3 5" xfId="3055"/>
    <cellStyle name="Normal 16 3 5 2" xfId="8691"/>
    <cellStyle name="Normal 16 3 6" xfId="5881"/>
    <cellStyle name="Normal 16 4" xfId="417"/>
    <cellStyle name="Normal 16 4 2" xfId="1113"/>
    <cellStyle name="Normal 16 4 2 2" xfId="2514"/>
    <cellStyle name="Normal 16 4 2 2 2" xfId="5324"/>
    <cellStyle name="Normal 16 4 2 2 2 2" xfId="10960"/>
    <cellStyle name="Normal 16 4 2 2 3" xfId="8150"/>
    <cellStyle name="Normal 16 4 2 3" xfId="3923"/>
    <cellStyle name="Normal 16 4 2 3 2" xfId="9559"/>
    <cellStyle name="Normal 16 4 2 4" xfId="6749"/>
    <cellStyle name="Normal 16 4 3" xfId="1818"/>
    <cellStyle name="Normal 16 4 3 2" xfId="4628"/>
    <cellStyle name="Normal 16 4 3 2 2" xfId="10264"/>
    <cellStyle name="Normal 16 4 3 3" xfId="7454"/>
    <cellStyle name="Normal 16 4 4" xfId="3227"/>
    <cellStyle name="Normal 16 4 4 2" xfId="8863"/>
    <cellStyle name="Normal 16 4 5" xfId="6053"/>
    <cellStyle name="Normal 16 5" xfId="769"/>
    <cellStyle name="Normal 16 5 2" xfId="2170"/>
    <cellStyle name="Normal 16 5 2 2" xfId="4980"/>
    <cellStyle name="Normal 16 5 2 2 2" xfId="10616"/>
    <cellStyle name="Normal 16 5 2 3" xfId="7806"/>
    <cellStyle name="Normal 16 5 3" xfId="3579"/>
    <cellStyle name="Normal 16 5 3 2" xfId="9215"/>
    <cellStyle name="Normal 16 5 4" xfId="6405"/>
    <cellStyle name="Normal 16 6" xfId="1474"/>
    <cellStyle name="Normal 16 6 2" xfId="4284"/>
    <cellStyle name="Normal 16 6 2 2" xfId="9920"/>
    <cellStyle name="Normal 16 6 3" xfId="7110"/>
    <cellStyle name="Normal 16 7" xfId="2883"/>
    <cellStyle name="Normal 16 7 2" xfId="8519"/>
    <cellStyle name="Normal 16 8" xfId="5709"/>
    <cellStyle name="Normal 17" xfId="75"/>
    <cellStyle name="Normal 17 2" xfId="155"/>
    <cellStyle name="Normal 17 2 2" xfId="327"/>
    <cellStyle name="Normal 17 2 2 2" xfId="671"/>
    <cellStyle name="Normal 17 2 2 2 2" xfId="1367"/>
    <cellStyle name="Normal 17 2 2 2 2 2" xfId="2768"/>
    <cellStyle name="Normal 17 2 2 2 2 2 2" xfId="5578"/>
    <cellStyle name="Normal 17 2 2 2 2 2 2 2" xfId="11214"/>
    <cellStyle name="Normal 17 2 2 2 2 2 3" xfId="8404"/>
    <cellStyle name="Normal 17 2 2 2 2 3" xfId="4177"/>
    <cellStyle name="Normal 17 2 2 2 2 3 2" xfId="9813"/>
    <cellStyle name="Normal 17 2 2 2 2 4" xfId="7003"/>
    <cellStyle name="Normal 17 2 2 2 3" xfId="2072"/>
    <cellStyle name="Normal 17 2 2 2 3 2" xfId="4882"/>
    <cellStyle name="Normal 17 2 2 2 3 2 2" xfId="10518"/>
    <cellStyle name="Normal 17 2 2 2 3 3" xfId="7708"/>
    <cellStyle name="Normal 17 2 2 2 4" xfId="3481"/>
    <cellStyle name="Normal 17 2 2 2 4 2" xfId="9117"/>
    <cellStyle name="Normal 17 2 2 2 5" xfId="6307"/>
    <cellStyle name="Normal 17 2 2 3" xfId="1023"/>
    <cellStyle name="Normal 17 2 2 3 2" xfId="2424"/>
    <cellStyle name="Normal 17 2 2 3 2 2" xfId="5234"/>
    <cellStyle name="Normal 17 2 2 3 2 2 2" xfId="10870"/>
    <cellStyle name="Normal 17 2 2 3 2 3" xfId="8060"/>
    <cellStyle name="Normal 17 2 2 3 3" xfId="3833"/>
    <cellStyle name="Normal 17 2 2 3 3 2" xfId="9469"/>
    <cellStyle name="Normal 17 2 2 3 4" xfId="6659"/>
    <cellStyle name="Normal 17 2 2 4" xfId="1728"/>
    <cellStyle name="Normal 17 2 2 4 2" xfId="4538"/>
    <cellStyle name="Normal 17 2 2 4 2 2" xfId="10174"/>
    <cellStyle name="Normal 17 2 2 4 3" xfId="7364"/>
    <cellStyle name="Normal 17 2 2 5" xfId="3137"/>
    <cellStyle name="Normal 17 2 2 5 2" xfId="8773"/>
    <cellStyle name="Normal 17 2 2 6" xfId="5963"/>
    <cellStyle name="Normal 17 2 3" xfId="499"/>
    <cellStyle name="Normal 17 2 3 2" xfId="1195"/>
    <cellStyle name="Normal 17 2 3 2 2" xfId="2596"/>
    <cellStyle name="Normal 17 2 3 2 2 2" xfId="5406"/>
    <cellStyle name="Normal 17 2 3 2 2 2 2" xfId="11042"/>
    <cellStyle name="Normal 17 2 3 2 2 3" xfId="8232"/>
    <cellStyle name="Normal 17 2 3 2 3" xfId="4005"/>
    <cellStyle name="Normal 17 2 3 2 3 2" xfId="9641"/>
    <cellStyle name="Normal 17 2 3 2 4" xfId="6831"/>
    <cellStyle name="Normal 17 2 3 3" xfId="1900"/>
    <cellStyle name="Normal 17 2 3 3 2" xfId="4710"/>
    <cellStyle name="Normal 17 2 3 3 2 2" xfId="10346"/>
    <cellStyle name="Normal 17 2 3 3 3" xfId="7536"/>
    <cellStyle name="Normal 17 2 3 4" xfId="3309"/>
    <cellStyle name="Normal 17 2 3 4 2" xfId="8945"/>
    <cellStyle name="Normal 17 2 3 5" xfId="6135"/>
    <cellStyle name="Normal 17 2 4" xfId="851"/>
    <cellStyle name="Normal 17 2 4 2" xfId="2252"/>
    <cellStyle name="Normal 17 2 4 2 2" xfId="5062"/>
    <cellStyle name="Normal 17 2 4 2 2 2" xfId="10698"/>
    <cellStyle name="Normal 17 2 4 2 3" xfId="7888"/>
    <cellStyle name="Normal 17 2 4 3" xfId="3661"/>
    <cellStyle name="Normal 17 2 4 3 2" xfId="9297"/>
    <cellStyle name="Normal 17 2 4 4" xfId="6487"/>
    <cellStyle name="Normal 17 2 5" xfId="1556"/>
    <cellStyle name="Normal 17 2 5 2" xfId="4366"/>
    <cellStyle name="Normal 17 2 5 2 2" xfId="10002"/>
    <cellStyle name="Normal 17 2 5 3" xfId="7192"/>
    <cellStyle name="Normal 17 2 6" xfId="2965"/>
    <cellStyle name="Normal 17 2 6 2" xfId="8601"/>
    <cellStyle name="Normal 17 2 7" xfId="5791"/>
    <cellStyle name="Normal 17 3" xfId="247"/>
    <cellStyle name="Normal 17 3 2" xfId="591"/>
    <cellStyle name="Normal 17 3 2 2" xfId="1287"/>
    <cellStyle name="Normal 17 3 2 2 2" xfId="2688"/>
    <cellStyle name="Normal 17 3 2 2 2 2" xfId="5498"/>
    <cellStyle name="Normal 17 3 2 2 2 2 2" xfId="11134"/>
    <cellStyle name="Normal 17 3 2 2 2 3" xfId="8324"/>
    <cellStyle name="Normal 17 3 2 2 3" xfId="4097"/>
    <cellStyle name="Normal 17 3 2 2 3 2" xfId="9733"/>
    <cellStyle name="Normal 17 3 2 2 4" xfId="6923"/>
    <cellStyle name="Normal 17 3 2 3" xfId="1992"/>
    <cellStyle name="Normal 17 3 2 3 2" xfId="4802"/>
    <cellStyle name="Normal 17 3 2 3 2 2" xfId="10438"/>
    <cellStyle name="Normal 17 3 2 3 3" xfId="7628"/>
    <cellStyle name="Normal 17 3 2 4" xfId="3401"/>
    <cellStyle name="Normal 17 3 2 4 2" xfId="9037"/>
    <cellStyle name="Normal 17 3 2 5" xfId="6227"/>
    <cellStyle name="Normal 17 3 3" xfId="943"/>
    <cellStyle name="Normal 17 3 3 2" xfId="2344"/>
    <cellStyle name="Normal 17 3 3 2 2" xfId="5154"/>
    <cellStyle name="Normal 17 3 3 2 2 2" xfId="10790"/>
    <cellStyle name="Normal 17 3 3 2 3" xfId="7980"/>
    <cellStyle name="Normal 17 3 3 3" xfId="3753"/>
    <cellStyle name="Normal 17 3 3 3 2" xfId="9389"/>
    <cellStyle name="Normal 17 3 3 4" xfId="6579"/>
    <cellStyle name="Normal 17 3 4" xfId="1648"/>
    <cellStyle name="Normal 17 3 4 2" xfId="4458"/>
    <cellStyle name="Normal 17 3 4 2 2" xfId="10094"/>
    <cellStyle name="Normal 17 3 4 3" xfId="7284"/>
    <cellStyle name="Normal 17 3 5" xfId="3057"/>
    <cellStyle name="Normal 17 3 5 2" xfId="8693"/>
    <cellStyle name="Normal 17 3 6" xfId="5883"/>
    <cellStyle name="Normal 17 4" xfId="419"/>
    <cellStyle name="Normal 17 4 2" xfId="1115"/>
    <cellStyle name="Normal 17 4 2 2" xfId="2516"/>
    <cellStyle name="Normal 17 4 2 2 2" xfId="5326"/>
    <cellStyle name="Normal 17 4 2 2 2 2" xfId="10962"/>
    <cellStyle name="Normal 17 4 2 2 3" xfId="8152"/>
    <cellStyle name="Normal 17 4 2 3" xfId="3925"/>
    <cellStyle name="Normal 17 4 2 3 2" xfId="9561"/>
    <cellStyle name="Normal 17 4 2 4" xfId="6751"/>
    <cellStyle name="Normal 17 4 3" xfId="1820"/>
    <cellStyle name="Normal 17 4 3 2" xfId="4630"/>
    <cellStyle name="Normal 17 4 3 2 2" xfId="10266"/>
    <cellStyle name="Normal 17 4 3 3" xfId="7456"/>
    <cellStyle name="Normal 17 4 4" xfId="3229"/>
    <cellStyle name="Normal 17 4 4 2" xfId="8865"/>
    <cellStyle name="Normal 17 4 5" xfId="6055"/>
    <cellStyle name="Normal 17 5" xfId="771"/>
    <cellStyle name="Normal 17 5 2" xfId="2172"/>
    <cellStyle name="Normal 17 5 2 2" xfId="4982"/>
    <cellStyle name="Normal 17 5 2 2 2" xfId="10618"/>
    <cellStyle name="Normal 17 5 2 3" xfId="7808"/>
    <cellStyle name="Normal 17 5 3" xfId="3581"/>
    <cellStyle name="Normal 17 5 3 2" xfId="9217"/>
    <cellStyle name="Normal 17 5 4" xfId="6407"/>
    <cellStyle name="Normal 17 6" xfId="1476"/>
    <cellStyle name="Normal 17 6 2" xfId="4286"/>
    <cellStyle name="Normal 17 6 2 2" xfId="9922"/>
    <cellStyle name="Normal 17 6 3" xfId="7112"/>
    <cellStyle name="Normal 17 7" xfId="2885"/>
    <cellStyle name="Normal 17 7 2" xfId="8521"/>
    <cellStyle name="Normal 17 8" xfId="5711"/>
    <cellStyle name="Normal 18" xfId="77"/>
    <cellStyle name="Normal 18 2" xfId="157"/>
    <cellStyle name="Normal 18 2 2" xfId="329"/>
    <cellStyle name="Normal 18 2 2 2" xfId="673"/>
    <cellStyle name="Normal 18 2 2 2 2" xfId="1369"/>
    <cellStyle name="Normal 18 2 2 2 2 2" xfId="2770"/>
    <cellStyle name="Normal 18 2 2 2 2 2 2" xfId="5580"/>
    <cellStyle name="Normal 18 2 2 2 2 2 2 2" xfId="11216"/>
    <cellStyle name="Normal 18 2 2 2 2 2 3" xfId="8406"/>
    <cellStyle name="Normal 18 2 2 2 2 3" xfId="4179"/>
    <cellStyle name="Normal 18 2 2 2 2 3 2" xfId="9815"/>
    <cellStyle name="Normal 18 2 2 2 2 4" xfId="7005"/>
    <cellStyle name="Normal 18 2 2 2 3" xfId="2074"/>
    <cellStyle name="Normal 18 2 2 2 3 2" xfId="4884"/>
    <cellStyle name="Normal 18 2 2 2 3 2 2" xfId="10520"/>
    <cellStyle name="Normal 18 2 2 2 3 3" xfId="7710"/>
    <cellStyle name="Normal 18 2 2 2 4" xfId="3483"/>
    <cellStyle name="Normal 18 2 2 2 4 2" xfId="9119"/>
    <cellStyle name="Normal 18 2 2 2 5" xfId="6309"/>
    <cellStyle name="Normal 18 2 2 3" xfId="1025"/>
    <cellStyle name="Normal 18 2 2 3 2" xfId="2426"/>
    <cellStyle name="Normal 18 2 2 3 2 2" xfId="5236"/>
    <cellStyle name="Normal 18 2 2 3 2 2 2" xfId="10872"/>
    <cellStyle name="Normal 18 2 2 3 2 3" xfId="8062"/>
    <cellStyle name="Normal 18 2 2 3 3" xfId="3835"/>
    <cellStyle name="Normal 18 2 2 3 3 2" xfId="9471"/>
    <cellStyle name="Normal 18 2 2 3 4" xfId="6661"/>
    <cellStyle name="Normal 18 2 2 4" xfId="1730"/>
    <cellStyle name="Normal 18 2 2 4 2" xfId="4540"/>
    <cellStyle name="Normal 18 2 2 4 2 2" xfId="10176"/>
    <cellStyle name="Normal 18 2 2 4 3" xfId="7366"/>
    <cellStyle name="Normal 18 2 2 5" xfId="3139"/>
    <cellStyle name="Normal 18 2 2 5 2" xfId="8775"/>
    <cellStyle name="Normal 18 2 2 6" xfId="5965"/>
    <cellStyle name="Normal 18 2 3" xfId="501"/>
    <cellStyle name="Normal 18 2 3 2" xfId="1197"/>
    <cellStyle name="Normal 18 2 3 2 2" xfId="2598"/>
    <cellStyle name="Normal 18 2 3 2 2 2" xfId="5408"/>
    <cellStyle name="Normal 18 2 3 2 2 2 2" xfId="11044"/>
    <cellStyle name="Normal 18 2 3 2 2 3" xfId="8234"/>
    <cellStyle name="Normal 18 2 3 2 3" xfId="4007"/>
    <cellStyle name="Normal 18 2 3 2 3 2" xfId="9643"/>
    <cellStyle name="Normal 18 2 3 2 4" xfId="6833"/>
    <cellStyle name="Normal 18 2 3 3" xfId="1902"/>
    <cellStyle name="Normal 18 2 3 3 2" xfId="4712"/>
    <cellStyle name="Normal 18 2 3 3 2 2" xfId="10348"/>
    <cellStyle name="Normal 18 2 3 3 3" xfId="7538"/>
    <cellStyle name="Normal 18 2 3 4" xfId="3311"/>
    <cellStyle name="Normal 18 2 3 4 2" xfId="8947"/>
    <cellStyle name="Normal 18 2 3 5" xfId="6137"/>
    <cellStyle name="Normal 18 2 4" xfId="853"/>
    <cellStyle name="Normal 18 2 4 2" xfId="2254"/>
    <cellStyle name="Normal 18 2 4 2 2" xfId="5064"/>
    <cellStyle name="Normal 18 2 4 2 2 2" xfId="10700"/>
    <cellStyle name="Normal 18 2 4 2 3" xfId="7890"/>
    <cellStyle name="Normal 18 2 4 3" xfId="3663"/>
    <cellStyle name="Normal 18 2 4 3 2" xfId="9299"/>
    <cellStyle name="Normal 18 2 4 4" xfId="6489"/>
    <cellStyle name="Normal 18 2 5" xfId="1558"/>
    <cellStyle name="Normal 18 2 5 2" xfId="4368"/>
    <cellStyle name="Normal 18 2 5 2 2" xfId="10004"/>
    <cellStyle name="Normal 18 2 5 3" xfId="7194"/>
    <cellStyle name="Normal 18 2 6" xfId="2967"/>
    <cellStyle name="Normal 18 2 6 2" xfId="8603"/>
    <cellStyle name="Normal 18 2 7" xfId="5793"/>
    <cellStyle name="Normal 18 3" xfId="249"/>
    <cellStyle name="Normal 18 3 2" xfId="593"/>
    <cellStyle name="Normal 18 3 2 2" xfId="1289"/>
    <cellStyle name="Normal 18 3 2 2 2" xfId="2690"/>
    <cellStyle name="Normal 18 3 2 2 2 2" xfId="5500"/>
    <cellStyle name="Normal 18 3 2 2 2 2 2" xfId="11136"/>
    <cellStyle name="Normal 18 3 2 2 2 3" xfId="8326"/>
    <cellStyle name="Normal 18 3 2 2 3" xfId="4099"/>
    <cellStyle name="Normal 18 3 2 2 3 2" xfId="9735"/>
    <cellStyle name="Normal 18 3 2 2 4" xfId="6925"/>
    <cellStyle name="Normal 18 3 2 3" xfId="1994"/>
    <cellStyle name="Normal 18 3 2 3 2" xfId="4804"/>
    <cellStyle name="Normal 18 3 2 3 2 2" xfId="10440"/>
    <cellStyle name="Normal 18 3 2 3 3" xfId="7630"/>
    <cellStyle name="Normal 18 3 2 4" xfId="3403"/>
    <cellStyle name="Normal 18 3 2 4 2" xfId="9039"/>
    <cellStyle name="Normal 18 3 2 5" xfId="6229"/>
    <cellStyle name="Normal 18 3 3" xfId="945"/>
    <cellStyle name="Normal 18 3 3 2" xfId="2346"/>
    <cellStyle name="Normal 18 3 3 2 2" xfId="5156"/>
    <cellStyle name="Normal 18 3 3 2 2 2" xfId="10792"/>
    <cellStyle name="Normal 18 3 3 2 3" xfId="7982"/>
    <cellStyle name="Normal 18 3 3 3" xfId="3755"/>
    <cellStyle name="Normal 18 3 3 3 2" xfId="9391"/>
    <cellStyle name="Normal 18 3 3 4" xfId="6581"/>
    <cellStyle name="Normal 18 3 4" xfId="1650"/>
    <cellStyle name="Normal 18 3 4 2" xfId="4460"/>
    <cellStyle name="Normal 18 3 4 2 2" xfId="10096"/>
    <cellStyle name="Normal 18 3 4 3" xfId="7286"/>
    <cellStyle name="Normal 18 3 5" xfId="3059"/>
    <cellStyle name="Normal 18 3 5 2" xfId="8695"/>
    <cellStyle name="Normal 18 3 6" xfId="5885"/>
    <cellStyle name="Normal 18 4" xfId="421"/>
    <cellStyle name="Normal 18 4 2" xfId="1117"/>
    <cellStyle name="Normal 18 4 2 2" xfId="2518"/>
    <cellStyle name="Normal 18 4 2 2 2" xfId="5328"/>
    <cellStyle name="Normal 18 4 2 2 2 2" xfId="10964"/>
    <cellStyle name="Normal 18 4 2 2 3" xfId="8154"/>
    <cellStyle name="Normal 18 4 2 3" xfId="3927"/>
    <cellStyle name="Normal 18 4 2 3 2" xfId="9563"/>
    <cellStyle name="Normal 18 4 2 4" xfId="6753"/>
    <cellStyle name="Normal 18 4 3" xfId="1822"/>
    <cellStyle name="Normal 18 4 3 2" xfId="4632"/>
    <cellStyle name="Normal 18 4 3 2 2" xfId="10268"/>
    <cellStyle name="Normal 18 4 3 3" xfId="7458"/>
    <cellStyle name="Normal 18 4 4" xfId="3231"/>
    <cellStyle name="Normal 18 4 4 2" xfId="8867"/>
    <cellStyle name="Normal 18 4 5" xfId="6057"/>
    <cellStyle name="Normal 18 5" xfId="773"/>
    <cellStyle name="Normal 18 5 2" xfId="2174"/>
    <cellStyle name="Normal 18 5 2 2" xfId="4984"/>
    <cellStyle name="Normal 18 5 2 2 2" xfId="10620"/>
    <cellStyle name="Normal 18 5 2 3" xfId="7810"/>
    <cellStyle name="Normal 18 5 3" xfId="3583"/>
    <cellStyle name="Normal 18 5 3 2" xfId="9219"/>
    <cellStyle name="Normal 18 5 4" xfId="6409"/>
    <cellStyle name="Normal 18 6" xfId="1478"/>
    <cellStyle name="Normal 18 6 2" xfId="4288"/>
    <cellStyle name="Normal 18 6 2 2" xfId="9924"/>
    <cellStyle name="Normal 18 6 3" xfId="7114"/>
    <cellStyle name="Normal 18 7" xfId="2887"/>
    <cellStyle name="Normal 18 7 2" xfId="8523"/>
    <cellStyle name="Normal 18 8" xfId="5713"/>
    <cellStyle name="Normal 19" xfId="79"/>
    <cellStyle name="Normal 19 2" xfId="159"/>
    <cellStyle name="Normal 19 2 2" xfId="331"/>
    <cellStyle name="Normal 19 2 2 2" xfId="675"/>
    <cellStyle name="Normal 19 2 2 2 2" xfId="1371"/>
    <cellStyle name="Normal 19 2 2 2 2 2" xfId="2772"/>
    <cellStyle name="Normal 19 2 2 2 2 2 2" xfId="5582"/>
    <cellStyle name="Normal 19 2 2 2 2 2 2 2" xfId="11218"/>
    <cellStyle name="Normal 19 2 2 2 2 2 3" xfId="8408"/>
    <cellStyle name="Normal 19 2 2 2 2 3" xfId="4181"/>
    <cellStyle name="Normal 19 2 2 2 2 3 2" xfId="9817"/>
    <cellStyle name="Normal 19 2 2 2 2 4" xfId="7007"/>
    <cellStyle name="Normal 19 2 2 2 3" xfId="2076"/>
    <cellStyle name="Normal 19 2 2 2 3 2" xfId="4886"/>
    <cellStyle name="Normal 19 2 2 2 3 2 2" xfId="10522"/>
    <cellStyle name="Normal 19 2 2 2 3 3" xfId="7712"/>
    <cellStyle name="Normal 19 2 2 2 4" xfId="3485"/>
    <cellStyle name="Normal 19 2 2 2 4 2" xfId="9121"/>
    <cellStyle name="Normal 19 2 2 2 5" xfId="6311"/>
    <cellStyle name="Normal 19 2 2 3" xfId="1027"/>
    <cellStyle name="Normal 19 2 2 3 2" xfId="2428"/>
    <cellStyle name="Normal 19 2 2 3 2 2" xfId="5238"/>
    <cellStyle name="Normal 19 2 2 3 2 2 2" xfId="10874"/>
    <cellStyle name="Normal 19 2 2 3 2 3" xfId="8064"/>
    <cellStyle name="Normal 19 2 2 3 3" xfId="3837"/>
    <cellStyle name="Normal 19 2 2 3 3 2" xfId="9473"/>
    <cellStyle name="Normal 19 2 2 3 4" xfId="6663"/>
    <cellStyle name="Normal 19 2 2 4" xfId="1732"/>
    <cellStyle name="Normal 19 2 2 4 2" xfId="4542"/>
    <cellStyle name="Normal 19 2 2 4 2 2" xfId="10178"/>
    <cellStyle name="Normal 19 2 2 4 3" xfId="7368"/>
    <cellStyle name="Normal 19 2 2 5" xfId="3141"/>
    <cellStyle name="Normal 19 2 2 5 2" xfId="8777"/>
    <cellStyle name="Normal 19 2 2 6" xfId="5967"/>
    <cellStyle name="Normal 19 2 3" xfId="503"/>
    <cellStyle name="Normal 19 2 3 2" xfId="1199"/>
    <cellStyle name="Normal 19 2 3 2 2" xfId="2600"/>
    <cellStyle name="Normal 19 2 3 2 2 2" xfId="5410"/>
    <cellStyle name="Normal 19 2 3 2 2 2 2" xfId="11046"/>
    <cellStyle name="Normal 19 2 3 2 2 3" xfId="8236"/>
    <cellStyle name="Normal 19 2 3 2 3" xfId="4009"/>
    <cellStyle name="Normal 19 2 3 2 3 2" xfId="9645"/>
    <cellStyle name="Normal 19 2 3 2 4" xfId="6835"/>
    <cellStyle name="Normal 19 2 3 3" xfId="1904"/>
    <cellStyle name="Normal 19 2 3 3 2" xfId="4714"/>
    <cellStyle name="Normal 19 2 3 3 2 2" xfId="10350"/>
    <cellStyle name="Normal 19 2 3 3 3" xfId="7540"/>
    <cellStyle name="Normal 19 2 3 4" xfId="3313"/>
    <cellStyle name="Normal 19 2 3 4 2" xfId="8949"/>
    <cellStyle name="Normal 19 2 3 5" xfId="6139"/>
    <cellStyle name="Normal 19 2 4" xfId="855"/>
    <cellStyle name="Normal 19 2 4 2" xfId="2256"/>
    <cellStyle name="Normal 19 2 4 2 2" xfId="5066"/>
    <cellStyle name="Normal 19 2 4 2 2 2" xfId="10702"/>
    <cellStyle name="Normal 19 2 4 2 3" xfId="7892"/>
    <cellStyle name="Normal 19 2 4 3" xfId="3665"/>
    <cellStyle name="Normal 19 2 4 3 2" xfId="9301"/>
    <cellStyle name="Normal 19 2 4 4" xfId="6491"/>
    <cellStyle name="Normal 19 2 5" xfId="1560"/>
    <cellStyle name="Normal 19 2 5 2" xfId="4370"/>
    <cellStyle name="Normal 19 2 5 2 2" xfId="10006"/>
    <cellStyle name="Normal 19 2 5 3" xfId="7196"/>
    <cellStyle name="Normal 19 2 6" xfId="2969"/>
    <cellStyle name="Normal 19 2 6 2" xfId="8605"/>
    <cellStyle name="Normal 19 2 7" xfId="5795"/>
    <cellStyle name="Normal 19 3" xfId="251"/>
    <cellStyle name="Normal 19 3 2" xfId="595"/>
    <cellStyle name="Normal 19 3 2 2" xfId="1291"/>
    <cellStyle name="Normal 19 3 2 2 2" xfId="2692"/>
    <cellStyle name="Normal 19 3 2 2 2 2" xfId="5502"/>
    <cellStyle name="Normal 19 3 2 2 2 2 2" xfId="11138"/>
    <cellStyle name="Normal 19 3 2 2 2 3" xfId="8328"/>
    <cellStyle name="Normal 19 3 2 2 3" xfId="4101"/>
    <cellStyle name="Normal 19 3 2 2 3 2" xfId="9737"/>
    <cellStyle name="Normal 19 3 2 2 4" xfId="6927"/>
    <cellStyle name="Normal 19 3 2 3" xfId="1996"/>
    <cellStyle name="Normal 19 3 2 3 2" xfId="4806"/>
    <cellStyle name="Normal 19 3 2 3 2 2" xfId="10442"/>
    <cellStyle name="Normal 19 3 2 3 3" xfId="7632"/>
    <cellStyle name="Normal 19 3 2 4" xfId="3405"/>
    <cellStyle name="Normal 19 3 2 4 2" xfId="9041"/>
    <cellStyle name="Normal 19 3 2 5" xfId="6231"/>
    <cellStyle name="Normal 19 3 3" xfId="947"/>
    <cellStyle name="Normal 19 3 3 2" xfId="2348"/>
    <cellStyle name="Normal 19 3 3 2 2" xfId="5158"/>
    <cellStyle name="Normal 19 3 3 2 2 2" xfId="10794"/>
    <cellStyle name="Normal 19 3 3 2 3" xfId="7984"/>
    <cellStyle name="Normal 19 3 3 3" xfId="3757"/>
    <cellStyle name="Normal 19 3 3 3 2" xfId="9393"/>
    <cellStyle name="Normal 19 3 3 4" xfId="6583"/>
    <cellStyle name="Normal 19 3 4" xfId="1652"/>
    <cellStyle name="Normal 19 3 4 2" xfId="4462"/>
    <cellStyle name="Normal 19 3 4 2 2" xfId="10098"/>
    <cellStyle name="Normal 19 3 4 3" xfId="7288"/>
    <cellStyle name="Normal 19 3 5" xfId="3061"/>
    <cellStyle name="Normal 19 3 5 2" xfId="8697"/>
    <cellStyle name="Normal 19 3 6" xfId="5887"/>
    <cellStyle name="Normal 19 4" xfId="423"/>
    <cellStyle name="Normal 19 4 2" xfId="1119"/>
    <cellStyle name="Normal 19 4 2 2" xfId="2520"/>
    <cellStyle name="Normal 19 4 2 2 2" xfId="5330"/>
    <cellStyle name="Normal 19 4 2 2 2 2" xfId="10966"/>
    <cellStyle name="Normal 19 4 2 2 3" xfId="8156"/>
    <cellStyle name="Normal 19 4 2 3" xfId="3929"/>
    <cellStyle name="Normal 19 4 2 3 2" xfId="9565"/>
    <cellStyle name="Normal 19 4 2 4" xfId="6755"/>
    <cellStyle name="Normal 19 4 3" xfId="1824"/>
    <cellStyle name="Normal 19 4 3 2" xfId="4634"/>
    <cellStyle name="Normal 19 4 3 2 2" xfId="10270"/>
    <cellStyle name="Normal 19 4 3 3" xfId="7460"/>
    <cellStyle name="Normal 19 4 4" xfId="3233"/>
    <cellStyle name="Normal 19 4 4 2" xfId="8869"/>
    <cellStyle name="Normal 19 4 5" xfId="6059"/>
    <cellStyle name="Normal 19 5" xfId="775"/>
    <cellStyle name="Normal 19 5 2" xfId="2176"/>
    <cellStyle name="Normal 19 5 2 2" xfId="4986"/>
    <cellStyle name="Normal 19 5 2 2 2" xfId="10622"/>
    <cellStyle name="Normal 19 5 2 3" xfId="7812"/>
    <cellStyle name="Normal 19 5 3" xfId="3585"/>
    <cellStyle name="Normal 19 5 3 2" xfId="9221"/>
    <cellStyle name="Normal 19 5 4" xfId="6411"/>
    <cellStyle name="Normal 19 6" xfId="1480"/>
    <cellStyle name="Normal 19 6 2" xfId="4290"/>
    <cellStyle name="Normal 19 6 2 2" xfId="9926"/>
    <cellStyle name="Normal 19 6 3" xfId="7116"/>
    <cellStyle name="Normal 19 7" xfId="2889"/>
    <cellStyle name="Normal 19 7 2" xfId="8525"/>
    <cellStyle name="Normal 19 8" xfId="5715"/>
    <cellStyle name="Normal 2" xfId="4"/>
    <cellStyle name="Normal 2 10" xfId="5640"/>
    <cellStyle name="Normal 2 2" xfId="16"/>
    <cellStyle name="Normal 2 2 2" xfId="48"/>
    <cellStyle name="Normal 2 2 2 2" xfId="128"/>
    <cellStyle name="Normal 2 2 2 2 2" xfId="300"/>
    <cellStyle name="Normal 2 2 2 2 2 2" xfId="644"/>
    <cellStyle name="Normal 2 2 2 2 2 2 2" xfId="1340"/>
    <cellStyle name="Normal 2 2 2 2 2 2 2 2" xfId="2741"/>
    <cellStyle name="Normal 2 2 2 2 2 2 2 2 2" xfId="5551"/>
    <cellStyle name="Normal 2 2 2 2 2 2 2 2 2 2" xfId="11187"/>
    <cellStyle name="Normal 2 2 2 2 2 2 2 2 3" xfId="8377"/>
    <cellStyle name="Normal 2 2 2 2 2 2 2 3" xfId="4150"/>
    <cellStyle name="Normal 2 2 2 2 2 2 2 3 2" xfId="9786"/>
    <cellStyle name="Normal 2 2 2 2 2 2 2 4" xfId="6976"/>
    <cellStyle name="Normal 2 2 2 2 2 2 3" xfId="2045"/>
    <cellStyle name="Normal 2 2 2 2 2 2 3 2" xfId="4855"/>
    <cellStyle name="Normal 2 2 2 2 2 2 3 2 2" xfId="10491"/>
    <cellStyle name="Normal 2 2 2 2 2 2 3 3" xfId="7681"/>
    <cellStyle name="Normal 2 2 2 2 2 2 4" xfId="3454"/>
    <cellStyle name="Normal 2 2 2 2 2 2 4 2" xfId="9090"/>
    <cellStyle name="Normal 2 2 2 2 2 2 5" xfId="6280"/>
    <cellStyle name="Normal 2 2 2 2 2 3" xfId="996"/>
    <cellStyle name="Normal 2 2 2 2 2 3 2" xfId="2397"/>
    <cellStyle name="Normal 2 2 2 2 2 3 2 2" xfId="5207"/>
    <cellStyle name="Normal 2 2 2 2 2 3 2 2 2" xfId="10843"/>
    <cellStyle name="Normal 2 2 2 2 2 3 2 3" xfId="8033"/>
    <cellStyle name="Normal 2 2 2 2 2 3 3" xfId="3806"/>
    <cellStyle name="Normal 2 2 2 2 2 3 3 2" xfId="9442"/>
    <cellStyle name="Normal 2 2 2 2 2 3 4" xfId="6632"/>
    <cellStyle name="Normal 2 2 2 2 2 4" xfId="1701"/>
    <cellStyle name="Normal 2 2 2 2 2 4 2" xfId="4511"/>
    <cellStyle name="Normal 2 2 2 2 2 4 2 2" xfId="10147"/>
    <cellStyle name="Normal 2 2 2 2 2 4 3" xfId="7337"/>
    <cellStyle name="Normal 2 2 2 2 2 5" xfId="3110"/>
    <cellStyle name="Normal 2 2 2 2 2 5 2" xfId="8746"/>
    <cellStyle name="Normal 2 2 2 2 2 6" xfId="5936"/>
    <cellStyle name="Normal 2 2 2 2 3" xfId="472"/>
    <cellStyle name="Normal 2 2 2 2 3 2" xfId="1168"/>
    <cellStyle name="Normal 2 2 2 2 3 2 2" xfId="2569"/>
    <cellStyle name="Normal 2 2 2 2 3 2 2 2" xfId="5379"/>
    <cellStyle name="Normal 2 2 2 2 3 2 2 2 2" xfId="11015"/>
    <cellStyle name="Normal 2 2 2 2 3 2 2 3" xfId="8205"/>
    <cellStyle name="Normal 2 2 2 2 3 2 3" xfId="3978"/>
    <cellStyle name="Normal 2 2 2 2 3 2 3 2" xfId="9614"/>
    <cellStyle name="Normal 2 2 2 2 3 2 4" xfId="6804"/>
    <cellStyle name="Normal 2 2 2 2 3 3" xfId="1873"/>
    <cellStyle name="Normal 2 2 2 2 3 3 2" xfId="4683"/>
    <cellStyle name="Normal 2 2 2 2 3 3 2 2" xfId="10319"/>
    <cellStyle name="Normal 2 2 2 2 3 3 3" xfId="7509"/>
    <cellStyle name="Normal 2 2 2 2 3 4" xfId="3282"/>
    <cellStyle name="Normal 2 2 2 2 3 4 2" xfId="8918"/>
    <cellStyle name="Normal 2 2 2 2 3 5" xfId="6108"/>
    <cellStyle name="Normal 2 2 2 2 4" xfId="824"/>
    <cellStyle name="Normal 2 2 2 2 4 2" xfId="2225"/>
    <cellStyle name="Normal 2 2 2 2 4 2 2" xfId="5035"/>
    <cellStyle name="Normal 2 2 2 2 4 2 2 2" xfId="10671"/>
    <cellStyle name="Normal 2 2 2 2 4 2 3" xfId="7861"/>
    <cellStyle name="Normal 2 2 2 2 4 3" xfId="3634"/>
    <cellStyle name="Normal 2 2 2 2 4 3 2" xfId="9270"/>
    <cellStyle name="Normal 2 2 2 2 4 4" xfId="6460"/>
    <cellStyle name="Normal 2 2 2 2 5" xfId="1529"/>
    <cellStyle name="Normal 2 2 2 2 5 2" xfId="4339"/>
    <cellStyle name="Normal 2 2 2 2 5 2 2" xfId="9975"/>
    <cellStyle name="Normal 2 2 2 2 5 3" xfId="7165"/>
    <cellStyle name="Normal 2 2 2 2 6" xfId="2938"/>
    <cellStyle name="Normal 2 2 2 2 6 2" xfId="8574"/>
    <cellStyle name="Normal 2 2 2 2 7" xfId="5764"/>
    <cellStyle name="Normal 2 2 2 3" xfId="220"/>
    <cellStyle name="Normal 2 2 2 3 2" xfId="564"/>
    <cellStyle name="Normal 2 2 2 3 2 2" xfId="1260"/>
    <cellStyle name="Normal 2 2 2 3 2 2 2" xfId="2661"/>
    <cellStyle name="Normal 2 2 2 3 2 2 2 2" xfId="5471"/>
    <cellStyle name="Normal 2 2 2 3 2 2 2 2 2" xfId="11107"/>
    <cellStyle name="Normal 2 2 2 3 2 2 2 3" xfId="8297"/>
    <cellStyle name="Normal 2 2 2 3 2 2 3" xfId="4070"/>
    <cellStyle name="Normal 2 2 2 3 2 2 3 2" xfId="9706"/>
    <cellStyle name="Normal 2 2 2 3 2 2 4" xfId="6896"/>
    <cellStyle name="Normal 2 2 2 3 2 3" xfId="1965"/>
    <cellStyle name="Normal 2 2 2 3 2 3 2" xfId="4775"/>
    <cellStyle name="Normal 2 2 2 3 2 3 2 2" xfId="10411"/>
    <cellStyle name="Normal 2 2 2 3 2 3 3" xfId="7601"/>
    <cellStyle name="Normal 2 2 2 3 2 4" xfId="3374"/>
    <cellStyle name="Normal 2 2 2 3 2 4 2" xfId="9010"/>
    <cellStyle name="Normal 2 2 2 3 2 5" xfId="6200"/>
    <cellStyle name="Normal 2 2 2 3 3" xfId="916"/>
    <cellStyle name="Normal 2 2 2 3 3 2" xfId="2317"/>
    <cellStyle name="Normal 2 2 2 3 3 2 2" xfId="5127"/>
    <cellStyle name="Normal 2 2 2 3 3 2 2 2" xfId="10763"/>
    <cellStyle name="Normal 2 2 2 3 3 2 3" xfId="7953"/>
    <cellStyle name="Normal 2 2 2 3 3 3" xfId="3726"/>
    <cellStyle name="Normal 2 2 2 3 3 3 2" xfId="9362"/>
    <cellStyle name="Normal 2 2 2 3 3 4" xfId="6552"/>
    <cellStyle name="Normal 2 2 2 3 4" xfId="1621"/>
    <cellStyle name="Normal 2 2 2 3 4 2" xfId="4431"/>
    <cellStyle name="Normal 2 2 2 3 4 2 2" xfId="10067"/>
    <cellStyle name="Normal 2 2 2 3 4 3" xfId="7257"/>
    <cellStyle name="Normal 2 2 2 3 5" xfId="3030"/>
    <cellStyle name="Normal 2 2 2 3 5 2" xfId="8666"/>
    <cellStyle name="Normal 2 2 2 3 6" xfId="5856"/>
    <cellStyle name="Normal 2 2 2 4" xfId="392"/>
    <cellStyle name="Normal 2 2 2 4 2" xfId="1088"/>
    <cellStyle name="Normal 2 2 2 4 2 2" xfId="2489"/>
    <cellStyle name="Normal 2 2 2 4 2 2 2" xfId="5299"/>
    <cellStyle name="Normal 2 2 2 4 2 2 2 2" xfId="10935"/>
    <cellStyle name="Normal 2 2 2 4 2 2 3" xfId="8125"/>
    <cellStyle name="Normal 2 2 2 4 2 3" xfId="3898"/>
    <cellStyle name="Normal 2 2 2 4 2 3 2" xfId="9534"/>
    <cellStyle name="Normal 2 2 2 4 2 4" xfId="6724"/>
    <cellStyle name="Normal 2 2 2 4 3" xfId="1793"/>
    <cellStyle name="Normal 2 2 2 4 3 2" xfId="4603"/>
    <cellStyle name="Normal 2 2 2 4 3 2 2" xfId="10239"/>
    <cellStyle name="Normal 2 2 2 4 3 3" xfId="7429"/>
    <cellStyle name="Normal 2 2 2 4 4" xfId="3202"/>
    <cellStyle name="Normal 2 2 2 4 4 2" xfId="8838"/>
    <cellStyle name="Normal 2 2 2 4 5" xfId="6028"/>
    <cellStyle name="Normal 2 2 2 5" xfId="744"/>
    <cellStyle name="Normal 2 2 2 5 2" xfId="2145"/>
    <cellStyle name="Normal 2 2 2 5 2 2" xfId="4955"/>
    <cellStyle name="Normal 2 2 2 5 2 2 2" xfId="10591"/>
    <cellStyle name="Normal 2 2 2 5 2 3" xfId="7781"/>
    <cellStyle name="Normal 2 2 2 5 3" xfId="3554"/>
    <cellStyle name="Normal 2 2 2 5 3 2" xfId="9190"/>
    <cellStyle name="Normal 2 2 2 5 4" xfId="6380"/>
    <cellStyle name="Normal 2 2 2 6" xfId="1449"/>
    <cellStyle name="Normal 2 2 2 6 2" xfId="4259"/>
    <cellStyle name="Normal 2 2 2 6 2 2" xfId="9895"/>
    <cellStyle name="Normal 2 2 2 6 3" xfId="7085"/>
    <cellStyle name="Normal 2 2 2 7" xfId="2858"/>
    <cellStyle name="Normal 2 2 2 7 2" xfId="8494"/>
    <cellStyle name="Normal 2 2 2 8" xfId="5684"/>
    <cellStyle name="Normal 2 2 3" xfId="96"/>
    <cellStyle name="Normal 2 2 3 2" xfId="268"/>
    <cellStyle name="Normal 2 2 3 2 2" xfId="612"/>
    <cellStyle name="Normal 2 2 3 2 2 2" xfId="1308"/>
    <cellStyle name="Normal 2 2 3 2 2 2 2" xfId="2709"/>
    <cellStyle name="Normal 2 2 3 2 2 2 2 2" xfId="5519"/>
    <cellStyle name="Normal 2 2 3 2 2 2 2 2 2" xfId="11155"/>
    <cellStyle name="Normal 2 2 3 2 2 2 2 3" xfId="8345"/>
    <cellStyle name="Normal 2 2 3 2 2 2 3" xfId="4118"/>
    <cellStyle name="Normal 2 2 3 2 2 2 3 2" xfId="9754"/>
    <cellStyle name="Normal 2 2 3 2 2 2 4" xfId="6944"/>
    <cellStyle name="Normal 2 2 3 2 2 3" xfId="2013"/>
    <cellStyle name="Normal 2 2 3 2 2 3 2" xfId="4823"/>
    <cellStyle name="Normal 2 2 3 2 2 3 2 2" xfId="10459"/>
    <cellStyle name="Normal 2 2 3 2 2 3 3" xfId="7649"/>
    <cellStyle name="Normal 2 2 3 2 2 4" xfId="3422"/>
    <cellStyle name="Normal 2 2 3 2 2 4 2" xfId="9058"/>
    <cellStyle name="Normal 2 2 3 2 2 5" xfId="6248"/>
    <cellStyle name="Normal 2 2 3 2 3" xfId="964"/>
    <cellStyle name="Normal 2 2 3 2 3 2" xfId="2365"/>
    <cellStyle name="Normal 2 2 3 2 3 2 2" xfId="5175"/>
    <cellStyle name="Normal 2 2 3 2 3 2 2 2" xfId="10811"/>
    <cellStyle name="Normal 2 2 3 2 3 2 3" xfId="8001"/>
    <cellStyle name="Normal 2 2 3 2 3 3" xfId="3774"/>
    <cellStyle name="Normal 2 2 3 2 3 3 2" xfId="9410"/>
    <cellStyle name="Normal 2 2 3 2 3 4" xfId="6600"/>
    <cellStyle name="Normal 2 2 3 2 4" xfId="1669"/>
    <cellStyle name="Normal 2 2 3 2 4 2" xfId="4479"/>
    <cellStyle name="Normal 2 2 3 2 4 2 2" xfId="10115"/>
    <cellStyle name="Normal 2 2 3 2 4 3" xfId="7305"/>
    <cellStyle name="Normal 2 2 3 2 5" xfId="3078"/>
    <cellStyle name="Normal 2 2 3 2 5 2" xfId="8714"/>
    <cellStyle name="Normal 2 2 3 2 6" xfId="5904"/>
    <cellStyle name="Normal 2 2 3 3" xfId="440"/>
    <cellStyle name="Normal 2 2 3 3 2" xfId="1136"/>
    <cellStyle name="Normal 2 2 3 3 2 2" xfId="2537"/>
    <cellStyle name="Normal 2 2 3 3 2 2 2" xfId="5347"/>
    <cellStyle name="Normal 2 2 3 3 2 2 2 2" xfId="10983"/>
    <cellStyle name="Normal 2 2 3 3 2 2 3" xfId="8173"/>
    <cellStyle name="Normal 2 2 3 3 2 3" xfId="3946"/>
    <cellStyle name="Normal 2 2 3 3 2 3 2" xfId="9582"/>
    <cellStyle name="Normal 2 2 3 3 2 4" xfId="6772"/>
    <cellStyle name="Normal 2 2 3 3 3" xfId="1841"/>
    <cellStyle name="Normal 2 2 3 3 3 2" xfId="4651"/>
    <cellStyle name="Normal 2 2 3 3 3 2 2" xfId="10287"/>
    <cellStyle name="Normal 2 2 3 3 3 3" xfId="7477"/>
    <cellStyle name="Normal 2 2 3 3 4" xfId="3250"/>
    <cellStyle name="Normal 2 2 3 3 4 2" xfId="8886"/>
    <cellStyle name="Normal 2 2 3 3 5" xfId="6076"/>
    <cellStyle name="Normal 2 2 3 4" xfId="792"/>
    <cellStyle name="Normal 2 2 3 4 2" xfId="2193"/>
    <cellStyle name="Normal 2 2 3 4 2 2" xfId="5003"/>
    <cellStyle name="Normal 2 2 3 4 2 2 2" xfId="10639"/>
    <cellStyle name="Normal 2 2 3 4 2 3" xfId="7829"/>
    <cellStyle name="Normal 2 2 3 4 3" xfId="3602"/>
    <cellStyle name="Normal 2 2 3 4 3 2" xfId="9238"/>
    <cellStyle name="Normal 2 2 3 4 4" xfId="6428"/>
    <cellStyle name="Normal 2 2 3 5" xfId="1497"/>
    <cellStyle name="Normal 2 2 3 5 2" xfId="4307"/>
    <cellStyle name="Normal 2 2 3 5 2 2" xfId="9943"/>
    <cellStyle name="Normal 2 2 3 5 3" xfId="7133"/>
    <cellStyle name="Normal 2 2 3 6" xfId="2906"/>
    <cellStyle name="Normal 2 2 3 6 2" xfId="8542"/>
    <cellStyle name="Normal 2 2 3 7" xfId="5732"/>
    <cellStyle name="Normal 2 2 4" xfId="188"/>
    <cellStyle name="Normal 2 2 4 2" xfId="532"/>
    <cellStyle name="Normal 2 2 4 2 2" xfId="1228"/>
    <cellStyle name="Normal 2 2 4 2 2 2" xfId="2629"/>
    <cellStyle name="Normal 2 2 4 2 2 2 2" xfId="5439"/>
    <cellStyle name="Normal 2 2 4 2 2 2 2 2" xfId="11075"/>
    <cellStyle name="Normal 2 2 4 2 2 2 3" xfId="8265"/>
    <cellStyle name="Normal 2 2 4 2 2 3" xfId="4038"/>
    <cellStyle name="Normal 2 2 4 2 2 3 2" xfId="9674"/>
    <cellStyle name="Normal 2 2 4 2 2 4" xfId="6864"/>
    <cellStyle name="Normal 2 2 4 2 3" xfId="1933"/>
    <cellStyle name="Normal 2 2 4 2 3 2" xfId="4743"/>
    <cellStyle name="Normal 2 2 4 2 3 2 2" xfId="10379"/>
    <cellStyle name="Normal 2 2 4 2 3 3" xfId="7569"/>
    <cellStyle name="Normal 2 2 4 2 4" xfId="3342"/>
    <cellStyle name="Normal 2 2 4 2 4 2" xfId="8978"/>
    <cellStyle name="Normal 2 2 4 2 5" xfId="6168"/>
    <cellStyle name="Normal 2 2 4 3" xfId="884"/>
    <cellStyle name="Normal 2 2 4 3 2" xfId="2285"/>
    <cellStyle name="Normal 2 2 4 3 2 2" xfId="5095"/>
    <cellStyle name="Normal 2 2 4 3 2 2 2" xfId="10731"/>
    <cellStyle name="Normal 2 2 4 3 2 3" xfId="7921"/>
    <cellStyle name="Normal 2 2 4 3 3" xfId="3694"/>
    <cellStyle name="Normal 2 2 4 3 3 2" xfId="9330"/>
    <cellStyle name="Normal 2 2 4 3 4" xfId="6520"/>
    <cellStyle name="Normal 2 2 4 4" xfId="1589"/>
    <cellStyle name="Normal 2 2 4 4 2" xfId="4399"/>
    <cellStyle name="Normal 2 2 4 4 2 2" xfId="10035"/>
    <cellStyle name="Normal 2 2 4 4 3" xfId="7225"/>
    <cellStyle name="Normal 2 2 4 5" xfId="2998"/>
    <cellStyle name="Normal 2 2 4 5 2" xfId="8634"/>
    <cellStyle name="Normal 2 2 4 6" xfId="5824"/>
    <cellStyle name="Normal 2 2 5" xfId="360"/>
    <cellStyle name="Normal 2 2 5 2" xfId="1056"/>
    <cellStyle name="Normal 2 2 5 2 2" xfId="2457"/>
    <cellStyle name="Normal 2 2 5 2 2 2" xfId="5267"/>
    <cellStyle name="Normal 2 2 5 2 2 2 2" xfId="10903"/>
    <cellStyle name="Normal 2 2 5 2 2 3" xfId="8093"/>
    <cellStyle name="Normal 2 2 5 2 3" xfId="3866"/>
    <cellStyle name="Normal 2 2 5 2 3 2" xfId="9502"/>
    <cellStyle name="Normal 2 2 5 2 4" xfId="6692"/>
    <cellStyle name="Normal 2 2 5 3" xfId="1761"/>
    <cellStyle name="Normal 2 2 5 3 2" xfId="4571"/>
    <cellStyle name="Normal 2 2 5 3 2 2" xfId="10207"/>
    <cellStyle name="Normal 2 2 5 3 3" xfId="7397"/>
    <cellStyle name="Normal 2 2 5 4" xfId="3170"/>
    <cellStyle name="Normal 2 2 5 4 2" xfId="8806"/>
    <cellStyle name="Normal 2 2 5 5" xfId="5996"/>
    <cellStyle name="Normal 2 2 6" xfId="712"/>
    <cellStyle name="Normal 2 2 6 2" xfId="2113"/>
    <cellStyle name="Normal 2 2 6 2 2" xfId="4923"/>
    <cellStyle name="Normal 2 2 6 2 2 2" xfId="10559"/>
    <cellStyle name="Normal 2 2 6 2 3" xfId="7749"/>
    <cellStyle name="Normal 2 2 6 3" xfId="3522"/>
    <cellStyle name="Normal 2 2 6 3 2" xfId="9158"/>
    <cellStyle name="Normal 2 2 6 4" xfId="6348"/>
    <cellStyle name="Normal 2 2 7" xfId="1417"/>
    <cellStyle name="Normal 2 2 7 2" xfId="4227"/>
    <cellStyle name="Normal 2 2 7 2 2" xfId="9863"/>
    <cellStyle name="Normal 2 2 7 3" xfId="7053"/>
    <cellStyle name="Normal 2 2 8" xfId="2826"/>
    <cellStyle name="Normal 2 2 8 2" xfId="8462"/>
    <cellStyle name="Normal 2 2 9" xfId="5652"/>
    <cellStyle name="Normal 2 3" xfId="36"/>
    <cellStyle name="Normal 2 3 2" xfId="116"/>
    <cellStyle name="Normal 2 3 2 2" xfId="288"/>
    <cellStyle name="Normal 2 3 2 2 2" xfId="632"/>
    <cellStyle name="Normal 2 3 2 2 2 2" xfId="1328"/>
    <cellStyle name="Normal 2 3 2 2 2 2 2" xfId="2729"/>
    <cellStyle name="Normal 2 3 2 2 2 2 2 2" xfId="5539"/>
    <cellStyle name="Normal 2 3 2 2 2 2 2 2 2" xfId="11175"/>
    <cellStyle name="Normal 2 3 2 2 2 2 2 3" xfId="8365"/>
    <cellStyle name="Normal 2 3 2 2 2 2 3" xfId="4138"/>
    <cellStyle name="Normal 2 3 2 2 2 2 3 2" xfId="9774"/>
    <cellStyle name="Normal 2 3 2 2 2 2 4" xfId="6964"/>
    <cellStyle name="Normal 2 3 2 2 2 3" xfId="2033"/>
    <cellStyle name="Normal 2 3 2 2 2 3 2" xfId="4843"/>
    <cellStyle name="Normal 2 3 2 2 2 3 2 2" xfId="10479"/>
    <cellStyle name="Normal 2 3 2 2 2 3 3" xfId="7669"/>
    <cellStyle name="Normal 2 3 2 2 2 4" xfId="3442"/>
    <cellStyle name="Normal 2 3 2 2 2 4 2" xfId="9078"/>
    <cellStyle name="Normal 2 3 2 2 2 5" xfId="6268"/>
    <cellStyle name="Normal 2 3 2 2 3" xfId="984"/>
    <cellStyle name="Normal 2 3 2 2 3 2" xfId="2385"/>
    <cellStyle name="Normal 2 3 2 2 3 2 2" xfId="5195"/>
    <cellStyle name="Normal 2 3 2 2 3 2 2 2" xfId="10831"/>
    <cellStyle name="Normal 2 3 2 2 3 2 3" xfId="8021"/>
    <cellStyle name="Normal 2 3 2 2 3 3" xfId="3794"/>
    <cellStyle name="Normal 2 3 2 2 3 3 2" xfId="9430"/>
    <cellStyle name="Normal 2 3 2 2 3 4" xfId="6620"/>
    <cellStyle name="Normal 2 3 2 2 4" xfId="1689"/>
    <cellStyle name="Normal 2 3 2 2 4 2" xfId="4499"/>
    <cellStyle name="Normal 2 3 2 2 4 2 2" xfId="10135"/>
    <cellStyle name="Normal 2 3 2 2 4 3" xfId="7325"/>
    <cellStyle name="Normal 2 3 2 2 5" xfId="3098"/>
    <cellStyle name="Normal 2 3 2 2 5 2" xfId="8734"/>
    <cellStyle name="Normal 2 3 2 2 6" xfId="5924"/>
    <cellStyle name="Normal 2 3 2 3" xfId="460"/>
    <cellStyle name="Normal 2 3 2 3 2" xfId="1156"/>
    <cellStyle name="Normal 2 3 2 3 2 2" xfId="2557"/>
    <cellStyle name="Normal 2 3 2 3 2 2 2" xfId="5367"/>
    <cellStyle name="Normal 2 3 2 3 2 2 2 2" xfId="11003"/>
    <cellStyle name="Normal 2 3 2 3 2 2 3" xfId="8193"/>
    <cellStyle name="Normal 2 3 2 3 2 3" xfId="3966"/>
    <cellStyle name="Normal 2 3 2 3 2 3 2" xfId="9602"/>
    <cellStyle name="Normal 2 3 2 3 2 4" xfId="6792"/>
    <cellStyle name="Normal 2 3 2 3 3" xfId="1861"/>
    <cellStyle name="Normal 2 3 2 3 3 2" xfId="4671"/>
    <cellStyle name="Normal 2 3 2 3 3 2 2" xfId="10307"/>
    <cellStyle name="Normal 2 3 2 3 3 3" xfId="7497"/>
    <cellStyle name="Normal 2 3 2 3 4" xfId="3270"/>
    <cellStyle name="Normal 2 3 2 3 4 2" xfId="8906"/>
    <cellStyle name="Normal 2 3 2 3 5" xfId="6096"/>
    <cellStyle name="Normal 2 3 2 4" xfId="812"/>
    <cellStyle name="Normal 2 3 2 4 2" xfId="2213"/>
    <cellStyle name="Normal 2 3 2 4 2 2" xfId="5023"/>
    <cellStyle name="Normal 2 3 2 4 2 2 2" xfId="10659"/>
    <cellStyle name="Normal 2 3 2 4 2 3" xfId="7849"/>
    <cellStyle name="Normal 2 3 2 4 3" xfId="3622"/>
    <cellStyle name="Normal 2 3 2 4 3 2" xfId="9258"/>
    <cellStyle name="Normal 2 3 2 4 4" xfId="6448"/>
    <cellStyle name="Normal 2 3 2 5" xfId="1517"/>
    <cellStyle name="Normal 2 3 2 5 2" xfId="4327"/>
    <cellStyle name="Normal 2 3 2 5 2 2" xfId="9963"/>
    <cellStyle name="Normal 2 3 2 5 3" xfId="7153"/>
    <cellStyle name="Normal 2 3 2 6" xfId="2926"/>
    <cellStyle name="Normal 2 3 2 6 2" xfId="8562"/>
    <cellStyle name="Normal 2 3 2 7" xfId="5752"/>
    <cellStyle name="Normal 2 3 3" xfId="208"/>
    <cellStyle name="Normal 2 3 3 2" xfId="552"/>
    <cellStyle name="Normal 2 3 3 2 2" xfId="1248"/>
    <cellStyle name="Normal 2 3 3 2 2 2" xfId="2649"/>
    <cellStyle name="Normal 2 3 3 2 2 2 2" xfId="5459"/>
    <cellStyle name="Normal 2 3 3 2 2 2 2 2" xfId="11095"/>
    <cellStyle name="Normal 2 3 3 2 2 2 3" xfId="8285"/>
    <cellStyle name="Normal 2 3 3 2 2 3" xfId="4058"/>
    <cellStyle name="Normal 2 3 3 2 2 3 2" xfId="9694"/>
    <cellStyle name="Normal 2 3 3 2 2 4" xfId="6884"/>
    <cellStyle name="Normal 2 3 3 2 3" xfId="1953"/>
    <cellStyle name="Normal 2 3 3 2 3 2" xfId="4763"/>
    <cellStyle name="Normal 2 3 3 2 3 2 2" xfId="10399"/>
    <cellStyle name="Normal 2 3 3 2 3 3" xfId="7589"/>
    <cellStyle name="Normal 2 3 3 2 4" xfId="3362"/>
    <cellStyle name="Normal 2 3 3 2 4 2" xfId="8998"/>
    <cellStyle name="Normal 2 3 3 2 5" xfId="6188"/>
    <cellStyle name="Normal 2 3 3 3" xfId="904"/>
    <cellStyle name="Normal 2 3 3 3 2" xfId="2305"/>
    <cellStyle name="Normal 2 3 3 3 2 2" xfId="5115"/>
    <cellStyle name="Normal 2 3 3 3 2 2 2" xfId="10751"/>
    <cellStyle name="Normal 2 3 3 3 2 3" xfId="7941"/>
    <cellStyle name="Normal 2 3 3 3 3" xfId="3714"/>
    <cellStyle name="Normal 2 3 3 3 3 2" xfId="9350"/>
    <cellStyle name="Normal 2 3 3 3 4" xfId="6540"/>
    <cellStyle name="Normal 2 3 3 4" xfId="1609"/>
    <cellStyle name="Normal 2 3 3 4 2" xfId="4419"/>
    <cellStyle name="Normal 2 3 3 4 2 2" xfId="10055"/>
    <cellStyle name="Normal 2 3 3 4 3" xfId="7245"/>
    <cellStyle name="Normal 2 3 3 5" xfId="3018"/>
    <cellStyle name="Normal 2 3 3 5 2" xfId="8654"/>
    <cellStyle name="Normal 2 3 3 6" xfId="5844"/>
    <cellStyle name="Normal 2 3 4" xfId="380"/>
    <cellStyle name="Normal 2 3 4 2" xfId="1076"/>
    <cellStyle name="Normal 2 3 4 2 2" xfId="2477"/>
    <cellStyle name="Normal 2 3 4 2 2 2" xfId="5287"/>
    <cellStyle name="Normal 2 3 4 2 2 2 2" xfId="10923"/>
    <cellStyle name="Normal 2 3 4 2 2 3" xfId="8113"/>
    <cellStyle name="Normal 2 3 4 2 3" xfId="3886"/>
    <cellStyle name="Normal 2 3 4 2 3 2" xfId="9522"/>
    <cellStyle name="Normal 2 3 4 2 4" xfId="6712"/>
    <cellStyle name="Normal 2 3 4 3" xfId="1781"/>
    <cellStyle name="Normal 2 3 4 3 2" xfId="4591"/>
    <cellStyle name="Normal 2 3 4 3 2 2" xfId="10227"/>
    <cellStyle name="Normal 2 3 4 3 3" xfId="7417"/>
    <cellStyle name="Normal 2 3 4 4" xfId="3190"/>
    <cellStyle name="Normal 2 3 4 4 2" xfId="8826"/>
    <cellStyle name="Normal 2 3 4 5" xfId="6016"/>
    <cellStyle name="Normal 2 3 5" xfId="732"/>
    <cellStyle name="Normal 2 3 5 2" xfId="2133"/>
    <cellStyle name="Normal 2 3 5 2 2" xfId="4943"/>
    <cellStyle name="Normal 2 3 5 2 2 2" xfId="10579"/>
    <cellStyle name="Normal 2 3 5 2 3" xfId="7769"/>
    <cellStyle name="Normal 2 3 5 3" xfId="3542"/>
    <cellStyle name="Normal 2 3 5 3 2" xfId="9178"/>
    <cellStyle name="Normal 2 3 5 4" xfId="6368"/>
    <cellStyle name="Normal 2 3 6" xfId="1437"/>
    <cellStyle name="Normal 2 3 6 2" xfId="4247"/>
    <cellStyle name="Normal 2 3 6 2 2" xfId="9883"/>
    <cellStyle name="Normal 2 3 6 3" xfId="7073"/>
    <cellStyle name="Normal 2 3 7" xfId="2846"/>
    <cellStyle name="Normal 2 3 7 2" xfId="8482"/>
    <cellStyle name="Normal 2 3 8" xfId="5672"/>
    <cellStyle name="Normal 2 4" xfId="84"/>
    <cellStyle name="Normal 2 4 2" xfId="256"/>
    <cellStyle name="Normal 2 4 2 2" xfId="600"/>
    <cellStyle name="Normal 2 4 2 2 2" xfId="1296"/>
    <cellStyle name="Normal 2 4 2 2 2 2" xfId="2697"/>
    <cellStyle name="Normal 2 4 2 2 2 2 2" xfId="5507"/>
    <cellStyle name="Normal 2 4 2 2 2 2 2 2" xfId="11143"/>
    <cellStyle name="Normal 2 4 2 2 2 2 3" xfId="8333"/>
    <cellStyle name="Normal 2 4 2 2 2 3" xfId="4106"/>
    <cellStyle name="Normal 2 4 2 2 2 3 2" xfId="9742"/>
    <cellStyle name="Normal 2 4 2 2 2 4" xfId="6932"/>
    <cellStyle name="Normal 2 4 2 2 3" xfId="2001"/>
    <cellStyle name="Normal 2 4 2 2 3 2" xfId="4811"/>
    <cellStyle name="Normal 2 4 2 2 3 2 2" xfId="10447"/>
    <cellStyle name="Normal 2 4 2 2 3 3" xfId="7637"/>
    <cellStyle name="Normal 2 4 2 2 4" xfId="3410"/>
    <cellStyle name="Normal 2 4 2 2 4 2" xfId="9046"/>
    <cellStyle name="Normal 2 4 2 2 5" xfId="6236"/>
    <cellStyle name="Normal 2 4 2 3" xfId="952"/>
    <cellStyle name="Normal 2 4 2 3 2" xfId="2353"/>
    <cellStyle name="Normal 2 4 2 3 2 2" xfId="5163"/>
    <cellStyle name="Normal 2 4 2 3 2 2 2" xfId="10799"/>
    <cellStyle name="Normal 2 4 2 3 2 3" xfId="7989"/>
    <cellStyle name="Normal 2 4 2 3 3" xfId="3762"/>
    <cellStyle name="Normal 2 4 2 3 3 2" xfId="9398"/>
    <cellStyle name="Normal 2 4 2 3 4" xfId="6588"/>
    <cellStyle name="Normal 2 4 2 4" xfId="1657"/>
    <cellStyle name="Normal 2 4 2 4 2" xfId="4467"/>
    <cellStyle name="Normal 2 4 2 4 2 2" xfId="10103"/>
    <cellStyle name="Normal 2 4 2 4 3" xfId="7293"/>
    <cellStyle name="Normal 2 4 2 5" xfId="3066"/>
    <cellStyle name="Normal 2 4 2 5 2" xfId="8702"/>
    <cellStyle name="Normal 2 4 2 6" xfId="5892"/>
    <cellStyle name="Normal 2 4 3" xfId="428"/>
    <cellStyle name="Normal 2 4 3 2" xfId="1124"/>
    <cellStyle name="Normal 2 4 3 2 2" xfId="2525"/>
    <cellStyle name="Normal 2 4 3 2 2 2" xfId="5335"/>
    <cellStyle name="Normal 2 4 3 2 2 2 2" xfId="10971"/>
    <cellStyle name="Normal 2 4 3 2 2 3" xfId="8161"/>
    <cellStyle name="Normal 2 4 3 2 3" xfId="3934"/>
    <cellStyle name="Normal 2 4 3 2 3 2" xfId="9570"/>
    <cellStyle name="Normal 2 4 3 2 4" xfId="6760"/>
    <cellStyle name="Normal 2 4 3 3" xfId="1829"/>
    <cellStyle name="Normal 2 4 3 3 2" xfId="4639"/>
    <cellStyle name="Normal 2 4 3 3 2 2" xfId="10275"/>
    <cellStyle name="Normal 2 4 3 3 3" xfId="7465"/>
    <cellStyle name="Normal 2 4 3 4" xfId="3238"/>
    <cellStyle name="Normal 2 4 3 4 2" xfId="8874"/>
    <cellStyle name="Normal 2 4 3 5" xfId="6064"/>
    <cellStyle name="Normal 2 4 4" xfId="780"/>
    <cellStyle name="Normal 2 4 4 2" xfId="2181"/>
    <cellStyle name="Normal 2 4 4 2 2" xfId="4991"/>
    <cellStyle name="Normal 2 4 4 2 2 2" xfId="10627"/>
    <cellStyle name="Normal 2 4 4 2 3" xfId="7817"/>
    <cellStyle name="Normal 2 4 4 3" xfId="3590"/>
    <cellStyle name="Normal 2 4 4 3 2" xfId="9226"/>
    <cellStyle name="Normal 2 4 4 4" xfId="6416"/>
    <cellStyle name="Normal 2 4 5" xfId="1485"/>
    <cellStyle name="Normal 2 4 5 2" xfId="4295"/>
    <cellStyle name="Normal 2 4 5 2 2" xfId="9931"/>
    <cellStyle name="Normal 2 4 5 3" xfId="7121"/>
    <cellStyle name="Normal 2 4 6" xfId="2894"/>
    <cellStyle name="Normal 2 4 6 2" xfId="8530"/>
    <cellStyle name="Normal 2 4 7" xfId="5720"/>
    <cellStyle name="Normal 2 5" xfId="176"/>
    <cellStyle name="Normal 2 5 2" xfId="520"/>
    <cellStyle name="Normal 2 5 2 2" xfId="1216"/>
    <cellStyle name="Normal 2 5 2 2 2" xfId="2617"/>
    <cellStyle name="Normal 2 5 2 2 2 2" xfId="5427"/>
    <cellStyle name="Normal 2 5 2 2 2 2 2" xfId="11063"/>
    <cellStyle name="Normal 2 5 2 2 2 3" xfId="8253"/>
    <cellStyle name="Normal 2 5 2 2 3" xfId="4026"/>
    <cellStyle name="Normal 2 5 2 2 3 2" xfId="9662"/>
    <cellStyle name="Normal 2 5 2 2 4" xfId="6852"/>
    <cellStyle name="Normal 2 5 2 3" xfId="1921"/>
    <cellStyle name="Normal 2 5 2 3 2" xfId="4731"/>
    <cellStyle name="Normal 2 5 2 3 2 2" xfId="10367"/>
    <cellStyle name="Normal 2 5 2 3 3" xfId="7557"/>
    <cellStyle name="Normal 2 5 2 4" xfId="3330"/>
    <cellStyle name="Normal 2 5 2 4 2" xfId="8966"/>
    <cellStyle name="Normal 2 5 2 5" xfId="6156"/>
    <cellStyle name="Normal 2 5 3" xfId="872"/>
    <cellStyle name="Normal 2 5 3 2" xfId="2273"/>
    <cellStyle name="Normal 2 5 3 2 2" xfId="5083"/>
    <cellStyle name="Normal 2 5 3 2 2 2" xfId="10719"/>
    <cellStyle name="Normal 2 5 3 2 3" xfId="7909"/>
    <cellStyle name="Normal 2 5 3 3" xfId="3682"/>
    <cellStyle name="Normal 2 5 3 3 2" xfId="9318"/>
    <cellStyle name="Normal 2 5 3 4" xfId="6508"/>
    <cellStyle name="Normal 2 5 4" xfId="1577"/>
    <cellStyle name="Normal 2 5 4 2" xfId="4387"/>
    <cellStyle name="Normal 2 5 4 2 2" xfId="10023"/>
    <cellStyle name="Normal 2 5 4 3" xfId="7213"/>
    <cellStyle name="Normal 2 5 5" xfId="2986"/>
    <cellStyle name="Normal 2 5 5 2" xfId="8622"/>
    <cellStyle name="Normal 2 5 6" xfId="5812"/>
    <cellStyle name="Normal 2 6" xfId="348"/>
    <cellStyle name="Normal 2 6 2" xfId="1044"/>
    <cellStyle name="Normal 2 6 2 2" xfId="2445"/>
    <cellStyle name="Normal 2 6 2 2 2" xfId="5255"/>
    <cellStyle name="Normal 2 6 2 2 2 2" xfId="10891"/>
    <cellStyle name="Normal 2 6 2 2 3" xfId="8081"/>
    <cellStyle name="Normal 2 6 2 3" xfId="3854"/>
    <cellStyle name="Normal 2 6 2 3 2" xfId="9490"/>
    <cellStyle name="Normal 2 6 2 4" xfId="6680"/>
    <cellStyle name="Normal 2 6 3" xfId="1749"/>
    <cellStyle name="Normal 2 6 3 2" xfId="4559"/>
    <cellStyle name="Normal 2 6 3 2 2" xfId="10195"/>
    <cellStyle name="Normal 2 6 3 3" xfId="7385"/>
    <cellStyle name="Normal 2 6 4" xfId="3158"/>
    <cellStyle name="Normal 2 6 4 2" xfId="8794"/>
    <cellStyle name="Normal 2 6 5" xfId="5984"/>
    <cellStyle name="Normal 2 7" xfId="700"/>
    <cellStyle name="Normal 2 7 2" xfId="2101"/>
    <cellStyle name="Normal 2 7 2 2" xfId="4911"/>
    <cellStyle name="Normal 2 7 2 2 2" xfId="10547"/>
    <cellStyle name="Normal 2 7 2 3" xfId="7737"/>
    <cellStyle name="Normal 2 7 3" xfId="3510"/>
    <cellStyle name="Normal 2 7 3 2" xfId="9146"/>
    <cellStyle name="Normal 2 7 4" xfId="6336"/>
    <cellStyle name="Normal 2 8" xfId="1405"/>
    <cellStyle name="Normal 2 8 2" xfId="4215"/>
    <cellStyle name="Normal 2 8 2 2" xfId="9851"/>
    <cellStyle name="Normal 2 8 3" xfId="7041"/>
    <cellStyle name="Normal 2 9" xfId="2814"/>
    <cellStyle name="Normal 2 9 2" xfId="8450"/>
    <cellStyle name="Normal 20" xfId="81"/>
    <cellStyle name="Normal 20 2" xfId="253"/>
    <cellStyle name="Normal 20 2 2" xfId="597"/>
    <cellStyle name="Normal 20 2 2 2" xfId="1293"/>
    <cellStyle name="Normal 20 2 2 2 2" xfId="2694"/>
    <cellStyle name="Normal 20 2 2 2 2 2" xfId="5504"/>
    <cellStyle name="Normal 20 2 2 2 2 2 2" xfId="11140"/>
    <cellStyle name="Normal 20 2 2 2 2 3" xfId="8330"/>
    <cellStyle name="Normal 20 2 2 2 3" xfId="4103"/>
    <cellStyle name="Normal 20 2 2 2 3 2" xfId="9739"/>
    <cellStyle name="Normal 20 2 2 2 4" xfId="6929"/>
    <cellStyle name="Normal 20 2 2 3" xfId="1998"/>
    <cellStyle name="Normal 20 2 2 3 2" xfId="4808"/>
    <cellStyle name="Normal 20 2 2 3 2 2" xfId="10444"/>
    <cellStyle name="Normal 20 2 2 3 3" xfId="7634"/>
    <cellStyle name="Normal 20 2 2 4" xfId="3407"/>
    <cellStyle name="Normal 20 2 2 4 2" xfId="9043"/>
    <cellStyle name="Normal 20 2 2 5" xfId="6233"/>
    <cellStyle name="Normal 20 2 3" xfId="949"/>
    <cellStyle name="Normal 20 2 3 2" xfId="2350"/>
    <cellStyle name="Normal 20 2 3 2 2" xfId="5160"/>
    <cellStyle name="Normal 20 2 3 2 2 2" xfId="10796"/>
    <cellStyle name="Normal 20 2 3 2 3" xfId="7986"/>
    <cellStyle name="Normal 20 2 3 3" xfId="3759"/>
    <cellStyle name="Normal 20 2 3 3 2" xfId="9395"/>
    <cellStyle name="Normal 20 2 3 4" xfId="6585"/>
    <cellStyle name="Normal 20 2 4" xfId="1654"/>
    <cellStyle name="Normal 20 2 4 2" xfId="4464"/>
    <cellStyle name="Normal 20 2 4 2 2" xfId="10100"/>
    <cellStyle name="Normal 20 2 4 3" xfId="7290"/>
    <cellStyle name="Normal 20 2 5" xfId="3063"/>
    <cellStyle name="Normal 20 2 5 2" xfId="8699"/>
    <cellStyle name="Normal 20 2 6" xfId="5889"/>
    <cellStyle name="Normal 20 3" xfId="425"/>
    <cellStyle name="Normal 20 3 2" xfId="1121"/>
    <cellStyle name="Normal 20 3 2 2" xfId="2522"/>
    <cellStyle name="Normal 20 3 2 2 2" xfId="5332"/>
    <cellStyle name="Normal 20 3 2 2 2 2" xfId="10968"/>
    <cellStyle name="Normal 20 3 2 2 3" xfId="8158"/>
    <cellStyle name="Normal 20 3 2 3" xfId="3931"/>
    <cellStyle name="Normal 20 3 2 3 2" xfId="9567"/>
    <cellStyle name="Normal 20 3 2 4" xfId="6757"/>
    <cellStyle name="Normal 20 3 3" xfId="1826"/>
    <cellStyle name="Normal 20 3 3 2" xfId="4636"/>
    <cellStyle name="Normal 20 3 3 2 2" xfId="10272"/>
    <cellStyle name="Normal 20 3 3 3" xfId="7462"/>
    <cellStyle name="Normal 20 3 4" xfId="3235"/>
    <cellStyle name="Normal 20 3 4 2" xfId="8871"/>
    <cellStyle name="Normal 20 3 5" xfId="6061"/>
    <cellStyle name="Normal 20 4" xfId="777"/>
    <cellStyle name="Normal 20 4 2" xfId="2178"/>
    <cellStyle name="Normal 20 4 2 2" xfId="4988"/>
    <cellStyle name="Normal 20 4 2 2 2" xfId="10624"/>
    <cellStyle name="Normal 20 4 2 3" xfId="7814"/>
    <cellStyle name="Normal 20 4 3" xfId="3587"/>
    <cellStyle name="Normal 20 4 3 2" xfId="9223"/>
    <cellStyle name="Normal 20 4 4" xfId="6413"/>
    <cellStyle name="Normal 20 5" xfId="1482"/>
    <cellStyle name="Normal 20 5 2" xfId="4292"/>
    <cellStyle name="Normal 20 5 2 2" xfId="9928"/>
    <cellStyle name="Normal 20 5 3" xfId="7118"/>
    <cellStyle name="Normal 20 6" xfId="2891"/>
    <cellStyle name="Normal 20 6 2" xfId="8527"/>
    <cellStyle name="Normal 20 7" xfId="5717"/>
    <cellStyle name="Normal 21" xfId="162"/>
    <cellStyle name="Normal 21 2" xfId="334"/>
    <cellStyle name="Normal 21 2 2" xfId="678"/>
    <cellStyle name="Normal 21 2 2 2" xfId="1374"/>
    <cellStyle name="Normal 21 2 2 2 2" xfId="2775"/>
    <cellStyle name="Normal 21 2 2 2 2 2" xfId="5585"/>
    <cellStyle name="Normal 21 2 2 2 2 2 2" xfId="11221"/>
    <cellStyle name="Normal 21 2 2 2 2 3" xfId="8411"/>
    <cellStyle name="Normal 21 2 2 2 3" xfId="4184"/>
    <cellStyle name="Normal 21 2 2 2 3 2" xfId="9820"/>
    <cellStyle name="Normal 21 2 2 2 4" xfId="7010"/>
    <cellStyle name="Normal 21 2 2 3" xfId="2079"/>
    <cellStyle name="Normal 21 2 2 3 2" xfId="4889"/>
    <cellStyle name="Normal 21 2 2 3 2 2" xfId="10525"/>
    <cellStyle name="Normal 21 2 2 3 3" xfId="7715"/>
    <cellStyle name="Normal 21 2 2 4" xfId="3488"/>
    <cellStyle name="Normal 21 2 2 4 2" xfId="9124"/>
    <cellStyle name="Normal 21 2 2 5" xfId="6314"/>
    <cellStyle name="Normal 21 2 3" xfId="1030"/>
    <cellStyle name="Normal 21 2 3 2" xfId="2431"/>
    <cellStyle name="Normal 21 2 3 2 2" xfId="5241"/>
    <cellStyle name="Normal 21 2 3 2 2 2" xfId="10877"/>
    <cellStyle name="Normal 21 2 3 2 3" xfId="8067"/>
    <cellStyle name="Normal 21 2 3 3" xfId="3840"/>
    <cellStyle name="Normal 21 2 3 3 2" xfId="9476"/>
    <cellStyle name="Normal 21 2 3 4" xfId="6666"/>
    <cellStyle name="Normal 21 2 4" xfId="1735"/>
    <cellStyle name="Normal 21 2 4 2" xfId="4545"/>
    <cellStyle name="Normal 21 2 4 2 2" xfId="10181"/>
    <cellStyle name="Normal 21 2 4 3" xfId="7371"/>
    <cellStyle name="Normal 21 2 5" xfId="3144"/>
    <cellStyle name="Normal 21 2 5 2" xfId="8780"/>
    <cellStyle name="Normal 21 2 6" xfId="5970"/>
    <cellStyle name="Normal 21 3" xfId="506"/>
    <cellStyle name="Normal 21 3 2" xfId="1202"/>
    <cellStyle name="Normal 21 3 2 2" xfId="2603"/>
    <cellStyle name="Normal 21 3 2 2 2" xfId="5413"/>
    <cellStyle name="Normal 21 3 2 2 2 2" xfId="11049"/>
    <cellStyle name="Normal 21 3 2 2 3" xfId="8239"/>
    <cellStyle name="Normal 21 3 2 3" xfId="4012"/>
    <cellStyle name="Normal 21 3 2 3 2" xfId="9648"/>
    <cellStyle name="Normal 21 3 2 4" xfId="6838"/>
    <cellStyle name="Normal 21 3 3" xfId="1907"/>
    <cellStyle name="Normal 21 3 3 2" xfId="4717"/>
    <cellStyle name="Normal 21 3 3 2 2" xfId="10353"/>
    <cellStyle name="Normal 21 3 3 3" xfId="7543"/>
    <cellStyle name="Normal 21 3 4" xfId="3316"/>
    <cellStyle name="Normal 21 3 4 2" xfId="8952"/>
    <cellStyle name="Normal 21 3 5" xfId="6142"/>
    <cellStyle name="Normal 21 4" xfId="858"/>
    <cellStyle name="Normal 21 4 2" xfId="2259"/>
    <cellStyle name="Normal 21 4 2 2" xfId="5069"/>
    <cellStyle name="Normal 21 4 2 2 2" xfId="10705"/>
    <cellStyle name="Normal 21 4 2 3" xfId="7895"/>
    <cellStyle name="Normal 21 4 3" xfId="3668"/>
    <cellStyle name="Normal 21 4 3 2" xfId="9304"/>
    <cellStyle name="Normal 21 4 4" xfId="6494"/>
    <cellStyle name="Normal 21 5" xfId="1563"/>
    <cellStyle name="Normal 21 5 2" xfId="4373"/>
    <cellStyle name="Normal 21 5 2 2" xfId="10009"/>
    <cellStyle name="Normal 21 5 3" xfId="7199"/>
    <cellStyle name="Normal 21 6" xfId="2972"/>
    <cellStyle name="Normal 21 6 2" xfId="8608"/>
    <cellStyle name="Normal 21 7" xfId="5798"/>
    <cellStyle name="Normal 22" xfId="164"/>
    <cellStyle name="Normal 22 2" xfId="336"/>
    <cellStyle name="Normal 22 2 2" xfId="680"/>
    <cellStyle name="Normal 22 2 2 2" xfId="1376"/>
    <cellStyle name="Normal 22 2 2 2 2" xfId="2777"/>
    <cellStyle name="Normal 22 2 2 2 2 2" xfId="5587"/>
    <cellStyle name="Normal 22 2 2 2 2 2 2" xfId="11223"/>
    <cellStyle name="Normal 22 2 2 2 2 3" xfId="8413"/>
    <cellStyle name="Normal 22 2 2 2 3" xfId="4186"/>
    <cellStyle name="Normal 22 2 2 2 3 2" xfId="9822"/>
    <cellStyle name="Normal 22 2 2 2 4" xfId="7012"/>
    <cellStyle name="Normal 22 2 2 3" xfId="2081"/>
    <cellStyle name="Normal 22 2 2 3 2" xfId="4891"/>
    <cellStyle name="Normal 22 2 2 3 2 2" xfId="10527"/>
    <cellStyle name="Normal 22 2 2 3 3" xfId="7717"/>
    <cellStyle name="Normal 22 2 2 4" xfId="3490"/>
    <cellStyle name="Normal 22 2 2 4 2" xfId="9126"/>
    <cellStyle name="Normal 22 2 2 5" xfId="6316"/>
    <cellStyle name="Normal 22 2 3" xfId="1032"/>
    <cellStyle name="Normal 22 2 3 2" xfId="2433"/>
    <cellStyle name="Normal 22 2 3 2 2" xfId="5243"/>
    <cellStyle name="Normal 22 2 3 2 2 2" xfId="10879"/>
    <cellStyle name="Normal 22 2 3 2 3" xfId="8069"/>
    <cellStyle name="Normal 22 2 3 3" xfId="3842"/>
    <cellStyle name="Normal 22 2 3 3 2" xfId="9478"/>
    <cellStyle name="Normal 22 2 3 4" xfId="6668"/>
    <cellStyle name="Normal 22 2 4" xfId="1737"/>
    <cellStyle name="Normal 22 2 4 2" xfId="4547"/>
    <cellStyle name="Normal 22 2 4 2 2" xfId="10183"/>
    <cellStyle name="Normal 22 2 4 3" xfId="7373"/>
    <cellStyle name="Normal 22 2 5" xfId="3146"/>
    <cellStyle name="Normal 22 2 5 2" xfId="8782"/>
    <cellStyle name="Normal 22 2 6" xfId="5972"/>
    <cellStyle name="Normal 22 3" xfId="508"/>
    <cellStyle name="Normal 22 3 2" xfId="1204"/>
    <cellStyle name="Normal 22 3 2 2" xfId="2605"/>
    <cellStyle name="Normal 22 3 2 2 2" xfId="5415"/>
    <cellStyle name="Normal 22 3 2 2 2 2" xfId="11051"/>
    <cellStyle name="Normal 22 3 2 2 3" xfId="8241"/>
    <cellStyle name="Normal 22 3 2 3" xfId="4014"/>
    <cellStyle name="Normal 22 3 2 3 2" xfId="9650"/>
    <cellStyle name="Normal 22 3 2 4" xfId="6840"/>
    <cellStyle name="Normal 22 3 3" xfId="1909"/>
    <cellStyle name="Normal 22 3 3 2" xfId="4719"/>
    <cellStyle name="Normal 22 3 3 2 2" xfId="10355"/>
    <cellStyle name="Normal 22 3 3 3" xfId="7545"/>
    <cellStyle name="Normal 22 3 4" xfId="3318"/>
    <cellStyle name="Normal 22 3 4 2" xfId="8954"/>
    <cellStyle name="Normal 22 3 5" xfId="6144"/>
    <cellStyle name="Normal 22 4" xfId="860"/>
    <cellStyle name="Normal 22 4 2" xfId="2261"/>
    <cellStyle name="Normal 22 4 2 2" xfId="5071"/>
    <cellStyle name="Normal 22 4 2 2 2" xfId="10707"/>
    <cellStyle name="Normal 22 4 2 3" xfId="7897"/>
    <cellStyle name="Normal 22 4 3" xfId="3670"/>
    <cellStyle name="Normal 22 4 3 2" xfId="9306"/>
    <cellStyle name="Normal 22 4 4" xfId="6496"/>
    <cellStyle name="Normal 22 5" xfId="1565"/>
    <cellStyle name="Normal 22 5 2" xfId="4375"/>
    <cellStyle name="Normal 22 5 2 2" xfId="10011"/>
    <cellStyle name="Normal 22 5 3" xfId="7201"/>
    <cellStyle name="Normal 22 6" xfId="2974"/>
    <cellStyle name="Normal 22 6 2" xfId="8610"/>
    <cellStyle name="Normal 22 7" xfId="5800"/>
    <cellStyle name="Normal 23" xfId="166"/>
    <cellStyle name="Normal 23 2" xfId="338"/>
    <cellStyle name="Normal 23 2 2" xfId="682"/>
    <cellStyle name="Normal 23 2 2 2" xfId="1378"/>
    <cellStyle name="Normal 23 2 2 2 2" xfId="2779"/>
    <cellStyle name="Normal 23 2 2 2 2 2" xfId="5589"/>
    <cellStyle name="Normal 23 2 2 2 2 2 2" xfId="11225"/>
    <cellStyle name="Normal 23 2 2 2 2 3" xfId="8415"/>
    <cellStyle name="Normal 23 2 2 2 3" xfId="4188"/>
    <cellStyle name="Normal 23 2 2 2 3 2" xfId="9824"/>
    <cellStyle name="Normal 23 2 2 2 4" xfId="7014"/>
    <cellStyle name="Normal 23 2 2 3" xfId="2083"/>
    <cellStyle name="Normal 23 2 2 3 2" xfId="4893"/>
    <cellStyle name="Normal 23 2 2 3 2 2" xfId="10529"/>
    <cellStyle name="Normal 23 2 2 3 3" xfId="7719"/>
    <cellStyle name="Normal 23 2 2 4" xfId="3492"/>
    <cellStyle name="Normal 23 2 2 4 2" xfId="9128"/>
    <cellStyle name="Normal 23 2 2 5" xfId="6318"/>
    <cellStyle name="Normal 23 2 3" xfId="1034"/>
    <cellStyle name="Normal 23 2 3 2" xfId="2435"/>
    <cellStyle name="Normal 23 2 3 2 2" xfId="5245"/>
    <cellStyle name="Normal 23 2 3 2 2 2" xfId="10881"/>
    <cellStyle name="Normal 23 2 3 2 3" xfId="8071"/>
    <cellStyle name="Normal 23 2 3 3" xfId="3844"/>
    <cellStyle name="Normal 23 2 3 3 2" xfId="9480"/>
    <cellStyle name="Normal 23 2 3 4" xfId="6670"/>
    <cellStyle name="Normal 23 2 4" xfId="1739"/>
    <cellStyle name="Normal 23 2 4 2" xfId="4549"/>
    <cellStyle name="Normal 23 2 4 2 2" xfId="10185"/>
    <cellStyle name="Normal 23 2 4 3" xfId="7375"/>
    <cellStyle name="Normal 23 2 5" xfId="3148"/>
    <cellStyle name="Normal 23 2 5 2" xfId="8784"/>
    <cellStyle name="Normal 23 2 6" xfId="5974"/>
    <cellStyle name="Normal 23 3" xfId="510"/>
    <cellStyle name="Normal 23 3 2" xfId="1206"/>
    <cellStyle name="Normal 23 3 2 2" xfId="2607"/>
    <cellStyle name="Normal 23 3 2 2 2" xfId="5417"/>
    <cellStyle name="Normal 23 3 2 2 2 2" xfId="11053"/>
    <cellStyle name="Normal 23 3 2 2 3" xfId="8243"/>
    <cellStyle name="Normal 23 3 2 3" xfId="4016"/>
    <cellStyle name="Normal 23 3 2 3 2" xfId="9652"/>
    <cellStyle name="Normal 23 3 2 4" xfId="6842"/>
    <cellStyle name="Normal 23 3 3" xfId="1911"/>
    <cellStyle name="Normal 23 3 3 2" xfId="4721"/>
    <cellStyle name="Normal 23 3 3 2 2" xfId="10357"/>
    <cellStyle name="Normal 23 3 3 3" xfId="7547"/>
    <cellStyle name="Normal 23 3 4" xfId="3320"/>
    <cellStyle name="Normal 23 3 4 2" xfId="8956"/>
    <cellStyle name="Normal 23 3 5" xfId="6146"/>
    <cellStyle name="Normal 23 4" xfId="862"/>
    <cellStyle name="Normal 23 4 2" xfId="2263"/>
    <cellStyle name="Normal 23 4 2 2" xfId="5073"/>
    <cellStyle name="Normal 23 4 2 2 2" xfId="10709"/>
    <cellStyle name="Normal 23 4 2 3" xfId="7899"/>
    <cellStyle name="Normal 23 4 3" xfId="3672"/>
    <cellStyle name="Normal 23 4 3 2" xfId="9308"/>
    <cellStyle name="Normal 23 4 4" xfId="6498"/>
    <cellStyle name="Normal 23 5" xfId="1567"/>
    <cellStyle name="Normal 23 5 2" xfId="4377"/>
    <cellStyle name="Normal 23 5 2 2" xfId="10013"/>
    <cellStyle name="Normal 23 5 3" xfId="7203"/>
    <cellStyle name="Normal 23 6" xfId="2976"/>
    <cellStyle name="Normal 23 6 2" xfId="8612"/>
    <cellStyle name="Normal 23 7" xfId="5802"/>
    <cellStyle name="Normal 24" xfId="168"/>
    <cellStyle name="Normal 24 2" xfId="340"/>
    <cellStyle name="Normal 24 2 2" xfId="684"/>
    <cellStyle name="Normal 24 2 2 2" xfId="1380"/>
    <cellStyle name="Normal 24 2 2 2 2" xfId="2781"/>
    <cellStyle name="Normal 24 2 2 2 2 2" xfId="5591"/>
    <cellStyle name="Normal 24 2 2 2 2 2 2" xfId="11227"/>
    <cellStyle name="Normal 24 2 2 2 2 3" xfId="8417"/>
    <cellStyle name="Normal 24 2 2 2 3" xfId="4190"/>
    <cellStyle name="Normal 24 2 2 2 3 2" xfId="9826"/>
    <cellStyle name="Normal 24 2 2 2 4" xfId="7016"/>
    <cellStyle name="Normal 24 2 2 3" xfId="2085"/>
    <cellStyle name="Normal 24 2 2 3 2" xfId="4895"/>
    <cellStyle name="Normal 24 2 2 3 2 2" xfId="10531"/>
    <cellStyle name="Normal 24 2 2 3 3" xfId="7721"/>
    <cellStyle name="Normal 24 2 2 4" xfId="3494"/>
    <cellStyle name="Normal 24 2 2 4 2" xfId="9130"/>
    <cellStyle name="Normal 24 2 2 5" xfId="6320"/>
    <cellStyle name="Normal 24 2 3" xfId="1036"/>
    <cellStyle name="Normal 24 2 3 2" xfId="2437"/>
    <cellStyle name="Normal 24 2 3 2 2" xfId="5247"/>
    <cellStyle name="Normal 24 2 3 2 2 2" xfId="10883"/>
    <cellStyle name="Normal 24 2 3 2 3" xfId="8073"/>
    <cellStyle name="Normal 24 2 3 3" xfId="3846"/>
    <cellStyle name="Normal 24 2 3 3 2" xfId="9482"/>
    <cellStyle name="Normal 24 2 3 4" xfId="6672"/>
    <cellStyle name="Normal 24 2 4" xfId="1741"/>
    <cellStyle name="Normal 24 2 4 2" xfId="4551"/>
    <cellStyle name="Normal 24 2 4 2 2" xfId="10187"/>
    <cellStyle name="Normal 24 2 4 3" xfId="7377"/>
    <cellStyle name="Normal 24 2 5" xfId="3150"/>
    <cellStyle name="Normal 24 2 5 2" xfId="8786"/>
    <cellStyle name="Normal 24 2 6" xfId="5976"/>
    <cellStyle name="Normal 24 3" xfId="512"/>
    <cellStyle name="Normal 24 3 2" xfId="1208"/>
    <cellStyle name="Normal 24 3 2 2" xfId="2609"/>
    <cellStyle name="Normal 24 3 2 2 2" xfId="5419"/>
    <cellStyle name="Normal 24 3 2 2 2 2" xfId="11055"/>
    <cellStyle name="Normal 24 3 2 2 3" xfId="8245"/>
    <cellStyle name="Normal 24 3 2 3" xfId="4018"/>
    <cellStyle name="Normal 24 3 2 3 2" xfId="9654"/>
    <cellStyle name="Normal 24 3 2 4" xfId="6844"/>
    <cellStyle name="Normal 24 3 3" xfId="1913"/>
    <cellStyle name="Normal 24 3 3 2" xfId="4723"/>
    <cellStyle name="Normal 24 3 3 2 2" xfId="10359"/>
    <cellStyle name="Normal 24 3 3 3" xfId="7549"/>
    <cellStyle name="Normal 24 3 4" xfId="3322"/>
    <cellStyle name="Normal 24 3 4 2" xfId="8958"/>
    <cellStyle name="Normal 24 3 5" xfId="6148"/>
    <cellStyle name="Normal 24 4" xfId="864"/>
    <cellStyle name="Normal 24 4 2" xfId="2265"/>
    <cellStyle name="Normal 24 4 2 2" xfId="5075"/>
    <cellStyle name="Normal 24 4 2 2 2" xfId="10711"/>
    <cellStyle name="Normal 24 4 2 3" xfId="7901"/>
    <cellStyle name="Normal 24 4 3" xfId="3674"/>
    <cellStyle name="Normal 24 4 3 2" xfId="9310"/>
    <cellStyle name="Normal 24 4 4" xfId="6500"/>
    <cellStyle name="Normal 24 5" xfId="1569"/>
    <cellStyle name="Normal 24 5 2" xfId="4379"/>
    <cellStyle name="Normal 24 5 2 2" xfId="10015"/>
    <cellStyle name="Normal 24 5 3" xfId="7205"/>
    <cellStyle name="Normal 24 6" xfId="2978"/>
    <cellStyle name="Normal 24 6 2" xfId="8614"/>
    <cellStyle name="Normal 24 7" xfId="5804"/>
    <cellStyle name="Normal 25" xfId="170"/>
    <cellStyle name="Normal 25 2" xfId="342"/>
    <cellStyle name="Normal 25 2 2" xfId="686"/>
    <cellStyle name="Normal 25 2 2 2" xfId="1382"/>
    <cellStyle name="Normal 25 2 2 2 2" xfId="2783"/>
    <cellStyle name="Normal 25 2 2 2 2 2" xfId="5593"/>
    <cellStyle name="Normal 25 2 2 2 2 2 2" xfId="11229"/>
    <cellStyle name="Normal 25 2 2 2 2 3" xfId="8419"/>
    <cellStyle name="Normal 25 2 2 2 3" xfId="4192"/>
    <cellStyle name="Normal 25 2 2 2 3 2" xfId="9828"/>
    <cellStyle name="Normal 25 2 2 2 4" xfId="7018"/>
    <cellStyle name="Normal 25 2 2 3" xfId="2087"/>
    <cellStyle name="Normal 25 2 2 3 2" xfId="4897"/>
    <cellStyle name="Normal 25 2 2 3 2 2" xfId="10533"/>
    <cellStyle name="Normal 25 2 2 3 3" xfId="7723"/>
    <cellStyle name="Normal 25 2 2 4" xfId="3496"/>
    <cellStyle name="Normal 25 2 2 4 2" xfId="9132"/>
    <cellStyle name="Normal 25 2 2 5" xfId="6322"/>
    <cellStyle name="Normal 25 2 3" xfId="1038"/>
    <cellStyle name="Normal 25 2 3 2" xfId="2439"/>
    <cellStyle name="Normal 25 2 3 2 2" xfId="5249"/>
    <cellStyle name="Normal 25 2 3 2 2 2" xfId="10885"/>
    <cellStyle name="Normal 25 2 3 2 3" xfId="8075"/>
    <cellStyle name="Normal 25 2 3 3" xfId="3848"/>
    <cellStyle name="Normal 25 2 3 3 2" xfId="9484"/>
    <cellStyle name="Normal 25 2 3 4" xfId="6674"/>
    <cellStyle name="Normal 25 2 4" xfId="1743"/>
    <cellStyle name="Normal 25 2 4 2" xfId="4553"/>
    <cellStyle name="Normal 25 2 4 2 2" xfId="10189"/>
    <cellStyle name="Normal 25 2 4 3" xfId="7379"/>
    <cellStyle name="Normal 25 2 5" xfId="3152"/>
    <cellStyle name="Normal 25 2 5 2" xfId="8788"/>
    <cellStyle name="Normal 25 2 6" xfId="5978"/>
    <cellStyle name="Normal 25 3" xfId="514"/>
    <cellStyle name="Normal 25 3 2" xfId="1210"/>
    <cellStyle name="Normal 25 3 2 2" xfId="2611"/>
    <cellStyle name="Normal 25 3 2 2 2" xfId="5421"/>
    <cellStyle name="Normal 25 3 2 2 2 2" xfId="11057"/>
    <cellStyle name="Normal 25 3 2 2 3" xfId="8247"/>
    <cellStyle name="Normal 25 3 2 3" xfId="4020"/>
    <cellStyle name="Normal 25 3 2 3 2" xfId="9656"/>
    <cellStyle name="Normal 25 3 2 4" xfId="6846"/>
    <cellStyle name="Normal 25 3 3" xfId="1915"/>
    <cellStyle name="Normal 25 3 3 2" xfId="4725"/>
    <cellStyle name="Normal 25 3 3 2 2" xfId="10361"/>
    <cellStyle name="Normal 25 3 3 3" xfId="7551"/>
    <cellStyle name="Normal 25 3 4" xfId="3324"/>
    <cellStyle name="Normal 25 3 4 2" xfId="8960"/>
    <cellStyle name="Normal 25 3 5" xfId="6150"/>
    <cellStyle name="Normal 25 4" xfId="866"/>
    <cellStyle name="Normal 25 4 2" xfId="2267"/>
    <cellStyle name="Normal 25 4 2 2" xfId="5077"/>
    <cellStyle name="Normal 25 4 2 2 2" xfId="10713"/>
    <cellStyle name="Normal 25 4 2 3" xfId="7903"/>
    <cellStyle name="Normal 25 4 3" xfId="3676"/>
    <cellStyle name="Normal 25 4 3 2" xfId="9312"/>
    <cellStyle name="Normal 25 4 4" xfId="6502"/>
    <cellStyle name="Normal 25 5" xfId="1571"/>
    <cellStyle name="Normal 25 5 2" xfId="4381"/>
    <cellStyle name="Normal 25 5 2 2" xfId="10017"/>
    <cellStyle name="Normal 25 5 3" xfId="7207"/>
    <cellStyle name="Normal 25 6" xfId="2980"/>
    <cellStyle name="Normal 25 6 2" xfId="8616"/>
    <cellStyle name="Normal 25 7" xfId="5806"/>
    <cellStyle name="Normal 26" xfId="172"/>
    <cellStyle name="Normal 26 2" xfId="516"/>
    <cellStyle name="Normal 26 2 2" xfId="1212"/>
    <cellStyle name="Normal 26 2 2 2" xfId="2613"/>
    <cellStyle name="Normal 26 2 2 2 2" xfId="5423"/>
    <cellStyle name="Normal 26 2 2 2 2 2" xfId="11059"/>
    <cellStyle name="Normal 26 2 2 2 3" xfId="8249"/>
    <cellStyle name="Normal 26 2 2 3" xfId="4022"/>
    <cellStyle name="Normal 26 2 2 3 2" xfId="9658"/>
    <cellStyle name="Normal 26 2 2 4" xfId="6848"/>
    <cellStyle name="Normal 26 2 3" xfId="1917"/>
    <cellStyle name="Normal 26 2 3 2" xfId="4727"/>
    <cellStyle name="Normal 26 2 3 2 2" xfId="10363"/>
    <cellStyle name="Normal 26 2 3 3" xfId="7553"/>
    <cellStyle name="Normal 26 2 4" xfId="3326"/>
    <cellStyle name="Normal 26 2 4 2" xfId="8962"/>
    <cellStyle name="Normal 26 2 5" xfId="6152"/>
    <cellStyle name="Normal 26 3" xfId="868"/>
    <cellStyle name="Normal 26 3 2" xfId="2269"/>
    <cellStyle name="Normal 26 3 2 2" xfId="5079"/>
    <cellStyle name="Normal 26 3 2 2 2" xfId="10715"/>
    <cellStyle name="Normal 26 3 2 3" xfId="7905"/>
    <cellStyle name="Normal 26 3 3" xfId="3678"/>
    <cellStyle name="Normal 26 3 3 2" xfId="9314"/>
    <cellStyle name="Normal 26 3 4" xfId="6504"/>
    <cellStyle name="Normal 26 4" xfId="1573"/>
    <cellStyle name="Normal 26 4 2" xfId="4383"/>
    <cellStyle name="Normal 26 4 2 2" xfId="10019"/>
    <cellStyle name="Normal 26 4 3" xfId="7209"/>
    <cellStyle name="Normal 26 5" xfId="2982"/>
    <cellStyle name="Normal 26 5 2" xfId="8618"/>
    <cellStyle name="Normal 26 6" xfId="5808"/>
    <cellStyle name="Normal 27" xfId="344"/>
    <cellStyle name="Normal 27 2" xfId="1040"/>
    <cellStyle name="Normal 27 2 2" xfId="2441"/>
    <cellStyle name="Normal 27 2 2 2" xfId="5251"/>
    <cellStyle name="Normal 27 2 2 2 2" xfId="10887"/>
    <cellStyle name="Normal 27 2 2 3" xfId="8077"/>
    <cellStyle name="Normal 27 2 3" xfId="3850"/>
    <cellStyle name="Normal 27 2 3 2" xfId="9486"/>
    <cellStyle name="Normal 27 2 4" xfId="6676"/>
    <cellStyle name="Normal 27 3" xfId="1745"/>
    <cellStyle name="Normal 27 3 2" xfId="4555"/>
    <cellStyle name="Normal 27 3 2 2" xfId="10191"/>
    <cellStyle name="Normal 27 3 3" xfId="7381"/>
    <cellStyle name="Normal 27 4" xfId="3154"/>
    <cellStyle name="Normal 27 4 2" xfId="8790"/>
    <cellStyle name="Normal 27 5" xfId="5980"/>
    <cellStyle name="Normal 28" xfId="688"/>
    <cellStyle name="Normal 28 2" xfId="1384"/>
    <cellStyle name="Normal 28 2 2" xfId="2785"/>
    <cellStyle name="Normal 28 2 2 2" xfId="5595"/>
    <cellStyle name="Normal 28 2 2 2 2" xfId="11231"/>
    <cellStyle name="Normal 28 2 2 3" xfId="8421"/>
    <cellStyle name="Normal 28 2 3" xfId="4194"/>
    <cellStyle name="Normal 28 2 3 2" xfId="9830"/>
    <cellStyle name="Normal 28 2 4" xfId="7020"/>
    <cellStyle name="Normal 28 3" xfId="2089"/>
    <cellStyle name="Normal 28 3 2" xfId="4899"/>
    <cellStyle name="Normal 28 3 2 2" xfId="10535"/>
    <cellStyle name="Normal 28 3 3" xfId="7725"/>
    <cellStyle name="Normal 28 4" xfId="3498"/>
    <cellStyle name="Normal 28 4 2" xfId="9134"/>
    <cellStyle name="Normal 28 5" xfId="6324"/>
    <cellStyle name="Normal 29" xfId="690"/>
    <cellStyle name="Normal 29 2" xfId="1386"/>
    <cellStyle name="Normal 29 2 2" xfId="2787"/>
    <cellStyle name="Normal 29 2 2 2" xfId="5597"/>
    <cellStyle name="Normal 29 2 2 2 2" xfId="11233"/>
    <cellStyle name="Normal 29 2 2 3" xfId="8423"/>
    <cellStyle name="Normal 29 2 3" xfId="4196"/>
    <cellStyle name="Normal 29 2 3 2" xfId="9832"/>
    <cellStyle name="Normal 29 2 4" xfId="7022"/>
    <cellStyle name="Normal 29 3" xfId="2091"/>
    <cellStyle name="Normal 29 3 2" xfId="4901"/>
    <cellStyle name="Normal 29 3 2 2" xfId="10537"/>
    <cellStyle name="Normal 29 3 3" xfId="7727"/>
    <cellStyle name="Normal 29 4" xfId="3500"/>
    <cellStyle name="Normal 29 4 2" xfId="9136"/>
    <cellStyle name="Normal 29 5" xfId="6326"/>
    <cellStyle name="Normal 3" xfId="6"/>
    <cellStyle name="Normal 3 10" xfId="5642"/>
    <cellStyle name="Normal 3 2" xfId="18"/>
    <cellStyle name="Normal 3 2 2" xfId="50"/>
    <cellStyle name="Normal 3 2 2 2" xfId="130"/>
    <cellStyle name="Normal 3 2 2 2 2" xfId="302"/>
    <cellStyle name="Normal 3 2 2 2 2 2" xfId="646"/>
    <cellStyle name="Normal 3 2 2 2 2 2 2" xfId="1342"/>
    <cellStyle name="Normal 3 2 2 2 2 2 2 2" xfId="2743"/>
    <cellStyle name="Normal 3 2 2 2 2 2 2 2 2" xfId="5553"/>
    <cellStyle name="Normal 3 2 2 2 2 2 2 2 2 2" xfId="11189"/>
    <cellStyle name="Normal 3 2 2 2 2 2 2 2 3" xfId="8379"/>
    <cellStyle name="Normal 3 2 2 2 2 2 2 3" xfId="4152"/>
    <cellStyle name="Normal 3 2 2 2 2 2 2 3 2" xfId="9788"/>
    <cellStyle name="Normal 3 2 2 2 2 2 2 4" xfId="6978"/>
    <cellStyle name="Normal 3 2 2 2 2 2 3" xfId="2047"/>
    <cellStyle name="Normal 3 2 2 2 2 2 3 2" xfId="4857"/>
    <cellStyle name="Normal 3 2 2 2 2 2 3 2 2" xfId="10493"/>
    <cellStyle name="Normal 3 2 2 2 2 2 3 3" xfId="7683"/>
    <cellStyle name="Normal 3 2 2 2 2 2 4" xfId="3456"/>
    <cellStyle name="Normal 3 2 2 2 2 2 4 2" xfId="9092"/>
    <cellStyle name="Normal 3 2 2 2 2 2 5" xfId="6282"/>
    <cellStyle name="Normal 3 2 2 2 2 3" xfId="998"/>
    <cellStyle name="Normal 3 2 2 2 2 3 2" xfId="2399"/>
    <cellStyle name="Normal 3 2 2 2 2 3 2 2" xfId="5209"/>
    <cellStyle name="Normal 3 2 2 2 2 3 2 2 2" xfId="10845"/>
    <cellStyle name="Normal 3 2 2 2 2 3 2 3" xfId="8035"/>
    <cellStyle name="Normal 3 2 2 2 2 3 3" xfId="3808"/>
    <cellStyle name="Normal 3 2 2 2 2 3 3 2" xfId="9444"/>
    <cellStyle name="Normal 3 2 2 2 2 3 4" xfId="6634"/>
    <cellStyle name="Normal 3 2 2 2 2 4" xfId="1703"/>
    <cellStyle name="Normal 3 2 2 2 2 4 2" xfId="4513"/>
    <cellStyle name="Normal 3 2 2 2 2 4 2 2" xfId="10149"/>
    <cellStyle name="Normal 3 2 2 2 2 4 3" xfId="7339"/>
    <cellStyle name="Normal 3 2 2 2 2 5" xfId="3112"/>
    <cellStyle name="Normal 3 2 2 2 2 5 2" xfId="8748"/>
    <cellStyle name="Normal 3 2 2 2 2 6" xfId="5938"/>
    <cellStyle name="Normal 3 2 2 2 3" xfId="474"/>
    <cellStyle name="Normal 3 2 2 2 3 2" xfId="1170"/>
    <cellStyle name="Normal 3 2 2 2 3 2 2" xfId="2571"/>
    <cellStyle name="Normal 3 2 2 2 3 2 2 2" xfId="5381"/>
    <cellStyle name="Normal 3 2 2 2 3 2 2 2 2" xfId="11017"/>
    <cellStyle name="Normal 3 2 2 2 3 2 2 3" xfId="8207"/>
    <cellStyle name="Normal 3 2 2 2 3 2 3" xfId="3980"/>
    <cellStyle name="Normal 3 2 2 2 3 2 3 2" xfId="9616"/>
    <cellStyle name="Normal 3 2 2 2 3 2 4" xfId="6806"/>
    <cellStyle name="Normal 3 2 2 2 3 3" xfId="1875"/>
    <cellStyle name="Normal 3 2 2 2 3 3 2" xfId="4685"/>
    <cellStyle name="Normal 3 2 2 2 3 3 2 2" xfId="10321"/>
    <cellStyle name="Normal 3 2 2 2 3 3 3" xfId="7511"/>
    <cellStyle name="Normal 3 2 2 2 3 4" xfId="3284"/>
    <cellStyle name="Normal 3 2 2 2 3 4 2" xfId="8920"/>
    <cellStyle name="Normal 3 2 2 2 3 5" xfId="6110"/>
    <cellStyle name="Normal 3 2 2 2 4" xfId="826"/>
    <cellStyle name="Normal 3 2 2 2 4 2" xfId="2227"/>
    <cellStyle name="Normal 3 2 2 2 4 2 2" xfId="5037"/>
    <cellStyle name="Normal 3 2 2 2 4 2 2 2" xfId="10673"/>
    <cellStyle name="Normal 3 2 2 2 4 2 3" xfId="7863"/>
    <cellStyle name="Normal 3 2 2 2 4 3" xfId="3636"/>
    <cellStyle name="Normal 3 2 2 2 4 3 2" xfId="9272"/>
    <cellStyle name="Normal 3 2 2 2 4 4" xfId="6462"/>
    <cellStyle name="Normal 3 2 2 2 5" xfId="1531"/>
    <cellStyle name="Normal 3 2 2 2 5 2" xfId="4341"/>
    <cellStyle name="Normal 3 2 2 2 5 2 2" xfId="9977"/>
    <cellStyle name="Normal 3 2 2 2 5 3" xfId="7167"/>
    <cellStyle name="Normal 3 2 2 2 6" xfId="2940"/>
    <cellStyle name="Normal 3 2 2 2 6 2" xfId="8576"/>
    <cellStyle name="Normal 3 2 2 2 7" xfId="5766"/>
    <cellStyle name="Normal 3 2 2 3" xfId="222"/>
    <cellStyle name="Normal 3 2 2 3 2" xfId="566"/>
    <cellStyle name="Normal 3 2 2 3 2 2" xfId="1262"/>
    <cellStyle name="Normal 3 2 2 3 2 2 2" xfId="2663"/>
    <cellStyle name="Normal 3 2 2 3 2 2 2 2" xfId="5473"/>
    <cellStyle name="Normal 3 2 2 3 2 2 2 2 2" xfId="11109"/>
    <cellStyle name="Normal 3 2 2 3 2 2 2 3" xfId="8299"/>
    <cellStyle name="Normal 3 2 2 3 2 2 3" xfId="4072"/>
    <cellStyle name="Normal 3 2 2 3 2 2 3 2" xfId="9708"/>
    <cellStyle name="Normal 3 2 2 3 2 2 4" xfId="6898"/>
    <cellStyle name="Normal 3 2 2 3 2 3" xfId="1967"/>
    <cellStyle name="Normal 3 2 2 3 2 3 2" xfId="4777"/>
    <cellStyle name="Normal 3 2 2 3 2 3 2 2" xfId="10413"/>
    <cellStyle name="Normal 3 2 2 3 2 3 3" xfId="7603"/>
    <cellStyle name="Normal 3 2 2 3 2 4" xfId="3376"/>
    <cellStyle name="Normal 3 2 2 3 2 4 2" xfId="9012"/>
    <cellStyle name="Normal 3 2 2 3 2 5" xfId="6202"/>
    <cellStyle name="Normal 3 2 2 3 3" xfId="918"/>
    <cellStyle name="Normal 3 2 2 3 3 2" xfId="2319"/>
    <cellStyle name="Normal 3 2 2 3 3 2 2" xfId="5129"/>
    <cellStyle name="Normal 3 2 2 3 3 2 2 2" xfId="10765"/>
    <cellStyle name="Normal 3 2 2 3 3 2 3" xfId="7955"/>
    <cellStyle name="Normal 3 2 2 3 3 3" xfId="3728"/>
    <cellStyle name="Normal 3 2 2 3 3 3 2" xfId="9364"/>
    <cellStyle name="Normal 3 2 2 3 3 4" xfId="6554"/>
    <cellStyle name="Normal 3 2 2 3 4" xfId="1623"/>
    <cellStyle name="Normal 3 2 2 3 4 2" xfId="4433"/>
    <cellStyle name="Normal 3 2 2 3 4 2 2" xfId="10069"/>
    <cellStyle name="Normal 3 2 2 3 4 3" xfId="7259"/>
    <cellStyle name="Normal 3 2 2 3 5" xfId="3032"/>
    <cellStyle name="Normal 3 2 2 3 5 2" xfId="8668"/>
    <cellStyle name="Normal 3 2 2 3 6" xfId="5858"/>
    <cellStyle name="Normal 3 2 2 4" xfId="394"/>
    <cellStyle name="Normal 3 2 2 4 2" xfId="1090"/>
    <cellStyle name="Normal 3 2 2 4 2 2" xfId="2491"/>
    <cellStyle name="Normal 3 2 2 4 2 2 2" xfId="5301"/>
    <cellStyle name="Normal 3 2 2 4 2 2 2 2" xfId="10937"/>
    <cellStyle name="Normal 3 2 2 4 2 2 3" xfId="8127"/>
    <cellStyle name="Normal 3 2 2 4 2 3" xfId="3900"/>
    <cellStyle name="Normal 3 2 2 4 2 3 2" xfId="9536"/>
    <cellStyle name="Normal 3 2 2 4 2 4" xfId="6726"/>
    <cellStyle name="Normal 3 2 2 4 3" xfId="1795"/>
    <cellStyle name="Normal 3 2 2 4 3 2" xfId="4605"/>
    <cellStyle name="Normal 3 2 2 4 3 2 2" xfId="10241"/>
    <cellStyle name="Normal 3 2 2 4 3 3" xfId="7431"/>
    <cellStyle name="Normal 3 2 2 4 4" xfId="3204"/>
    <cellStyle name="Normal 3 2 2 4 4 2" xfId="8840"/>
    <cellStyle name="Normal 3 2 2 4 5" xfId="6030"/>
    <cellStyle name="Normal 3 2 2 5" xfId="746"/>
    <cellStyle name="Normal 3 2 2 5 2" xfId="2147"/>
    <cellStyle name="Normal 3 2 2 5 2 2" xfId="4957"/>
    <cellStyle name="Normal 3 2 2 5 2 2 2" xfId="10593"/>
    <cellStyle name="Normal 3 2 2 5 2 3" xfId="7783"/>
    <cellStyle name="Normal 3 2 2 5 3" xfId="3556"/>
    <cellStyle name="Normal 3 2 2 5 3 2" xfId="9192"/>
    <cellStyle name="Normal 3 2 2 5 4" xfId="6382"/>
    <cellStyle name="Normal 3 2 2 6" xfId="1451"/>
    <cellStyle name="Normal 3 2 2 6 2" xfId="4261"/>
    <cellStyle name="Normal 3 2 2 6 2 2" xfId="9897"/>
    <cellStyle name="Normal 3 2 2 6 3" xfId="7087"/>
    <cellStyle name="Normal 3 2 2 7" xfId="2860"/>
    <cellStyle name="Normal 3 2 2 7 2" xfId="8496"/>
    <cellStyle name="Normal 3 2 2 8" xfId="5686"/>
    <cellStyle name="Normal 3 2 3" xfId="98"/>
    <cellStyle name="Normal 3 2 3 2" xfId="270"/>
    <cellStyle name="Normal 3 2 3 2 2" xfId="614"/>
    <cellStyle name="Normal 3 2 3 2 2 2" xfId="1310"/>
    <cellStyle name="Normal 3 2 3 2 2 2 2" xfId="2711"/>
    <cellStyle name="Normal 3 2 3 2 2 2 2 2" xfId="5521"/>
    <cellStyle name="Normal 3 2 3 2 2 2 2 2 2" xfId="11157"/>
    <cellStyle name="Normal 3 2 3 2 2 2 2 3" xfId="8347"/>
    <cellStyle name="Normal 3 2 3 2 2 2 3" xfId="4120"/>
    <cellStyle name="Normal 3 2 3 2 2 2 3 2" xfId="9756"/>
    <cellStyle name="Normal 3 2 3 2 2 2 4" xfId="6946"/>
    <cellStyle name="Normal 3 2 3 2 2 3" xfId="2015"/>
    <cellStyle name="Normal 3 2 3 2 2 3 2" xfId="4825"/>
    <cellStyle name="Normal 3 2 3 2 2 3 2 2" xfId="10461"/>
    <cellStyle name="Normal 3 2 3 2 2 3 3" xfId="7651"/>
    <cellStyle name="Normal 3 2 3 2 2 4" xfId="3424"/>
    <cellStyle name="Normal 3 2 3 2 2 4 2" xfId="9060"/>
    <cellStyle name="Normal 3 2 3 2 2 5" xfId="6250"/>
    <cellStyle name="Normal 3 2 3 2 3" xfId="966"/>
    <cellStyle name="Normal 3 2 3 2 3 2" xfId="2367"/>
    <cellStyle name="Normal 3 2 3 2 3 2 2" xfId="5177"/>
    <cellStyle name="Normal 3 2 3 2 3 2 2 2" xfId="10813"/>
    <cellStyle name="Normal 3 2 3 2 3 2 3" xfId="8003"/>
    <cellStyle name="Normal 3 2 3 2 3 3" xfId="3776"/>
    <cellStyle name="Normal 3 2 3 2 3 3 2" xfId="9412"/>
    <cellStyle name="Normal 3 2 3 2 3 4" xfId="6602"/>
    <cellStyle name="Normal 3 2 3 2 4" xfId="1671"/>
    <cellStyle name="Normal 3 2 3 2 4 2" xfId="4481"/>
    <cellStyle name="Normal 3 2 3 2 4 2 2" xfId="10117"/>
    <cellStyle name="Normal 3 2 3 2 4 3" xfId="7307"/>
    <cellStyle name="Normal 3 2 3 2 5" xfId="3080"/>
    <cellStyle name="Normal 3 2 3 2 5 2" xfId="8716"/>
    <cellStyle name="Normal 3 2 3 2 6" xfId="5906"/>
    <cellStyle name="Normal 3 2 3 3" xfId="442"/>
    <cellStyle name="Normal 3 2 3 3 2" xfId="1138"/>
    <cellStyle name="Normal 3 2 3 3 2 2" xfId="2539"/>
    <cellStyle name="Normal 3 2 3 3 2 2 2" xfId="5349"/>
    <cellStyle name="Normal 3 2 3 3 2 2 2 2" xfId="10985"/>
    <cellStyle name="Normal 3 2 3 3 2 2 3" xfId="8175"/>
    <cellStyle name="Normal 3 2 3 3 2 3" xfId="3948"/>
    <cellStyle name="Normal 3 2 3 3 2 3 2" xfId="9584"/>
    <cellStyle name="Normal 3 2 3 3 2 4" xfId="6774"/>
    <cellStyle name="Normal 3 2 3 3 3" xfId="1843"/>
    <cellStyle name="Normal 3 2 3 3 3 2" xfId="4653"/>
    <cellStyle name="Normal 3 2 3 3 3 2 2" xfId="10289"/>
    <cellStyle name="Normal 3 2 3 3 3 3" xfId="7479"/>
    <cellStyle name="Normal 3 2 3 3 4" xfId="3252"/>
    <cellStyle name="Normal 3 2 3 3 4 2" xfId="8888"/>
    <cellStyle name="Normal 3 2 3 3 5" xfId="6078"/>
    <cellStyle name="Normal 3 2 3 4" xfId="794"/>
    <cellStyle name="Normal 3 2 3 4 2" xfId="2195"/>
    <cellStyle name="Normal 3 2 3 4 2 2" xfId="5005"/>
    <cellStyle name="Normal 3 2 3 4 2 2 2" xfId="10641"/>
    <cellStyle name="Normal 3 2 3 4 2 3" xfId="7831"/>
    <cellStyle name="Normal 3 2 3 4 3" xfId="3604"/>
    <cellStyle name="Normal 3 2 3 4 3 2" xfId="9240"/>
    <cellStyle name="Normal 3 2 3 4 4" xfId="6430"/>
    <cellStyle name="Normal 3 2 3 5" xfId="1499"/>
    <cellStyle name="Normal 3 2 3 5 2" xfId="4309"/>
    <cellStyle name="Normal 3 2 3 5 2 2" xfId="9945"/>
    <cellStyle name="Normal 3 2 3 5 3" xfId="7135"/>
    <cellStyle name="Normal 3 2 3 6" xfId="2908"/>
    <cellStyle name="Normal 3 2 3 6 2" xfId="8544"/>
    <cellStyle name="Normal 3 2 3 7" xfId="5734"/>
    <cellStyle name="Normal 3 2 4" xfId="190"/>
    <cellStyle name="Normal 3 2 4 2" xfId="534"/>
    <cellStyle name="Normal 3 2 4 2 2" xfId="1230"/>
    <cellStyle name="Normal 3 2 4 2 2 2" xfId="2631"/>
    <cellStyle name="Normal 3 2 4 2 2 2 2" xfId="5441"/>
    <cellStyle name="Normal 3 2 4 2 2 2 2 2" xfId="11077"/>
    <cellStyle name="Normal 3 2 4 2 2 2 3" xfId="8267"/>
    <cellStyle name="Normal 3 2 4 2 2 3" xfId="4040"/>
    <cellStyle name="Normal 3 2 4 2 2 3 2" xfId="9676"/>
    <cellStyle name="Normal 3 2 4 2 2 4" xfId="6866"/>
    <cellStyle name="Normal 3 2 4 2 3" xfId="1935"/>
    <cellStyle name="Normal 3 2 4 2 3 2" xfId="4745"/>
    <cellStyle name="Normal 3 2 4 2 3 2 2" xfId="10381"/>
    <cellStyle name="Normal 3 2 4 2 3 3" xfId="7571"/>
    <cellStyle name="Normal 3 2 4 2 4" xfId="3344"/>
    <cellStyle name="Normal 3 2 4 2 4 2" xfId="8980"/>
    <cellStyle name="Normal 3 2 4 2 5" xfId="6170"/>
    <cellStyle name="Normal 3 2 4 3" xfId="886"/>
    <cellStyle name="Normal 3 2 4 3 2" xfId="2287"/>
    <cellStyle name="Normal 3 2 4 3 2 2" xfId="5097"/>
    <cellStyle name="Normal 3 2 4 3 2 2 2" xfId="10733"/>
    <cellStyle name="Normal 3 2 4 3 2 3" xfId="7923"/>
    <cellStyle name="Normal 3 2 4 3 3" xfId="3696"/>
    <cellStyle name="Normal 3 2 4 3 3 2" xfId="9332"/>
    <cellStyle name="Normal 3 2 4 3 4" xfId="6522"/>
    <cellStyle name="Normal 3 2 4 4" xfId="1591"/>
    <cellStyle name="Normal 3 2 4 4 2" xfId="4401"/>
    <cellStyle name="Normal 3 2 4 4 2 2" xfId="10037"/>
    <cellStyle name="Normal 3 2 4 4 3" xfId="7227"/>
    <cellStyle name="Normal 3 2 4 5" xfId="3000"/>
    <cellStyle name="Normal 3 2 4 5 2" xfId="8636"/>
    <cellStyle name="Normal 3 2 4 6" xfId="5826"/>
    <cellStyle name="Normal 3 2 5" xfId="362"/>
    <cellStyle name="Normal 3 2 5 2" xfId="1058"/>
    <cellStyle name="Normal 3 2 5 2 2" xfId="2459"/>
    <cellStyle name="Normal 3 2 5 2 2 2" xfId="5269"/>
    <cellStyle name="Normal 3 2 5 2 2 2 2" xfId="10905"/>
    <cellStyle name="Normal 3 2 5 2 2 3" xfId="8095"/>
    <cellStyle name="Normal 3 2 5 2 3" xfId="3868"/>
    <cellStyle name="Normal 3 2 5 2 3 2" xfId="9504"/>
    <cellStyle name="Normal 3 2 5 2 4" xfId="6694"/>
    <cellStyle name="Normal 3 2 5 3" xfId="1763"/>
    <cellStyle name="Normal 3 2 5 3 2" xfId="4573"/>
    <cellStyle name="Normal 3 2 5 3 2 2" xfId="10209"/>
    <cellStyle name="Normal 3 2 5 3 3" xfId="7399"/>
    <cellStyle name="Normal 3 2 5 4" xfId="3172"/>
    <cellStyle name="Normal 3 2 5 4 2" xfId="8808"/>
    <cellStyle name="Normal 3 2 5 5" xfId="5998"/>
    <cellStyle name="Normal 3 2 6" xfId="714"/>
    <cellStyle name="Normal 3 2 6 2" xfId="2115"/>
    <cellStyle name="Normal 3 2 6 2 2" xfId="4925"/>
    <cellStyle name="Normal 3 2 6 2 2 2" xfId="10561"/>
    <cellStyle name="Normal 3 2 6 2 3" xfId="7751"/>
    <cellStyle name="Normal 3 2 6 3" xfId="3524"/>
    <cellStyle name="Normal 3 2 6 3 2" xfId="9160"/>
    <cellStyle name="Normal 3 2 6 4" xfId="6350"/>
    <cellStyle name="Normal 3 2 7" xfId="1419"/>
    <cellStyle name="Normal 3 2 7 2" xfId="4229"/>
    <cellStyle name="Normal 3 2 7 2 2" xfId="9865"/>
    <cellStyle name="Normal 3 2 7 3" xfId="7055"/>
    <cellStyle name="Normal 3 2 8" xfId="2828"/>
    <cellStyle name="Normal 3 2 8 2" xfId="8464"/>
    <cellStyle name="Normal 3 2 9" xfId="5654"/>
    <cellStyle name="Normal 3 3" xfId="38"/>
    <cellStyle name="Normal 3 3 2" xfId="118"/>
    <cellStyle name="Normal 3 3 2 2" xfId="290"/>
    <cellStyle name="Normal 3 3 2 2 2" xfId="634"/>
    <cellStyle name="Normal 3 3 2 2 2 2" xfId="1330"/>
    <cellStyle name="Normal 3 3 2 2 2 2 2" xfId="2731"/>
    <cellStyle name="Normal 3 3 2 2 2 2 2 2" xfId="5541"/>
    <cellStyle name="Normal 3 3 2 2 2 2 2 2 2" xfId="11177"/>
    <cellStyle name="Normal 3 3 2 2 2 2 2 3" xfId="8367"/>
    <cellStyle name="Normal 3 3 2 2 2 2 3" xfId="4140"/>
    <cellStyle name="Normal 3 3 2 2 2 2 3 2" xfId="9776"/>
    <cellStyle name="Normal 3 3 2 2 2 2 4" xfId="6966"/>
    <cellStyle name="Normal 3 3 2 2 2 3" xfId="2035"/>
    <cellStyle name="Normal 3 3 2 2 2 3 2" xfId="4845"/>
    <cellStyle name="Normal 3 3 2 2 2 3 2 2" xfId="10481"/>
    <cellStyle name="Normal 3 3 2 2 2 3 3" xfId="7671"/>
    <cellStyle name="Normal 3 3 2 2 2 4" xfId="3444"/>
    <cellStyle name="Normal 3 3 2 2 2 4 2" xfId="9080"/>
    <cellStyle name="Normal 3 3 2 2 2 5" xfId="6270"/>
    <cellStyle name="Normal 3 3 2 2 3" xfId="986"/>
    <cellStyle name="Normal 3 3 2 2 3 2" xfId="2387"/>
    <cellStyle name="Normal 3 3 2 2 3 2 2" xfId="5197"/>
    <cellStyle name="Normal 3 3 2 2 3 2 2 2" xfId="10833"/>
    <cellStyle name="Normal 3 3 2 2 3 2 3" xfId="8023"/>
    <cellStyle name="Normal 3 3 2 2 3 3" xfId="3796"/>
    <cellStyle name="Normal 3 3 2 2 3 3 2" xfId="9432"/>
    <cellStyle name="Normal 3 3 2 2 3 4" xfId="6622"/>
    <cellStyle name="Normal 3 3 2 2 4" xfId="1691"/>
    <cellStyle name="Normal 3 3 2 2 4 2" xfId="4501"/>
    <cellStyle name="Normal 3 3 2 2 4 2 2" xfId="10137"/>
    <cellStyle name="Normal 3 3 2 2 4 3" xfId="7327"/>
    <cellStyle name="Normal 3 3 2 2 5" xfId="3100"/>
    <cellStyle name="Normal 3 3 2 2 5 2" xfId="8736"/>
    <cellStyle name="Normal 3 3 2 2 6" xfId="5926"/>
    <cellStyle name="Normal 3 3 2 3" xfId="462"/>
    <cellStyle name="Normal 3 3 2 3 2" xfId="1158"/>
    <cellStyle name="Normal 3 3 2 3 2 2" xfId="2559"/>
    <cellStyle name="Normal 3 3 2 3 2 2 2" xfId="5369"/>
    <cellStyle name="Normal 3 3 2 3 2 2 2 2" xfId="11005"/>
    <cellStyle name="Normal 3 3 2 3 2 2 3" xfId="8195"/>
    <cellStyle name="Normal 3 3 2 3 2 3" xfId="3968"/>
    <cellStyle name="Normal 3 3 2 3 2 3 2" xfId="9604"/>
    <cellStyle name="Normal 3 3 2 3 2 4" xfId="6794"/>
    <cellStyle name="Normal 3 3 2 3 3" xfId="1863"/>
    <cellStyle name="Normal 3 3 2 3 3 2" xfId="4673"/>
    <cellStyle name="Normal 3 3 2 3 3 2 2" xfId="10309"/>
    <cellStyle name="Normal 3 3 2 3 3 3" xfId="7499"/>
    <cellStyle name="Normal 3 3 2 3 4" xfId="3272"/>
    <cellStyle name="Normal 3 3 2 3 4 2" xfId="8908"/>
    <cellStyle name="Normal 3 3 2 3 5" xfId="6098"/>
    <cellStyle name="Normal 3 3 2 4" xfId="814"/>
    <cellStyle name="Normal 3 3 2 4 2" xfId="2215"/>
    <cellStyle name="Normal 3 3 2 4 2 2" xfId="5025"/>
    <cellStyle name="Normal 3 3 2 4 2 2 2" xfId="10661"/>
    <cellStyle name="Normal 3 3 2 4 2 3" xfId="7851"/>
    <cellStyle name="Normal 3 3 2 4 3" xfId="3624"/>
    <cellStyle name="Normal 3 3 2 4 3 2" xfId="9260"/>
    <cellStyle name="Normal 3 3 2 4 4" xfId="6450"/>
    <cellStyle name="Normal 3 3 2 5" xfId="1519"/>
    <cellStyle name="Normal 3 3 2 5 2" xfId="4329"/>
    <cellStyle name="Normal 3 3 2 5 2 2" xfId="9965"/>
    <cellStyle name="Normal 3 3 2 5 3" xfId="7155"/>
    <cellStyle name="Normal 3 3 2 6" xfId="2928"/>
    <cellStyle name="Normal 3 3 2 6 2" xfId="8564"/>
    <cellStyle name="Normal 3 3 2 7" xfId="5754"/>
    <cellStyle name="Normal 3 3 3" xfId="210"/>
    <cellStyle name="Normal 3 3 3 2" xfId="554"/>
    <cellStyle name="Normal 3 3 3 2 2" xfId="1250"/>
    <cellStyle name="Normal 3 3 3 2 2 2" xfId="2651"/>
    <cellStyle name="Normal 3 3 3 2 2 2 2" xfId="5461"/>
    <cellStyle name="Normal 3 3 3 2 2 2 2 2" xfId="11097"/>
    <cellStyle name="Normal 3 3 3 2 2 2 3" xfId="8287"/>
    <cellStyle name="Normal 3 3 3 2 2 3" xfId="4060"/>
    <cellStyle name="Normal 3 3 3 2 2 3 2" xfId="9696"/>
    <cellStyle name="Normal 3 3 3 2 2 4" xfId="6886"/>
    <cellStyle name="Normal 3 3 3 2 3" xfId="1955"/>
    <cellStyle name="Normal 3 3 3 2 3 2" xfId="4765"/>
    <cellStyle name="Normal 3 3 3 2 3 2 2" xfId="10401"/>
    <cellStyle name="Normal 3 3 3 2 3 3" xfId="7591"/>
    <cellStyle name="Normal 3 3 3 2 4" xfId="3364"/>
    <cellStyle name="Normal 3 3 3 2 4 2" xfId="9000"/>
    <cellStyle name="Normal 3 3 3 2 5" xfId="6190"/>
    <cellStyle name="Normal 3 3 3 3" xfId="906"/>
    <cellStyle name="Normal 3 3 3 3 2" xfId="2307"/>
    <cellStyle name="Normal 3 3 3 3 2 2" xfId="5117"/>
    <cellStyle name="Normal 3 3 3 3 2 2 2" xfId="10753"/>
    <cellStyle name="Normal 3 3 3 3 2 3" xfId="7943"/>
    <cellStyle name="Normal 3 3 3 3 3" xfId="3716"/>
    <cellStyle name="Normal 3 3 3 3 3 2" xfId="9352"/>
    <cellStyle name="Normal 3 3 3 3 4" xfId="6542"/>
    <cellStyle name="Normal 3 3 3 4" xfId="1611"/>
    <cellStyle name="Normal 3 3 3 4 2" xfId="4421"/>
    <cellStyle name="Normal 3 3 3 4 2 2" xfId="10057"/>
    <cellStyle name="Normal 3 3 3 4 3" xfId="7247"/>
    <cellStyle name="Normal 3 3 3 5" xfId="3020"/>
    <cellStyle name="Normal 3 3 3 5 2" xfId="8656"/>
    <cellStyle name="Normal 3 3 3 6" xfId="5846"/>
    <cellStyle name="Normal 3 3 4" xfId="382"/>
    <cellStyle name="Normal 3 3 4 2" xfId="1078"/>
    <cellStyle name="Normal 3 3 4 2 2" xfId="2479"/>
    <cellStyle name="Normal 3 3 4 2 2 2" xfId="5289"/>
    <cellStyle name="Normal 3 3 4 2 2 2 2" xfId="10925"/>
    <cellStyle name="Normal 3 3 4 2 2 3" xfId="8115"/>
    <cellStyle name="Normal 3 3 4 2 3" xfId="3888"/>
    <cellStyle name="Normal 3 3 4 2 3 2" xfId="9524"/>
    <cellStyle name="Normal 3 3 4 2 4" xfId="6714"/>
    <cellStyle name="Normal 3 3 4 3" xfId="1783"/>
    <cellStyle name="Normal 3 3 4 3 2" xfId="4593"/>
    <cellStyle name="Normal 3 3 4 3 2 2" xfId="10229"/>
    <cellStyle name="Normal 3 3 4 3 3" xfId="7419"/>
    <cellStyle name="Normal 3 3 4 4" xfId="3192"/>
    <cellStyle name="Normal 3 3 4 4 2" xfId="8828"/>
    <cellStyle name="Normal 3 3 4 5" xfId="6018"/>
    <cellStyle name="Normal 3 3 5" xfId="734"/>
    <cellStyle name="Normal 3 3 5 2" xfId="2135"/>
    <cellStyle name="Normal 3 3 5 2 2" xfId="4945"/>
    <cellStyle name="Normal 3 3 5 2 2 2" xfId="10581"/>
    <cellStyle name="Normal 3 3 5 2 3" xfId="7771"/>
    <cellStyle name="Normal 3 3 5 3" xfId="3544"/>
    <cellStyle name="Normal 3 3 5 3 2" xfId="9180"/>
    <cellStyle name="Normal 3 3 5 4" xfId="6370"/>
    <cellStyle name="Normal 3 3 6" xfId="1439"/>
    <cellStyle name="Normal 3 3 6 2" xfId="4249"/>
    <cellStyle name="Normal 3 3 6 2 2" xfId="9885"/>
    <cellStyle name="Normal 3 3 6 3" xfId="7075"/>
    <cellStyle name="Normal 3 3 7" xfId="2848"/>
    <cellStyle name="Normal 3 3 7 2" xfId="8484"/>
    <cellStyle name="Normal 3 3 8" xfId="5674"/>
    <cellStyle name="Normal 3 4" xfId="86"/>
    <cellStyle name="Normal 3 4 2" xfId="258"/>
    <cellStyle name="Normal 3 4 2 2" xfId="602"/>
    <cellStyle name="Normal 3 4 2 2 2" xfId="1298"/>
    <cellStyle name="Normal 3 4 2 2 2 2" xfId="2699"/>
    <cellStyle name="Normal 3 4 2 2 2 2 2" xfId="5509"/>
    <cellStyle name="Normal 3 4 2 2 2 2 2 2" xfId="11145"/>
    <cellStyle name="Normal 3 4 2 2 2 2 3" xfId="8335"/>
    <cellStyle name="Normal 3 4 2 2 2 3" xfId="4108"/>
    <cellStyle name="Normal 3 4 2 2 2 3 2" xfId="9744"/>
    <cellStyle name="Normal 3 4 2 2 2 4" xfId="6934"/>
    <cellStyle name="Normal 3 4 2 2 3" xfId="2003"/>
    <cellStyle name="Normal 3 4 2 2 3 2" xfId="4813"/>
    <cellStyle name="Normal 3 4 2 2 3 2 2" xfId="10449"/>
    <cellStyle name="Normal 3 4 2 2 3 3" xfId="7639"/>
    <cellStyle name="Normal 3 4 2 2 4" xfId="3412"/>
    <cellStyle name="Normal 3 4 2 2 4 2" xfId="9048"/>
    <cellStyle name="Normal 3 4 2 2 5" xfId="6238"/>
    <cellStyle name="Normal 3 4 2 3" xfId="954"/>
    <cellStyle name="Normal 3 4 2 3 2" xfId="2355"/>
    <cellStyle name="Normal 3 4 2 3 2 2" xfId="5165"/>
    <cellStyle name="Normal 3 4 2 3 2 2 2" xfId="10801"/>
    <cellStyle name="Normal 3 4 2 3 2 3" xfId="7991"/>
    <cellStyle name="Normal 3 4 2 3 3" xfId="3764"/>
    <cellStyle name="Normal 3 4 2 3 3 2" xfId="9400"/>
    <cellStyle name="Normal 3 4 2 3 4" xfId="6590"/>
    <cellStyle name="Normal 3 4 2 4" xfId="1659"/>
    <cellStyle name="Normal 3 4 2 4 2" xfId="4469"/>
    <cellStyle name="Normal 3 4 2 4 2 2" xfId="10105"/>
    <cellStyle name="Normal 3 4 2 4 3" xfId="7295"/>
    <cellStyle name="Normal 3 4 2 5" xfId="3068"/>
    <cellStyle name="Normal 3 4 2 5 2" xfId="8704"/>
    <cellStyle name="Normal 3 4 2 6" xfId="5894"/>
    <cellStyle name="Normal 3 4 3" xfId="430"/>
    <cellStyle name="Normal 3 4 3 2" xfId="1126"/>
    <cellStyle name="Normal 3 4 3 2 2" xfId="2527"/>
    <cellStyle name="Normal 3 4 3 2 2 2" xfId="5337"/>
    <cellStyle name="Normal 3 4 3 2 2 2 2" xfId="10973"/>
    <cellStyle name="Normal 3 4 3 2 2 3" xfId="8163"/>
    <cellStyle name="Normal 3 4 3 2 3" xfId="3936"/>
    <cellStyle name="Normal 3 4 3 2 3 2" xfId="9572"/>
    <cellStyle name="Normal 3 4 3 2 4" xfId="6762"/>
    <cellStyle name="Normal 3 4 3 3" xfId="1831"/>
    <cellStyle name="Normal 3 4 3 3 2" xfId="4641"/>
    <cellStyle name="Normal 3 4 3 3 2 2" xfId="10277"/>
    <cellStyle name="Normal 3 4 3 3 3" xfId="7467"/>
    <cellStyle name="Normal 3 4 3 4" xfId="3240"/>
    <cellStyle name="Normal 3 4 3 4 2" xfId="8876"/>
    <cellStyle name="Normal 3 4 3 5" xfId="6066"/>
    <cellStyle name="Normal 3 4 4" xfId="782"/>
    <cellStyle name="Normal 3 4 4 2" xfId="2183"/>
    <cellStyle name="Normal 3 4 4 2 2" xfId="4993"/>
    <cellStyle name="Normal 3 4 4 2 2 2" xfId="10629"/>
    <cellStyle name="Normal 3 4 4 2 3" xfId="7819"/>
    <cellStyle name="Normal 3 4 4 3" xfId="3592"/>
    <cellStyle name="Normal 3 4 4 3 2" xfId="9228"/>
    <cellStyle name="Normal 3 4 4 4" xfId="6418"/>
    <cellStyle name="Normal 3 4 5" xfId="1487"/>
    <cellStyle name="Normal 3 4 5 2" xfId="4297"/>
    <cellStyle name="Normal 3 4 5 2 2" xfId="9933"/>
    <cellStyle name="Normal 3 4 5 3" xfId="7123"/>
    <cellStyle name="Normal 3 4 6" xfId="2896"/>
    <cellStyle name="Normal 3 4 6 2" xfId="8532"/>
    <cellStyle name="Normal 3 4 7" xfId="5722"/>
    <cellStyle name="Normal 3 5" xfId="178"/>
    <cellStyle name="Normal 3 5 2" xfId="522"/>
    <cellStyle name="Normal 3 5 2 2" xfId="1218"/>
    <cellStyle name="Normal 3 5 2 2 2" xfId="2619"/>
    <cellStyle name="Normal 3 5 2 2 2 2" xfId="5429"/>
    <cellStyle name="Normal 3 5 2 2 2 2 2" xfId="11065"/>
    <cellStyle name="Normal 3 5 2 2 2 3" xfId="8255"/>
    <cellStyle name="Normal 3 5 2 2 3" xfId="4028"/>
    <cellStyle name="Normal 3 5 2 2 3 2" xfId="9664"/>
    <cellStyle name="Normal 3 5 2 2 4" xfId="6854"/>
    <cellStyle name="Normal 3 5 2 3" xfId="1923"/>
    <cellStyle name="Normal 3 5 2 3 2" xfId="4733"/>
    <cellStyle name="Normal 3 5 2 3 2 2" xfId="10369"/>
    <cellStyle name="Normal 3 5 2 3 3" xfId="7559"/>
    <cellStyle name="Normal 3 5 2 4" xfId="3332"/>
    <cellStyle name="Normal 3 5 2 4 2" xfId="8968"/>
    <cellStyle name="Normal 3 5 2 5" xfId="6158"/>
    <cellStyle name="Normal 3 5 3" xfId="874"/>
    <cellStyle name="Normal 3 5 3 2" xfId="2275"/>
    <cellStyle name="Normal 3 5 3 2 2" xfId="5085"/>
    <cellStyle name="Normal 3 5 3 2 2 2" xfId="10721"/>
    <cellStyle name="Normal 3 5 3 2 3" xfId="7911"/>
    <cellStyle name="Normal 3 5 3 3" xfId="3684"/>
    <cellStyle name="Normal 3 5 3 3 2" xfId="9320"/>
    <cellStyle name="Normal 3 5 3 4" xfId="6510"/>
    <cellStyle name="Normal 3 5 4" xfId="1579"/>
    <cellStyle name="Normal 3 5 4 2" xfId="4389"/>
    <cellStyle name="Normal 3 5 4 2 2" xfId="10025"/>
    <cellStyle name="Normal 3 5 4 3" xfId="7215"/>
    <cellStyle name="Normal 3 5 5" xfId="2988"/>
    <cellStyle name="Normal 3 5 5 2" xfId="8624"/>
    <cellStyle name="Normal 3 5 6" xfId="5814"/>
    <cellStyle name="Normal 3 6" xfId="350"/>
    <cellStyle name="Normal 3 6 2" xfId="1046"/>
    <cellStyle name="Normal 3 6 2 2" xfId="2447"/>
    <cellStyle name="Normal 3 6 2 2 2" xfId="5257"/>
    <cellStyle name="Normal 3 6 2 2 2 2" xfId="10893"/>
    <cellStyle name="Normal 3 6 2 2 3" xfId="8083"/>
    <cellStyle name="Normal 3 6 2 3" xfId="3856"/>
    <cellStyle name="Normal 3 6 2 3 2" xfId="9492"/>
    <cellStyle name="Normal 3 6 2 4" xfId="6682"/>
    <cellStyle name="Normal 3 6 3" xfId="1751"/>
    <cellStyle name="Normal 3 6 3 2" xfId="4561"/>
    <cellStyle name="Normal 3 6 3 2 2" xfId="10197"/>
    <cellStyle name="Normal 3 6 3 3" xfId="7387"/>
    <cellStyle name="Normal 3 6 4" xfId="3160"/>
    <cellStyle name="Normal 3 6 4 2" xfId="8796"/>
    <cellStyle name="Normal 3 6 5" xfId="5986"/>
    <cellStyle name="Normal 3 7" xfId="702"/>
    <cellStyle name="Normal 3 7 2" xfId="2103"/>
    <cellStyle name="Normal 3 7 2 2" xfId="4913"/>
    <cellStyle name="Normal 3 7 2 2 2" xfId="10549"/>
    <cellStyle name="Normal 3 7 2 3" xfId="7739"/>
    <cellStyle name="Normal 3 7 3" xfId="3512"/>
    <cellStyle name="Normal 3 7 3 2" xfId="9148"/>
    <cellStyle name="Normal 3 7 4" xfId="6338"/>
    <cellStyle name="Normal 3 8" xfId="1407"/>
    <cellStyle name="Normal 3 8 2" xfId="4217"/>
    <cellStyle name="Normal 3 8 2 2" xfId="9853"/>
    <cellStyle name="Normal 3 8 3" xfId="7043"/>
    <cellStyle name="Normal 3 9" xfId="2816"/>
    <cellStyle name="Normal 3 9 2" xfId="8452"/>
    <cellStyle name="Normal 30" xfId="692"/>
    <cellStyle name="Normal 30 2" xfId="1388"/>
    <cellStyle name="Normal 30 2 2" xfId="2789"/>
    <cellStyle name="Normal 30 2 2 2" xfId="5599"/>
    <cellStyle name="Normal 30 2 2 2 2" xfId="11235"/>
    <cellStyle name="Normal 30 2 2 3" xfId="8425"/>
    <cellStyle name="Normal 30 2 3" xfId="4198"/>
    <cellStyle name="Normal 30 2 3 2" xfId="9834"/>
    <cellStyle name="Normal 30 2 4" xfId="7024"/>
    <cellStyle name="Normal 30 3" xfId="2093"/>
    <cellStyle name="Normal 30 3 2" xfId="4903"/>
    <cellStyle name="Normal 30 3 2 2" xfId="10539"/>
    <cellStyle name="Normal 30 3 3" xfId="7729"/>
    <cellStyle name="Normal 30 4" xfId="3502"/>
    <cellStyle name="Normal 30 4 2" xfId="9138"/>
    <cellStyle name="Normal 30 5" xfId="6328"/>
    <cellStyle name="Normal 31" xfId="694"/>
    <cellStyle name="Normal 31 2" xfId="1390"/>
    <cellStyle name="Normal 31 2 2" xfId="2791"/>
    <cellStyle name="Normal 31 2 2 2" xfId="5601"/>
    <cellStyle name="Normal 31 2 2 2 2" xfId="11237"/>
    <cellStyle name="Normal 31 2 2 3" xfId="8427"/>
    <cellStyle name="Normal 31 2 3" xfId="4200"/>
    <cellStyle name="Normal 31 2 3 2" xfId="9836"/>
    <cellStyle name="Normal 31 2 4" xfId="7026"/>
    <cellStyle name="Normal 31 3" xfId="2095"/>
    <cellStyle name="Normal 31 3 2" xfId="4905"/>
    <cellStyle name="Normal 31 3 2 2" xfId="10541"/>
    <cellStyle name="Normal 31 3 3" xfId="7731"/>
    <cellStyle name="Normal 31 4" xfId="3504"/>
    <cellStyle name="Normal 31 4 2" xfId="9140"/>
    <cellStyle name="Normal 31 5" xfId="6330"/>
    <cellStyle name="Normal 32" xfId="696"/>
    <cellStyle name="Normal 32 2" xfId="2097"/>
    <cellStyle name="Normal 32 2 2" xfId="4907"/>
    <cellStyle name="Normal 32 2 2 2" xfId="10543"/>
    <cellStyle name="Normal 32 2 3" xfId="7733"/>
    <cellStyle name="Normal 32 3" xfId="3506"/>
    <cellStyle name="Normal 32 3 2" xfId="9142"/>
    <cellStyle name="Normal 32 4" xfId="6332"/>
    <cellStyle name="Normal 33" xfId="1395"/>
    <cellStyle name="Normal 33 2" xfId="2796"/>
    <cellStyle name="Normal 33 2 2" xfId="5606"/>
    <cellStyle name="Normal 33 2 2 2" xfId="11242"/>
    <cellStyle name="Normal 33 2 3" xfId="8432"/>
    <cellStyle name="Normal 33 3" xfId="4205"/>
    <cellStyle name="Normal 33 3 2" xfId="9841"/>
    <cellStyle name="Normal 33 4" xfId="7031"/>
    <cellStyle name="Normal 34" xfId="1397"/>
    <cellStyle name="Normal 34 2" xfId="2798"/>
    <cellStyle name="Normal 34 2 2" xfId="5608"/>
    <cellStyle name="Normal 34 2 2 2" xfId="11244"/>
    <cellStyle name="Normal 34 2 3" xfId="8434"/>
    <cellStyle name="Normal 34 3" xfId="4207"/>
    <cellStyle name="Normal 34 3 2" xfId="9843"/>
    <cellStyle name="Normal 34 4" xfId="7033"/>
    <cellStyle name="Normal 35" xfId="1399"/>
    <cellStyle name="Normal 35 2" xfId="2800"/>
    <cellStyle name="Normal 35 2 2" xfId="5610"/>
    <cellStyle name="Normal 35 2 2 2" xfId="11246"/>
    <cellStyle name="Normal 35 2 3" xfId="8436"/>
    <cellStyle name="Normal 35 3" xfId="4209"/>
    <cellStyle name="Normal 35 3 2" xfId="9845"/>
    <cellStyle name="Normal 35 4" xfId="7035"/>
    <cellStyle name="Normal 36" xfId="1401"/>
    <cellStyle name="Normal 36 2" xfId="4211"/>
    <cellStyle name="Normal 36 2 2" xfId="9847"/>
    <cellStyle name="Normal 36 3" xfId="7037"/>
    <cellStyle name="Normal 37" xfId="2805"/>
    <cellStyle name="Normal 37 2" xfId="5615"/>
    <cellStyle name="Normal 37 2 2" xfId="11251"/>
    <cellStyle name="Normal 37 3" xfId="8441"/>
    <cellStyle name="Normal 38" xfId="2807"/>
    <cellStyle name="Normal 38 2" xfId="5617"/>
    <cellStyle name="Normal 38 2 2" xfId="11253"/>
    <cellStyle name="Normal 38 3" xfId="8443"/>
    <cellStyle name="Normal 39" xfId="2809"/>
    <cellStyle name="Normal 39 2" xfId="5619"/>
    <cellStyle name="Normal 39 2 2" xfId="11255"/>
    <cellStyle name="Normal 39 3" xfId="8445"/>
    <cellStyle name="Normal 4" xfId="8"/>
    <cellStyle name="Normal 4 10" xfId="5644"/>
    <cellStyle name="Normal 4 2" xfId="20"/>
    <cellStyle name="Normal 4 2 2" xfId="52"/>
    <cellStyle name="Normal 4 2 2 2" xfId="132"/>
    <cellStyle name="Normal 4 2 2 2 2" xfId="304"/>
    <cellStyle name="Normal 4 2 2 2 2 2" xfId="648"/>
    <cellStyle name="Normal 4 2 2 2 2 2 2" xfId="1344"/>
    <cellStyle name="Normal 4 2 2 2 2 2 2 2" xfId="2745"/>
    <cellStyle name="Normal 4 2 2 2 2 2 2 2 2" xfId="5555"/>
    <cellStyle name="Normal 4 2 2 2 2 2 2 2 2 2" xfId="11191"/>
    <cellStyle name="Normal 4 2 2 2 2 2 2 2 3" xfId="8381"/>
    <cellStyle name="Normal 4 2 2 2 2 2 2 3" xfId="4154"/>
    <cellStyle name="Normal 4 2 2 2 2 2 2 3 2" xfId="9790"/>
    <cellStyle name="Normal 4 2 2 2 2 2 2 4" xfId="6980"/>
    <cellStyle name="Normal 4 2 2 2 2 2 3" xfId="2049"/>
    <cellStyle name="Normal 4 2 2 2 2 2 3 2" xfId="4859"/>
    <cellStyle name="Normal 4 2 2 2 2 2 3 2 2" xfId="10495"/>
    <cellStyle name="Normal 4 2 2 2 2 2 3 3" xfId="7685"/>
    <cellStyle name="Normal 4 2 2 2 2 2 4" xfId="3458"/>
    <cellStyle name="Normal 4 2 2 2 2 2 4 2" xfId="9094"/>
    <cellStyle name="Normal 4 2 2 2 2 2 5" xfId="6284"/>
    <cellStyle name="Normal 4 2 2 2 2 3" xfId="1000"/>
    <cellStyle name="Normal 4 2 2 2 2 3 2" xfId="2401"/>
    <cellStyle name="Normal 4 2 2 2 2 3 2 2" xfId="5211"/>
    <cellStyle name="Normal 4 2 2 2 2 3 2 2 2" xfId="10847"/>
    <cellStyle name="Normal 4 2 2 2 2 3 2 3" xfId="8037"/>
    <cellStyle name="Normal 4 2 2 2 2 3 3" xfId="3810"/>
    <cellStyle name="Normal 4 2 2 2 2 3 3 2" xfId="9446"/>
    <cellStyle name="Normal 4 2 2 2 2 3 4" xfId="6636"/>
    <cellStyle name="Normal 4 2 2 2 2 4" xfId="1705"/>
    <cellStyle name="Normal 4 2 2 2 2 4 2" xfId="4515"/>
    <cellStyle name="Normal 4 2 2 2 2 4 2 2" xfId="10151"/>
    <cellStyle name="Normal 4 2 2 2 2 4 3" xfId="7341"/>
    <cellStyle name="Normal 4 2 2 2 2 5" xfId="3114"/>
    <cellStyle name="Normal 4 2 2 2 2 5 2" xfId="8750"/>
    <cellStyle name="Normal 4 2 2 2 2 6" xfId="5940"/>
    <cellStyle name="Normal 4 2 2 2 3" xfId="476"/>
    <cellStyle name="Normal 4 2 2 2 3 2" xfId="1172"/>
    <cellStyle name="Normal 4 2 2 2 3 2 2" xfId="2573"/>
    <cellStyle name="Normal 4 2 2 2 3 2 2 2" xfId="5383"/>
    <cellStyle name="Normal 4 2 2 2 3 2 2 2 2" xfId="11019"/>
    <cellStyle name="Normal 4 2 2 2 3 2 2 3" xfId="8209"/>
    <cellStyle name="Normal 4 2 2 2 3 2 3" xfId="3982"/>
    <cellStyle name="Normal 4 2 2 2 3 2 3 2" xfId="9618"/>
    <cellStyle name="Normal 4 2 2 2 3 2 4" xfId="6808"/>
    <cellStyle name="Normal 4 2 2 2 3 3" xfId="1877"/>
    <cellStyle name="Normal 4 2 2 2 3 3 2" xfId="4687"/>
    <cellStyle name="Normal 4 2 2 2 3 3 2 2" xfId="10323"/>
    <cellStyle name="Normal 4 2 2 2 3 3 3" xfId="7513"/>
    <cellStyle name="Normal 4 2 2 2 3 4" xfId="3286"/>
    <cellStyle name="Normal 4 2 2 2 3 4 2" xfId="8922"/>
    <cellStyle name="Normal 4 2 2 2 3 5" xfId="6112"/>
    <cellStyle name="Normal 4 2 2 2 4" xfId="828"/>
    <cellStyle name="Normal 4 2 2 2 4 2" xfId="2229"/>
    <cellStyle name="Normal 4 2 2 2 4 2 2" xfId="5039"/>
    <cellStyle name="Normal 4 2 2 2 4 2 2 2" xfId="10675"/>
    <cellStyle name="Normal 4 2 2 2 4 2 3" xfId="7865"/>
    <cellStyle name="Normal 4 2 2 2 4 3" xfId="3638"/>
    <cellStyle name="Normal 4 2 2 2 4 3 2" xfId="9274"/>
    <cellStyle name="Normal 4 2 2 2 4 4" xfId="6464"/>
    <cellStyle name="Normal 4 2 2 2 5" xfId="1533"/>
    <cellStyle name="Normal 4 2 2 2 5 2" xfId="4343"/>
    <cellStyle name="Normal 4 2 2 2 5 2 2" xfId="9979"/>
    <cellStyle name="Normal 4 2 2 2 5 3" xfId="7169"/>
    <cellStyle name="Normal 4 2 2 2 6" xfId="2942"/>
    <cellStyle name="Normal 4 2 2 2 6 2" xfId="8578"/>
    <cellStyle name="Normal 4 2 2 2 7" xfId="5768"/>
    <cellStyle name="Normal 4 2 2 3" xfId="224"/>
    <cellStyle name="Normal 4 2 2 3 2" xfId="568"/>
    <cellStyle name="Normal 4 2 2 3 2 2" xfId="1264"/>
    <cellStyle name="Normal 4 2 2 3 2 2 2" xfId="2665"/>
    <cellStyle name="Normal 4 2 2 3 2 2 2 2" xfId="5475"/>
    <cellStyle name="Normal 4 2 2 3 2 2 2 2 2" xfId="11111"/>
    <cellStyle name="Normal 4 2 2 3 2 2 2 3" xfId="8301"/>
    <cellStyle name="Normal 4 2 2 3 2 2 3" xfId="4074"/>
    <cellStyle name="Normal 4 2 2 3 2 2 3 2" xfId="9710"/>
    <cellStyle name="Normal 4 2 2 3 2 2 4" xfId="6900"/>
    <cellStyle name="Normal 4 2 2 3 2 3" xfId="1969"/>
    <cellStyle name="Normal 4 2 2 3 2 3 2" xfId="4779"/>
    <cellStyle name="Normal 4 2 2 3 2 3 2 2" xfId="10415"/>
    <cellStyle name="Normal 4 2 2 3 2 3 3" xfId="7605"/>
    <cellStyle name="Normal 4 2 2 3 2 4" xfId="3378"/>
    <cellStyle name="Normal 4 2 2 3 2 4 2" xfId="9014"/>
    <cellStyle name="Normal 4 2 2 3 2 5" xfId="6204"/>
    <cellStyle name="Normal 4 2 2 3 3" xfId="920"/>
    <cellStyle name="Normal 4 2 2 3 3 2" xfId="2321"/>
    <cellStyle name="Normal 4 2 2 3 3 2 2" xfId="5131"/>
    <cellStyle name="Normal 4 2 2 3 3 2 2 2" xfId="10767"/>
    <cellStyle name="Normal 4 2 2 3 3 2 3" xfId="7957"/>
    <cellStyle name="Normal 4 2 2 3 3 3" xfId="3730"/>
    <cellStyle name="Normal 4 2 2 3 3 3 2" xfId="9366"/>
    <cellStyle name="Normal 4 2 2 3 3 4" xfId="6556"/>
    <cellStyle name="Normal 4 2 2 3 4" xfId="1625"/>
    <cellStyle name="Normal 4 2 2 3 4 2" xfId="4435"/>
    <cellStyle name="Normal 4 2 2 3 4 2 2" xfId="10071"/>
    <cellStyle name="Normal 4 2 2 3 4 3" xfId="7261"/>
    <cellStyle name="Normal 4 2 2 3 5" xfId="3034"/>
    <cellStyle name="Normal 4 2 2 3 5 2" xfId="8670"/>
    <cellStyle name="Normal 4 2 2 3 6" xfId="5860"/>
    <cellStyle name="Normal 4 2 2 4" xfId="396"/>
    <cellStyle name="Normal 4 2 2 4 2" xfId="1092"/>
    <cellStyle name="Normal 4 2 2 4 2 2" xfId="2493"/>
    <cellStyle name="Normal 4 2 2 4 2 2 2" xfId="5303"/>
    <cellStyle name="Normal 4 2 2 4 2 2 2 2" xfId="10939"/>
    <cellStyle name="Normal 4 2 2 4 2 2 3" xfId="8129"/>
    <cellStyle name="Normal 4 2 2 4 2 3" xfId="3902"/>
    <cellStyle name="Normal 4 2 2 4 2 3 2" xfId="9538"/>
    <cellStyle name="Normal 4 2 2 4 2 4" xfId="6728"/>
    <cellStyle name="Normal 4 2 2 4 3" xfId="1797"/>
    <cellStyle name="Normal 4 2 2 4 3 2" xfId="4607"/>
    <cellStyle name="Normal 4 2 2 4 3 2 2" xfId="10243"/>
    <cellStyle name="Normal 4 2 2 4 3 3" xfId="7433"/>
    <cellStyle name="Normal 4 2 2 4 4" xfId="3206"/>
    <cellStyle name="Normal 4 2 2 4 4 2" xfId="8842"/>
    <cellStyle name="Normal 4 2 2 4 5" xfId="6032"/>
    <cellStyle name="Normal 4 2 2 5" xfId="748"/>
    <cellStyle name="Normal 4 2 2 5 2" xfId="2149"/>
    <cellStyle name="Normal 4 2 2 5 2 2" xfId="4959"/>
    <cellStyle name="Normal 4 2 2 5 2 2 2" xfId="10595"/>
    <cellStyle name="Normal 4 2 2 5 2 3" xfId="7785"/>
    <cellStyle name="Normal 4 2 2 5 3" xfId="3558"/>
    <cellStyle name="Normal 4 2 2 5 3 2" xfId="9194"/>
    <cellStyle name="Normal 4 2 2 5 4" xfId="6384"/>
    <cellStyle name="Normal 4 2 2 6" xfId="1453"/>
    <cellStyle name="Normal 4 2 2 6 2" xfId="4263"/>
    <cellStyle name="Normal 4 2 2 6 2 2" xfId="9899"/>
    <cellStyle name="Normal 4 2 2 6 3" xfId="7089"/>
    <cellStyle name="Normal 4 2 2 7" xfId="2862"/>
    <cellStyle name="Normal 4 2 2 7 2" xfId="8498"/>
    <cellStyle name="Normal 4 2 2 8" xfId="5688"/>
    <cellStyle name="Normal 4 2 3" xfId="100"/>
    <cellStyle name="Normal 4 2 3 2" xfId="272"/>
    <cellStyle name="Normal 4 2 3 2 2" xfId="616"/>
    <cellStyle name="Normal 4 2 3 2 2 2" xfId="1312"/>
    <cellStyle name="Normal 4 2 3 2 2 2 2" xfId="2713"/>
    <cellStyle name="Normal 4 2 3 2 2 2 2 2" xfId="5523"/>
    <cellStyle name="Normal 4 2 3 2 2 2 2 2 2" xfId="11159"/>
    <cellStyle name="Normal 4 2 3 2 2 2 2 3" xfId="8349"/>
    <cellStyle name="Normal 4 2 3 2 2 2 3" xfId="4122"/>
    <cellStyle name="Normal 4 2 3 2 2 2 3 2" xfId="9758"/>
    <cellStyle name="Normal 4 2 3 2 2 2 4" xfId="6948"/>
    <cellStyle name="Normal 4 2 3 2 2 3" xfId="2017"/>
    <cellStyle name="Normal 4 2 3 2 2 3 2" xfId="4827"/>
    <cellStyle name="Normal 4 2 3 2 2 3 2 2" xfId="10463"/>
    <cellStyle name="Normal 4 2 3 2 2 3 3" xfId="7653"/>
    <cellStyle name="Normal 4 2 3 2 2 4" xfId="3426"/>
    <cellStyle name="Normal 4 2 3 2 2 4 2" xfId="9062"/>
    <cellStyle name="Normal 4 2 3 2 2 5" xfId="6252"/>
    <cellStyle name="Normal 4 2 3 2 3" xfId="968"/>
    <cellStyle name="Normal 4 2 3 2 3 2" xfId="2369"/>
    <cellStyle name="Normal 4 2 3 2 3 2 2" xfId="5179"/>
    <cellStyle name="Normal 4 2 3 2 3 2 2 2" xfId="10815"/>
    <cellStyle name="Normal 4 2 3 2 3 2 3" xfId="8005"/>
    <cellStyle name="Normal 4 2 3 2 3 3" xfId="3778"/>
    <cellStyle name="Normal 4 2 3 2 3 3 2" xfId="9414"/>
    <cellStyle name="Normal 4 2 3 2 3 4" xfId="6604"/>
    <cellStyle name="Normal 4 2 3 2 4" xfId="1673"/>
    <cellStyle name="Normal 4 2 3 2 4 2" xfId="4483"/>
    <cellStyle name="Normal 4 2 3 2 4 2 2" xfId="10119"/>
    <cellStyle name="Normal 4 2 3 2 4 3" xfId="7309"/>
    <cellStyle name="Normal 4 2 3 2 5" xfId="3082"/>
    <cellStyle name="Normal 4 2 3 2 5 2" xfId="8718"/>
    <cellStyle name="Normal 4 2 3 2 6" xfId="5908"/>
    <cellStyle name="Normal 4 2 3 3" xfId="444"/>
    <cellStyle name="Normal 4 2 3 3 2" xfId="1140"/>
    <cellStyle name="Normal 4 2 3 3 2 2" xfId="2541"/>
    <cellStyle name="Normal 4 2 3 3 2 2 2" xfId="5351"/>
    <cellStyle name="Normal 4 2 3 3 2 2 2 2" xfId="10987"/>
    <cellStyle name="Normal 4 2 3 3 2 2 3" xfId="8177"/>
    <cellStyle name="Normal 4 2 3 3 2 3" xfId="3950"/>
    <cellStyle name="Normal 4 2 3 3 2 3 2" xfId="9586"/>
    <cellStyle name="Normal 4 2 3 3 2 4" xfId="6776"/>
    <cellStyle name="Normal 4 2 3 3 3" xfId="1845"/>
    <cellStyle name="Normal 4 2 3 3 3 2" xfId="4655"/>
    <cellStyle name="Normal 4 2 3 3 3 2 2" xfId="10291"/>
    <cellStyle name="Normal 4 2 3 3 3 3" xfId="7481"/>
    <cellStyle name="Normal 4 2 3 3 4" xfId="3254"/>
    <cellStyle name="Normal 4 2 3 3 4 2" xfId="8890"/>
    <cellStyle name="Normal 4 2 3 3 5" xfId="6080"/>
    <cellStyle name="Normal 4 2 3 4" xfId="796"/>
    <cellStyle name="Normal 4 2 3 4 2" xfId="2197"/>
    <cellStyle name="Normal 4 2 3 4 2 2" xfId="5007"/>
    <cellStyle name="Normal 4 2 3 4 2 2 2" xfId="10643"/>
    <cellStyle name="Normal 4 2 3 4 2 3" xfId="7833"/>
    <cellStyle name="Normal 4 2 3 4 3" xfId="3606"/>
    <cellStyle name="Normal 4 2 3 4 3 2" xfId="9242"/>
    <cellStyle name="Normal 4 2 3 4 4" xfId="6432"/>
    <cellStyle name="Normal 4 2 3 5" xfId="1501"/>
    <cellStyle name="Normal 4 2 3 5 2" xfId="4311"/>
    <cellStyle name="Normal 4 2 3 5 2 2" xfId="9947"/>
    <cellStyle name="Normal 4 2 3 5 3" xfId="7137"/>
    <cellStyle name="Normal 4 2 3 6" xfId="2910"/>
    <cellStyle name="Normal 4 2 3 6 2" xfId="8546"/>
    <cellStyle name="Normal 4 2 3 7" xfId="5736"/>
    <cellStyle name="Normal 4 2 4" xfId="192"/>
    <cellStyle name="Normal 4 2 4 2" xfId="536"/>
    <cellStyle name="Normal 4 2 4 2 2" xfId="1232"/>
    <cellStyle name="Normal 4 2 4 2 2 2" xfId="2633"/>
    <cellStyle name="Normal 4 2 4 2 2 2 2" xfId="5443"/>
    <cellStyle name="Normal 4 2 4 2 2 2 2 2" xfId="11079"/>
    <cellStyle name="Normal 4 2 4 2 2 2 3" xfId="8269"/>
    <cellStyle name="Normal 4 2 4 2 2 3" xfId="4042"/>
    <cellStyle name="Normal 4 2 4 2 2 3 2" xfId="9678"/>
    <cellStyle name="Normal 4 2 4 2 2 4" xfId="6868"/>
    <cellStyle name="Normal 4 2 4 2 3" xfId="1937"/>
    <cellStyle name="Normal 4 2 4 2 3 2" xfId="4747"/>
    <cellStyle name="Normal 4 2 4 2 3 2 2" xfId="10383"/>
    <cellStyle name="Normal 4 2 4 2 3 3" xfId="7573"/>
    <cellStyle name="Normal 4 2 4 2 4" xfId="3346"/>
    <cellStyle name="Normal 4 2 4 2 4 2" xfId="8982"/>
    <cellStyle name="Normal 4 2 4 2 5" xfId="6172"/>
    <cellStyle name="Normal 4 2 4 3" xfId="888"/>
    <cellStyle name="Normal 4 2 4 3 2" xfId="2289"/>
    <cellStyle name="Normal 4 2 4 3 2 2" xfId="5099"/>
    <cellStyle name="Normal 4 2 4 3 2 2 2" xfId="10735"/>
    <cellStyle name="Normal 4 2 4 3 2 3" xfId="7925"/>
    <cellStyle name="Normal 4 2 4 3 3" xfId="3698"/>
    <cellStyle name="Normal 4 2 4 3 3 2" xfId="9334"/>
    <cellStyle name="Normal 4 2 4 3 4" xfId="6524"/>
    <cellStyle name="Normal 4 2 4 4" xfId="1593"/>
    <cellStyle name="Normal 4 2 4 4 2" xfId="4403"/>
    <cellStyle name="Normal 4 2 4 4 2 2" xfId="10039"/>
    <cellStyle name="Normal 4 2 4 4 3" xfId="7229"/>
    <cellStyle name="Normal 4 2 4 5" xfId="3002"/>
    <cellStyle name="Normal 4 2 4 5 2" xfId="8638"/>
    <cellStyle name="Normal 4 2 4 6" xfId="5828"/>
    <cellStyle name="Normal 4 2 5" xfId="364"/>
    <cellStyle name="Normal 4 2 5 2" xfId="1060"/>
    <cellStyle name="Normal 4 2 5 2 2" xfId="2461"/>
    <cellStyle name="Normal 4 2 5 2 2 2" xfId="5271"/>
    <cellStyle name="Normal 4 2 5 2 2 2 2" xfId="10907"/>
    <cellStyle name="Normal 4 2 5 2 2 3" xfId="8097"/>
    <cellStyle name="Normal 4 2 5 2 3" xfId="3870"/>
    <cellStyle name="Normal 4 2 5 2 3 2" xfId="9506"/>
    <cellStyle name="Normal 4 2 5 2 4" xfId="6696"/>
    <cellStyle name="Normal 4 2 5 3" xfId="1765"/>
    <cellStyle name="Normal 4 2 5 3 2" xfId="4575"/>
    <cellStyle name="Normal 4 2 5 3 2 2" xfId="10211"/>
    <cellStyle name="Normal 4 2 5 3 3" xfId="7401"/>
    <cellStyle name="Normal 4 2 5 4" xfId="3174"/>
    <cellStyle name="Normal 4 2 5 4 2" xfId="8810"/>
    <cellStyle name="Normal 4 2 5 5" xfId="6000"/>
    <cellStyle name="Normal 4 2 6" xfId="716"/>
    <cellStyle name="Normal 4 2 6 2" xfId="2117"/>
    <cellStyle name="Normal 4 2 6 2 2" xfId="4927"/>
    <cellStyle name="Normal 4 2 6 2 2 2" xfId="10563"/>
    <cellStyle name="Normal 4 2 6 2 3" xfId="7753"/>
    <cellStyle name="Normal 4 2 6 3" xfId="3526"/>
    <cellStyle name="Normal 4 2 6 3 2" xfId="9162"/>
    <cellStyle name="Normal 4 2 6 4" xfId="6352"/>
    <cellStyle name="Normal 4 2 7" xfId="1421"/>
    <cellStyle name="Normal 4 2 7 2" xfId="4231"/>
    <cellStyle name="Normal 4 2 7 2 2" xfId="9867"/>
    <cellStyle name="Normal 4 2 7 3" xfId="7057"/>
    <cellStyle name="Normal 4 2 8" xfId="2830"/>
    <cellStyle name="Normal 4 2 8 2" xfId="8466"/>
    <cellStyle name="Normal 4 2 9" xfId="5656"/>
    <cellStyle name="Normal 4 3" xfId="40"/>
    <cellStyle name="Normal 4 3 2" xfId="120"/>
    <cellStyle name="Normal 4 3 2 2" xfId="292"/>
    <cellStyle name="Normal 4 3 2 2 2" xfId="636"/>
    <cellStyle name="Normal 4 3 2 2 2 2" xfId="1332"/>
    <cellStyle name="Normal 4 3 2 2 2 2 2" xfId="2733"/>
    <cellStyle name="Normal 4 3 2 2 2 2 2 2" xfId="5543"/>
    <cellStyle name="Normal 4 3 2 2 2 2 2 2 2" xfId="11179"/>
    <cellStyle name="Normal 4 3 2 2 2 2 2 3" xfId="8369"/>
    <cellStyle name="Normal 4 3 2 2 2 2 3" xfId="4142"/>
    <cellStyle name="Normal 4 3 2 2 2 2 3 2" xfId="9778"/>
    <cellStyle name="Normal 4 3 2 2 2 2 4" xfId="6968"/>
    <cellStyle name="Normal 4 3 2 2 2 3" xfId="2037"/>
    <cellStyle name="Normal 4 3 2 2 2 3 2" xfId="4847"/>
    <cellStyle name="Normal 4 3 2 2 2 3 2 2" xfId="10483"/>
    <cellStyle name="Normal 4 3 2 2 2 3 3" xfId="7673"/>
    <cellStyle name="Normal 4 3 2 2 2 4" xfId="3446"/>
    <cellStyle name="Normal 4 3 2 2 2 4 2" xfId="9082"/>
    <cellStyle name="Normal 4 3 2 2 2 5" xfId="6272"/>
    <cellStyle name="Normal 4 3 2 2 3" xfId="988"/>
    <cellStyle name="Normal 4 3 2 2 3 2" xfId="2389"/>
    <cellStyle name="Normal 4 3 2 2 3 2 2" xfId="5199"/>
    <cellStyle name="Normal 4 3 2 2 3 2 2 2" xfId="10835"/>
    <cellStyle name="Normal 4 3 2 2 3 2 3" xfId="8025"/>
    <cellStyle name="Normal 4 3 2 2 3 3" xfId="3798"/>
    <cellStyle name="Normal 4 3 2 2 3 3 2" xfId="9434"/>
    <cellStyle name="Normal 4 3 2 2 3 4" xfId="6624"/>
    <cellStyle name="Normal 4 3 2 2 4" xfId="1693"/>
    <cellStyle name="Normal 4 3 2 2 4 2" xfId="4503"/>
    <cellStyle name="Normal 4 3 2 2 4 2 2" xfId="10139"/>
    <cellStyle name="Normal 4 3 2 2 4 3" xfId="7329"/>
    <cellStyle name="Normal 4 3 2 2 5" xfId="3102"/>
    <cellStyle name="Normal 4 3 2 2 5 2" xfId="8738"/>
    <cellStyle name="Normal 4 3 2 2 6" xfId="5928"/>
    <cellStyle name="Normal 4 3 2 3" xfId="464"/>
    <cellStyle name="Normal 4 3 2 3 2" xfId="1160"/>
    <cellStyle name="Normal 4 3 2 3 2 2" xfId="2561"/>
    <cellStyle name="Normal 4 3 2 3 2 2 2" xfId="5371"/>
    <cellStyle name="Normal 4 3 2 3 2 2 2 2" xfId="11007"/>
    <cellStyle name="Normal 4 3 2 3 2 2 3" xfId="8197"/>
    <cellStyle name="Normal 4 3 2 3 2 3" xfId="3970"/>
    <cellStyle name="Normal 4 3 2 3 2 3 2" xfId="9606"/>
    <cellStyle name="Normal 4 3 2 3 2 4" xfId="6796"/>
    <cellStyle name="Normal 4 3 2 3 3" xfId="1865"/>
    <cellStyle name="Normal 4 3 2 3 3 2" xfId="4675"/>
    <cellStyle name="Normal 4 3 2 3 3 2 2" xfId="10311"/>
    <cellStyle name="Normal 4 3 2 3 3 3" xfId="7501"/>
    <cellStyle name="Normal 4 3 2 3 4" xfId="3274"/>
    <cellStyle name="Normal 4 3 2 3 4 2" xfId="8910"/>
    <cellStyle name="Normal 4 3 2 3 5" xfId="6100"/>
    <cellStyle name="Normal 4 3 2 4" xfId="816"/>
    <cellStyle name="Normal 4 3 2 4 2" xfId="2217"/>
    <cellStyle name="Normal 4 3 2 4 2 2" xfId="5027"/>
    <cellStyle name="Normal 4 3 2 4 2 2 2" xfId="10663"/>
    <cellStyle name="Normal 4 3 2 4 2 3" xfId="7853"/>
    <cellStyle name="Normal 4 3 2 4 3" xfId="3626"/>
    <cellStyle name="Normal 4 3 2 4 3 2" xfId="9262"/>
    <cellStyle name="Normal 4 3 2 4 4" xfId="6452"/>
    <cellStyle name="Normal 4 3 2 5" xfId="1521"/>
    <cellStyle name="Normal 4 3 2 5 2" xfId="4331"/>
    <cellStyle name="Normal 4 3 2 5 2 2" xfId="9967"/>
    <cellStyle name="Normal 4 3 2 5 3" xfId="7157"/>
    <cellStyle name="Normal 4 3 2 6" xfId="2930"/>
    <cellStyle name="Normal 4 3 2 6 2" xfId="8566"/>
    <cellStyle name="Normal 4 3 2 7" xfId="5756"/>
    <cellStyle name="Normal 4 3 3" xfId="212"/>
    <cellStyle name="Normal 4 3 3 2" xfId="556"/>
    <cellStyle name="Normal 4 3 3 2 2" xfId="1252"/>
    <cellStyle name="Normal 4 3 3 2 2 2" xfId="2653"/>
    <cellStyle name="Normal 4 3 3 2 2 2 2" xfId="5463"/>
    <cellStyle name="Normal 4 3 3 2 2 2 2 2" xfId="11099"/>
    <cellStyle name="Normal 4 3 3 2 2 2 3" xfId="8289"/>
    <cellStyle name="Normal 4 3 3 2 2 3" xfId="4062"/>
    <cellStyle name="Normal 4 3 3 2 2 3 2" xfId="9698"/>
    <cellStyle name="Normal 4 3 3 2 2 4" xfId="6888"/>
    <cellStyle name="Normal 4 3 3 2 3" xfId="1957"/>
    <cellStyle name="Normal 4 3 3 2 3 2" xfId="4767"/>
    <cellStyle name="Normal 4 3 3 2 3 2 2" xfId="10403"/>
    <cellStyle name="Normal 4 3 3 2 3 3" xfId="7593"/>
    <cellStyle name="Normal 4 3 3 2 4" xfId="3366"/>
    <cellStyle name="Normal 4 3 3 2 4 2" xfId="9002"/>
    <cellStyle name="Normal 4 3 3 2 5" xfId="6192"/>
    <cellStyle name="Normal 4 3 3 3" xfId="908"/>
    <cellStyle name="Normal 4 3 3 3 2" xfId="2309"/>
    <cellStyle name="Normal 4 3 3 3 2 2" xfId="5119"/>
    <cellStyle name="Normal 4 3 3 3 2 2 2" xfId="10755"/>
    <cellStyle name="Normal 4 3 3 3 2 3" xfId="7945"/>
    <cellStyle name="Normal 4 3 3 3 3" xfId="3718"/>
    <cellStyle name="Normal 4 3 3 3 3 2" xfId="9354"/>
    <cellStyle name="Normal 4 3 3 3 4" xfId="6544"/>
    <cellStyle name="Normal 4 3 3 4" xfId="1613"/>
    <cellStyle name="Normal 4 3 3 4 2" xfId="4423"/>
    <cellStyle name="Normal 4 3 3 4 2 2" xfId="10059"/>
    <cellStyle name="Normal 4 3 3 4 3" xfId="7249"/>
    <cellStyle name="Normal 4 3 3 5" xfId="3022"/>
    <cellStyle name="Normal 4 3 3 5 2" xfId="8658"/>
    <cellStyle name="Normal 4 3 3 6" xfId="5848"/>
    <cellStyle name="Normal 4 3 4" xfId="384"/>
    <cellStyle name="Normal 4 3 4 2" xfId="1080"/>
    <cellStyle name="Normal 4 3 4 2 2" xfId="2481"/>
    <cellStyle name="Normal 4 3 4 2 2 2" xfId="5291"/>
    <cellStyle name="Normal 4 3 4 2 2 2 2" xfId="10927"/>
    <cellStyle name="Normal 4 3 4 2 2 3" xfId="8117"/>
    <cellStyle name="Normal 4 3 4 2 3" xfId="3890"/>
    <cellStyle name="Normal 4 3 4 2 3 2" xfId="9526"/>
    <cellStyle name="Normal 4 3 4 2 4" xfId="6716"/>
    <cellStyle name="Normal 4 3 4 3" xfId="1785"/>
    <cellStyle name="Normal 4 3 4 3 2" xfId="4595"/>
    <cellStyle name="Normal 4 3 4 3 2 2" xfId="10231"/>
    <cellStyle name="Normal 4 3 4 3 3" xfId="7421"/>
    <cellStyle name="Normal 4 3 4 4" xfId="3194"/>
    <cellStyle name="Normal 4 3 4 4 2" xfId="8830"/>
    <cellStyle name="Normal 4 3 4 5" xfId="6020"/>
    <cellStyle name="Normal 4 3 5" xfId="736"/>
    <cellStyle name="Normal 4 3 5 2" xfId="2137"/>
    <cellStyle name="Normal 4 3 5 2 2" xfId="4947"/>
    <cellStyle name="Normal 4 3 5 2 2 2" xfId="10583"/>
    <cellStyle name="Normal 4 3 5 2 3" xfId="7773"/>
    <cellStyle name="Normal 4 3 5 3" xfId="3546"/>
    <cellStyle name="Normal 4 3 5 3 2" xfId="9182"/>
    <cellStyle name="Normal 4 3 5 4" xfId="6372"/>
    <cellStyle name="Normal 4 3 6" xfId="1441"/>
    <cellStyle name="Normal 4 3 6 2" xfId="4251"/>
    <cellStyle name="Normal 4 3 6 2 2" xfId="9887"/>
    <cellStyle name="Normal 4 3 6 3" xfId="7077"/>
    <cellStyle name="Normal 4 3 7" xfId="2850"/>
    <cellStyle name="Normal 4 3 7 2" xfId="8486"/>
    <cellStyle name="Normal 4 3 8" xfId="5676"/>
    <cellStyle name="Normal 4 4" xfId="88"/>
    <cellStyle name="Normal 4 4 2" xfId="260"/>
    <cellStyle name="Normal 4 4 2 2" xfId="604"/>
    <cellStyle name="Normal 4 4 2 2 2" xfId="1300"/>
    <cellStyle name="Normal 4 4 2 2 2 2" xfId="2701"/>
    <cellStyle name="Normal 4 4 2 2 2 2 2" xfId="5511"/>
    <cellStyle name="Normal 4 4 2 2 2 2 2 2" xfId="11147"/>
    <cellStyle name="Normal 4 4 2 2 2 2 3" xfId="8337"/>
    <cellStyle name="Normal 4 4 2 2 2 3" xfId="4110"/>
    <cellStyle name="Normal 4 4 2 2 2 3 2" xfId="9746"/>
    <cellStyle name="Normal 4 4 2 2 2 4" xfId="6936"/>
    <cellStyle name="Normal 4 4 2 2 3" xfId="2005"/>
    <cellStyle name="Normal 4 4 2 2 3 2" xfId="4815"/>
    <cellStyle name="Normal 4 4 2 2 3 2 2" xfId="10451"/>
    <cellStyle name="Normal 4 4 2 2 3 3" xfId="7641"/>
    <cellStyle name="Normal 4 4 2 2 4" xfId="3414"/>
    <cellStyle name="Normal 4 4 2 2 4 2" xfId="9050"/>
    <cellStyle name="Normal 4 4 2 2 5" xfId="6240"/>
    <cellStyle name="Normal 4 4 2 3" xfId="956"/>
    <cellStyle name="Normal 4 4 2 3 2" xfId="2357"/>
    <cellStyle name="Normal 4 4 2 3 2 2" xfId="5167"/>
    <cellStyle name="Normal 4 4 2 3 2 2 2" xfId="10803"/>
    <cellStyle name="Normal 4 4 2 3 2 3" xfId="7993"/>
    <cellStyle name="Normal 4 4 2 3 3" xfId="3766"/>
    <cellStyle name="Normal 4 4 2 3 3 2" xfId="9402"/>
    <cellStyle name="Normal 4 4 2 3 4" xfId="6592"/>
    <cellStyle name="Normal 4 4 2 4" xfId="1661"/>
    <cellStyle name="Normal 4 4 2 4 2" xfId="4471"/>
    <cellStyle name="Normal 4 4 2 4 2 2" xfId="10107"/>
    <cellStyle name="Normal 4 4 2 4 3" xfId="7297"/>
    <cellStyle name="Normal 4 4 2 5" xfId="3070"/>
    <cellStyle name="Normal 4 4 2 5 2" xfId="8706"/>
    <cellStyle name="Normal 4 4 2 6" xfId="5896"/>
    <cellStyle name="Normal 4 4 3" xfId="432"/>
    <cellStyle name="Normal 4 4 3 2" xfId="1128"/>
    <cellStyle name="Normal 4 4 3 2 2" xfId="2529"/>
    <cellStyle name="Normal 4 4 3 2 2 2" xfId="5339"/>
    <cellStyle name="Normal 4 4 3 2 2 2 2" xfId="10975"/>
    <cellStyle name="Normal 4 4 3 2 2 3" xfId="8165"/>
    <cellStyle name="Normal 4 4 3 2 3" xfId="3938"/>
    <cellStyle name="Normal 4 4 3 2 3 2" xfId="9574"/>
    <cellStyle name="Normal 4 4 3 2 4" xfId="6764"/>
    <cellStyle name="Normal 4 4 3 3" xfId="1833"/>
    <cellStyle name="Normal 4 4 3 3 2" xfId="4643"/>
    <cellStyle name="Normal 4 4 3 3 2 2" xfId="10279"/>
    <cellStyle name="Normal 4 4 3 3 3" xfId="7469"/>
    <cellStyle name="Normal 4 4 3 4" xfId="3242"/>
    <cellStyle name="Normal 4 4 3 4 2" xfId="8878"/>
    <cellStyle name="Normal 4 4 3 5" xfId="6068"/>
    <cellStyle name="Normal 4 4 4" xfId="784"/>
    <cellStyle name="Normal 4 4 4 2" xfId="2185"/>
    <cellStyle name="Normal 4 4 4 2 2" xfId="4995"/>
    <cellStyle name="Normal 4 4 4 2 2 2" xfId="10631"/>
    <cellStyle name="Normal 4 4 4 2 3" xfId="7821"/>
    <cellStyle name="Normal 4 4 4 3" xfId="3594"/>
    <cellStyle name="Normal 4 4 4 3 2" xfId="9230"/>
    <cellStyle name="Normal 4 4 4 4" xfId="6420"/>
    <cellStyle name="Normal 4 4 5" xfId="1489"/>
    <cellStyle name="Normal 4 4 5 2" xfId="4299"/>
    <cellStyle name="Normal 4 4 5 2 2" xfId="9935"/>
    <cellStyle name="Normal 4 4 5 3" xfId="7125"/>
    <cellStyle name="Normal 4 4 6" xfId="2898"/>
    <cellStyle name="Normal 4 4 6 2" xfId="8534"/>
    <cellStyle name="Normal 4 4 7" xfId="5724"/>
    <cellStyle name="Normal 4 5" xfId="180"/>
    <cellStyle name="Normal 4 5 2" xfId="524"/>
    <cellStyle name="Normal 4 5 2 2" xfId="1220"/>
    <cellStyle name="Normal 4 5 2 2 2" xfId="2621"/>
    <cellStyle name="Normal 4 5 2 2 2 2" xfId="5431"/>
    <cellStyle name="Normal 4 5 2 2 2 2 2" xfId="11067"/>
    <cellStyle name="Normal 4 5 2 2 2 3" xfId="8257"/>
    <cellStyle name="Normal 4 5 2 2 3" xfId="4030"/>
    <cellStyle name="Normal 4 5 2 2 3 2" xfId="9666"/>
    <cellStyle name="Normal 4 5 2 2 4" xfId="6856"/>
    <cellStyle name="Normal 4 5 2 3" xfId="1925"/>
    <cellStyle name="Normal 4 5 2 3 2" xfId="4735"/>
    <cellStyle name="Normal 4 5 2 3 2 2" xfId="10371"/>
    <cellStyle name="Normal 4 5 2 3 3" xfId="7561"/>
    <cellStyle name="Normal 4 5 2 4" xfId="3334"/>
    <cellStyle name="Normal 4 5 2 4 2" xfId="8970"/>
    <cellStyle name="Normal 4 5 2 5" xfId="6160"/>
    <cellStyle name="Normal 4 5 3" xfId="876"/>
    <cellStyle name="Normal 4 5 3 2" xfId="2277"/>
    <cellStyle name="Normal 4 5 3 2 2" xfId="5087"/>
    <cellStyle name="Normal 4 5 3 2 2 2" xfId="10723"/>
    <cellStyle name="Normal 4 5 3 2 3" xfId="7913"/>
    <cellStyle name="Normal 4 5 3 3" xfId="3686"/>
    <cellStyle name="Normal 4 5 3 3 2" xfId="9322"/>
    <cellStyle name="Normal 4 5 3 4" xfId="6512"/>
    <cellStyle name="Normal 4 5 4" xfId="1581"/>
    <cellStyle name="Normal 4 5 4 2" xfId="4391"/>
    <cellStyle name="Normal 4 5 4 2 2" xfId="10027"/>
    <cellStyle name="Normal 4 5 4 3" xfId="7217"/>
    <cellStyle name="Normal 4 5 5" xfId="2990"/>
    <cellStyle name="Normal 4 5 5 2" xfId="8626"/>
    <cellStyle name="Normal 4 5 6" xfId="5816"/>
    <cellStyle name="Normal 4 6" xfId="352"/>
    <cellStyle name="Normal 4 6 2" xfId="1048"/>
    <cellStyle name="Normal 4 6 2 2" xfId="2449"/>
    <cellStyle name="Normal 4 6 2 2 2" xfId="5259"/>
    <cellStyle name="Normal 4 6 2 2 2 2" xfId="10895"/>
    <cellStyle name="Normal 4 6 2 2 3" xfId="8085"/>
    <cellStyle name="Normal 4 6 2 3" xfId="3858"/>
    <cellStyle name="Normal 4 6 2 3 2" xfId="9494"/>
    <cellStyle name="Normal 4 6 2 4" xfId="6684"/>
    <cellStyle name="Normal 4 6 3" xfId="1753"/>
    <cellStyle name="Normal 4 6 3 2" xfId="4563"/>
    <cellStyle name="Normal 4 6 3 2 2" xfId="10199"/>
    <cellStyle name="Normal 4 6 3 3" xfId="7389"/>
    <cellStyle name="Normal 4 6 4" xfId="3162"/>
    <cellStyle name="Normal 4 6 4 2" xfId="8798"/>
    <cellStyle name="Normal 4 6 5" xfId="5988"/>
    <cellStyle name="Normal 4 7" xfId="704"/>
    <cellStyle name="Normal 4 7 2" xfId="2105"/>
    <cellStyle name="Normal 4 7 2 2" xfId="4915"/>
    <cellStyle name="Normal 4 7 2 2 2" xfId="10551"/>
    <cellStyle name="Normal 4 7 2 3" xfId="7741"/>
    <cellStyle name="Normal 4 7 3" xfId="3514"/>
    <cellStyle name="Normal 4 7 3 2" xfId="9150"/>
    <cellStyle name="Normal 4 7 4" xfId="6340"/>
    <cellStyle name="Normal 4 8" xfId="1409"/>
    <cellStyle name="Normal 4 8 2" xfId="4219"/>
    <cellStyle name="Normal 4 8 2 2" xfId="9855"/>
    <cellStyle name="Normal 4 8 3" xfId="7045"/>
    <cellStyle name="Normal 4 9" xfId="2818"/>
    <cellStyle name="Normal 4 9 2" xfId="8454"/>
    <cellStyle name="Normal 40" xfId="2811"/>
    <cellStyle name="Normal 40 2" xfId="8447"/>
    <cellStyle name="Normal 41" xfId="5622"/>
    <cellStyle name="Normal 41 2" xfId="11258"/>
    <cellStyle name="Normal 42" xfId="5624"/>
    <cellStyle name="Normal 42 2" xfId="11260"/>
    <cellStyle name="Normal 43" xfId="5626"/>
    <cellStyle name="Normal 43 2" xfId="11262"/>
    <cellStyle name="Normal 44" xfId="5630"/>
    <cellStyle name="Normal 44 2" xfId="11266"/>
    <cellStyle name="Normal 45" xfId="5632"/>
    <cellStyle name="Normal 45 2" xfId="11268"/>
    <cellStyle name="Normal 46" xfId="5633"/>
    <cellStyle name="Normal 46 2" xfId="11269"/>
    <cellStyle name="Normal 47" xfId="5634"/>
    <cellStyle name="Normal 47 2" xfId="11270"/>
    <cellStyle name="Normal 48" xfId="5635"/>
    <cellStyle name="Normal 48 2" xfId="11271"/>
    <cellStyle name="Normal 49" xfId="5636"/>
    <cellStyle name="Normal 5" xfId="10"/>
    <cellStyle name="Normal 5 10" xfId="5646"/>
    <cellStyle name="Normal 5 2" xfId="22"/>
    <cellStyle name="Normal 5 2 2" xfId="54"/>
    <cellStyle name="Normal 5 2 2 2" xfId="134"/>
    <cellStyle name="Normal 5 2 2 2 2" xfId="306"/>
    <cellStyle name="Normal 5 2 2 2 2 2" xfId="650"/>
    <cellStyle name="Normal 5 2 2 2 2 2 2" xfId="1346"/>
    <cellStyle name="Normal 5 2 2 2 2 2 2 2" xfId="2747"/>
    <cellStyle name="Normal 5 2 2 2 2 2 2 2 2" xfId="5557"/>
    <cellStyle name="Normal 5 2 2 2 2 2 2 2 2 2" xfId="11193"/>
    <cellStyle name="Normal 5 2 2 2 2 2 2 2 3" xfId="8383"/>
    <cellStyle name="Normal 5 2 2 2 2 2 2 3" xfId="4156"/>
    <cellStyle name="Normal 5 2 2 2 2 2 2 3 2" xfId="9792"/>
    <cellStyle name="Normal 5 2 2 2 2 2 2 4" xfId="6982"/>
    <cellStyle name="Normal 5 2 2 2 2 2 3" xfId="2051"/>
    <cellStyle name="Normal 5 2 2 2 2 2 3 2" xfId="4861"/>
    <cellStyle name="Normal 5 2 2 2 2 2 3 2 2" xfId="10497"/>
    <cellStyle name="Normal 5 2 2 2 2 2 3 3" xfId="7687"/>
    <cellStyle name="Normal 5 2 2 2 2 2 4" xfId="3460"/>
    <cellStyle name="Normal 5 2 2 2 2 2 4 2" xfId="9096"/>
    <cellStyle name="Normal 5 2 2 2 2 2 5" xfId="6286"/>
    <cellStyle name="Normal 5 2 2 2 2 3" xfId="1002"/>
    <cellStyle name="Normal 5 2 2 2 2 3 2" xfId="2403"/>
    <cellStyle name="Normal 5 2 2 2 2 3 2 2" xfId="5213"/>
    <cellStyle name="Normal 5 2 2 2 2 3 2 2 2" xfId="10849"/>
    <cellStyle name="Normal 5 2 2 2 2 3 2 3" xfId="8039"/>
    <cellStyle name="Normal 5 2 2 2 2 3 3" xfId="3812"/>
    <cellStyle name="Normal 5 2 2 2 2 3 3 2" xfId="9448"/>
    <cellStyle name="Normal 5 2 2 2 2 3 4" xfId="6638"/>
    <cellStyle name="Normal 5 2 2 2 2 4" xfId="1707"/>
    <cellStyle name="Normal 5 2 2 2 2 4 2" xfId="4517"/>
    <cellStyle name="Normal 5 2 2 2 2 4 2 2" xfId="10153"/>
    <cellStyle name="Normal 5 2 2 2 2 4 3" xfId="7343"/>
    <cellStyle name="Normal 5 2 2 2 2 5" xfId="3116"/>
    <cellStyle name="Normal 5 2 2 2 2 5 2" xfId="8752"/>
    <cellStyle name="Normal 5 2 2 2 2 6" xfId="5942"/>
    <cellStyle name="Normal 5 2 2 2 3" xfId="478"/>
    <cellStyle name="Normal 5 2 2 2 3 2" xfId="1174"/>
    <cellStyle name="Normal 5 2 2 2 3 2 2" xfId="2575"/>
    <cellStyle name="Normal 5 2 2 2 3 2 2 2" xfId="5385"/>
    <cellStyle name="Normal 5 2 2 2 3 2 2 2 2" xfId="11021"/>
    <cellStyle name="Normal 5 2 2 2 3 2 2 3" xfId="8211"/>
    <cellStyle name="Normal 5 2 2 2 3 2 3" xfId="3984"/>
    <cellStyle name="Normal 5 2 2 2 3 2 3 2" xfId="9620"/>
    <cellStyle name="Normal 5 2 2 2 3 2 4" xfId="6810"/>
    <cellStyle name="Normal 5 2 2 2 3 3" xfId="1879"/>
    <cellStyle name="Normal 5 2 2 2 3 3 2" xfId="4689"/>
    <cellStyle name="Normal 5 2 2 2 3 3 2 2" xfId="10325"/>
    <cellStyle name="Normal 5 2 2 2 3 3 3" xfId="7515"/>
    <cellStyle name="Normal 5 2 2 2 3 4" xfId="3288"/>
    <cellStyle name="Normal 5 2 2 2 3 4 2" xfId="8924"/>
    <cellStyle name="Normal 5 2 2 2 3 5" xfId="6114"/>
    <cellStyle name="Normal 5 2 2 2 4" xfId="830"/>
    <cellStyle name="Normal 5 2 2 2 4 2" xfId="2231"/>
    <cellStyle name="Normal 5 2 2 2 4 2 2" xfId="5041"/>
    <cellStyle name="Normal 5 2 2 2 4 2 2 2" xfId="10677"/>
    <cellStyle name="Normal 5 2 2 2 4 2 3" xfId="7867"/>
    <cellStyle name="Normal 5 2 2 2 4 3" xfId="3640"/>
    <cellStyle name="Normal 5 2 2 2 4 3 2" xfId="9276"/>
    <cellStyle name="Normal 5 2 2 2 4 4" xfId="6466"/>
    <cellStyle name="Normal 5 2 2 2 5" xfId="1535"/>
    <cellStyle name="Normal 5 2 2 2 5 2" xfId="4345"/>
    <cellStyle name="Normal 5 2 2 2 5 2 2" xfId="9981"/>
    <cellStyle name="Normal 5 2 2 2 5 3" xfId="7171"/>
    <cellStyle name="Normal 5 2 2 2 6" xfId="2944"/>
    <cellStyle name="Normal 5 2 2 2 6 2" xfId="8580"/>
    <cellStyle name="Normal 5 2 2 2 7" xfId="5770"/>
    <cellStyle name="Normal 5 2 2 3" xfId="226"/>
    <cellStyle name="Normal 5 2 2 3 2" xfId="570"/>
    <cellStyle name="Normal 5 2 2 3 2 2" xfId="1266"/>
    <cellStyle name="Normal 5 2 2 3 2 2 2" xfId="2667"/>
    <cellStyle name="Normal 5 2 2 3 2 2 2 2" xfId="5477"/>
    <cellStyle name="Normal 5 2 2 3 2 2 2 2 2" xfId="11113"/>
    <cellStyle name="Normal 5 2 2 3 2 2 2 3" xfId="8303"/>
    <cellStyle name="Normal 5 2 2 3 2 2 3" xfId="4076"/>
    <cellStyle name="Normal 5 2 2 3 2 2 3 2" xfId="9712"/>
    <cellStyle name="Normal 5 2 2 3 2 2 4" xfId="6902"/>
    <cellStyle name="Normal 5 2 2 3 2 3" xfId="1971"/>
    <cellStyle name="Normal 5 2 2 3 2 3 2" xfId="4781"/>
    <cellStyle name="Normal 5 2 2 3 2 3 2 2" xfId="10417"/>
    <cellStyle name="Normal 5 2 2 3 2 3 3" xfId="7607"/>
    <cellStyle name="Normal 5 2 2 3 2 4" xfId="3380"/>
    <cellStyle name="Normal 5 2 2 3 2 4 2" xfId="9016"/>
    <cellStyle name="Normal 5 2 2 3 2 5" xfId="6206"/>
    <cellStyle name="Normal 5 2 2 3 3" xfId="922"/>
    <cellStyle name="Normal 5 2 2 3 3 2" xfId="2323"/>
    <cellStyle name="Normal 5 2 2 3 3 2 2" xfId="5133"/>
    <cellStyle name="Normal 5 2 2 3 3 2 2 2" xfId="10769"/>
    <cellStyle name="Normal 5 2 2 3 3 2 3" xfId="7959"/>
    <cellStyle name="Normal 5 2 2 3 3 3" xfId="3732"/>
    <cellStyle name="Normal 5 2 2 3 3 3 2" xfId="9368"/>
    <cellStyle name="Normal 5 2 2 3 3 4" xfId="6558"/>
    <cellStyle name="Normal 5 2 2 3 4" xfId="1627"/>
    <cellStyle name="Normal 5 2 2 3 4 2" xfId="4437"/>
    <cellStyle name="Normal 5 2 2 3 4 2 2" xfId="10073"/>
    <cellStyle name="Normal 5 2 2 3 4 3" xfId="7263"/>
    <cellStyle name="Normal 5 2 2 3 5" xfId="3036"/>
    <cellStyle name="Normal 5 2 2 3 5 2" xfId="8672"/>
    <cellStyle name="Normal 5 2 2 3 6" xfId="5862"/>
    <cellStyle name="Normal 5 2 2 4" xfId="398"/>
    <cellStyle name="Normal 5 2 2 4 2" xfId="1094"/>
    <cellStyle name="Normal 5 2 2 4 2 2" xfId="2495"/>
    <cellStyle name="Normal 5 2 2 4 2 2 2" xfId="5305"/>
    <cellStyle name="Normal 5 2 2 4 2 2 2 2" xfId="10941"/>
    <cellStyle name="Normal 5 2 2 4 2 2 3" xfId="8131"/>
    <cellStyle name="Normal 5 2 2 4 2 3" xfId="3904"/>
    <cellStyle name="Normal 5 2 2 4 2 3 2" xfId="9540"/>
    <cellStyle name="Normal 5 2 2 4 2 4" xfId="6730"/>
    <cellStyle name="Normal 5 2 2 4 3" xfId="1799"/>
    <cellStyle name="Normal 5 2 2 4 3 2" xfId="4609"/>
    <cellStyle name="Normal 5 2 2 4 3 2 2" xfId="10245"/>
    <cellStyle name="Normal 5 2 2 4 3 3" xfId="7435"/>
    <cellStyle name="Normal 5 2 2 4 4" xfId="3208"/>
    <cellStyle name="Normal 5 2 2 4 4 2" xfId="8844"/>
    <cellStyle name="Normal 5 2 2 4 5" xfId="6034"/>
    <cellStyle name="Normal 5 2 2 5" xfId="750"/>
    <cellStyle name="Normal 5 2 2 5 2" xfId="2151"/>
    <cellStyle name="Normal 5 2 2 5 2 2" xfId="4961"/>
    <cellStyle name="Normal 5 2 2 5 2 2 2" xfId="10597"/>
    <cellStyle name="Normal 5 2 2 5 2 3" xfId="7787"/>
    <cellStyle name="Normal 5 2 2 5 3" xfId="3560"/>
    <cellStyle name="Normal 5 2 2 5 3 2" xfId="9196"/>
    <cellStyle name="Normal 5 2 2 5 4" xfId="6386"/>
    <cellStyle name="Normal 5 2 2 6" xfId="1455"/>
    <cellStyle name="Normal 5 2 2 6 2" xfId="4265"/>
    <cellStyle name="Normal 5 2 2 6 2 2" xfId="9901"/>
    <cellStyle name="Normal 5 2 2 6 3" xfId="7091"/>
    <cellStyle name="Normal 5 2 2 7" xfId="2864"/>
    <cellStyle name="Normal 5 2 2 7 2" xfId="8500"/>
    <cellStyle name="Normal 5 2 2 8" xfId="5690"/>
    <cellStyle name="Normal 5 2 3" xfId="102"/>
    <cellStyle name="Normal 5 2 3 2" xfId="274"/>
    <cellStyle name="Normal 5 2 3 2 2" xfId="618"/>
    <cellStyle name="Normal 5 2 3 2 2 2" xfId="1314"/>
    <cellStyle name="Normal 5 2 3 2 2 2 2" xfId="2715"/>
    <cellStyle name="Normal 5 2 3 2 2 2 2 2" xfId="5525"/>
    <cellStyle name="Normal 5 2 3 2 2 2 2 2 2" xfId="11161"/>
    <cellStyle name="Normal 5 2 3 2 2 2 2 3" xfId="8351"/>
    <cellStyle name="Normal 5 2 3 2 2 2 3" xfId="4124"/>
    <cellStyle name="Normal 5 2 3 2 2 2 3 2" xfId="9760"/>
    <cellStyle name="Normal 5 2 3 2 2 2 4" xfId="6950"/>
    <cellStyle name="Normal 5 2 3 2 2 3" xfId="2019"/>
    <cellStyle name="Normal 5 2 3 2 2 3 2" xfId="4829"/>
    <cellStyle name="Normal 5 2 3 2 2 3 2 2" xfId="10465"/>
    <cellStyle name="Normal 5 2 3 2 2 3 3" xfId="7655"/>
    <cellStyle name="Normal 5 2 3 2 2 4" xfId="3428"/>
    <cellStyle name="Normal 5 2 3 2 2 4 2" xfId="9064"/>
    <cellStyle name="Normal 5 2 3 2 2 5" xfId="6254"/>
    <cellStyle name="Normal 5 2 3 2 3" xfId="970"/>
    <cellStyle name="Normal 5 2 3 2 3 2" xfId="2371"/>
    <cellStyle name="Normal 5 2 3 2 3 2 2" xfId="5181"/>
    <cellStyle name="Normal 5 2 3 2 3 2 2 2" xfId="10817"/>
    <cellStyle name="Normal 5 2 3 2 3 2 3" xfId="8007"/>
    <cellStyle name="Normal 5 2 3 2 3 3" xfId="3780"/>
    <cellStyle name="Normal 5 2 3 2 3 3 2" xfId="9416"/>
    <cellStyle name="Normal 5 2 3 2 3 4" xfId="6606"/>
    <cellStyle name="Normal 5 2 3 2 4" xfId="1675"/>
    <cellStyle name="Normal 5 2 3 2 4 2" xfId="4485"/>
    <cellStyle name="Normal 5 2 3 2 4 2 2" xfId="10121"/>
    <cellStyle name="Normal 5 2 3 2 4 3" xfId="7311"/>
    <cellStyle name="Normal 5 2 3 2 5" xfId="3084"/>
    <cellStyle name="Normal 5 2 3 2 5 2" xfId="8720"/>
    <cellStyle name="Normal 5 2 3 2 6" xfId="5910"/>
    <cellStyle name="Normal 5 2 3 3" xfId="446"/>
    <cellStyle name="Normal 5 2 3 3 2" xfId="1142"/>
    <cellStyle name="Normal 5 2 3 3 2 2" xfId="2543"/>
    <cellStyle name="Normal 5 2 3 3 2 2 2" xfId="5353"/>
    <cellStyle name="Normal 5 2 3 3 2 2 2 2" xfId="10989"/>
    <cellStyle name="Normal 5 2 3 3 2 2 3" xfId="8179"/>
    <cellStyle name="Normal 5 2 3 3 2 3" xfId="3952"/>
    <cellStyle name="Normal 5 2 3 3 2 3 2" xfId="9588"/>
    <cellStyle name="Normal 5 2 3 3 2 4" xfId="6778"/>
    <cellStyle name="Normal 5 2 3 3 3" xfId="1847"/>
    <cellStyle name="Normal 5 2 3 3 3 2" xfId="4657"/>
    <cellStyle name="Normal 5 2 3 3 3 2 2" xfId="10293"/>
    <cellStyle name="Normal 5 2 3 3 3 3" xfId="7483"/>
    <cellStyle name="Normal 5 2 3 3 4" xfId="3256"/>
    <cellStyle name="Normal 5 2 3 3 4 2" xfId="8892"/>
    <cellStyle name="Normal 5 2 3 3 5" xfId="6082"/>
    <cellStyle name="Normal 5 2 3 4" xfId="798"/>
    <cellStyle name="Normal 5 2 3 4 2" xfId="2199"/>
    <cellStyle name="Normal 5 2 3 4 2 2" xfId="5009"/>
    <cellStyle name="Normal 5 2 3 4 2 2 2" xfId="10645"/>
    <cellStyle name="Normal 5 2 3 4 2 3" xfId="7835"/>
    <cellStyle name="Normal 5 2 3 4 3" xfId="3608"/>
    <cellStyle name="Normal 5 2 3 4 3 2" xfId="9244"/>
    <cellStyle name="Normal 5 2 3 4 4" xfId="6434"/>
    <cellStyle name="Normal 5 2 3 5" xfId="1503"/>
    <cellStyle name="Normal 5 2 3 5 2" xfId="4313"/>
    <cellStyle name="Normal 5 2 3 5 2 2" xfId="9949"/>
    <cellStyle name="Normal 5 2 3 5 3" xfId="7139"/>
    <cellStyle name="Normal 5 2 3 6" xfId="2912"/>
    <cellStyle name="Normal 5 2 3 6 2" xfId="8548"/>
    <cellStyle name="Normal 5 2 3 7" xfId="5738"/>
    <cellStyle name="Normal 5 2 4" xfId="194"/>
    <cellStyle name="Normal 5 2 4 2" xfId="538"/>
    <cellStyle name="Normal 5 2 4 2 2" xfId="1234"/>
    <cellStyle name="Normal 5 2 4 2 2 2" xfId="2635"/>
    <cellStyle name="Normal 5 2 4 2 2 2 2" xfId="5445"/>
    <cellStyle name="Normal 5 2 4 2 2 2 2 2" xfId="11081"/>
    <cellStyle name="Normal 5 2 4 2 2 2 3" xfId="8271"/>
    <cellStyle name="Normal 5 2 4 2 2 3" xfId="4044"/>
    <cellStyle name="Normal 5 2 4 2 2 3 2" xfId="9680"/>
    <cellStyle name="Normal 5 2 4 2 2 4" xfId="6870"/>
    <cellStyle name="Normal 5 2 4 2 3" xfId="1939"/>
    <cellStyle name="Normal 5 2 4 2 3 2" xfId="4749"/>
    <cellStyle name="Normal 5 2 4 2 3 2 2" xfId="10385"/>
    <cellStyle name="Normal 5 2 4 2 3 3" xfId="7575"/>
    <cellStyle name="Normal 5 2 4 2 4" xfId="3348"/>
    <cellStyle name="Normal 5 2 4 2 4 2" xfId="8984"/>
    <cellStyle name="Normal 5 2 4 2 5" xfId="6174"/>
    <cellStyle name="Normal 5 2 4 3" xfId="890"/>
    <cellStyle name="Normal 5 2 4 3 2" xfId="2291"/>
    <cellStyle name="Normal 5 2 4 3 2 2" xfId="5101"/>
    <cellStyle name="Normal 5 2 4 3 2 2 2" xfId="10737"/>
    <cellStyle name="Normal 5 2 4 3 2 3" xfId="7927"/>
    <cellStyle name="Normal 5 2 4 3 3" xfId="3700"/>
    <cellStyle name="Normal 5 2 4 3 3 2" xfId="9336"/>
    <cellStyle name="Normal 5 2 4 3 4" xfId="6526"/>
    <cellStyle name="Normal 5 2 4 4" xfId="1595"/>
    <cellStyle name="Normal 5 2 4 4 2" xfId="4405"/>
    <cellStyle name="Normal 5 2 4 4 2 2" xfId="10041"/>
    <cellStyle name="Normal 5 2 4 4 3" xfId="7231"/>
    <cellStyle name="Normal 5 2 4 5" xfId="3004"/>
    <cellStyle name="Normal 5 2 4 5 2" xfId="8640"/>
    <cellStyle name="Normal 5 2 4 6" xfId="5830"/>
    <cellStyle name="Normal 5 2 5" xfId="366"/>
    <cellStyle name="Normal 5 2 5 2" xfId="1062"/>
    <cellStyle name="Normal 5 2 5 2 2" xfId="2463"/>
    <cellStyle name="Normal 5 2 5 2 2 2" xfId="5273"/>
    <cellStyle name="Normal 5 2 5 2 2 2 2" xfId="10909"/>
    <cellStyle name="Normal 5 2 5 2 2 3" xfId="8099"/>
    <cellStyle name="Normal 5 2 5 2 3" xfId="3872"/>
    <cellStyle name="Normal 5 2 5 2 3 2" xfId="9508"/>
    <cellStyle name="Normal 5 2 5 2 4" xfId="6698"/>
    <cellStyle name="Normal 5 2 5 3" xfId="1767"/>
    <cellStyle name="Normal 5 2 5 3 2" xfId="4577"/>
    <cellStyle name="Normal 5 2 5 3 2 2" xfId="10213"/>
    <cellStyle name="Normal 5 2 5 3 3" xfId="7403"/>
    <cellStyle name="Normal 5 2 5 4" xfId="3176"/>
    <cellStyle name="Normal 5 2 5 4 2" xfId="8812"/>
    <cellStyle name="Normal 5 2 5 5" xfId="6002"/>
    <cellStyle name="Normal 5 2 6" xfId="718"/>
    <cellStyle name="Normal 5 2 6 2" xfId="2119"/>
    <cellStyle name="Normal 5 2 6 2 2" xfId="4929"/>
    <cellStyle name="Normal 5 2 6 2 2 2" xfId="10565"/>
    <cellStyle name="Normal 5 2 6 2 3" xfId="7755"/>
    <cellStyle name="Normal 5 2 6 3" xfId="3528"/>
    <cellStyle name="Normal 5 2 6 3 2" xfId="9164"/>
    <cellStyle name="Normal 5 2 6 4" xfId="6354"/>
    <cellStyle name="Normal 5 2 7" xfId="1423"/>
    <cellStyle name="Normal 5 2 7 2" xfId="4233"/>
    <cellStyle name="Normal 5 2 7 2 2" xfId="9869"/>
    <cellStyle name="Normal 5 2 7 3" xfId="7059"/>
    <cellStyle name="Normal 5 2 8" xfId="2832"/>
    <cellStyle name="Normal 5 2 8 2" xfId="8468"/>
    <cellStyle name="Normal 5 2 9" xfId="5658"/>
    <cellStyle name="Normal 5 3" xfId="42"/>
    <cellStyle name="Normal 5 3 2" xfId="122"/>
    <cellStyle name="Normal 5 3 2 2" xfId="294"/>
    <cellStyle name="Normal 5 3 2 2 2" xfId="638"/>
    <cellStyle name="Normal 5 3 2 2 2 2" xfId="1334"/>
    <cellStyle name="Normal 5 3 2 2 2 2 2" xfId="2735"/>
    <cellStyle name="Normal 5 3 2 2 2 2 2 2" xfId="5545"/>
    <cellStyle name="Normal 5 3 2 2 2 2 2 2 2" xfId="11181"/>
    <cellStyle name="Normal 5 3 2 2 2 2 2 3" xfId="8371"/>
    <cellStyle name="Normal 5 3 2 2 2 2 3" xfId="4144"/>
    <cellStyle name="Normal 5 3 2 2 2 2 3 2" xfId="9780"/>
    <cellStyle name="Normal 5 3 2 2 2 2 4" xfId="6970"/>
    <cellStyle name="Normal 5 3 2 2 2 3" xfId="2039"/>
    <cellStyle name="Normal 5 3 2 2 2 3 2" xfId="4849"/>
    <cellStyle name="Normal 5 3 2 2 2 3 2 2" xfId="10485"/>
    <cellStyle name="Normal 5 3 2 2 2 3 3" xfId="7675"/>
    <cellStyle name="Normal 5 3 2 2 2 4" xfId="3448"/>
    <cellStyle name="Normal 5 3 2 2 2 4 2" xfId="9084"/>
    <cellStyle name="Normal 5 3 2 2 2 5" xfId="6274"/>
    <cellStyle name="Normal 5 3 2 2 3" xfId="990"/>
    <cellStyle name="Normal 5 3 2 2 3 2" xfId="2391"/>
    <cellStyle name="Normal 5 3 2 2 3 2 2" xfId="5201"/>
    <cellStyle name="Normal 5 3 2 2 3 2 2 2" xfId="10837"/>
    <cellStyle name="Normal 5 3 2 2 3 2 3" xfId="8027"/>
    <cellStyle name="Normal 5 3 2 2 3 3" xfId="3800"/>
    <cellStyle name="Normal 5 3 2 2 3 3 2" xfId="9436"/>
    <cellStyle name="Normal 5 3 2 2 3 4" xfId="6626"/>
    <cellStyle name="Normal 5 3 2 2 4" xfId="1695"/>
    <cellStyle name="Normal 5 3 2 2 4 2" xfId="4505"/>
    <cellStyle name="Normal 5 3 2 2 4 2 2" xfId="10141"/>
    <cellStyle name="Normal 5 3 2 2 4 3" xfId="7331"/>
    <cellStyle name="Normal 5 3 2 2 5" xfId="3104"/>
    <cellStyle name="Normal 5 3 2 2 5 2" xfId="8740"/>
    <cellStyle name="Normal 5 3 2 2 6" xfId="5930"/>
    <cellStyle name="Normal 5 3 2 3" xfId="466"/>
    <cellStyle name="Normal 5 3 2 3 2" xfId="1162"/>
    <cellStyle name="Normal 5 3 2 3 2 2" xfId="2563"/>
    <cellStyle name="Normal 5 3 2 3 2 2 2" xfId="5373"/>
    <cellStyle name="Normal 5 3 2 3 2 2 2 2" xfId="11009"/>
    <cellStyle name="Normal 5 3 2 3 2 2 3" xfId="8199"/>
    <cellStyle name="Normal 5 3 2 3 2 3" xfId="3972"/>
    <cellStyle name="Normal 5 3 2 3 2 3 2" xfId="9608"/>
    <cellStyle name="Normal 5 3 2 3 2 4" xfId="6798"/>
    <cellStyle name="Normal 5 3 2 3 3" xfId="1867"/>
    <cellStyle name="Normal 5 3 2 3 3 2" xfId="4677"/>
    <cellStyle name="Normal 5 3 2 3 3 2 2" xfId="10313"/>
    <cellStyle name="Normal 5 3 2 3 3 3" xfId="7503"/>
    <cellStyle name="Normal 5 3 2 3 4" xfId="3276"/>
    <cellStyle name="Normal 5 3 2 3 4 2" xfId="8912"/>
    <cellStyle name="Normal 5 3 2 3 5" xfId="6102"/>
    <cellStyle name="Normal 5 3 2 4" xfId="818"/>
    <cellStyle name="Normal 5 3 2 4 2" xfId="2219"/>
    <cellStyle name="Normal 5 3 2 4 2 2" xfId="5029"/>
    <cellStyle name="Normal 5 3 2 4 2 2 2" xfId="10665"/>
    <cellStyle name="Normal 5 3 2 4 2 3" xfId="7855"/>
    <cellStyle name="Normal 5 3 2 4 3" xfId="3628"/>
    <cellStyle name="Normal 5 3 2 4 3 2" xfId="9264"/>
    <cellStyle name="Normal 5 3 2 4 4" xfId="6454"/>
    <cellStyle name="Normal 5 3 2 5" xfId="1523"/>
    <cellStyle name="Normal 5 3 2 5 2" xfId="4333"/>
    <cellStyle name="Normal 5 3 2 5 2 2" xfId="9969"/>
    <cellStyle name="Normal 5 3 2 5 3" xfId="7159"/>
    <cellStyle name="Normal 5 3 2 6" xfId="2932"/>
    <cellStyle name="Normal 5 3 2 6 2" xfId="8568"/>
    <cellStyle name="Normal 5 3 2 7" xfId="5758"/>
    <cellStyle name="Normal 5 3 3" xfId="214"/>
    <cellStyle name="Normal 5 3 3 2" xfId="558"/>
    <cellStyle name="Normal 5 3 3 2 2" xfId="1254"/>
    <cellStyle name="Normal 5 3 3 2 2 2" xfId="2655"/>
    <cellStyle name="Normal 5 3 3 2 2 2 2" xfId="5465"/>
    <cellStyle name="Normal 5 3 3 2 2 2 2 2" xfId="11101"/>
    <cellStyle name="Normal 5 3 3 2 2 2 3" xfId="8291"/>
    <cellStyle name="Normal 5 3 3 2 2 3" xfId="4064"/>
    <cellStyle name="Normal 5 3 3 2 2 3 2" xfId="9700"/>
    <cellStyle name="Normal 5 3 3 2 2 4" xfId="6890"/>
    <cellStyle name="Normal 5 3 3 2 3" xfId="1959"/>
    <cellStyle name="Normal 5 3 3 2 3 2" xfId="4769"/>
    <cellStyle name="Normal 5 3 3 2 3 2 2" xfId="10405"/>
    <cellStyle name="Normal 5 3 3 2 3 3" xfId="7595"/>
    <cellStyle name="Normal 5 3 3 2 4" xfId="3368"/>
    <cellStyle name="Normal 5 3 3 2 4 2" xfId="9004"/>
    <cellStyle name="Normal 5 3 3 2 5" xfId="6194"/>
    <cellStyle name="Normal 5 3 3 3" xfId="910"/>
    <cellStyle name="Normal 5 3 3 3 2" xfId="2311"/>
    <cellStyle name="Normal 5 3 3 3 2 2" xfId="5121"/>
    <cellStyle name="Normal 5 3 3 3 2 2 2" xfId="10757"/>
    <cellStyle name="Normal 5 3 3 3 2 3" xfId="7947"/>
    <cellStyle name="Normal 5 3 3 3 3" xfId="3720"/>
    <cellStyle name="Normal 5 3 3 3 3 2" xfId="9356"/>
    <cellStyle name="Normal 5 3 3 3 4" xfId="6546"/>
    <cellStyle name="Normal 5 3 3 4" xfId="1615"/>
    <cellStyle name="Normal 5 3 3 4 2" xfId="4425"/>
    <cellStyle name="Normal 5 3 3 4 2 2" xfId="10061"/>
    <cellStyle name="Normal 5 3 3 4 3" xfId="7251"/>
    <cellStyle name="Normal 5 3 3 5" xfId="3024"/>
    <cellStyle name="Normal 5 3 3 5 2" xfId="8660"/>
    <cellStyle name="Normal 5 3 3 6" xfId="5850"/>
    <cellStyle name="Normal 5 3 4" xfId="386"/>
    <cellStyle name="Normal 5 3 4 2" xfId="1082"/>
    <cellStyle name="Normal 5 3 4 2 2" xfId="2483"/>
    <cellStyle name="Normal 5 3 4 2 2 2" xfId="5293"/>
    <cellStyle name="Normal 5 3 4 2 2 2 2" xfId="10929"/>
    <cellStyle name="Normal 5 3 4 2 2 3" xfId="8119"/>
    <cellStyle name="Normal 5 3 4 2 3" xfId="3892"/>
    <cellStyle name="Normal 5 3 4 2 3 2" xfId="9528"/>
    <cellStyle name="Normal 5 3 4 2 4" xfId="6718"/>
    <cellStyle name="Normal 5 3 4 3" xfId="1787"/>
    <cellStyle name="Normal 5 3 4 3 2" xfId="4597"/>
    <cellStyle name="Normal 5 3 4 3 2 2" xfId="10233"/>
    <cellStyle name="Normal 5 3 4 3 3" xfId="7423"/>
    <cellStyle name="Normal 5 3 4 4" xfId="3196"/>
    <cellStyle name="Normal 5 3 4 4 2" xfId="8832"/>
    <cellStyle name="Normal 5 3 4 5" xfId="6022"/>
    <cellStyle name="Normal 5 3 5" xfId="738"/>
    <cellStyle name="Normal 5 3 5 2" xfId="2139"/>
    <cellStyle name="Normal 5 3 5 2 2" xfId="4949"/>
    <cellStyle name="Normal 5 3 5 2 2 2" xfId="10585"/>
    <cellStyle name="Normal 5 3 5 2 3" xfId="7775"/>
    <cellStyle name="Normal 5 3 5 3" xfId="3548"/>
    <cellStyle name="Normal 5 3 5 3 2" xfId="9184"/>
    <cellStyle name="Normal 5 3 5 4" xfId="6374"/>
    <cellStyle name="Normal 5 3 6" xfId="1443"/>
    <cellStyle name="Normal 5 3 6 2" xfId="4253"/>
    <cellStyle name="Normal 5 3 6 2 2" xfId="9889"/>
    <cellStyle name="Normal 5 3 6 3" xfId="7079"/>
    <cellStyle name="Normal 5 3 7" xfId="2852"/>
    <cellStyle name="Normal 5 3 7 2" xfId="8488"/>
    <cellStyle name="Normal 5 3 8" xfId="5678"/>
    <cellStyle name="Normal 5 4" xfId="90"/>
    <cellStyle name="Normal 5 4 2" xfId="262"/>
    <cellStyle name="Normal 5 4 2 2" xfId="606"/>
    <cellStyle name="Normal 5 4 2 2 2" xfId="1302"/>
    <cellStyle name="Normal 5 4 2 2 2 2" xfId="2703"/>
    <cellStyle name="Normal 5 4 2 2 2 2 2" xfId="5513"/>
    <cellStyle name="Normal 5 4 2 2 2 2 2 2" xfId="11149"/>
    <cellStyle name="Normal 5 4 2 2 2 2 3" xfId="8339"/>
    <cellStyle name="Normal 5 4 2 2 2 3" xfId="4112"/>
    <cellStyle name="Normal 5 4 2 2 2 3 2" xfId="9748"/>
    <cellStyle name="Normal 5 4 2 2 2 4" xfId="6938"/>
    <cellStyle name="Normal 5 4 2 2 3" xfId="2007"/>
    <cellStyle name="Normal 5 4 2 2 3 2" xfId="4817"/>
    <cellStyle name="Normal 5 4 2 2 3 2 2" xfId="10453"/>
    <cellStyle name="Normal 5 4 2 2 3 3" xfId="7643"/>
    <cellStyle name="Normal 5 4 2 2 4" xfId="3416"/>
    <cellStyle name="Normal 5 4 2 2 4 2" xfId="9052"/>
    <cellStyle name="Normal 5 4 2 2 5" xfId="6242"/>
    <cellStyle name="Normal 5 4 2 3" xfId="958"/>
    <cellStyle name="Normal 5 4 2 3 2" xfId="2359"/>
    <cellStyle name="Normal 5 4 2 3 2 2" xfId="5169"/>
    <cellStyle name="Normal 5 4 2 3 2 2 2" xfId="10805"/>
    <cellStyle name="Normal 5 4 2 3 2 3" xfId="7995"/>
    <cellStyle name="Normal 5 4 2 3 3" xfId="3768"/>
    <cellStyle name="Normal 5 4 2 3 3 2" xfId="9404"/>
    <cellStyle name="Normal 5 4 2 3 4" xfId="6594"/>
    <cellStyle name="Normal 5 4 2 4" xfId="1663"/>
    <cellStyle name="Normal 5 4 2 4 2" xfId="4473"/>
    <cellStyle name="Normal 5 4 2 4 2 2" xfId="10109"/>
    <cellStyle name="Normal 5 4 2 4 3" xfId="7299"/>
    <cellStyle name="Normal 5 4 2 5" xfId="3072"/>
    <cellStyle name="Normal 5 4 2 5 2" xfId="8708"/>
    <cellStyle name="Normal 5 4 2 6" xfId="5898"/>
    <cellStyle name="Normal 5 4 3" xfId="434"/>
    <cellStyle name="Normal 5 4 3 2" xfId="1130"/>
    <cellStyle name="Normal 5 4 3 2 2" xfId="2531"/>
    <cellStyle name="Normal 5 4 3 2 2 2" xfId="5341"/>
    <cellStyle name="Normal 5 4 3 2 2 2 2" xfId="10977"/>
    <cellStyle name="Normal 5 4 3 2 2 3" xfId="8167"/>
    <cellStyle name="Normal 5 4 3 2 3" xfId="3940"/>
    <cellStyle name="Normal 5 4 3 2 3 2" xfId="9576"/>
    <cellStyle name="Normal 5 4 3 2 4" xfId="6766"/>
    <cellStyle name="Normal 5 4 3 3" xfId="1835"/>
    <cellStyle name="Normal 5 4 3 3 2" xfId="4645"/>
    <cellStyle name="Normal 5 4 3 3 2 2" xfId="10281"/>
    <cellStyle name="Normal 5 4 3 3 3" xfId="7471"/>
    <cellStyle name="Normal 5 4 3 4" xfId="3244"/>
    <cellStyle name="Normal 5 4 3 4 2" xfId="8880"/>
    <cellStyle name="Normal 5 4 3 5" xfId="6070"/>
    <cellStyle name="Normal 5 4 4" xfId="786"/>
    <cellStyle name="Normal 5 4 4 2" xfId="2187"/>
    <cellStyle name="Normal 5 4 4 2 2" xfId="4997"/>
    <cellStyle name="Normal 5 4 4 2 2 2" xfId="10633"/>
    <cellStyle name="Normal 5 4 4 2 3" xfId="7823"/>
    <cellStyle name="Normal 5 4 4 3" xfId="3596"/>
    <cellStyle name="Normal 5 4 4 3 2" xfId="9232"/>
    <cellStyle name="Normal 5 4 4 4" xfId="6422"/>
    <cellStyle name="Normal 5 4 5" xfId="1491"/>
    <cellStyle name="Normal 5 4 5 2" xfId="4301"/>
    <cellStyle name="Normal 5 4 5 2 2" xfId="9937"/>
    <cellStyle name="Normal 5 4 5 3" xfId="7127"/>
    <cellStyle name="Normal 5 4 6" xfId="2900"/>
    <cellStyle name="Normal 5 4 6 2" xfId="8536"/>
    <cellStyle name="Normal 5 4 7" xfId="5726"/>
    <cellStyle name="Normal 5 5" xfId="182"/>
    <cellStyle name="Normal 5 5 2" xfId="526"/>
    <cellStyle name="Normal 5 5 2 2" xfId="1222"/>
    <cellStyle name="Normal 5 5 2 2 2" xfId="2623"/>
    <cellStyle name="Normal 5 5 2 2 2 2" xfId="5433"/>
    <cellStyle name="Normal 5 5 2 2 2 2 2" xfId="11069"/>
    <cellStyle name="Normal 5 5 2 2 2 3" xfId="8259"/>
    <cellStyle name="Normal 5 5 2 2 3" xfId="4032"/>
    <cellStyle name="Normal 5 5 2 2 3 2" xfId="9668"/>
    <cellStyle name="Normal 5 5 2 2 4" xfId="6858"/>
    <cellStyle name="Normal 5 5 2 3" xfId="1927"/>
    <cellStyle name="Normal 5 5 2 3 2" xfId="4737"/>
    <cellStyle name="Normal 5 5 2 3 2 2" xfId="10373"/>
    <cellStyle name="Normal 5 5 2 3 3" xfId="7563"/>
    <cellStyle name="Normal 5 5 2 4" xfId="3336"/>
    <cellStyle name="Normal 5 5 2 4 2" xfId="8972"/>
    <cellStyle name="Normal 5 5 2 5" xfId="6162"/>
    <cellStyle name="Normal 5 5 3" xfId="878"/>
    <cellStyle name="Normal 5 5 3 2" xfId="2279"/>
    <cellStyle name="Normal 5 5 3 2 2" xfId="5089"/>
    <cellStyle name="Normal 5 5 3 2 2 2" xfId="10725"/>
    <cellStyle name="Normal 5 5 3 2 3" xfId="7915"/>
    <cellStyle name="Normal 5 5 3 3" xfId="3688"/>
    <cellStyle name="Normal 5 5 3 3 2" xfId="9324"/>
    <cellStyle name="Normal 5 5 3 4" xfId="6514"/>
    <cellStyle name="Normal 5 5 4" xfId="1583"/>
    <cellStyle name="Normal 5 5 4 2" xfId="4393"/>
    <cellStyle name="Normal 5 5 4 2 2" xfId="10029"/>
    <cellStyle name="Normal 5 5 4 3" xfId="7219"/>
    <cellStyle name="Normal 5 5 5" xfId="2992"/>
    <cellStyle name="Normal 5 5 5 2" xfId="8628"/>
    <cellStyle name="Normal 5 5 6" xfId="5818"/>
    <cellStyle name="Normal 5 6" xfId="354"/>
    <cellStyle name="Normal 5 6 2" xfId="1050"/>
    <cellStyle name="Normal 5 6 2 2" xfId="2451"/>
    <cellStyle name="Normal 5 6 2 2 2" xfId="5261"/>
    <cellStyle name="Normal 5 6 2 2 2 2" xfId="10897"/>
    <cellStyle name="Normal 5 6 2 2 3" xfId="8087"/>
    <cellStyle name="Normal 5 6 2 3" xfId="3860"/>
    <cellStyle name="Normal 5 6 2 3 2" xfId="9496"/>
    <cellStyle name="Normal 5 6 2 4" xfId="6686"/>
    <cellStyle name="Normal 5 6 3" xfId="1755"/>
    <cellStyle name="Normal 5 6 3 2" xfId="4565"/>
    <cellStyle name="Normal 5 6 3 2 2" xfId="10201"/>
    <cellStyle name="Normal 5 6 3 3" xfId="7391"/>
    <cellStyle name="Normal 5 6 4" xfId="3164"/>
    <cellStyle name="Normal 5 6 4 2" xfId="8800"/>
    <cellStyle name="Normal 5 6 5" xfId="5990"/>
    <cellStyle name="Normal 5 7" xfId="706"/>
    <cellStyle name="Normal 5 7 2" xfId="2107"/>
    <cellStyle name="Normal 5 7 2 2" xfId="4917"/>
    <cellStyle name="Normal 5 7 2 2 2" xfId="10553"/>
    <cellStyle name="Normal 5 7 2 3" xfId="7743"/>
    <cellStyle name="Normal 5 7 3" xfId="3516"/>
    <cellStyle name="Normal 5 7 3 2" xfId="9152"/>
    <cellStyle name="Normal 5 7 4" xfId="6342"/>
    <cellStyle name="Normal 5 8" xfId="1411"/>
    <cellStyle name="Normal 5 8 2" xfId="4221"/>
    <cellStyle name="Normal 5 8 2 2" xfId="9857"/>
    <cellStyle name="Normal 5 8 3" xfId="7047"/>
    <cellStyle name="Normal 5 9" xfId="2820"/>
    <cellStyle name="Normal 5 9 2" xfId="8456"/>
    <cellStyle name="Normal 50" xfId="11273"/>
    <cellStyle name="Normal 51" xfId="11274"/>
    <cellStyle name="Normal 52" xfId="11275"/>
    <cellStyle name="Normal 53" xfId="11276"/>
    <cellStyle name="Normal 54" xfId="11277"/>
    <cellStyle name="Normal 55" xfId="11278"/>
    <cellStyle name="Normal 56" xfId="11279"/>
    <cellStyle name="Normal 57" xfId="11281"/>
    <cellStyle name="Normal 58" xfId="11282"/>
    <cellStyle name="Normal 59" xfId="11283"/>
    <cellStyle name="Normal 6" xfId="11"/>
    <cellStyle name="Normal 6 10" xfId="5647"/>
    <cellStyle name="Normal 6 2" xfId="23"/>
    <cellStyle name="Normal 6 2 2" xfId="55"/>
    <cellStyle name="Normal 6 2 2 2" xfId="135"/>
    <cellStyle name="Normal 6 2 2 2 2" xfId="307"/>
    <cellStyle name="Normal 6 2 2 2 2 2" xfId="651"/>
    <cellStyle name="Normal 6 2 2 2 2 2 2" xfId="1347"/>
    <cellStyle name="Normal 6 2 2 2 2 2 2 2" xfId="2748"/>
    <cellStyle name="Normal 6 2 2 2 2 2 2 2 2" xfId="5558"/>
    <cellStyle name="Normal 6 2 2 2 2 2 2 2 2 2" xfId="11194"/>
    <cellStyle name="Normal 6 2 2 2 2 2 2 2 3" xfId="8384"/>
    <cellStyle name="Normal 6 2 2 2 2 2 2 3" xfId="4157"/>
    <cellStyle name="Normal 6 2 2 2 2 2 2 3 2" xfId="9793"/>
    <cellStyle name="Normal 6 2 2 2 2 2 2 4" xfId="6983"/>
    <cellStyle name="Normal 6 2 2 2 2 2 3" xfId="2052"/>
    <cellStyle name="Normal 6 2 2 2 2 2 3 2" xfId="4862"/>
    <cellStyle name="Normal 6 2 2 2 2 2 3 2 2" xfId="10498"/>
    <cellStyle name="Normal 6 2 2 2 2 2 3 3" xfId="7688"/>
    <cellStyle name="Normal 6 2 2 2 2 2 4" xfId="3461"/>
    <cellStyle name="Normal 6 2 2 2 2 2 4 2" xfId="9097"/>
    <cellStyle name="Normal 6 2 2 2 2 2 5" xfId="6287"/>
    <cellStyle name="Normal 6 2 2 2 2 3" xfId="1003"/>
    <cellStyle name="Normal 6 2 2 2 2 3 2" xfId="2404"/>
    <cellStyle name="Normal 6 2 2 2 2 3 2 2" xfId="5214"/>
    <cellStyle name="Normal 6 2 2 2 2 3 2 2 2" xfId="10850"/>
    <cellStyle name="Normal 6 2 2 2 2 3 2 3" xfId="8040"/>
    <cellStyle name="Normal 6 2 2 2 2 3 3" xfId="3813"/>
    <cellStyle name="Normal 6 2 2 2 2 3 3 2" xfId="9449"/>
    <cellStyle name="Normal 6 2 2 2 2 3 4" xfId="6639"/>
    <cellStyle name="Normal 6 2 2 2 2 4" xfId="1708"/>
    <cellStyle name="Normal 6 2 2 2 2 4 2" xfId="4518"/>
    <cellStyle name="Normal 6 2 2 2 2 4 2 2" xfId="10154"/>
    <cellStyle name="Normal 6 2 2 2 2 4 3" xfId="7344"/>
    <cellStyle name="Normal 6 2 2 2 2 5" xfId="3117"/>
    <cellStyle name="Normal 6 2 2 2 2 5 2" xfId="8753"/>
    <cellStyle name="Normal 6 2 2 2 2 6" xfId="5943"/>
    <cellStyle name="Normal 6 2 2 2 3" xfId="479"/>
    <cellStyle name="Normal 6 2 2 2 3 2" xfId="1175"/>
    <cellStyle name="Normal 6 2 2 2 3 2 2" xfId="2576"/>
    <cellStyle name="Normal 6 2 2 2 3 2 2 2" xfId="5386"/>
    <cellStyle name="Normal 6 2 2 2 3 2 2 2 2" xfId="11022"/>
    <cellStyle name="Normal 6 2 2 2 3 2 2 3" xfId="8212"/>
    <cellStyle name="Normal 6 2 2 2 3 2 3" xfId="3985"/>
    <cellStyle name="Normal 6 2 2 2 3 2 3 2" xfId="9621"/>
    <cellStyle name="Normal 6 2 2 2 3 2 4" xfId="6811"/>
    <cellStyle name="Normal 6 2 2 2 3 3" xfId="1880"/>
    <cellStyle name="Normal 6 2 2 2 3 3 2" xfId="4690"/>
    <cellStyle name="Normal 6 2 2 2 3 3 2 2" xfId="10326"/>
    <cellStyle name="Normal 6 2 2 2 3 3 3" xfId="7516"/>
    <cellStyle name="Normal 6 2 2 2 3 4" xfId="3289"/>
    <cellStyle name="Normal 6 2 2 2 3 4 2" xfId="8925"/>
    <cellStyle name="Normal 6 2 2 2 3 5" xfId="6115"/>
    <cellStyle name="Normal 6 2 2 2 4" xfId="831"/>
    <cellStyle name="Normal 6 2 2 2 4 2" xfId="2232"/>
    <cellStyle name="Normal 6 2 2 2 4 2 2" xfId="5042"/>
    <cellStyle name="Normal 6 2 2 2 4 2 2 2" xfId="10678"/>
    <cellStyle name="Normal 6 2 2 2 4 2 3" xfId="7868"/>
    <cellStyle name="Normal 6 2 2 2 4 3" xfId="3641"/>
    <cellStyle name="Normal 6 2 2 2 4 3 2" xfId="9277"/>
    <cellStyle name="Normal 6 2 2 2 4 4" xfId="6467"/>
    <cellStyle name="Normal 6 2 2 2 5" xfId="1536"/>
    <cellStyle name="Normal 6 2 2 2 5 2" xfId="4346"/>
    <cellStyle name="Normal 6 2 2 2 5 2 2" xfId="9982"/>
    <cellStyle name="Normal 6 2 2 2 5 3" xfId="7172"/>
    <cellStyle name="Normal 6 2 2 2 6" xfId="2945"/>
    <cellStyle name="Normal 6 2 2 2 6 2" xfId="8581"/>
    <cellStyle name="Normal 6 2 2 2 7" xfId="5771"/>
    <cellStyle name="Normal 6 2 2 3" xfId="227"/>
    <cellStyle name="Normal 6 2 2 3 2" xfId="571"/>
    <cellStyle name="Normal 6 2 2 3 2 2" xfId="1267"/>
    <cellStyle name="Normal 6 2 2 3 2 2 2" xfId="2668"/>
    <cellStyle name="Normal 6 2 2 3 2 2 2 2" xfId="5478"/>
    <cellStyle name="Normal 6 2 2 3 2 2 2 2 2" xfId="11114"/>
    <cellStyle name="Normal 6 2 2 3 2 2 2 3" xfId="8304"/>
    <cellStyle name="Normal 6 2 2 3 2 2 3" xfId="4077"/>
    <cellStyle name="Normal 6 2 2 3 2 2 3 2" xfId="9713"/>
    <cellStyle name="Normal 6 2 2 3 2 2 4" xfId="6903"/>
    <cellStyle name="Normal 6 2 2 3 2 3" xfId="1972"/>
    <cellStyle name="Normal 6 2 2 3 2 3 2" xfId="4782"/>
    <cellStyle name="Normal 6 2 2 3 2 3 2 2" xfId="10418"/>
    <cellStyle name="Normal 6 2 2 3 2 3 3" xfId="7608"/>
    <cellStyle name="Normal 6 2 2 3 2 4" xfId="3381"/>
    <cellStyle name="Normal 6 2 2 3 2 4 2" xfId="9017"/>
    <cellStyle name="Normal 6 2 2 3 2 5" xfId="6207"/>
    <cellStyle name="Normal 6 2 2 3 3" xfId="923"/>
    <cellStyle name="Normal 6 2 2 3 3 2" xfId="2324"/>
    <cellStyle name="Normal 6 2 2 3 3 2 2" xfId="5134"/>
    <cellStyle name="Normal 6 2 2 3 3 2 2 2" xfId="10770"/>
    <cellStyle name="Normal 6 2 2 3 3 2 3" xfId="7960"/>
    <cellStyle name="Normal 6 2 2 3 3 3" xfId="3733"/>
    <cellStyle name="Normal 6 2 2 3 3 3 2" xfId="9369"/>
    <cellStyle name="Normal 6 2 2 3 3 4" xfId="6559"/>
    <cellStyle name="Normal 6 2 2 3 4" xfId="1628"/>
    <cellStyle name="Normal 6 2 2 3 4 2" xfId="4438"/>
    <cellStyle name="Normal 6 2 2 3 4 2 2" xfId="10074"/>
    <cellStyle name="Normal 6 2 2 3 4 3" xfId="7264"/>
    <cellStyle name="Normal 6 2 2 3 5" xfId="3037"/>
    <cellStyle name="Normal 6 2 2 3 5 2" xfId="8673"/>
    <cellStyle name="Normal 6 2 2 3 6" xfId="5863"/>
    <cellStyle name="Normal 6 2 2 4" xfId="399"/>
    <cellStyle name="Normal 6 2 2 4 2" xfId="1095"/>
    <cellStyle name="Normal 6 2 2 4 2 2" xfId="2496"/>
    <cellStyle name="Normal 6 2 2 4 2 2 2" xfId="5306"/>
    <cellStyle name="Normal 6 2 2 4 2 2 2 2" xfId="10942"/>
    <cellStyle name="Normal 6 2 2 4 2 2 3" xfId="8132"/>
    <cellStyle name="Normal 6 2 2 4 2 3" xfId="3905"/>
    <cellStyle name="Normal 6 2 2 4 2 3 2" xfId="9541"/>
    <cellStyle name="Normal 6 2 2 4 2 4" xfId="6731"/>
    <cellStyle name="Normal 6 2 2 4 3" xfId="1800"/>
    <cellStyle name="Normal 6 2 2 4 3 2" xfId="4610"/>
    <cellStyle name="Normal 6 2 2 4 3 2 2" xfId="10246"/>
    <cellStyle name="Normal 6 2 2 4 3 3" xfId="7436"/>
    <cellStyle name="Normal 6 2 2 4 4" xfId="3209"/>
    <cellStyle name="Normal 6 2 2 4 4 2" xfId="8845"/>
    <cellStyle name="Normal 6 2 2 4 5" xfId="6035"/>
    <cellStyle name="Normal 6 2 2 5" xfId="751"/>
    <cellStyle name="Normal 6 2 2 5 2" xfId="2152"/>
    <cellStyle name="Normal 6 2 2 5 2 2" xfId="4962"/>
    <cellStyle name="Normal 6 2 2 5 2 2 2" xfId="10598"/>
    <cellStyle name="Normal 6 2 2 5 2 3" xfId="7788"/>
    <cellStyle name="Normal 6 2 2 5 3" xfId="3561"/>
    <cellStyle name="Normal 6 2 2 5 3 2" xfId="9197"/>
    <cellStyle name="Normal 6 2 2 5 4" xfId="6387"/>
    <cellStyle name="Normal 6 2 2 6" xfId="1456"/>
    <cellStyle name="Normal 6 2 2 6 2" xfId="4266"/>
    <cellStyle name="Normal 6 2 2 6 2 2" xfId="9902"/>
    <cellStyle name="Normal 6 2 2 6 3" xfId="7092"/>
    <cellStyle name="Normal 6 2 2 7" xfId="2865"/>
    <cellStyle name="Normal 6 2 2 7 2" xfId="8501"/>
    <cellStyle name="Normal 6 2 2 8" xfId="5691"/>
    <cellStyle name="Normal 6 2 3" xfId="103"/>
    <cellStyle name="Normal 6 2 3 2" xfId="275"/>
    <cellStyle name="Normal 6 2 3 2 2" xfId="619"/>
    <cellStyle name="Normal 6 2 3 2 2 2" xfId="1315"/>
    <cellStyle name="Normal 6 2 3 2 2 2 2" xfId="2716"/>
    <cellStyle name="Normal 6 2 3 2 2 2 2 2" xfId="5526"/>
    <cellStyle name="Normal 6 2 3 2 2 2 2 2 2" xfId="11162"/>
    <cellStyle name="Normal 6 2 3 2 2 2 2 3" xfId="8352"/>
    <cellStyle name="Normal 6 2 3 2 2 2 3" xfId="4125"/>
    <cellStyle name="Normal 6 2 3 2 2 2 3 2" xfId="9761"/>
    <cellStyle name="Normal 6 2 3 2 2 2 4" xfId="6951"/>
    <cellStyle name="Normal 6 2 3 2 2 3" xfId="2020"/>
    <cellStyle name="Normal 6 2 3 2 2 3 2" xfId="4830"/>
    <cellStyle name="Normal 6 2 3 2 2 3 2 2" xfId="10466"/>
    <cellStyle name="Normal 6 2 3 2 2 3 3" xfId="7656"/>
    <cellStyle name="Normal 6 2 3 2 2 4" xfId="3429"/>
    <cellStyle name="Normal 6 2 3 2 2 4 2" xfId="9065"/>
    <cellStyle name="Normal 6 2 3 2 2 5" xfId="6255"/>
    <cellStyle name="Normal 6 2 3 2 3" xfId="971"/>
    <cellStyle name="Normal 6 2 3 2 3 2" xfId="2372"/>
    <cellStyle name="Normal 6 2 3 2 3 2 2" xfId="5182"/>
    <cellStyle name="Normal 6 2 3 2 3 2 2 2" xfId="10818"/>
    <cellStyle name="Normal 6 2 3 2 3 2 3" xfId="8008"/>
    <cellStyle name="Normal 6 2 3 2 3 3" xfId="3781"/>
    <cellStyle name="Normal 6 2 3 2 3 3 2" xfId="9417"/>
    <cellStyle name="Normal 6 2 3 2 3 4" xfId="6607"/>
    <cellStyle name="Normal 6 2 3 2 4" xfId="1676"/>
    <cellStyle name="Normal 6 2 3 2 4 2" xfId="4486"/>
    <cellStyle name="Normal 6 2 3 2 4 2 2" xfId="10122"/>
    <cellStyle name="Normal 6 2 3 2 4 3" xfId="7312"/>
    <cellStyle name="Normal 6 2 3 2 5" xfId="3085"/>
    <cellStyle name="Normal 6 2 3 2 5 2" xfId="8721"/>
    <cellStyle name="Normal 6 2 3 2 6" xfId="5911"/>
    <cellStyle name="Normal 6 2 3 3" xfId="447"/>
    <cellStyle name="Normal 6 2 3 3 2" xfId="1143"/>
    <cellStyle name="Normal 6 2 3 3 2 2" xfId="2544"/>
    <cellStyle name="Normal 6 2 3 3 2 2 2" xfId="5354"/>
    <cellStyle name="Normal 6 2 3 3 2 2 2 2" xfId="10990"/>
    <cellStyle name="Normal 6 2 3 3 2 2 3" xfId="8180"/>
    <cellStyle name="Normal 6 2 3 3 2 3" xfId="3953"/>
    <cellStyle name="Normal 6 2 3 3 2 3 2" xfId="9589"/>
    <cellStyle name="Normal 6 2 3 3 2 4" xfId="6779"/>
    <cellStyle name="Normal 6 2 3 3 3" xfId="1848"/>
    <cellStyle name="Normal 6 2 3 3 3 2" xfId="4658"/>
    <cellStyle name="Normal 6 2 3 3 3 2 2" xfId="10294"/>
    <cellStyle name="Normal 6 2 3 3 3 3" xfId="7484"/>
    <cellStyle name="Normal 6 2 3 3 4" xfId="3257"/>
    <cellStyle name="Normal 6 2 3 3 4 2" xfId="8893"/>
    <cellStyle name="Normal 6 2 3 3 5" xfId="6083"/>
    <cellStyle name="Normal 6 2 3 4" xfId="799"/>
    <cellStyle name="Normal 6 2 3 4 2" xfId="2200"/>
    <cellStyle name="Normal 6 2 3 4 2 2" xfId="5010"/>
    <cellStyle name="Normal 6 2 3 4 2 2 2" xfId="10646"/>
    <cellStyle name="Normal 6 2 3 4 2 3" xfId="7836"/>
    <cellStyle name="Normal 6 2 3 4 3" xfId="3609"/>
    <cellStyle name="Normal 6 2 3 4 3 2" xfId="9245"/>
    <cellStyle name="Normal 6 2 3 4 4" xfId="6435"/>
    <cellStyle name="Normal 6 2 3 5" xfId="1504"/>
    <cellStyle name="Normal 6 2 3 5 2" xfId="4314"/>
    <cellStyle name="Normal 6 2 3 5 2 2" xfId="9950"/>
    <cellStyle name="Normal 6 2 3 5 3" xfId="7140"/>
    <cellStyle name="Normal 6 2 3 6" xfId="2913"/>
    <cellStyle name="Normal 6 2 3 6 2" xfId="8549"/>
    <cellStyle name="Normal 6 2 3 7" xfId="5739"/>
    <cellStyle name="Normal 6 2 4" xfId="195"/>
    <cellStyle name="Normal 6 2 4 2" xfId="539"/>
    <cellStyle name="Normal 6 2 4 2 2" xfId="1235"/>
    <cellStyle name="Normal 6 2 4 2 2 2" xfId="2636"/>
    <cellStyle name="Normal 6 2 4 2 2 2 2" xfId="5446"/>
    <cellStyle name="Normal 6 2 4 2 2 2 2 2" xfId="11082"/>
    <cellStyle name="Normal 6 2 4 2 2 2 3" xfId="8272"/>
    <cellStyle name="Normal 6 2 4 2 2 3" xfId="4045"/>
    <cellStyle name="Normal 6 2 4 2 2 3 2" xfId="9681"/>
    <cellStyle name="Normal 6 2 4 2 2 4" xfId="6871"/>
    <cellStyle name="Normal 6 2 4 2 3" xfId="1940"/>
    <cellStyle name="Normal 6 2 4 2 3 2" xfId="4750"/>
    <cellStyle name="Normal 6 2 4 2 3 2 2" xfId="10386"/>
    <cellStyle name="Normal 6 2 4 2 3 3" xfId="7576"/>
    <cellStyle name="Normal 6 2 4 2 4" xfId="3349"/>
    <cellStyle name="Normal 6 2 4 2 4 2" xfId="8985"/>
    <cellStyle name="Normal 6 2 4 2 5" xfId="6175"/>
    <cellStyle name="Normal 6 2 4 3" xfId="891"/>
    <cellStyle name="Normal 6 2 4 3 2" xfId="2292"/>
    <cellStyle name="Normal 6 2 4 3 2 2" xfId="5102"/>
    <cellStyle name="Normal 6 2 4 3 2 2 2" xfId="10738"/>
    <cellStyle name="Normal 6 2 4 3 2 3" xfId="7928"/>
    <cellStyle name="Normal 6 2 4 3 3" xfId="3701"/>
    <cellStyle name="Normal 6 2 4 3 3 2" xfId="9337"/>
    <cellStyle name="Normal 6 2 4 3 4" xfId="6527"/>
    <cellStyle name="Normal 6 2 4 4" xfId="1596"/>
    <cellStyle name="Normal 6 2 4 4 2" xfId="4406"/>
    <cellStyle name="Normal 6 2 4 4 2 2" xfId="10042"/>
    <cellStyle name="Normal 6 2 4 4 3" xfId="7232"/>
    <cellStyle name="Normal 6 2 4 5" xfId="3005"/>
    <cellStyle name="Normal 6 2 4 5 2" xfId="8641"/>
    <cellStyle name="Normal 6 2 4 6" xfId="5831"/>
    <cellStyle name="Normal 6 2 5" xfId="367"/>
    <cellStyle name="Normal 6 2 5 2" xfId="1063"/>
    <cellStyle name="Normal 6 2 5 2 2" xfId="2464"/>
    <cellStyle name="Normal 6 2 5 2 2 2" xfId="5274"/>
    <cellStyle name="Normal 6 2 5 2 2 2 2" xfId="10910"/>
    <cellStyle name="Normal 6 2 5 2 2 3" xfId="8100"/>
    <cellStyle name="Normal 6 2 5 2 3" xfId="3873"/>
    <cellStyle name="Normal 6 2 5 2 3 2" xfId="9509"/>
    <cellStyle name="Normal 6 2 5 2 4" xfId="6699"/>
    <cellStyle name="Normal 6 2 5 3" xfId="1768"/>
    <cellStyle name="Normal 6 2 5 3 2" xfId="4578"/>
    <cellStyle name="Normal 6 2 5 3 2 2" xfId="10214"/>
    <cellStyle name="Normal 6 2 5 3 3" xfId="7404"/>
    <cellStyle name="Normal 6 2 5 4" xfId="3177"/>
    <cellStyle name="Normal 6 2 5 4 2" xfId="8813"/>
    <cellStyle name="Normal 6 2 5 5" xfId="6003"/>
    <cellStyle name="Normal 6 2 6" xfId="719"/>
    <cellStyle name="Normal 6 2 6 2" xfId="2120"/>
    <cellStyle name="Normal 6 2 6 2 2" xfId="4930"/>
    <cellStyle name="Normal 6 2 6 2 2 2" xfId="10566"/>
    <cellStyle name="Normal 6 2 6 2 3" xfId="7756"/>
    <cellStyle name="Normal 6 2 6 3" xfId="3529"/>
    <cellStyle name="Normal 6 2 6 3 2" xfId="9165"/>
    <cellStyle name="Normal 6 2 6 4" xfId="6355"/>
    <cellStyle name="Normal 6 2 7" xfId="1424"/>
    <cellStyle name="Normal 6 2 7 2" xfId="4234"/>
    <cellStyle name="Normal 6 2 7 2 2" xfId="9870"/>
    <cellStyle name="Normal 6 2 7 3" xfId="7060"/>
    <cellStyle name="Normal 6 2 8" xfId="2833"/>
    <cellStyle name="Normal 6 2 8 2" xfId="8469"/>
    <cellStyle name="Normal 6 2 9" xfId="5659"/>
    <cellStyle name="Normal 6 3" xfId="43"/>
    <cellStyle name="Normal 6 3 2" xfId="123"/>
    <cellStyle name="Normal 6 3 2 2" xfId="295"/>
    <cellStyle name="Normal 6 3 2 2 2" xfId="639"/>
    <cellStyle name="Normal 6 3 2 2 2 2" xfId="1335"/>
    <cellStyle name="Normal 6 3 2 2 2 2 2" xfId="2736"/>
    <cellStyle name="Normal 6 3 2 2 2 2 2 2" xfId="5546"/>
    <cellStyle name="Normal 6 3 2 2 2 2 2 2 2" xfId="11182"/>
    <cellStyle name="Normal 6 3 2 2 2 2 2 3" xfId="8372"/>
    <cellStyle name="Normal 6 3 2 2 2 2 3" xfId="4145"/>
    <cellStyle name="Normal 6 3 2 2 2 2 3 2" xfId="9781"/>
    <cellStyle name="Normal 6 3 2 2 2 2 4" xfId="6971"/>
    <cellStyle name="Normal 6 3 2 2 2 3" xfId="2040"/>
    <cellStyle name="Normal 6 3 2 2 2 3 2" xfId="4850"/>
    <cellStyle name="Normal 6 3 2 2 2 3 2 2" xfId="10486"/>
    <cellStyle name="Normal 6 3 2 2 2 3 3" xfId="7676"/>
    <cellStyle name="Normal 6 3 2 2 2 4" xfId="3449"/>
    <cellStyle name="Normal 6 3 2 2 2 4 2" xfId="9085"/>
    <cellStyle name="Normal 6 3 2 2 2 5" xfId="6275"/>
    <cellStyle name="Normal 6 3 2 2 3" xfId="991"/>
    <cellStyle name="Normal 6 3 2 2 3 2" xfId="2392"/>
    <cellStyle name="Normal 6 3 2 2 3 2 2" xfId="5202"/>
    <cellStyle name="Normal 6 3 2 2 3 2 2 2" xfId="10838"/>
    <cellStyle name="Normal 6 3 2 2 3 2 3" xfId="8028"/>
    <cellStyle name="Normal 6 3 2 2 3 3" xfId="3801"/>
    <cellStyle name="Normal 6 3 2 2 3 3 2" xfId="9437"/>
    <cellStyle name="Normal 6 3 2 2 3 4" xfId="6627"/>
    <cellStyle name="Normal 6 3 2 2 4" xfId="1696"/>
    <cellStyle name="Normal 6 3 2 2 4 2" xfId="4506"/>
    <cellStyle name="Normal 6 3 2 2 4 2 2" xfId="10142"/>
    <cellStyle name="Normal 6 3 2 2 4 3" xfId="7332"/>
    <cellStyle name="Normal 6 3 2 2 5" xfId="3105"/>
    <cellStyle name="Normal 6 3 2 2 5 2" xfId="8741"/>
    <cellStyle name="Normal 6 3 2 2 6" xfId="5931"/>
    <cellStyle name="Normal 6 3 2 3" xfId="467"/>
    <cellStyle name="Normal 6 3 2 3 2" xfId="1163"/>
    <cellStyle name="Normal 6 3 2 3 2 2" xfId="2564"/>
    <cellStyle name="Normal 6 3 2 3 2 2 2" xfId="5374"/>
    <cellStyle name="Normal 6 3 2 3 2 2 2 2" xfId="11010"/>
    <cellStyle name="Normal 6 3 2 3 2 2 3" xfId="8200"/>
    <cellStyle name="Normal 6 3 2 3 2 3" xfId="3973"/>
    <cellStyle name="Normal 6 3 2 3 2 3 2" xfId="9609"/>
    <cellStyle name="Normal 6 3 2 3 2 4" xfId="6799"/>
    <cellStyle name="Normal 6 3 2 3 3" xfId="1868"/>
    <cellStyle name="Normal 6 3 2 3 3 2" xfId="4678"/>
    <cellStyle name="Normal 6 3 2 3 3 2 2" xfId="10314"/>
    <cellStyle name="Normal 6 3 2 3 3 3" xfId="7504"/>
    <cellStyle name="Normal 6 3 2 3 4" xfId="3277"/>
    <cellStyle name="Normal 6 3 2 3 4 2" xfId="8913"/>
    <cellStyle name="Normal 6 3 2 3 5" xfId="6103"/>
    <cellStyle name="Normal 6 3 2 4" xfId="819"/>
    <cellStyle name="Normal 6 3 2 4 2" xfId="2220"/>
    <cellStyle name="Normal 6 3 2 4 2 2" xfId="5030"/>
    <cellStyle name="Normal 6 3 2 4 2 2 2" xfId="10666"/>
    <cellStyle name="Normal 6 3 2 4 2 3" xfId="7856"/>
    <cellStyle name="Normal 6 3 2 4 3" xfId="3629"/>
    <cellStyle name="Normal 6 3 2 4 3 2" xfId="9265"/>
    <cellStyle name="Normal 6 3 2 4 4" xfId="6455"/>
    <cellStyle name="Normal 6 3 2 5" xfId="1524"/>
    <cellStyle name="Normal 6 3 2 5 2" xfId="4334"/>
    <cellStyle name="Normal 6 3 2 5 2 2" xfId="9970"/>
    <cellStyle name="Normal 6 3 2 5 3" xfId="7160"/>
    <cellStyle name="Normal 6 3 2 6" xfId="2933"/>
    <cellStyle name="Normal 6 3 2 6 2" xfId="8569"/>
    <cellStyle name="Normal 6 3 2 7" xfId="5759"/>
    <cellStyle name="Normal 6 3 3" xfId="215"/>
    <cellStyle name="Normal 6 3 3 2" xfId="559"/>
    <cellStyle name="Normal 6 3 3 2 2" xfId="1255"/>
    <cellStyle name="Normal 6 3 3 2 2 2" xfId="2656"/>
    <cellStyle name="Normal 6 3 3 2 2 2 2" xfId="5466"/>
    <cellStyle name="Normal 6 3 3 2 2 2 2 2" xfId="11102"/>
    <cellStyle name="Normal 6 3 3 2 2 2 3" xfId="8292"/>
    <cellStyle name="Normal 6 3 3 2 2 3" xfId="4065"/>
    <cellStyle name="Normal 6 3 3 2 2 3 2" xfId="9701"/>
    <cellStyle name="Normal 6 3 3 2 2 4" xfId="6891"/>
    <cellStyle name="Normal 6 3 3 2 3" xfId="1960"/>
    <cellStyle name="Normal 6 3 3 2 3 2" xfId="4770"/>
    <cellStyle name="Normal 6 3 3 2 3 2 2" xfId="10406"/>
    <cellStyle name="Normal 6 3 3 2 3 3" xfId="7596"/>
    <cellStyle name="Normal 6 3 3 2 4" xfId="3369"/>
    <cellStyle name="Normal 6 3 3 2 4 2" xfId="9005"/>
    <cellStyle name="Normal 6 3 3 2 5" xfId="6195"/>
    <cellStyle name="Normal 6 3 3 3" xfId="911"/>
    <cellStyle name="Normal 6 3 3 3 2" xfId="2312"/>
    <cellStyle name="Normal 6 3 3 3 2 2" xfId="5122"/>
    <cellStyle name="Normal 6 3 3 3 2 2 2" xfId="10758"/>
    <cellStyle name="Normal 6 3 3 3 2 3" xfId="7948"/>
    <cellStyle name="Normal 6 3 3 3 3" xfId="3721"/>
    <cellStyle name="Normal 6 3 3 3 3 2" xfId="9357"/>
    <cellStyle name="Normal 6 3 3 3 4" xfId="6547"/>
    <cellStyle name="Normal 6 3 3 4" xfId="1616"/>
    <cellStyle name="Normal 6 3 3 4 2" xfId="4426"/>
    <cellStyle name="Normal 6 3 3 4 2 2" xfId="10062"/>
    <cellStyle name="Normal 6 3 3 4 3" xfId="7252"/>
    <cellStyle name="Normal 6 3 3 5" xfId="3025"/>
    <cellStyle name="Normal 6 3 3 5 2" xfId="8661"/>
    <cellStyle name="Normal 6 3 3 6" xfId="5851"/>
    <cellStyle name="Normal 6 3 4" xfId="387"/>
    <cellStyle name="Normal 6 3 4 2" xfId="1083"/>
    <cellStyle name="Normal 6 3 4 2 2" xfId="2484"/>
    <cellStyle name="Normal 6 3 4 2 2 2" xfId="5294"/>
    <cellStyle name="Normal 6 3 4 2 2 2 2" xfId="10930"/>
    <cellStyle name="Normal 6 3 4 2 2 3" xfId="8120"/>
    <cellStyle name="Normal 6 3 4 2 3" xfId="3893"/>
    <cellStyle name="Normal 6 3 4 2 3 2" xfId="9529"/>
    <cellStyle name="Normal 6 3 4 2 4" xfId="6719"/>
    <cellStyle name="Normal 6 3 4 3" xfId="1788"/>
    <cellStyle name="Normal 6 3 4 3 2" xfId="4598"/>
    <cellStyle name="Normal 6 3 4 3 2 2" xfId="10234"/>
    <cellStyle name="Normal 6 3 4 3 3" xfId="7424"/>
    <cellStyle name="Normal 6 3 4 4" xfId="3197"/>
    <cellStyle name="Normal 6 3 4 4 2" xfId="8833"/>
    <cellStyle name="Normal 6 3 4 5" xfId="6023"/>
    <cellStyle name="Normal 6 3 5" xfId="739"/>
    <cellStyle name="Normal 6 3 5 2" xfId="2140"/>
    <cellStyle name="Normal 6 3 5 2 2" xfId="4950"/>
    <cellStyle name="Normal 6 3 5 2 2 2" xfId="10586"/>
    <cellStyle name="Normal 6 3 5 2 3" xfId="7776"/>
    <cellStyle name="Normal 6 3 5 3" xfId="3549"/>
    <cellStyle name="Normal 6 3 5 3 2" xfId="9185"/>
    <cellStyle name="Normal 6 3 5 4" xfId="6375"/>
    <cellStyle name="Normal 6 3 6" xfId="1444"/>
    <cellStyle name="Normal 6 3 6 2" xfId="4254"/>
    <cellStyle name="Normal 6 3 6 2 2" xfId="9890"/>
    <cellStyle name="Normal 6 3 6 3" xfId="7080"/>
    <cellStyle name="Normal 6 3 7" xfId="2853"/>
    <cellStyle name="Normal 6 3 7 2" xfId="8489"/>
    <cellStyle name="Normal 6 3 8" xfId="5679"/>
    <cellStyle name="Normal 6 4" xfId="91"/>
    <cellStyle name="Normal 6 4 2" xfId="263"/>
    <cellStyle name="Normal 6 4 2 2" xfId="607"/>
    <cellStyle name="Normal 6 4 2 2 2" xfId="1303"/>
    <cellStyle name="Normal 6 4 2 2 2 2" xfId="2704"/>
    <cellStyle name="Normal 6 4 2 2 2 2 2" xfId="5514"/>
    <cellStyle name="Normal 6 4 2 2 2 2 2 2" xfId="11150"/>
    <cellStyle name="Normal 6 4 2 2 2 2 3" xfId="8340"/>
    <cellStyle name="Normal 6 4 2 2 2 3" xfId="4113"/>
    <cellStyle name="Normal 6 4 2 2 2 3 2" xfId="9749"/>
    <cellStyle name="Normal 6 4 2 2 2 4" xfId="6939"/>
    <cellStyle name="Normal 6 4 2 2 3" xfId="2008"/>
    <cellStyle name="Normal 6 4 2 2 3 2" xfId="4818"/>
    <cellStyle name="Normal 6 4 2 2 3 2 2" xfId="10454"/>
    <cellStyle name="Normal 6 4 2 2 3 3" xfId="7644"/>
    <cellStyle name="Normal 6 4 2 2 4" xfId="3417"/>
    <cellStyle name="Normal 6 4 2 2 4 2" xfId="9053"/>
    <cellStyle name="Normal 6 4 2 2 5" xfId="6243"/>
    <cellStyle name="Normal 6 4 2 3" xfId="959"/>
    <cellStyle name="Normal 6 4 2 3 2" xfId="2360"/>
    <cellStyle name="Normal 6 4 2 3 2 2" xfId="5170"/>
    <cellStyle name="Normal 6 4 2 3 2 2 2" xfId="10806"/>
    <cellStyle name="Normal 6 4 2 3 2 3" xfId="7996"/>
    <cellStyle name="Normal 6 4 2 3 3" xfId="3769"/>
    <cellStyle name="Normal 6 4 2 3 3 2" xfId="9405"/>
    <cellStyle name="Normal 6 4 2 3 4" xfId="6595"/>
    <cellStyle name="Normal 6 4 2 4" xfId="1664"/>
    <cellStyle name="Normal 6 4 2 4 2" xfId="4474"/>
    <cellStyle name="Normal 6 4 2 4 2 2" xfId="10110"/>
    <cellStyle name="Normal 6 4 2 4 3" xfId="7300"/>
    <cellStyle name="Normal 6 4 2 5" xfId="3073"/>
    <cellStyle name="Normal 6 4 2 5 2" xfId="8709"/>
    <cellStyle name="Normal 6 4 2 6" xfId="5899"/>
    <cellStyle name="Normal 6 4 3" xfId="435"/>
    <cellStyle name="Normal 6 4 3 2" xfId="1131"/>
    <cellStyle name="Normal 6 4 3 2 2" xfId="2532"/>
    <cellStyle name="Normal 6 4 3 2 2 2" xfId="5342"/>
    <cellStyle name="Normal 6 4 3 2 2 2 2" xfId="10978"/>
    <cellStyle name="Normal 6 4 3 2 2 3" xfId="8168"/>
    <cellStyle name="Normal 6 4 3 2 3" xfId="3941"/>
    <cellStyle name="Normal 6 4 3 2 3 2" xfId="9577"/>
    <cellStyle name="Normal 6 4 3 2 4" xfId="6767"/>
    <cellStyle name="Normal 6 4 3 3" xfId="1836"/>
    <cellStyle name="Normal 6 4 3 3 2" xfId="4646"/>
    <cellStyle name="Normal 6 4 3 3 2 2" xfId="10282"/>
    <cellStyle name="Normal 6 4 3 3 3" xfId="7472"/>
    <cellStyle name="Normal 6 4 3 4" xfId="3245"/>
    <cellStyle name="Normal 6 4 3 4 2" xfId="8881"/>
    <cellStyle name="Normal 6 4 3 5" xfId="6071"/>
    <cellStyle name="Normal 6 4 4" xfId="787"/>
    <cellStyle name="Normal 6 4 4 2" xfId="2188"/>
    <cellStyle name="Normal 6 4 4 2 2" xfId="4998"/>
    <cellStyle name="Normal 6 4 4 2 2 2" xfId="10634"/>
    <cellStyle name="Normal 6 4 4 2 3" xfId="7824"/>
    <cellStyle name="Normal 6 4 4 3" xfId="3597"/>
    <cellStyle name="Normal 6 4 4 3 2" xfId="9233"/>
    <cellStyle name="Normal 6 4 4 4" xfId="6423"/>
    <cellStyle name="Normal 6 4 5" xfId="1492"/>
    <cellStyle name="Normal 6 4 5 2" xfId="4302"/>
    <cellStyle name="Normal 6 4 5 2 2" xfId="9938"/>
    <cellStyle name="Normal 6 4 5 3" xfId="7128"/>
    <cellStyle name="Normal 6 4 6" xfId="2901"/>
    <cellStyle name="Normal 6 4 6 2" xfId="8537"/>
    <cellStyle name="Normal 6 4 7" xfId="5727"/>
    <cellStyle name="Normal 6 5" xfId="183"/>
    <cellStyle name="Normal 6 5 2" xfId="527"/>
    <cellStyle name="Normal 6 5 2 2" xfId="1223"/>
    <cellStyle name="Normal 6 5 2 2 2" xfId="2624"/>
    <cellStyle name="Normal 6 5 2 2 2 2" xfId="5434"/>
    <cellStyle name="Normal 6 5 2 2 2 2 2" xfId="11070"/>
    <cellStyle name="Normal 6 5 2 2 2 3" xfId="8260"/>
    <cellStyle name="Normal 6 5 2 2 3" xfId="4033"/>
    <cellStyle name="Normal 6 5 2 2 3 2" xfId="9669"/>
    <cellStyle name="Normal 6 5 2 2 4" xfId="6859"/>
    <cellStyle name="Normal 6 5 2 3" xfId="1928"/>
    <cellStyle name="Normal 6 5 2 3 2" xfId="4738"/>
    <cellStyle name="Normal 6 5 2 3 2 2" xfId="10374"/>
    <cellStyle name="Normal 6 5 2 3 3" xfId="7564"/>
    <cellStyle name="Normal 6 5 2 4" xfId="3337"/>
    <cellStyle name="Normal 6 5 2 4 2" xfId="8973"/>
    <cellStyle name="Normal 6 5 2 5" xfId="6163"/>
    <cellStyle name="Normal 6 5 3" xfId="879"/>
    <cellStyle name="Normal 6 5 3 2" xfId="2280"/>
    <cellStyle name="Normal 6 5 3 2 2" xfId="5090"/>
    <cellStyle name="Normal 6 5 3 2 2 2" xfId="10726"/>
    <cellStyle name="Normal 6 5 3 2 3" xfId="7916"/>
    <cellStyle name="Normal 6 5 3 3" xfId="3689"/>
    <cellStyle name="Normal 6 5 3 3 2" xfId="9325"/>
    <cellStyle name="Normal 6 5 3 4" xfId="6515"/>
    <cellStyle name="Normal 6 5 4" xfId="1584"/>
    <cellStyle name="Normal 6 5 4 2" xfId="4394"/>
    <cellStyle name="Normal 6 5 4 2 2" xfId="10030"/>
    <cellStyle name="Normal 6 5 4 3" xfId="7220"/>
    <cellStyle name="Normal 6 5 5" xfId="2993"/>
    <cellStyle name="Normal 6 5 5 2" xfId="8629"/>
    <cellStyle name="Normal 6 5 6" xfId="5819"/>
    <cellStyle name="Normal 6 6" xfId="355"/>
    <cellStyle name="Normal 6 6 2" xfId="1051"/>
    <cellStyle name="Normal 6 6 2 2" xfId="2452"/>
    <cellStyle name="Normal 6 6 2 2 2" xfId="5262"/>
    <cellStyle name="Normal 6 6 2 2 2 2" xfId="10898"/>
    <cellStyle name="Normal 6 6 2 2 3" xfId="8088"/>
    <cellStyle name="Normal 6 6 2 3" xfId="3861"/>
    <cellStyle name="Normal 6 6 2 3 2" xfId="9497"/>
    <cellStyle name="Normal 6 6 2 4" xfId="6687"/>
    <cellStyle name="Normal 6 6 3" xfId="1756"/>
    <cellStyle name="Normal 6 6 3 2" xfId="4566"/>
    <cellStyle name="Normal 6 6 3 2 2" xfId="10202"/>
    <cellStyle name="Normal 6 6 3 3" xfId="7392"/>
    <cellStyle name="Normal 6 6 4" xfId="3165"/>
    <cellStyle name="Normal 6 6 4 2" xfId="8801"/>
    <cellStyle name="Normal 6 6 5" xfId="5991"/>
    <cellStyle name="Normal 6 7" xfId="707"/>
    <cellStyle name="Normal 6 7 2" xfId="2108"/>
    <cellStyle name="Normal 6 7 2 2" xfId="4918"/>
    <cellStyle name="Normal 6 7 2 2 2" xfId="10554"/>
    <cellStyle name="Normal 6 7 2 3" xfId="7744"/>
    <cellStyle name="Normal 6 7 3" xfId="3517"/>
    <cellStyle name="Normal 6 7 3 2" xfId="9153"/>
    <cellStyle name="Normal 6 7 4" xfId="6343"/>
    <cellStyle name="Normal 6 8" xfId="1412"/>
    <cellStyle name="Normal 6 8 2" xfId="4222"/>
    <cellStyle name="Normal 6 8 2 2" xfId="9858"/>
    <cellStyle name="Normal 6 8 3" xfId="7048"/>
    <cellStyle name="Normal 6 9" xfId="2821"/>
    <cellStyle name="Normal 6 9 2" xfId="8457"/>
    <cellStyle name="Normal 60" xfId="11284"/>
    <cellStyle name="Normal 61" xfId="11285"/>
    <cellStyle name="Normal 62" xfId="5627"/>
    <cellStyle name="Normal 62 2" xfId="11263"/>
    <cellStyle name="Normal 63" xfId="11286"/>
    <cellStyle name="Normal 64" xfId="11287"/>
    <cellStyle name="Normal 65" xfId="11288"/>
    <cellStyle name="Normal 66" xfId="11289"/>
    <cellStyle name="Normal 67" xfId="11290"/>
    <cellStyle name="Normal 68" xfId="11291"/>
    <cellStyle name="Normal 69" xfId="11292"/>
    <cellStyle name="Normal 7" xfId="13"/>
    <cellStyle name="Normal 7 2" xfId="45"/>
    <cellStyle name="Normal 7 2 2" xfId="125"/>
    <cellStyle name="Normal 7 2 2 2" xfId="297"/>
    <cellStyle name="Normal 7 2 2 2 2" xfId="641"/>
    <cellStyle name="Normal 7 2 2 2 2 2" xfId="1337"/>
    <cellStyle name="Normal 7 2 2 2 2 2 2" xfId="2738"/>
    <cellStyle name="Normal 7 2 2 2 2 2 2 2" xfId="5548"/>
    <cellStyle name="Normal 7 2 2 2 2 2 2 2 2" xfId="11184"/>
    <cellStyle name="Normal 7 2 2 2 2 2 2 3" xfId="8374"/>
    <cellStyle name="Normal 7 2 2 2 2 2 3" xfId="4147"/>
    <cellStyle name="Normal 7 2 2 2 2 2 3 2" xfId="9783"/>
    <cellStyle name="Normal 7 2 2 2 2 2 4" xfId="6973"/>
    <cellStyle name="Normal 7 2 2 2 2 3" xfId="2042"/>
    <cellStyle name="Normal 7 2 2 2 2 3 2" xfId="4852"/>
    <cellStyle name="Normal 7 2 2 2 2 3 2 2" xfId="10488"/>
    <cellStyle name="Normal 7 2 2 2 2 3 3" xfId="7678"/>
    <cellStyle name="Normal 7 2 2 2 2 4" xfId="3451"/>
    <cellStyle name="Normal 7 2 2 2 2 4 2" xfId="9087"/>
    <cellStyle name="Normal 7 2 2 2 2 5" xfId="6277"/>
    <cellStyle name="Normal 7 2 2 2 3" xfId="993"/>
    <cellStyle name="Normal 7 2 2 2 3 2" xfId="2394"/>
    <cellStyle name="Normal 7 2 2 2 3 2 2" xfId="5204"/>
    <cellStyle name="Normal 7 2 2 2 3 2 2 2" xfId="10840"/>
    <cellStyle name="Normal 7 2 2 2 3 2 3" xfId="8030"/>
    <cellStyle name="Normal 7 2 2 2 3 3" xfId="3803"/>
    <cellStyle name="Normal 7 2 2 2 3 3 2" xfId="9439"/>
    <cellStyle name="Normal 7 2 2 2 3 4" xfId="6629"/>
    <cellStyle name="Normal 7 2 2 2 4" xfId="1698"/>
    <cellStyle name="Normal 7 2 2 2 4 2" xfId="4508"/>
    <cellStyle name="Normal 7 2 2 2 4 2 2" xfId="10144"/>
    <cellStyle name="Normal 7 2 2 2 4 3" xfId="7334"/>
    <cellStyle name="Normal 7 2 2 2 5" xfId="3107"/>
    <cellStyle name="Normal 7 2 2 2 5 2" xfId="8743"/>
    <cellStyle name="Normal 7 2 2 2 6" xfId="5933"/>
    <cellStyle name="Normal 7 2 2 3" xfId="469"/>
    <cellStyle name="Normal 7 2 2 3 2" xfId="1165"/>
    <cellStyle name="Normal 7 2 2 3 2 2" xfId="2566"/>
    <cellStyle name="Normal 7 2 2 3 2 2 2" xfId="5376"/>
    <cellStyle name="Normal 7 2 2 3 2 2 2 2" xfId="11012"/>
    <cellStyle name="Normal 7 2 2 3 2 2 3" xfId="8202"/>
    <cellStyle name="Normal 7 2 2 3 2 3" xfId="3975"/>
    <cellStyle name="Normal 7 2 2 3 2 3 2" xfId="9611"/>
    <cellStyle name="Normal 7 2 2 3 2 4" xfId="6801"/>
    <cellStyle name="Normal 7 2 2 3 3" xfId="1870"/>
    <cellStyle name="Normal 7 2 2 3 3 2" xfId="4680"/>
    <cellStyle name="Normal 7 2 2 3 3 2 2" xfId="10316"/>
    <cellStyle name="Normal 7 2 2 3 3 3" xfId="7506"/>
    <cellStyle name="Normal 7 2 2 3 4" xfId="3279"/>
    <cellStyle name="Normal 7 2 2 3 4 2" xfId="8915"/>
    <cellStyle name="Normal 7 2 2 3 5" xfId="6105"/>
    <cellStyle name="Normal 7 2 2 4" xfId="821"/>
    <cellStyle name="Normal 7 2 2 4 2" xfId="2222"/>
    <cellStyle name="Normal 7 2 2 4 2 2" xfId="5032"/>
    <cellStyle name="Normal 7 2 2 4 2 2 2" xfId="10668"/>
    <cellStyle name="Normal 7 2 2 4 2 3" xfId="7858"/>
    <cellStyle name="Normal 7 2 2 4 3" xfId="3631"/>
    <cellStyle name="Normal 7 2 2 4 3 2" xfId="9267"/>
    <cellStyle name="Normal 7 2 2 4 4" xfId="6457"/>
    <cellStyle name="Normal 7 2 2 5" xfId="1526"/>
    <cellStyle name="Normal 7 2 2 5 2" xfId="4336"/>
    <cellStyle name="Normal 7 2 2 5 2 2" xfId="9972"/>
    <cellStyle name="Normal 7 2 2 5 3" xfId="7162"/>
    <cellStyle name="Normal 7 2 2 6" xfId="2935"/>
    <cellStyle name="Normal 7 2 2 6 2" xfId="8571"/>
    <cellStyle name="Normal 7 2 2 7" xfId="5761"/>
    <cellStyle name="Normal 7 2 3" xfId="217"/>
    <cellStyle name="Normal 7 2 3 2" xfId="561"/>
    <cellStyle name="Normal 7 2 3 2 2" xfId="1257"/>
    <cellStyle name="Normal 7 2 3 2 2 2" xfId="2658"/>
    <cellStyle name="Normal 7 2 3 2 2 2 2" xfId="5468"/>
    <cellStyle name="Normal 7 2 3 2 2 2 2 2" xfId="11104"/>
    <cellStyle name="Normal 7 2 3 2 2 2 3" xfId="8294"/>
    <cellStyle name="Normal 7 2 3 2 2 3" xfId="4067"/>
    <cellStyle name="Normal 7 2 3 2 2 3 2" xfId="9703"/>
    <cellStyle name="Normal 7 2 3 2 2 4" xfId="6893"/>
    <cellStyle name="Normal 7 2 3 2 3" xfId="1962"/>
    <cellStyle name="Normal 7 2 3 2 3 2" xfId="4772"/>
    <cellStyle name="Normal 7 2 3 2 3 2 2" xfId="10408"/>
    <cellStyle name="Normal 7 2 3 2 3 3" xfId="7598"/>
    <cellStyle name="Normal 7 2 3 2 4" xfId="3371"/>
    <cellStyle name="Normal 7 2 3 2 4 2" xfId="9007"/>
    <cellStyle name="Normal 7 2 3 2 5" xfId="6197"/>
    <cellStyle name="Normal 7 2 3 3" xfId="913"/>
    <cellStyle name="Normal 7 2 3 3 2" xfId="2314"/>
    <cellStyle name="Normal 7 2 3 3 2 2" xfId="5124"/>
    <cellStyle name="Normal 7 2 3 3 2 2 2" xfId="10760"/>
    <cellStyle name="Normal 7 2 3 3 2 3" xfId="7950"/>
    <cellStyle name="Normal 7 2 3 3 3" xfId="3723"/>
    <cellStyle name="Normal 7 2 3 3 3 2" xfId="9359"/>
    <cellStyle name="Normal 7 2 3 3 4" xfId="6549"/>
    <cellStyle name="Normal 7 2 3 4" xfId="1618"/>
    <cellStyle name="Normal 7 2 3 4 2" xfId="4428"/>
    <cellStyle name="Normal 7 2 3 4 2 2" xfId="10064"/>
    <cellStyle name="Normal 7 2 3 4 3" xfId="7254"/>
    <cellStyle name="Normal 7 2 3 5" xfId="3027"/>
    <cellStyle name="Normal 7 2 3 5 2" xfId="8663"/>
    <cellStyle name="Normal 7 2 3 6" xfId="5853"/>
    <cellStyle name="Normal 7 2 4" xfId="389"/>
    <cellStyle name="Normal 7 2 4 2" xfId="1085"/>
    <cellStyle name="Normal 7 2 4 2 2" xfId="2486"/>
    <cellStyle name="Normal 7 2 4 2 2 2" xfId="5296"/>
    <cellStyle name="Normal 7 2 4 2 2 2 2" xfId="10932"/>
    <cellStyle name="Normal 7 2 4 2 2 3" xfId="8122"/>
    <cellStyle name="Normal 7 2 4 2 3" xfId="3895"/>
    <cellStyle name="Normal 7 2 4 2 3 2" xfId="9531"/>
    <cellStyle name="Normal 7 2 4 2 4" xfId="6721"/>
    <cellStyle name="Normal 7 2 4 3" xfId="1790"/>
    <cellStyle name="Normal 7 2 4 3 2" xfId="4600"/>
    <cellStyle name="Normal 7 2 4 3 2 2" xfId="10236"/>
    <cellStyle name="Normal 7 2 4 3 3" xfId="7426"/>
    <cellStyle name="Normal 7 2 4 4" xfId="3199"/>
    <cellStyle name="Normal 7 2 4 4 2" xfId="8835"/>
    <cellStyle name="Normal 7 2 4 5" xfId="6025"/>
    <cellStyle name="Normal 7 2 5" xfId="741"/>
    <cellStyle name="Normal 7 2 5 2" xfId="2142"/>
    <cellStyle name="Normal 7 2 5 2 2" xfId="4952"/>
    <cellStyle name="Normal 7 2 5 2 2 2" xfId="10588"/>
    <cellStyle name="Normal 7 2 5 2 3" xfId="7778"/>
    <cellStyle name="Normal 7 2 5 3" xfId="3551"/>
    <cellStyle name="Normal 7 2 5 3 2" xfId="9187"/>
    <cellStyle name="Normal 7 2 5 4" xfId="6377"/>
    <cellStyle name="Normal 7 2 6" xfId="1446"/>
    <cellStyle name="Normal 7 2 6 2" xfId="4256"/>
    <cellStyle name="Normal 7 2 6 2 2" xfId="9892"/>
    <cellStyle name="Normal 7 2 6 3" xfId="7082"/>
    <cellStyle name="Normal 7 2 7" xfId="2855"/>
    <cellStyle name="Normal 7 2 7 2" xfId="8491"/>
    <cellStyle name="Normal 7 2 8" xfId="5681"/>
    <cellStyle name="Normal 7 3" xfId="93"/>
    <cellStyle name="Normal 7 3 2" xfId="265"/>
    <cellStyle name="Normal 7 3 2 2" xfId="609"/>
    <cellStyle name="Normal 7 3 2 2 2" xfId="1305"/>
    <cellStyle name="Normal 7 3 2 2 2 2" xfId="2706"/>
    <cellStyle name="Normal 7 3 2 2 2 2 2" xfId="5516"/>
    <cellStyle name="Normal 7 3 2 2 2 2 2 2" xfId="11152"/>
    <cellStyle name="Normal 7 3 2 2 2 2 3" xfId="8342"/>
    <cellStyle name="Normal 7 3 2 2 2 3" xfId="4115"/>
    <cellStyle name="Normal 7 3 2 2 2 3 2" xfId="9751"/>
    <cellStyle name="Normal 7 3 2 2 2 4" xfId="6941"/>
    <cellStyle name="Normal 7 3 2 2 3" xfId="2010"/>
    <cellStyle name="Normal 7 3 2 2 3 2" xfId="4820"/>
    <cellStyle name="Normal 7 3 2 2 3 2 2" xfId="10456"/>
    <cellStyle name="Normal 7 3 2 2 3 3" xfId="7646"/>
    <cellStyle name="Normal 7 3 2 2 4" xfId="3419"/>
    <cellStyle name="Normal 7 3 2 2 4 2" xfId="9055"/>
    <cellStyle name="Normal 7 3 2 2 5" xfId="6245"/>
    <cellStyle name="Normal 7 3 2 3" xfId="961"/>
    <cellStyle name="Normal 7 3 2 3 2" xfId="2362"/>
    <cellStyle name="Normal 7 3 2 3 2 2" xfId="5172"/>
    <cellStyle name="Normal 7 3 2 3 2 2 2" xfId="10808"/>
    <cellStyle name="Normal 7 3 2 3 2 3" xfId="7998"/>
    <cellStyle name="Normal 7 3 2 3 3" xfId="3771"/>
    <cellStyle name="Normal 7 3 2 3 3 2" xfId="9407"/>
    <cellStyle name="Normal 7 3 2 3 4" xfId="6597"/>
    <cellStyle name="Normal 7 3 2 4" xfId="1666"/>
    <cellStyle name="Normal 7 3 2 4 2" xfId="4476"/>
    <cellStyle name="Normal 7 3 2 4 2 2" xfId="10112"/>
    <cellStyle name="Normal 7 3 2 4 3" xfId="7302"/>
    <cellStyle name="Normal 7 3 2 5" xfId="3075"/>
    <cellStyle name="Normal 7 3 2 5 2" xfId="8711"/>
    <cellStyle name="Normal 7 3 2 6" xfId="5901"/>
    <cellStyle name="Normal 7 3 3" xfId="437"/>
    <cellStyle name="Normal 7 3 3 2" xfId="1133"/>
    <cellStyle name="Normal 7 3 3 2 2" xfId="2534"/>
    <cellStyle name="Normal 7 3 3 2 2 2" xfId="5344"/>
    <cellStyle name="Normal 7 3 3 2 2 2 2" xfId="10980"/>
    <cellStyle name="Normal 7 3 3 2 2 3" xfId="8170"/>
    <cellStyle name="Normal 7 3 3 2 3" xfId="3943"/>
    <cellStyle name="Normal 7 3 3 2 3 2" xfId="9579"/>
    <cellStyle name="Normal 7 3 3 2 4" xfId="6769"/>
    <cellStyle name="Normal 7 3 3 3" xfId="1838"/>
    <cellStyle name="Normal 7 3 3 3 2" xfId="4648"/>
    <cellStyle name="Normal 7 3 3 3 2 2" xfId="10284"/>
    <cellStyle name="Normal 7 3 3 3 3" xfId="7474"/>
    <cellStyle name="Normal 7 3 3 4" xfId="3247"/>
    <cellStyle name="Normal 7 3 3 4 2" xfId="8883"/>
    <cellStyle name="Normal 7 3 3 5" xfId="6073"/>
    <cellStyle name="Normal 7 3 4" xfId="789"/>
    <cellStyle name="Normal 7 3 4 2" xfId="2190"/>
    <cellStyle name="Normal 7 3 4 2 2" xfId="5000"/>
    <cellStyle name="Normal 7 3 4 2 2 2" xfId="10636"/>
    <cellStyle name="Normal 7 3 4 2 3" xfId="7826"/>
    <cellStyle name="Normal 7 3 4 3" xfId="3599"/>
    <cellStyle name="Normal 7 3 4 3 2" xfId="9235"/>
    <cellStyle name="Normal 7 3 4 4" xfId="6425"/>
    <cellStyle name="Normal 7 3 5" xfId="1494"/>
    <cellStyle name="Normal 7 3 5 2" xfId="4304"/>
    <cellStyle name="Normal 7 3 5 2 2" xfId="9940"/>
    <cellStyle name="Normal 7 3 5 3" xfId="7130"/>
    <cellStyle name="Normal 7 3 6" xfId="2903"/>
    <cellStyle name="Normal 7 3 6 2" xfId="8539"/>
    <cellStyle name="Normal 7 3 7" xfId="5729"/>
    <cellStyle name="Normal 7 4" xfId="185"/>
    <cellStyle name="Normal 7 4 2" xfId="529"/>
    <cellStyle name="Normal 7 4 2 2" xfId="1225"/>
    <cellStyle name="Normal 7 4 2 2 2" xfId="2626"/>
    <cellStyle name="Normal 7 4 2 2 2 2" xfId="5436"/>
    <cellStyle name="Normal 7 4 2 2 2 2 2" xfId="11072"/>
    <cellStyle name="Normal 7 4 2 2 2 3" xfId="8262"/>
    <cellStyle name="Normal 7 4 2 2 3" xfId="4035"/>
    <cellStyle name="Normal 7 4 2 2 3 2" xfId="9671"/>
    <cellStyle name="Normal 7 4 2 2 4" xfId="6861"/>
    <cellStyle name="Normal 7 4 2 3" xfId="1930"/>
    <cellStyle name="Normal 7 4 2 3 2" xfId="4740"/>
    <cellStyle name="Normal 7 4 2 3 2 2" xfId="10376"/>
    <cellStyle name="Normal 7 4 2 3 3" xfId="7566"/>
    <cellStyle name="Normal 7 4 2 4" xfId="3339"/>
    <cellStyle name="Normal 7 4 2 4 2" xfId="8975"/>
    <cellStyle name="Normal 7 4 2 5" xfId="6165"/>
    <cellStyle name="Normal 7 4 3" xfId="881"/>
    <cellStyle name="Normal 7 4 3 2" xfId="2282"/>
    <cellStyle name="Normal 7 4 3 2 2" xfId="5092"/>
    <cellStyle name="Normal 7 4 3 2 2 2" xfId="10728"/>
    <cellStyle name="Normal 7 4 3 2 3" xfId="7918"/>
    <cellStyle name="Normal 7 4 3 3" xfId="3691"/>
    <cellStyle name="Normal 7 4 3 3 2" xfId="9327"/>
    <cellStyle name="Normal 7 4 3 4" xfId="6517"/>
    <cellStyle name="Normal 7 4 4" xfId="1586"/>
    <cellStyle name="Normal 7 4 4 2" xfId="4396"/>
    <cellStyle name="Normal 7 4 4 2 2" xfId="10032"/>
    <cellStyle name="Normal 7 4 4 3" xfId="7222"/>
    <cellStyle name="Normal 7 4 5" xfId="2995"/>
    <cellStyle name="Normal 7 4 5 2" xfId="8631"/>
    <cellStyle name="Normal 7 4 6" xfId="5821"/>
    <cellStyle name="Normal 7 5" xfId="357"/>
    <cellStyle name="Normal 7 5 2" xfId="1053"/>
    <cellStyle name="Normal 7 5 2 2" xfId="2454"/>
    <cellStyle name="Normal 7 5 2 2 2" xfId="5264"/>
    <cellStyle name="Normal 7 5 2 2 2 2" xfId="10900"/>
    <cellStyle name="Normal 7 5 2 2 3" xfId="8090"/>
    <cellStyle name="Normal 7 5 2 3" xfId="3863"/>
    <cellStyle name="Normal 7 5 2 3 2" xfId="9499"/>
    <cellStyle name="Normal 7 5 2 4" xfId="6689"/>
    <cellStyle name="Normal 7 5 3" xfId="1758"/>
    <cellStyle name="Normal 7 5 3 2" xfId="4568"/>
    <cellStyle name="Normal 7 5 3 2 2" xfId="10204"/>
    <cellStyle name="Normal 7 5 3 3" xfId="7394"/>
    <cellStyle name="Normal 7 5 4" xfId="3167"/>
    <cellStyle name="Normal 7 5 4 2" xfId="8803"/>
    <cellStyle name="Normal 7 5 5" xfId="5993"/>
    <cellStyle name="Normal 7 6" xfId="709"/>
    <cellStyle name="Normal 7 6 2" xfId="2110"/>
    <cellStyle name="Normal 7 6 2 2" xfId="4920"/>
    <cellStyle name="Normal 7 6 2 2 2" xfId="10556"/>
    <cellStyle name="Normal 7 6 2 3" xfId="7746"/>
    <cellStyle name="Normal 7 6 3" xfId="3519"/>
    <cellStyle name="Normal 7 6 3 2" xfId="9155"/>
    <cellStyle name="Normal 7 6 4" xfId="6345"/>
    <cellStyle name="Normal 7 7" xfId="1414"/>
    <cellStyle name="Normal 7 7 2" xfId="4224"/>
    <cellStyle name="Normal 7 7 2 2" xfId="9860"/>
    <cellStyle name="Normal 7 7 3" xfId="7050"/>
    <cellStyle name="Normal 7 8" xfId="2823"/>
    <cellStyle name="Normal 7 8 2" xfId="8459"/>
    <cellStyle name="Normal 7 9" xfId="5649"/>
    <cellStyle name="Normal 70" xfId="11293"/>
    <cellStyle name="Normal 71" xfId="11294"/>
    <cellStyle name="Normal 72" xfId="11295"/>
    <cellStyle name="Normal 73" xfId="11296"/>
    <cellStyle name="Normal 74" xfId="11297"/>
    <cellStyle name="Normal 75" xfId="11298"/>
    <cellStyle name="Normal 76" xfId="11299"/>
    <cellStyle name="Normal 77" xfId="11300"/>
    <cellStyle name="Normal 78" xfId="11301"/>
    <cellStyle name="Normal 79" xfId="11302"/>
    <cellStyle name="Normal 8" xfId="26"/>
    <cellStyle name="Normal 8 2" xfId="58"/>
    <cellStyle name="Normal 8 2 2" xfId="138"/>
    <cellStyle name="Normal 8 2 2 2" xfId="310"/>
    <cellStyle name="Normal 8 2 2 2 2" xfId="654"/>
    <cellStyle name="Normal 8 2 2 2 2 2" xfId="1350"/>
    <cellStyle name="Normal 8 2 2 2 2 2 2" xfId="2751"/>
    <cellStyle name="Normal 8 2 2 2 2 2 2 2" xfId="5561"/>
    <cellStyle name="Normal 8 2 2 2 2 2 2 2 2" xfId="11197"/>
    <cellStyle name="Normal 8 2 2 2 2 2 2 3" xfId="8387"/>
    <cellStyle name="Normal 8 2 2 2 2 2 3" xfId="4160"/>
    <cellStyle name="Normal 8 2 2 2 2 2 3 2" xfId="9796"/>
    <cellStyle name="Normal 8 2 2 2 2 2 4" xfId="6986"/>
    <cellStyle name="Normal 8 2 2 2 2 3" xfId="2055"/>
    <cellStyle name="Normal 8 2 2 2 2 3 2" xfId="4865"/>
    <cellStyle name="Normal 8 2 2 2 2 3 2 2" xfId="10501"/>
    <cellStyle name="Normal 8 2 2 2 2 3 3" xfId="7691"/>
    <cellStyle name="Normal 8 2 2 2 2 4" xfId="3464"/>
    <cellStyle name="Normal 8 2 2 2 2 4 2" xfId="9100"/>
    <cellStyle name="Normal 8 2 2 2 2 5" xfId="6290"/>
    <cellStyle name="Normal 8 2 2 2 3" xfId="1006"/>
    <cellStyle name="Normal 8 2 2 2 3 2" xfId="2407"/>
    <cellStyle name="Normal 8 2 2 2 3 2 2" xfId="5217"/>
    <cellStyle name="Normal 8 2 2 2 3 2 2 2" xfId="10853"/>
    <cellStyle name="Normal 8 2 2 2 3 2 3" xfId="8043"/>
    <cellStyle name="Normal 8 2 2 2 3 3" xfId="3816"/>
    <cellStyle name="Normal 8 2 2 2 3 3 2" xfId="9452"/>
    <cellStyle name="Normal 8 2 2 2 3 4" xfId="6642"/>
    <cellStyle name="Normal 8 2 2 2 4" xfId="1711"/>
    <cellStyle name="Normal 8 2 2 2 4 2" xfId="4521"/>
    <cellStyle name="Normal 8 2 2 2 4 2 2" xfId="10157"/>
    <cellStyle name="Normal 8 2 2 2 4 3" xfId="7347"/>
    <cellStyle name="Normal 8 2 2 2 5" xfId="3120"/>
    <cellStyle name="Normal 8 2 2 2 5 2" xfId="8756"/>
    <cellStyle name="Normal 8 2 2 2 6" xfId="5946"/>
    <cellStyle name="Normal 8 2 2 3" xfId="482"/>
    <cellStyle name="Normal 8 2 2 3 2" xfId="1178"/>
    <cellStyle name="Normal 8 2 2 3 2 2" xfId="2579"/>
    <cellStyle name="Normal 8 2 2 3 2 2 2" xfId="5389"/>
    <cellStyle name="Normal 8 2 2 3 2 2 2 2" xfId="11025"/>
    <cellStyle name="Normal 8 2 2 3 2 2 3" xfId="8215"/>
    <cellStyle name="Normal 8 2 2 3 2 3" xfId="3988"/>
    <cellStyle name="Normal 8 2 2 3 2 3 2" xfId="9624"/>
    <cellStyle name="Normal 8 2 2 3 2 4" xfId="6814"/>
    <cellStyle name="Normal 8 2 2 3 3" xfId="1883"/>
    <cellStyle name="Normal 8 2 2 3 3 2" xfId="4693"/>
    <cellStyle name="Normal 8 2 2 3 3 2 2" xfId="10329"/>
    <cellStyle name="Normal 8 2 2 3 3 3" xfId="7519"/>
    <cellStyle name="Normal 8 2 2 3 4" xfId="3292"/>
    <cellStyle name="Normal 8 2 2 3 4 2" xfId="8928"/>
    <cellStyle name="Normal 8 2 2 3 5" xfId="6118"/>
    <cellStyle name="Normal 8 2 2 4" xfId="834"/>
    <cellStyle name="Normal 8 2 2 4 2" xfId="2235"/>
    <cellStyle name="Normal 8 2 2 4 2 2" xfId="5045"/>
    <cellStyle name="Normal 8 2 2 4 2 2 2" xfId="10681"/>
    <cellStyle name="Normal 8 2 2 4 2 3" xfId="7871"/>
    <cellStyle name="Normal 8 2 2 4 3" xfId="3644"/>
    <cellStyle name="Normal 8 2 2 4 3 2" xfId="9280"/>
    <cellStyle name="Normal 8 2 2 4 4" xfId="6470"/>
    <cellStyle name="Normal 8 2 2 5" xfId="1539"/>
    <cellStyle name="Normal 8 2 2 5 2" xfId="4349"/>
    <cellStyle name="Normal 8 2 2 5 2 2" xfId="9985"/>
    <cellStyle name="Normal 8 2 2 5 3" xfId="7175"/>
    <cellStyle name="Normal 8 2 2 6" xfId="2948"/>
    <cellStyle name="Normal 8 2 2 6 2" xfId="8584"/>
    <cellStyle name="Normal 8 2 2 7" xfId="5774"/>
    <cellStyle name="Normal 8 2 3" xfId="230"/>
    <cellStyle name="Normal 8 2 3 2" xfId="574"/>
    <cellStyle name="Normal 8 2 3 2 2" xfId="1270"/>
    <cellStyle name="Normal 8 2 3 2 2 2" xfId="2671"/>
    <cellStyle name="Normal 8 2 3 2 2 2 2" xfId="5481"/>
    <cellStyle name="Normal 8 2 3 2 2 2 2 2" xfId="11117"/>
    <cellStyle name="Normal 8 2 3 2 2 2 3" xfId="8307"/>
    <cellStyle name="Normal 8 2 3 2 2 3" xfId="4080"/>
    <cellStyle name="Normal 8 2 3 2 2 3 2" xfId="9716"/>
    <cellStyle name="Normal 8 2 3 2 2 4" xfId="6906"/>
    <cellStyle name="Normal 8 2 3 2 3" xfId="1975"/>
    <cellStyle name="Normal 8 2 3 2 3 2" xfId="4785"/>
    <cellStyle name="Normal 8 2 3 2 3 2 2" xfId="10421"/>
    <cellStyle name="Normal 8 2 3 2 3 3" xfId="7611"/>
    <cellStyle name="Normal 8 2 3 2 4" xfId="3384"/>
    <cellStyle name="Normal 8 2 3 2 4 2" xfId="9020"/>
    <cellStyle name="Normal 8 2 3 2 5" xfId="6210"/>
    <cellStyle name="Normal 8 2 3 3" xfId="926"/>
    <cellStyle name="Normal 8 2 3 3 2" xfId="2327"/>
    <cellStyle name="Normal 8 2 3 3 2 2" xfId="5137"/>
    <cellStyle name="Normal 8 2 3 3 2 2 2" xfId="10773"/>
    <cellStyle name="Normal 8 2 3 3 2 3" xfId="7963"/>
    <cellStyle name="Normal 8 2 3 3 3" xfId="3736"/>
    <cellStyle name="Normal 8 2 3 3 3 2" xfId="9372"/>
    <cellStyle name="Normal 8 2 3 3 4" xfId="6562"/>
    <cellStyle name="Normal 8 2 3 4" xfId="1631"/>
    <cellStyle name="Normal 8 2 3 4 2" xfId="4441"/>
    <cellStyle name="Normal 8 2 3 4 2 2" xfId="10077"/>
    <cellStyle name="Normal 8 2 3 4 3" xfId="7267"/>
    <cellStyle name="Normal 8 2 3 5" xfId="3040"/>
    <cellStyle name="Normal 8 2 3 5 2" xfId="8676"/>
    <cellStyle name="Normal 8 2 3 6" xfId="5866"/>
    <cellStyle name="Normal 8 2 4" xfId="402"/>
    <cellStyle name="Normal 8 2 4 2" xfId="1098"/>
    <cellStyle name="Normal 8 2 4 2 2" xfId="2499"/>
    <cellStyle name="Normal 8 2 4 2 2 2" xfId="5309"/>
    <cellStyle name="Normal 8 2 4 2 2 2 2" xfId="10945"/>
    <cellStyle name="Normal 8 2 4 2 2 3" xfId="8135"/>
    <cellStyle name="Normal 8 2 4 2 3" xfId="3908"/>
    <cellStyle name="Normal 8 2 4 2 3 2" xfId="9544"/>
    <cellStyle name="Normal 8 2 4 2 4" xfId="6734"/>
    <cellStyle name="Normal 8 2 4 3" xfId="1803"/>
    <cellStyle name="Normal 8 2 4 3 2" xfId="4613"/>
    <cellStyle name="Normal 8 2 4 3 2 2" xfId="10249"/>
    <cellStyle name="Normal 8 2 4 3 3" xfId="7439"/>
    <cellStyle name="Normal 8 2 4 4" xfId="3212"/>
    <cellStyle name="Normal 8 2 4 4 2" xfId="8848"/>
    <cellStyle name="Normal 8 2 4 5" xfId="6038"/>
    <cellStyle name="Normal 8 2 5" xfId="754"/>
    <cellStyle name="Normal 8 2 5 2" xfId="2155"/>
    <cellStyle name="Normal 8 2 5 2 2" xfId="4965"/>
    <cellStyle name="Normal 8 2 5 2 2 2" xfId="10601"/>
    <cellStyle name="Normal 8 2 5 2 3" xfId="7791"/>
    <cellStyle name="Normal 8 2 5 3" xfId="3564"/>
    <cellStyle name="Normal 8 2 5 3 2" xfId="9200"/>
    <cellStyle name="Normal 8 2 5 4" xfId="6390"/>
    <cellStyle name="Normal 8 2 6" xfId="1459"/>
    <cellStyle name="Normal 8 2 6 2" xfId="4269"/>
    <cellStyle name="Normal 8 2 6 2 2" xfId="9905"/>
    <cellStyle name="Normal 8 2 6 3" xfId="7095"/>
    <cellStyle name="Normal 8 2 7" xfId="2868"/>
    <cellStyle name="Normal 8 2 7 2" xfId="8504"/>
    <cellStyle name="Normal 8 2 8" xfId="5694"/>
    <cellStyle name="Normal 8 3" xfId="106"/>
    <cellStyle name="Normal 8 3 2" xfId="278"/>
    <cellStyle name="Normal 8 3 2 2" xfId="622"/>
    <cellStyle name="Normal 8 3 2 2 2" xfId="1318"/>
    <cellStyle name="Normal 8 3 2 2 2 2" xfId="2719"/>
    <cellStyle name="Normal 8 3 2 2 2 2 2" xfId="5529"/>
    <cellStyle name="Normal 8 3 2 2 2 2 2 2" xfId="11165"/>
    <cellStyle name="Normal 8 3 2 2 2 2 3" xfId="8355"/>
    <cellStyle name="Normal 8 3 2 2 2 3" xfId="4128"/>
    <cellStyle name="Normal 8 3 2 2 2 3 2" xfId="9764"/>
    <cellStyle name="Normal 8 3 2 2 2 4" xfId="6954"/>
    <cellStyle name="Normal 8 3 2 2 3" xfId="2023"/>
    <cellStyle name="Normal 8 3 2 2 3 2" xfId="4833"/>
    <cellStyle name="Normal 8 3 2 2 3 2 2" xfId="10469"/>
    <cellStyle name="Normal 8 3 2 2 3 3" xfId="7659"/>
    <cellStyle name="Normal 8 3 2 2 4" xfId="3432"/>
    <cellStyle name="Normal 8 3 2 2 4 2" xfId="9068"/>
    <cellStyle name="Normal 8 3 2 2 5" xfId="6258"/>
    <cellStyle name="Normal 8 3 2 3" xfId="974"/>
    <cellStyle name="Normal 8 3 2 3 2" xfId="2375"/>
    <cellStyle name="Normal 8 3 2 3 2 2" xfId="5185"/>
    <cellStyle name="Normal 8 3 2 3 2 2 2" xfId="10821"/>
    <cellStyle name="Normal 8 3 2 3 2 3" xfId="8011"/>
    <cellStyle name="Normal 8 3 2 3 3" xfId="3784"/>
    <cellStyle name="Normal 8 3 2 3 3 2" xfId="9420"/>
    <cellStyle name="Normal 8 3 2 3 4" xfId="6610"/>
    <cellStyle name="Normal 8 3 2 4" xfId="1679"/>
    <cellStyle name="Normal 8 3 2 4 2" xfId="4489"/>
    <cellStyle name="Normal 8 3 2 4 2 2" xfId="10125"/>
    <cellStyle name="Normal 8 3 2 4 3" xfId="7315"/>
    <cellStyle name="Normal 8 3 2 5" xfId="3088"/>
    <cellStyle name="Normal 8 3 2 5 2" xfId="8724"/>
    <cellStyle name="Normal 8 3 2 6" xfId="5914"/>
    <cellStyle name="Normal 8 3 3" xfId="450"/>
    <cellStyle name="Normal 8 3 3 2" xfId="1146"/>
    <cellStyle name="Normal 8 3 3 2 2" xfId="2547"/>
    <cellStyle name="Normal 8 3 3 2 2 2" xfId="5357"/>
    <cellStyle name="Normal 8 3 3 2 2 2 2" xfId="10993"/>
    <cellStyle name="Normal 8 3 3 2 2 3" xfId="8183"/>
    <cellStyle name="Normal 8 3 3 2 3" xfId="3956"/>
    <cellStyle name="Normal 8 3 3 2 3 2" xfId="9592"/>
    <cellStyle name="Normal 8 3 3 2 4" xfId="6782"/>
    <cellStyle name="Normal 8 3 3 3" xfId="1851"/>
    <cellStyle name="Normal 8 3 3 3 2" xfId="4661"/>
    <cellStyle name="Normal 8 3 3 3 2 2" xfId="10297"/>
    <cellStyle name="Normal 8 3 3 3 3" xfId="7487"/>
    <cellStyle name="Normal 8 3 3 4" xfId="3260"/>
    <cellStyle name="Normal 8 3 3 4 2" xfId="8896"/>
    <cellStyle name="Normal 8 3 3 5" xfId="6086"/>
    <cellStyle name="Normal 8 3 4" xfId="802"/>
    <cellStyle name="Normal 8 3 4 2" xfId="2203"/>
    <cellStyle name="Normal 8 3 4 2 2" xfId="5013"/>
    <cellStyle name="Normal 8 3 4 2 2 2" xfId="10649"/>
    <cellStyle name="Normal 8 3 4 2 3" xfId="7839"/>
    <cellStyle name="Normal 8 3 4 3" xfId="3612"/>
    <cellStyle name="Normal 8 3 4 3 2" xfId="9248"/>
    <cellStyle name="Normal 8 3 4 4" xfId="6438"/>
    <cellStyle name="Normal 8 3 5" xfId="1507"/>
    <cellStyle name="Normal 8 3 5 2" xfId="4317"/>
    <cellStyle name="Normal 8 3 5 2 2" xfId="9953"/>
    <cellStyle name="Normal 8 3 5 3" xfId="7143"/>
    <cellStyle name="Normal 8 3 6" xfId="2916"/>
    <cellStyle name="Normal 8 3 6 2" xfId="8552"/>
    <cellStyle name="Normal 8 3 7" xfId="5742"/>
    <cellStyle name="Normal 8 4" xfId="198"/>
    <cellStyle name="Normal 8 4 2" xfId="542"/>
    <cellStyle name="Normal 8 4 2 2" xfId="1238"/>
    <cellStyle name="Normal 8 4 2 2 2" xfId="2639"/>
    <cellStyle name="Normal 8 4 2 2 2 2" xfId="5449"/>
    <cellStyle name="Normal 8 4 2 2 2 2 2" xfId="11085"/>
    <cellStyle name="Normal 8 4 2 2 2 3" xfId="8275"/>
    <cellStyle name="Normal 8 4 2 2 3" xfId="4048"/>
    <cellStyle name="Normal 8 4 2 2 3 2" xfId="9684"/>
    <cellStyle name="Normal 8 4 2 2 4" xfId="6874"/>
    <cellStyle name="Normal 8 4 2 3" xfId="1943"/>
    <cellStyle name="Normal 8 4 2 3 2" xfId="4753"/>
    <cellStyle name="Normal 8 4 2 3 2 2" xfId="10389"/>
    <cellStyle name="Normal 8 4 2 3 3" xfId="7579"/>
    <cellStyle name="Normal 8 4 2 4" xfId="3352"/>
    <cellStyle name="Normal 8 4 2 4 2" xfId="8988"/>
    <cellStyle name="Normal 8 4 2 5" xfId="6178"/>
    <cellStyle name="Normal 8 4 3" xfId="894"/>
    <cellStyle name="Normal 8 4 3 2" xfId="2295"/>
    <cellStyle name="Normal 8 4 3 2 2" xfId="5105"/>
    <cellStyle name="Normal 8 4 3 2 2 2" xfId="10741"/>
    <cellStyle name="Normal 8 4 3 2 3" xfId="7931"/>
    <cellStyle name="Normal 8 4 3 3" xfId="3704"/>
    <cellStyle name="Normal 8 4 3 3 2" xfId="9340"/>
    <cellStyle name="Normal 8 4 3 4" xfId="6530"/>
    <cellStyle name="Normal 8 4 4" xfId="1599"/>
    <cellStyle name="Normal 8 4 4 2" xfId="4409"/>
    <cellStyle name="Normal 8 4 4 2 2" xfId="10045"/>
    <cellStyle name="Normal 8 4 4 3" xfId="7235"/>
    <cellStyle name="Normal 8 4 5" xfId="3008"/>
    <cellStyle name="Normal 8 4 5 2" xfId="8644"/>
    <cellStyle name="Normal 8 4 6" xfId="5834"/>
    <cellStyle name="Normal 8 5" xfId="370"/>
    <cellStyle name="Normal 8 5 2" xfId="1066"/>
    <cellStyle name="Normal 8 5 2 2" xfId="2467"/>
    <cellStyle name="Normal 8 5 2 2 2" xfId="5277"/>
    <cellStyle name="Normal 8 5 2 2 2 2" xfId="10913"/>
    <cellStyle name="Normal 8 5 2 2 3" xfId="8103"/>
    <cellStyle name="Normal 8 5 2 3" xfId="3876"/>
    <cellStyle name="Normal 8 5 2 3 2" xfId="9512"/>
    <cellStyle name="Normal 8 5 2 4" xfId="6702"/>
    <cellStyle name="Normal 8 5 3" xfId="1771"/>
    <cellStyle name="Normal 8 5 3 2" xfId="4581"/>
    <cellStyle name="Normal 8 5 3 2 2" xfId="10217"/>
    <cellStyle name="Normal 8 5 3 3" xfId="7407"/>
    <cellStyle name="Normal 8 5 4" xfId="3180"/>
    <cellStyle name="Normal 8 5 4 2" xfId="8816"/>
    <cellStyle name="Normal 8 5 5" xfId="6006"/>
    <cellStyle name="Normal 8 6" xfId="722"/>
    <cellStyle name="Normal 8 6 2" xfId="2123"/>
    <cellStyle name="Normal 8 6 2 2" xfId="4933"/>
    <cellStyle name="Normal 8 6 2 2 2" xfId="10569"/>
    <cellStyle name="Normal 8 6 2 3" xfId="7759"/>
    <cellStyle name="Normal 8 6 3" xfId="3532"/>
    <cellStyle name="Normal 8 6 3 2" xfId="9168"/>
    <cellStyle name="Normal 8 6 4" xfId="6358"/>
    <cellStyle name="Normal 8 7" xfId="1427"/>
    <cellStyle name="Normal 8 7 2" xfId="4237"/>
    <cellStyle name="Normal 8 7 2 2" xfId="9873"/>
    <cellStyle name="Normal 8 7 3" xfId="7063"/>
    <cellStyle name="Normal 8 8" xfId="2836"/>
    <cellStyle name="Normal 8 8 2" xfId="8472"/>
    <cellStyle name="Normal 8 9" xfId="5662"/>
    <cellStyle name="Normal 80" xfId="11303"/>
    <cellStyle name="Normal 81" xfId="11304"/>
    <cellStyle name="Normal 82" xfId="11305"/>
    <cellStyle name="Normal 83" xfId="11306"/>
    <cellStyle name="Normal 84" xfId="11307"/>
    <cellStyle name="Normal 85" xfId="11308"/>
    <cellStyle name="Normal 86" xfId="11309"/>
    <cellStyle name="Normal 87" xfId="11310"/>
    <cellStyle name="Normal 88" xfId="11311"/>
    <cellStyle name="Normal 89" xfId="11312"/>
    <cellStyle name="Normal 9" xfId="28"/>
    <cellStyle name="Normal 9 10" xfId="11280"/>
    <cellStyle name="Normal 9 2" xfId="60"/>
    <cellStyle name="Normal 9 2 2" xfId="140"/>
    <cellStyle name="Normal 9 2 2 2" xfId="312"/>
    <cellStyle name="Normal 9 2 2 2 2" xfId="656"/>
    <cellStyle name="Normal 9 2 2 2 2 2" xfId="1352"/>
    <cellStyle name="Normal 9 2 2 2 2 2 2" xfId="2753"/>
    <cellStyle name="Normal 9 2 2 2 2 2 2 2" xfId="5563"/>
    <cellStyle name="Normal 9 2 2 2 2 2 2 2 2" xfId="11199"/>
    <cellStyle name="Normal 9 2 2 2 2 2 2 3" xfId="8389"/>
    <cellStyle name="Normal 9 2 2 2 2 2 3" xfId="4162"/>
    <cellStyle name="Normal 9 2 2 2 2 2 3 2" xfId="9798"/>
    <cellStyle name="Normal 9 2 2 2 2 2 4" xfId="6988"/>
    <cellStyle name="Normal 9 2 2 2 2 3" xfId="2057"/>
    <cellStyle name="Normal 9 2 2 2 2 3 2" xfId="4867"/>
    <cellStyle name="Normal 9 2 2 2 2 3 2 2" xfId="10503"/>
    <cellStyle name="Normal 9 2 2 2 2 3 3" xfId="7693"/>
    <cellStyle name="Normal 9 2 2 2 2 4" xfId="3466"/>
    <cellStyle name="Normal 9 2 2 2 2 4 2" xfId="9102"/>
    <cellStyle name="Normal 9 2 2 2 2 5" xfId="6292"/>
    <cellStyle name="Normal 9 2 2 2 3" xfId="1008"/>
    <cellStyle name="Normal 9 2 2 2 3 2" xfId="2409"/>
    <cellStyle name="Normal 9 2 2 2 3 2 2" xfId="5219"/>
    <cellStyle name="Normal 9 2 2 2 3 2 2 2" xfId="10855"/>
    <cellStyle name="Normal 9 2 2 2 3 2 3" xfId="8045"/>
    <cellStyle name="Normal 9 2 2 2 3 3" xfId="3818"/>
    <cellStyle name="Normal 9 2 2 2 3 3 2" xfId="9454"/>
    <cellStyle name="Normal 9 2 2 2 3 4" xfId="6644"/>
    <cellStyle name="Normal 9 2 2 2 4" xfId="1713"/>
    <cellStyle name="Normal 9 2 2 2 4 2" xfId="4523"/>
    <cellStyle name="Normal 9 2 2 2 4 2 2" xfId="10159"/>
    <cellStyle name="Normal 9 2 2 2 4 3" xfId="7349"/>
    <cellStyle name="Normal 9 2 2 2 5" xfId="3122"/>
    <cellStyle name="Normal 9 2 2 2 5 2" xfId="8758"/>
    <cellStyle name="Normal 9 2 2 2 6" xfId="5948"/>
    <cellStyle name="Normal 9 2 2 3" xfId="484"/>
    <cellStyle name="Normal 9 2 2 3 2" xfId="1180"/>
    <cellStyle name="Normal 9 2 2 3 2 2" xfId="2581"/>
    <cellStyle name="Normal 9 2 2 3 2 2 2" xfId="5391"/>
    <cellStyle name="Normal 9 2 2 3 2 2 2 2" xfId="11027"/>
    <cellStyle name="Normal 9 2 2 3 2 2 3" xfId="8217"/>
    <cellStyle name="Normal 9 2 2 3 2 3" xfId="3990"/>
    <cellStyle name="Normal 9 2 2 3 2 3 2" xfId="9626"/>
    <cellStyle name="Normal 9 2 2 3 2 4" xfId="6816"/>
    <cellStyle name="Normal 9 2 2 3 3" xfId="1885"/>
    <cellStyle name="Normal 9 2 2 3 3 2" xfId="4695"/>
    <cellStyle name="Normal 9 2 2 3 3 2 2" xfId="10331"/>
    <cellStyle name="Normal 9 2 2 3 3 3" xfId="7521"/>
    <cellStyle name="Normal 9 2 2 3 4" xfId="3294"/>
    <cellStyle name="Normal 9 2 2 3 4 2" xfId="8930"/>
    <cellStyle name="Normal 9 2 2 3 5" xfId="6120"/>
    <cellStyle name="Normal 9 2 2 4" xfId="836"/>
    <cellStyle name="Normal 9 2 2 4 2" xfId="2237"/>
    <cellStyle name="Normal 9 2 2 4 2 2" xfId="5047"/>
    <cellStyle name="Normal 9 2 2 4 2 2 2" xfId="10683"/>
    <cellStyle name="Normal 9 2 2 4 2 3" xfId="7873"/>
    <cellStyle name="Normal 9 2 2 4 3" xfId="3646"/>
    <cellStyle name="Normal 9 2 2 4 3 2" xfId="9282"/>
    <cellStyle name="Normal 9 2 2 4 4" xfId="6472"/>
    <cellStyle name="Normal 9 2 2 5" xfId="1541"/>
    <cellStyle name="Normal 9 2 2 5 2" xfId="4351"/>
    <cellStyle name="Normal 9 2 2 5 2 2" xfId="9987"/>
    <cellStyle name="Normal 9 2 2 5 3" xfId="7177"/>
    <cellStyle name="Normal 9 2 2 6" xfId="2950"/>
    <cellStyle name="Normal 9 2 2 6 2" xfId="8586"/>
    <cellStyle name="Normal 9 2 2 7" xfId="5776"/>
    <cellStyle name="Normal 9 2 3" xfId="232"/>
    <cellStyle name="Normal 9 2 3 2" xfId="576"/>
    <cellStyle name="Normal 9 2 3 2 2" xfId="1272"/>
    <cellStyle name="Normal 9 2 3 2 2 2" xfId="2673"/>
    <cellStyle name="Normal 9 2 3 2 2 2 2" xfId="5483"/>
    <cellStyle name="Normal 9 2 3 2 2 2 2 2" xfId="11119"/>
    <cellStyle name="Normal 9 2 3 2 2 2 3" xfId="8309"/>
    <cellStyle name="Normal 9 2 3 2 2 3" xfId="4082"/>
    <cellStyle name="Normal 9 2 3 2 2 3 2" xfId="9718"/>
    <cellStyle name="Normal 9 2 3 2 2 4" xfId="6908"/>
    <cellStyle name="Normal 9 2 3 2 3" xfId="1977"/>
    <cellStyle name="Normal 9 2 3 2 3 2" xfId="4787"/>
    <cellStyle name="Normal 9 2 3 2 3 2 2" xfId="10423"/>
    <cellStyle name="Normal 9 2 3 2 3 3" xfId="7613"/>
    <cellStyle name="Normal 9 2 3 2 4" xfId="3386"/>
    <cellStyle name="Normal 9 2 3 2 4 2" xfId="9022"/>
    <cellStyle name="Normal 9 2 3 2 5" xfId="6212"/>
    <cellStyle name="Normal 9 2 3 3" xfId="928"/>
    <cellStyle name="Normal 9 2 3 3 2" xfId="2329"/>
    <cellStyle name="Normal 9 2 3 3 2 2" xfId="5139"/>
    <cellStyle name="Normal 9 2 3 3 2 2 2" xfId="10775"/>
    <cellStyle name="Normal 9 2 3 3 2 3" xfId="7965"/>
    <cellStyle name="Normal 9 2 3 3 3" xfId="3738"/>
    <cellStyle name="Normal 9 2 3 3 3 2" xfId="9374"/>
    <cellStyle name="Normal 9 2 3 3 4" xfId="6564"/>
    <cellStyle name="Normal 9 2 3 4" xfId="1633"/>
    <cellStyle name="Normal 9 2 3 4 2" xfId="4443"/>
    <cellStyle name="Normal 9 2 3 4 2 2" xfId="10079"/>
    <cellStyle name="Normal 9 2 3 4 3" xfId="7269"/>
    <cellStyle name="Normal 9 2 3 5" xfId="3042"/>
    <cellStyle name="Normal 9 2 3 5 2" xfId="8678"/>
    <cellStyle name="Normal 9 2 3 6" xfId="5868"/>
    <cellStyle name="Normal 9 2 4" xfId="404"/>
    <cellStyle name="Normal 9 2 4 2" xfId="1100"/>
    <cellStyle name="Normal 9 2 4 2 2" xfId="2501"/>
    <cellStyle name="Normal 9 2 4 2 2 2" xfId="5311"/>
    <cellStyle name="Normal 9 2 4 2 2 2 2" xfId="10947"/>
    <cellStyle name="Normal 9 2 4 2 2 3" xfId="8137"/>
    <cellStyle name="Normal 9 2 4 2 3" xfId="3910"/>
    <cellStyle name="Normal 9 2 4 2 3 2" xfId="9546"/>
    <cellStyle name="Normal 9 2 4 2 4" xfId="6736"/>
    <cellStyle name="Normal 9 2 4 3" xfId="1805"/>
    <cellStyle name="Normal 9 2 4 3 2" xfId="4615"/>
    <cellStyle name="Normal 9 2 4 3 2 2" xfId="10251"/>
    <cellStyle name="Normal 9 2 4 3 3" xfId="7441"/>
    <cellStyle name="Normal 9 2 4 4" xfId="3214"/>
    <cellStyle name="Normal 9 2 4 4 2" xfId="8850"/>
    <cellStyle name="Normal 9 2 4 5" xfId="6040"/>
    <cellStyle name="Normal 9 2 5" xfId="756"/>
    <cellStyle name="Normal 9 2 5 2" xfId="2157"/>
    <cellStyle name="Normal 9 2 5 2 2" xfId="4967"/>
    <cellStyle name="Normal 9 2 5 2 2 2" xfId="10603"/>
    <cellStyle name="Normal 9 2 5 2 3" xfId="7793"/>
    <cellStyle name="Normal 9 2 5 3" xfId="3566"/>
    <cellStyle name="Normal 9 2 5 3 2" xfId="9202"/>
    <cellStyle name="Normal 9 2 5 4" xfId="6392"/>
    <cellStyle name="Normal 9 2 6" xfId="1461"/>
    <cellStyle name="Normal 9 2 6 2" xfId="4271"/>
    <cellStyle name="Normal 9 2 6 2 2" xfId="9907"/>
    <cellStyle name="Normal 9 2 6 3" xfId="7097"/>
    <cellStyle name="Normal 9 2 7" xfId="2870"/>
    <cellStyle name="Normal 9 2 7 2" xfId="8506"/>
    <cellStyle name="Normal 9 2 8" xfId="5696"/>
    <cellStyle name="Normal 9 3" xfId="108"/>
    <cellStyle name="Normal 9 3 2" xfId="280"/>
    <cellStyle name="Normal 9 3 2 2" xfId="624"/>
    <cellStyle name="Normal 9 3 2 2 2" xfId="1320"/>
    <cellStyle name="Normal 9 3 2 2 2 2" xfId="2721"/>
    <cellStyle name="Normal 9 3 2 2 2 2 2" xfId="5531"/>
    <cellStyle name="Normal 9 3 2 2 2 2 2 2" xfId="11167"/>
    <cellStyle name="Normal 9 3 2 2 2 2 3" xfId="8357"/>
    <cellStyle name="Normal 9 3 2 2 2 3" xfId="4130"/>
    <cellStyle name="Normal 9 3 2 2 2 3 2" xfId="9766"/>
    <cellStyle name="Normal 9 3 2 2 2 4" xfId="6956"/>
    <cellStyle name="Normal 9 3 2 2 3" xfId="2025"/>
    <cellStyle name="Normal 9 3 2 2 3 2" xfId="4835"/>
    <cellStyle name="Normal 9 3 2 2 3 2 2" xfId="10471"/>
    <cellStyle name="Normal 9 3 2 2 3 3" xfId="7661"/>
    <cellStyle name="Normal 9 3 2 2 4" xfId="3434"/>
    <cellStyle name="Normal 9 3 2 2 4 2" xfId="9070"/>
    <cellStyle name="Normal 9 3 2 2 5" xfId="6260"/>
    <cellStyle name="Normal 9 3 2 3" xfId="976"/>
    <cellStyle name="Normal 9 3 2 3 2" xfId="2377"/>
    <cellStyle name="Normal 9 3 2 3 2 2" xfId="5187"/>
    <cellStyle name="Normal 9 3 2 3 2 2 2" xfId="10823"/>
    <cellStyle name="Normal 9 3 2 3 2 3" xfId="8013"/>
    <cellStyle name="Normal 9 3 2 3 3" xfId="3786"/>
    <cellStyle name="Normal 9 3 2 3 3 2" xfId="9422"/>
    <cellStyle name="Normal 9 3 2 3 4" xfId="6612"/>
    <cellStyle name="Normal 9 3 2 4" xfId="1681"/>
    <cellStyle name="Normal 9 3 2 4 2" xfId="4491"/>
    <cellStyle name="Normal 9 3 2 4 2 2" xfId="10127"/>
    <cellStyle name="Normal 9 3 2 4 3" xfId="7317"/>
    <cellStyle name="Normal 9 3 2 5" xfId="3090"/>
    <cellStyle name="Normal 9 3 2 5 2" xfId="8726"/>
    <cellStyle name="Normal 9 3 2 6" xfId="5916"/>
    <cellStyle name="Normal 9 3 3" xfId="452"/>
    <cellStyle name="Normal 9 3 3 2" xfId="1148"/>
    <cellStyle name="Normal 9 3 3 2 2" xfId="2549"/>
    <cellStyle name="Normal 9 3 3 2 2 2" xfId="5359"/>
    <cellStyle name="Normal 9 3 3 2 2 2 2" xfId="10995"/>
    <cellStyle name="Normal 9 3 3 2 2 3" xfId="8185"/>
    <cellStyle name="Normal 9 3 3 2 3" xfId="3958"/>
    <cellStyle name="Normal 9 3 3 2 3 2" xfId="9594"/>
    <cellStyle name="Normal 9 3 3 2 4" xfId="6784"/>
    <cellStyle name="Normal 9 3 3 3" xfId="1853"/>
    <cellStyle name="Normal 9 3 3 3 2" xfId="4663"/>
    <cellStyle name="Normal 9 3 3 3 2 2" xfId="10299"/>
    <cellStyle name="Normal 9 3 3 3 3" xfId="7489"/>
    <cellStyle name="Normal 9 3 3 4" xfId="3262"/>
    <cellStyle name="Normal 9 3 3 4 2" xfId="8898"/>
    <cellStyle name="Normal 9 3 3 5" xfId="6088"/>
    <cellStyle name="Normal 9 3 4" xfId="804"/>
    <cellStyle name="Normal 9 3 4 2" xfId="2205"/>
    <cellStyle name="Normal 9 3 4 2 2" xfId="5015"/>
    <cellStyle name="Normal 9 3 4 2 2 2" xfId="10651"/>
    <cellStyle name="Normal 9 3 4 2 3" xfId="7841"/>
    <cellStyle name="Normal 9 3 4 3" xfId="3614"/>
    <cellStyle name="Normal 9 3 4 3 2" xfId="9250"/>
    <cellStyle name="Normal 9 3 4 4" xfId="6440"/>
    <cellStyle name="Normal 9 3 5" xfId="1509"/>
    <cellStyle name="Normal 9 3 5 2" xfId="4319"/>
    <cellStyle name="Normal 9 3 5 2 2" xfId="9955"/>
    <cellStyle name="Normal 9 3 5 3" xfId="7145"/>
    <cellStyle name="Normal 9 3 6" xfId="2918"/>
    <cellStyle name="Normal 9 3 6 2" xfId="8554"/>
    <cellStyle name="Normal 9 3 7" xfId="5744"/>
    <cellStyle name="Normal 9 4" xfId="200"/>
    <cellStyle name="Normal 9 4 2" xfId="544"/>
    <cellStyle name="Normal 9 4 2 2" xfId="1240"/>
    <cellStyle name="Normal 9 4 2 2 2" xfId="2641"/>
    <cellStyle name="Normal 9 4 2 2 2 2" xfId="5451"/>
    <cellStyle name="Normal 9 4 2 2 2 2 2" xfId="11087"/>
    <cellStyle name="Normal 9 4 2 2 2 3" xfId="8277"/>
    <cellStyle name="Normal 9 4 2 2 3" xfId="4050"/>
    <cellStyle name="Normal 9 4 2 2 3 2" xfId="9686"/>
    <cellStyle name="Normal 9 4 2 2 4" xfId="6876"/>
    <cellStyle name="Normal 9 4 2 3" xfId="1945"/>
    <cellStyle name="Normal 9 4 2 3 2" xfId="4755"/>
    <cellStyle name="Normal 9 4 2 3 2 2" xfId="10391"/>
    <cellStyle name="Normal 9 4 2 3 3" xfId="7581"/>
    <cellStyle name="Normal 9 4 2 4" xfId="3354"/>
    <cellStyle name="Normal 9 4 2 4 2" xfId="8990"/>
    <cellStyle name="Normal 9 4 2 5" xfId="6180"/>
    <cellStyle name="Normal 9 4 3" xfId="896"/>
    <cellStyle name="Normal 9 4 3 2" xfId="2297"/>
    <cellStyle name="Normal 9 4 3 2 2" xfId="5107"/>
    <cellStyle name="Normal 9 4 3 2 2 2" xfId="10743"/>
    <cellStyle name="Normal 9 4 3 2 3" xfId="7933"/>
    <cellStyle name="Normal 9 4 3 3" xfId="3706"/>
    <cellStyle name="Normal 9 4 3 3 2" xfId="9342"/>
    <cellStyle name="Normal 9 4 3 4" xfId="6532"/>
    <cellStyle name="Normal 9 4 4" xfId="1601"/>
    <cellStyle name="Normal 9 4 4 2" xfId="4411"/>
    <cellStyle name="Normal 9 4 4 2 2" xfId="10047"/>
    <cellStyle name="Normal 9 4 4 3" xfId="7237"/>
    <cellStyle name="Normal 9 4 5" xfId="3010"/>
    <cellStyle name="Normal 9 4 5 2" xfId="8646"/>
    <cellStyle name="Normal 9 4 6" xfId="5836"/>
    <cellStyle name="Normal 9 5" xfId="372"/>
    <cellStyle name="Normal 9 5 2" xfId="1068"/>
    <cellStyle name="Normal 9 5 2 2" xfId="2469"/>
    <cellStyle name="Normal 9 5 2 2 2" xfId="5279"/>
    <cellStyle name="Normal 9 5 2 2 2 2" xfId="10915"/>
    <cellStyle name="Normal 9 5 2 2 3" xfId="8105"/>
    <cellStyle name="Normal 9 5 2 3" xfId="3878"/>
    <cellStyle name="Normal 9 5 2 3 2" xfId="9514"/>
    <cellStyle name="Normal 9 5 2 4" xfId="6704"/>
    <cellStyle name="Normal 9 5 3" xfId="1773"/>
    <cellStyle name="Normal 9 5 3 2" xfId="4583"/>
    <cellStyle name="Normal 9 5 3 2 2" xfId="10219"/>
    <cellStyle name="Normal 9 5 3 3" xfId="7409"/>
    <cellStyle name="Normal 9 5 4" xfId="3182"/>
    <cellStyle name="Normal 9 5 4 2" xfId="8818"/>
    <cellStyle name="Normal 9 5 5" xfId="6008"/>
    <cellStyle name="Normal 9 6" xfId="724"/>
    <cellStyle name="Normal 9 6 2" xfId="2125"/>
    <cellStyle name="Normal 9 6 2 2" xfId="4935"/>
    <cellStyle name="Normal 9 6 2 2 2" xfId="10571"/>
    <cellStyle name="Normal 9 6 2 3" xfId="7761"/>
    <cellStyle name="Normal 9 6 3" xfId="3534"/>
    <cellStyle name="Normal 9 6 3 2" xfId="9170"/>
    <cellStyle name="Normal 9 6 4" xfId="6360"/>
    <cellStyle name="Normal 9 7" xfId="1429"/>
    <cellStyle name="Normal 9 7 2" xfId="4239"/>
    <cellStyle name="Normal 9 7 2 2" xfId="9875"/>
    <cellStyle name="Normal 9 7 3" xfId="7065"/>
    <cellStyle name="Normal 9 8" xfId="2838"/>
    <cellStyle name="Normal 9 8 2" xfId="8474"/>
    <cellStyle name="Normal 9 9" xfId="5664"/>
    <cellStyle name="Normal 90" xfId="11313"/>
    <cellStyle name="Normal 91" xfId="11314"/>
    <cellStyle name="Normal 92" xfId="11315"/>
    <cellStyle name="Normal 93" xfId="11316"/>
    <cellStyle name="Normal 94" xfId="11317"/>
    <cellStyle name="Normal 95" xfId="11318"/>
    <cellStyle name="Normal 96" xfId="11319"/>
    <cellStyle name="Normal 97" xfId="11320"/>
    <cellStyle name="Normal 98" xfId="11321"/>
    <cellStyle name="Normal 99" xfId="11322"/>
    <cellStyle name="Percent 2" xfId="174"/>
    <cellStyle name="Percent 2 2" xfId="518"/>
    <cellStyle name="Percent 2 2 2" xfId="1214"/>
    <cellStyle name="Percent 2 2 2 2" xfId="2615"/>
    <cellStyle name="Percent 2 2 2 2 2" xfId="5425"/>
    <cellStyle name="Percent 2 2 2 2 2 2" xfId="11061"/>
    <cellStyle name="Percent 2 2 2 2 3" xfId="8251"/>
    <cellStyle name="Percent 2 2 2 3" xfId="4024"/>
    <cellStyle name="Percent 2 2 2 3 2" xfId="9660"/>
    <cellStyle name="Percent 2 2 2 4" xfId="6850"/>
    <cellStyle name="Percent 2 2 3" xfId="1919"/>
    <cellStyle name="Percent 2 2 3 2" xfId="4729"/>
    <cellStyle name="Percent 2 2 3 2 2" xfId="10365"/>
    <cellStyle name="Percent 2 2 3 3" xfId="7555"/>
    <cellStyle name="Percent 2 2 4" xfId="3328"/>
    <cellStyle name="Percent 2 2 4 2" xfId="8964"/>
    <cellStyle name="Percent 2 2 5" xfId="6154"/>
    <cellStyle name="Percent 2 3" xfId="870"/>
    <cellStyle name="Percent 2 3 2" xfId="2271"/>
    <cellStyle name="Percent 2 3 2 2" xfId="5081"/>
    <cellStyle name="Percent 2 3 2 2 2" xfId="10717"/>
    <cellStyle name="Percent 2 3 2 3" xfId="7907"/>
    <cellStyle name="Percent 2 3 3" xfId="3680"/>
    <cellStyle name="Percent 2 3 3 2" xfId="9316"/>
    <cellStyle name="Percent 2 3 4" xfId="6506"/>
    <cellStyle name="Percent 2 4" xfId="1575"/>
    <cellStyle name="Percent 2 4 2" xfId="4385"/>
    <cellStyle name="Percent 2 4 2 2" xfId="10021"/>
    <cellStyle name="Percent 2 4 3" xfId="7211"/>
    <cellStyle name="Percent 2 5" xfId="2984"/>
    <cellStyle name="Percent 2 5 2" xfId="8620"/>
    <cellStyle name="Percent 2 6" xfId="5810"/>
    <cellStyle name="Percent 3" xfId="346"/>
    <cellStyle name="Percent 3 2" xfId="1042"/>
    <cellStyle name="Percent 3 2 2" xfId="2443"/>
    <cellStyle name="Percent 3 2 2 2" xfId="5253"/>
    <cellStyle name="Percent 3 2 2 2 2" xfId="10889"/>
    <cellStyle name="Percent 3 2 2 3" xfId="8079"/>
    <cellStyle name="Percent 3 2 3" xfId="3852"/>
    <cellStyle name="Percent 3 2 3 2" xfId="9488"/>
    <cellStyle name="Percent 3 2 4" xfId="6678"/>
    <cellStyle name="Percent 3 3" xfId="1747"/>
    <cellStyle name="Percent 3 3 2" xfId="4557"/>
    <cellStyle name="Percent 3 3 2 2" xfId="10193"/>
    <cellStyle name="Percent 3 3 3" xfId="7383"/>
    <cellStyle name="Percent 3 4" xfId="3156"/>
    <cellStyle name="Percent 3 4 2" xfId="8792"/>
    <cellStyle name="Percent 3 5" xfId="5982"/>
    <cellStyle name="Percent 4" xfId="698"/>
    <cellStyle name="Percent 4 2" xfId="2099"/>
    <cellStyle name="Percent 4 2 2" xfId="4909"/>
    <cellStyle name="Percent 4 2 2 2" xfId="10545"/>
    <cellStyle name="Percent 4 2 3" xfId="7735"/>
    <cellStyle name="Percent 4 3" xfId="3508"/>
    <cellStyle name="Percent 4 3 2" xfId="9144"/>
    <cellStyle name="Percent 4 4" xfId="6334"/>
    <cellStyle name="Percent 5" xfId="1393"/>
    <cellStyle name="Percent 5 2" xfId="2794"/>
    <cellStyle name="Percent 5 2 2" xfId="5604"/>
    <cellStyle name="Percent 5 2 2 2" xfId="11240"/>
    <cellStyle name="Percent 5 2 3" xfId="8430"/>
    <cellStyle name="Percent 5 3" xfId="4203"/>
    <cellStyle name="Percent 5 3 2" xfId="9839"/>
    <cellStyle name="Percent 5 4" xfId="7029"/>
    <cellStyle name="Percent 6" xfId="1403"/>
    <cellStyle name="Percent 6 2" xfId="4213"/>
    <cellStyle name="Percent 6 2 2" xfId="9849"/>
    <cellStyle name="Percent 6 3" xfId="7039"/>
    <cellStyle name="Percent 7" xfId="2803"/>
    <cellStyle name="Percent 7 2" xfId="5613"/>
    <cellStyle name="Percent 7 2 2" xfId="11249"/>
    <cellStyle name="Percent 7 3" xfId="8439"/>
    <cellStyle name="Percent 8" xfId="5638"/>
    <cellStyle name="Pourcentage" xfId="2" builtinId="5"/>
    <cellStyle name="Pourcentage 2" xfId="5628"/>
    <cellStyle name="Pourcentage 2 2" xfId="11264"/>
  </cellStyles>
  <dxfs count="113">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2.xml"/><Relationship Id="rId18" Type="http://schemas.openxmlformats.org/officeDocument/2006/relationships/worksheet" Target="worksheets/sheet17.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0.xml"/><Relationship Id="rId7" Type="http://schemas.openxmlformats.org/officeDocument/2006/relationships/worksheet" Target="worksheets/sheet7.xml"/><Relationship Id="rId12" Type="http://schemas.openxmlformats.org/officeDocument/2006/relationships/worksheet" Target="worksheets/sheet11.xml"/><Relationship Id="rId17" Type="http://schemas.openxmlformats.org/officeDocument/2006/relationships/worksheet" Target="worksheets/sheet16.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5.xml"/><Relationship Id="rId20" Type="http://schemas.openxmlformats.org/officeDocument/2006/relationships/worksheet" Target="worksheets/sheet1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0.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4.xml"/><Relationship Id="rId23" Type="http://schemas.openxmlformats.org/officeDocument/2006/relationships/styles" Target="styles.xml"/><Relationship Id="rId10" Type="http://schemas.openxmlformats.org/officeDocument/2006/relationships/worksheet" Target="worksheets/sheet9.xml"/><Relationship Id="rId19" Type="http://schemas.openxmlformats.org/officeDocument/2006/relationships/worksheet" Target="worksheets/sheet18.xml"/><Relationship Id="rId4" Type="http://schemas.openxmlformats.org/officeDocument/2006/relationships/worksheet" Target="worksheets/sheet4.xml"/><Relationship Id="rId9" Type="http://schemas.openxmlformats.org/officeDocument/2006/relationships/chartsheet" Target="chartsheets/sheet1.xml"/><Relationship Id="rId14" Type="http://schemas.openxmlformats.org/officeDocument/2006/relationships/worksheet" Target="worksheets/sheet13.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0"/>
        <c:ser>
          <c:idx val="0"/>
          <c:order val="0"/>
          <c:tx>
            <c:strRef>
              <c:f>Print_Mois!$AD$498:$AE$498</c:f>
              <c:strCache>
                <c:ptCount val="2"/>
                <c:pt idx="0">
                  <c:v>%vte</c:v>
                </c:pt>
                <c:pt idx="1">
                  <c:v>-0,5%</c:v>
                </c:pt>
              </c:strCache>
            </c:strRef>
          </c:tx>
          <c:spPr>
            <a:solidFill>
              <a:schemeClr val="accent1"/>
            </a:solidFill>
            <a:ln>
              <a:noFill/>
            </a:ln>
            <a:effectLst/>
          </c:spPr>
          <c:invertIfNegative val="0"/>
          <c:cat>
            <c:multiLvlStrRef>
              <c:f>Print_Mois!$AF$491:$AL$497</c:f>
              <c:multiLvlStrCache>
                <c:ptCount val="7"/>
                <c:lvl>
                  <c:pt idx="0">
                    <c:v>0   </c:v>
                  </c:pt>
                  <c:pt idx="2">
                    <c:v>0   </c:v>
                  </c:pt>
                  <c:pt idx="3">
                    <c:v>0,0%</c:v>
                  </c:pt>
                  <c:pt idx="6">
                    <c:v>83 259   </c:v>
                  </c:pt>
                </c:lvl>
                <c:lvl>
                  <c:pt idx="0">
                    <c:v>(1 079  )</c:v>
                  </c:pt>
                  <c:pt idx="2">
                    <c:v>0   </c:v>
                  </c:pt>
                  <c:pt idx="3">
                    <c:v>0,0%</c:v>
                  </c:pt>
                  <c:pt idx="6">
                    <c:v>(6 685  )</c:v>
                  </c:pt>
                </c:lvl>
                <c:lvl>
                  <c:pt idx="0">
                    <c:v>0   </c:v>
                  </c:pt>
                  <c:pt idx="2">
                    <c:v>0   </c:v>
                  </c:pt>
                  <c:pt idx="3">
                    <c:v>0,0%</c:v>
                  </c:pt>
                  <c:pt idx="6">
                    <c:v>83 259   </c:v>
                  </c:pt>
                </c:lvl>
                <c:lvl>
                  <c:pt idx="0">
                    <c:v>0   </c:v>
                  </c:pt>
                  <c:pt idx="2">
                    <c:v>0   </c:v>
                  </c:pt>
                  <c:pt idx="3">
                    <c:v>0,0%</c:v>
                  </c:pt>
                  <c:pt idx="6">
                    <c:v>0   </c:v>
                  </c:pt>
                </c:lvl>
                <c:lvl>
                  <c:pt idx="0">
                    <c:v>0   </c:v>
                  </c:pt>
                  <c:pt idx="2">
                    <c:v>0   </c:v>
                  </c:pt>
                  <c:pt idx="3">
                    <c:v>0,0%</c:v>
                  </c:pt>
                  <c:pt idx="6">
                    <c:v>0   </c:v>
                  </c:pt>
                </c:lvl>
                <c:lvl>
                  <c:pt idx="0">
                    <c:v>0   </c:v>
                  </c:pt>
                  <c:pt idx="2">
                    <c:v>0   </c:v>
                  </c:pt>
                  <c:pt idx="3">
                    <c:v>0,0%</c:v>
                  </c:pt>
                  <c:pt idx="6">
                    <c:v>0   </c:v>
                  </c:pt>
                </c:lvl>
                <c:lvl>
                  <c:pt idx="0">
                    <c:v>42 648   </c:v>
                  </c:pt>
                  <c:pt idx="2">
                    <c:v>0   </c:v>
                  </c:pt>
                  <c:pt idx="3">
                    <c:v>0,0%</c:v>
                  </c:pt>
                  <c:pt idx="6">
                    <c:v>6 315   </c:v>
                  </c:pt>
                </c:lvl>
              </c:multiLvlStrCache>
            </c:multiLvlStrRef>
          </c:cat>
          <c:val>
            <c:numRef>
              <c:f>Print_Mois!$AF$498:$AL$498</c:f>
              <c:numCache>
                <c:formatCode>#,##0_);\(#,##0\)</c:formatCode>
                <c:ptCount val="7"/>
                <c:pt idx="0">
                  <c:v>-17797.01999999999</c:v>
                </c:pt>
                <c:pt idx="2">
                  <c:v>7260.0142526983145</c:v>
                </c:pt>
                <c:pt idx="3" formatCode="0.0%">
                  <c:v>-0.2897395669208741</c:v>
                </c:pt>
                <c:pt idx="4" formatCode="General">
                  <c:v>0</c:v>
                </c:pt>
                <c:pt idx="5" formatCode="0.0%">
                  <c:v>4.2982719586197498E-3</c:v>
                </c:pt>
                <c:pt idx="6">
                  <c:v>25226.749999999538</c:v>
                </c:pt>
              </c:numCache>
            </c:numRef>
          </c:val>
          <c:extLst xmlns:c16r2="http://schemas.microsoft.com/office/drawing/2015/06/chart">
            <c:ext xmlns:c16="http://schemas.microsoft.com/office/drawing/2014/chart" uri="{C3380CC4-5D6E-409C-BE32-E72D297353CC}">
              <c16:uniqueId val="{00000000-F63D-44F6-A269-1C19C381ED2E}"/>
            </c:ext>
          </c:extLst>
        </c:ser>
        <c:dLbls>
          <c:showLegendKey val="0"/>
          <c:showVal val="0"/>
          <c:showCatName val="0"/>
          <c:showSerName val="0"/>
          <c:showPercent val="0"/>
          <c:showBubbleSize val="0"/>
        </c:dLbls>
        <c:gapWidth val="219"/>
        <c:overlap val="-27"/>
        <c:axId val="383339936"/>
        <c:axId val="383341896"/>
      </c:barChart>
      <c:catAx>
        <c:axId val="383339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83341896"/>
        <c:crosses val="autoZero"/>
        <c:auto val="1"/>
        <c:lblAlgn val="ctr"/>
        <c:lblOffset val="100"/>
        <c:noMultiLvlLbl val="0"/>
      </c:catAx>
      <c:valAx>
        <c:axId val="383341896"/>
        <c:scaling>
          <c:orientation val="minMax"/>
        </c:scaling>
        <c:delete val="0"/>
        <c:axPos val="l"/>
        <c:majorGridlines>
          <c:spPr>
            <a:ln w="9525" cap="flat" cmpd="sng" algn="ctr">
              <a:solidFill>
                <a:schemeClr val="tx1">
                  <a:lumMod val="15000"/>
                  <a:lumOff val="85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83339936"/>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sheetPr/>
  <sheetViews>
    <sheetView zoomScale="113"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absoluteAnchor>
    <xdr:pos x="0" y="0"/>
    <xdr:ext cx="8665221" cy="6288186"/>
    <xdr:graphicFrame macro="">
      <xdr:nvGraphicFramePr>
        <xdr:cNvPr id="2" name="Chart 1">
          <a:extLst>
            <a:ext uri="{FF2B5EF4-FFF2-40B4-BE49-F238E27FC236}">
              <a16:creationId xmlns:a16="http://schemas.microsoft.com/office/drawing/2014/main" xmlns="" id="{D075E0BE-CD7E-7BBA-78DF-0F497CAD9097}"/>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8" Type="http://schemas.openxmlformats.org/officeDocument/2006/relationships/printerSettings" Target="../printerSettings/printerSettings17.bin"/><Relationship Id="rId3" Type="http://schemas.openxmlformats.org/officeDocument/2006/relationships/hyperlink" Target="about:blank" TargetMode="External"/><Relationship Id="rId7" Type="http://schemas.openxmlformats.org/officeDocument/2006/relationships/hyperlink" Target="mailto:4141@" TargetMode="External"/><Relationship Id="rId2" Type="http://schemas.openxmlformats.org/officeDocument/2006/relationships/hyperlink" Target="about:blank" TargetMode="External"/><Relationship Id="rId1" Type="http://schemas.openxmlformats.org/officeDocument/2006/relationships/hyperlink" Target="about:blank" TargetMode="External"/><Relationship Id="rId6" Type="http://schemas.openxmlformats.org/officeDocument/2006/relationships/hyperlink" Target="mailto:4505@" TargetMode="External"/><Relationship Id="rId5" Type="http://schemas.openxmlformats.org/officeDocument/2006/relationships/hyperlink" Target="about:blank" TargetMode="External"/><Relationship Id="rId4" Type="http://schemas.openxmlformats.org/officeDocument/2006/relationships/hyperlink" Target="about:blank" TargetMode="External"/></Relationships>
</file>

<file path=xl/worksheets/_rels/sheet1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0"/>
  <sheetViews>
    <sheetView workbookViewId="0">
      <selection activeCell="D17" sqref="D17"/>
    </sheetView>
  </sheetViews>
  <sheetFormatPr baseColWidth="10" defaultColWidth="12.58203125" defaultRowHeight="15" customHeight="1"/>
  <cols>
    <col min="1" max="1" width="13" customWidth="1"/>
    <col min="2" max="2" width="23.6640625" customWidth="1"/>
    <col min="3" max="9" width="9.4140625" customWidth="1"/>
  </cols>
  <sheetData>
    <row r="1" spans="1:14" ht="14.5">
      <c r="A1" s="1" t="s">
        <v>0</v>
      </c>
      <c r="B1" s="2" t="s">
        <v>1</v>
      </c>
    </row>
    <row r="2" spans="1:14" ht="14.5">
      <c r="A2" s="1"/>
      <c r="G2" s="3" t="s">
        <v>2</v>
      </c>
      <c r="M2" s="4" t="s">
        <v>3</v>
      </c>
      <c r="N2" s="4" t="s">
        <v>4</v>
      </c>
    </row>
    <row r="3" spans="1:14" ht="14.5">
      <c r="A3" s="1" t="s">
        <v>5</v>
      </c>
      <c r="B3" s="2" t="s">
        <v>10</v>
      </c>
      <c r="C3" s="4">
        <f>+VLOOKUP(B3,$K$3:$L$14,2,0)</f>
        <v>2</v>
      </c>
      <c r="G3" s="3" t="s">
        <v>7</v>
      </c>
      <c r="K3" s="5" t="s">
        <v>8</v>
      </c>
      <c r="L3" s="4">
        <v>1</v>
      </c>
      <c r="M3" s="4" t="str">
        <f t="shared" ref="M3:M14" si="0">+IF($K3=$B$3,"X","")</f>
        <v/>
      </c>
      <c r="N3" s="4" t="str">
        <f t="shared" ref="N3:N14" si="1">+IF(K3=B3,"X",IF(L3&lt;=$C$3,"X",""))</f>
        <v>X</v>
      </c>
    </row>
    <row r="4" spans="1:14" ht="14.5">
      <c r="A4" s="1" t="s">
        <v>9</v>
      </c>
      <c r="B4" s="2">
        <v>2025</v>
      </c>
      <c r="K4" s="5" t="s">
        <v>10</v>
      </c>
      <c r="L4" s="4">
        <v>2</v>
      </c>
      <c r="M4" s="4" t="str">
        <f t="shared" si="0"/>
        <v>X</v>
      </c>
      <c r="N4" s="4" t="str">
        <f t="shared" si="1"/>
        <v>X</v>
      </c>
    </row>
    <row r="5" spans="1:14" ht="15" customHeight="1">
      <c r="K5" s="5" t="s">
        <v>11</v>
      </c>
      <c r="L5" s="4">
        <v>3</v>
      </c>
      <c r="M5" s="4" t="str">
        <f t="shared" si="0"/>
        <v/>
      </c>
      <c r="N5" s="4" t="str">
        <f t="shared" si="1"/>
        <v/>
      </c>
    </row>
    <row r="6" spans="1:14" ht="14.5">
      <c r="A6" s="1"/>
      <c r="B6" s="6"/>
      <c r="K6" s="5" t="s">
        <v>12</v>
      </c>
      <c r="L6" s="4">
        <v>4</v>
      </c>
      <c r="M6" s="4" t="str">
        <f t="shared" si="0"/>
        <v/>
      </c>
      <c r="N6" s="4" t="str">
        <f t="shared" si="1"/>
        <v/>
      </c>
    </row>
    <row r="7" spans="1:14" ht="14.5">
      <c r="A7" s="3"/>
      <c r="B7" s="7"/>
      <c r="K7" s="5" t="s">
        <v>13</v>
      </c>
      <c r="L7" s="4">
        <v>5</v>
      </c>
      <c r="M7" s="4" t="str">
        <f t="shared" si="0"/>
        <v/>
      </c>
      <c r="N7" s="4" t="str">
        <f t="shared" si="1"/>
        <v/>
      </c>
    </row>
    <row r="8" spans="1:14" ht="14.5">
      <c r="A8" s="3"/>
      <c r="B8" s="7"/>
      <c r="K8" s="5" t="s">
        <v>14</v>
      </c>
      <c r="L8" s="4">
        <v>6</v>
      </c>
      <c r="M8" s="4" t="str">
        <f t="shared" si="0"/>
        <v/>
      </c>
      <c r="N8" s="4" t="str">
        <f t="shared" si="1"/>
        <v/>
      </c>
    </row>
    <row r="9" spans="1:14" ht="15" customHeight="1">
      <c r="A9" s="5" t="s">
        <v>15</v>
      </c>
      <c r="K9" s="5" t="s">
        <v>16</v>
      </c>
      <c r="L9" s="4">
        <v>7</v>
      </c>
      <c r="M9" s="4" t="str">
        <f t="shared" si="0"/>
        <v/>
      </c>
      <c r="N9" s="4" t="str">
        <f t="shared" si="1"/>
        <v/>
      </c>
    </row>
    <row r="10" spans="1:14" ht="14.5">
      <c r="A10" s="3" t="s">
        <v>17</v>
      </c>
      <c r="I10" s="3"/>
      <c r="K10" s="5" t="s">
        <v>18</v>
      </c>
      <c r="L10" s="4">
        <v>8</v>
      </c>
      <c r="M10" s="4" t="str">
        <f t="shared" si="0"/>
        <v/>
      </c>
      <c r="N10" s="4" t="str">
        <f t="shared" si="1"/>
        <v/>
      </c>
    </row>
    <row r="11" spans="1:14" ht="14.5">
      <c r="A11" s="3" t="s">
        <v>19</v>
      </c>
      <c r="I11" s="3"/>
      <c r="K11" s="5" t="s">
        <v>20</v>
      </c>
      <c r="L11" s="4">
        <v>9</v>
      </c>
      <c r="M11" s="4" t="str">
        <f t="shared" si="0"/>
        <v/>
      </c>
      <c r="N11" s="4" t="str">
        <f t="shared" si="1"/>
        <v/>
      </c>
    </row>
    <row r="12" spans="1:14" ht="14.5">
      <c r="A12" s="3" t="s">
        <v>21</v>
      </c>
      <c r="I12" s="3"/>
      <c r="K12" s="5" t="s">
        <v>22</v>
      </c>
      <c r="L12" s="4">
        <v>10</v>
      </c>
      <c r="M12" s="4" t="str">
        <f t="shared" si="0"/>
        <v/>
      </c>
      <c r="N12" s="4" t="str">
        <f t="shared" si="1"/>
        <v/>
      </c>
    </row>
    <row r="13" spans="1:14" ht="14.5">
      <c r="A13" s="3"/>
      <c r="I13" s="3"/>
      <c r="K13" s="5" t="s">
        <v>23</v>
      </c>
      <c r="L13" s="4">
        <v>11</v>
      </c>
      <c r="M13" s="4" t="str">
        <f t="shared" si="0"/>
        <v/>
      </c>
      <c r="N13" s="4" t="str">
        <f t="shared" si="1"/>
        <v/>
      </c>
    </row>
    <row r="14" spans="1:14" ht="14.5">
      <c r="A14" s="3"/>
      <c r="I14" s="3"/>
      <c r="K14" s="5" t="s">
        <v>6</v>
      </c>
      <c r="L14" s="4">
        <v>12</v>
      </c>
      <c r="M14" s="4" t="str">
        <f t="shared" si="0"/>
        <v/>
      </c>
      <c r="N14" s="4" t="str">
        <f t="shared" si="1"/>
        <v/>
      </c>
    </row>
    <row r="15" spans="1:14" ht="14.5">
      <c r="A15" s="3"/>
      <c r="I15" s="3"/>
    </row>
    <row r="16" spans="1:14" ht="14.5">
      <c r="I16" s="3"/>
    </row>
    <row r="17" spans="1:9" ht="14.5">
      <c r="I17" s="3"/>
    </row>
    <row r="18" spans="1:9" ht="14.5">
      <c r="I18" s="3"/>
    </row>
    <row r="19" spans="1:9" ht="14.5">
      <c r="I19" s="3"/>
    </row>
    <row r="20" spans="1:9" ht="14.5">
      <c r="I20" s="3"/>
    </row>
    <row r="21" spans="1:9" ht="15.75" customHeight="1">
      <c r="I21" s="3"/>
    </row>
    <row r="22" spans="1:9" ht="15.75" customHeight="1"/>
    <row r="23" spans="1:9" ht="15.75" customHeight="1"/>
    <row r="24" spans="1:9" ht="15.75" customHeight="1"/>
    <row r="25" spans="1:9" ht="15.75" customHeight="1"/>
    <row r="26" spans="1:9" ht="15.75" customHeight="1"/>
    <row r="27" spans="1:9" ht="15.75" customHeight="1"/>
    <row r="28" spans="1:9" ht="15.75" customHeight="1">
      <c r="A28" s="3"/>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ErrorMessage="1" sqref="B3 K3:K14">
      <formula1>$K$3:$K$14</formula1>
    </dataValidation>
  </dataValidations>
  <pageMargins left="0.7" right="0.7" top="0.75" bottom="0.75" header="0" footer="0"/>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000"/>
  <sheetViews>
    <sheetView topLeftCell="A37" workbookViewId="0">
      <selection activeCell="B65" sqref="B65"/>
    </sheetView>
  </sheetViews>
  <sheetFormatPr baseColWidth="10" defaultColWidth="12.58203125" defaultRowHeight="15" customHeight="1"/>
  <cols>
    <col min="1" max="1" width="59.58203125" customWidth="1"/>
    <col min="2" max="3" width="14.6640625" customWidth="1"/>
    <col min="4" max="4" width="67" customWidth="1"/>
    <col min="5" max="5" width="14.9140625" customWidth="1"/>
    <col min="6" max="6" width="10" customWidth="1"/>
    <col min="7" max="7" width="39.08203125" customWidth="1"/>
    <col min="8" max="25" width="10" customWidth="1"/>
  </cols>
  <sheetData>
    <row r="1" spans="1:25" ht="20">
      <c r="A1" s="8" t="s">
        <v>24</v>
      </c>
      <c r="B1" s="3"/>
      <c r="C1" s="3"/>
      <c r="D1" s="3"/>
      <c r="E1" s="3"/>
      <c r="F1" s="3"/>
      <c r="G1" s="3"/>
      <c r="H1" s="3"/>
      <c r="I1" s="3"/>
      <c r="J1" s="3"/>
      <c r="K1" s="3"/>
      <c r="L1" s="3"/>
      <c r="M1" s="3"/>
      <c r="N1" s="3"/>
      <c r="O1" s="3"/>
      <c r="P1" s="3"/>
      <c r="Q1" s="3"/>
      <c r="R1" s="3"/>
      <c r="S1" s="3"/>
      <c r="T1" s="3"/>
      <c r="U1" s="3"/>
      <c r="V1" s="3"/>
      <c r="W1" s="3"/>
      <c r="X1" s="3"/>
      <c r="Y1" s="3"/>
    </row>
    <row r="2" spans="1:25" ht="35">
      <c r="A2" s="8" t="str">
        <f>+Parametres!B1</f>
        <v>Volks</v>
      </c>
      <c r="B2" s="3"/>
      <c r="C2" s="3"/>
      <c r="D2" s="9"/>
      <c r="E2" s="3"/>
      <c r="F2" s="3"/>
      <c r="G2" s="3"/>
      <c r="H2" s="3"/>
      <c r="I2" s="3"/>
      <c r="J2" s="10"/>
      <c r="K2" s="3"/>
      <c r="L2" s="3"/>
      <c r="M2" s="3"/>
      <c r="N2" s="3"/>
      <c r="O2" s="3"/>
      <c r="P2" s="3"/>
      <c r="Q2" s="3"/>
      <c r="R2" s="3"/>
      <c r="S2" s="3"/>
      <c r="T2" s="3"/>
      <c r="U2" s="3"/>
      <c r="V2" s="3"/>
      <c r="W2" s="3"/>
      <c r="X2" s="3"/>
      <c r="Y2" s="3"/>
    </row>
    <row r="3" spans="1:25" ht="20">
      <c r="A3" s="11" t="str">
        <f>CONCATENATE("",,Parametres!B3," ",Parametres!B4)</f>
        <v>Février 2025</v>
      </c>
      <c r="B3" s="3"/>
      <c r="C3" s="3"/>
      <c r="D3" s="3"/>
      <c r="E3" s="3"/>
      <c r="F3" s="3"/>
      <c r="G3" s="3"/>
      <c r="H3" s="3"/>
      <c r="I3" s="3"/>
      <c r="J3" s="3"/>
      <c r="K3" s="3"/>
      <c r="L3" s="3"/>
      <c r="M3" s="3"/>
      <c r="N3" s="3"/>
      <c r="O3" s="3"/>
      <c r="P3" s="3"/>
      <c r="Q3" s="3"/>
      <c r="R3" s="3"/>
      <c r="S3" s="3"/>
      <c r="T3" s="3"/>
      <c r="U3" s="3"/>
      <c r="V3" s="3"/>
      <c r="W3" s="3"/>
      <c r="X3" s="3"/>
      <c r="Y3" s="3"/>
    </row>
    <row r="4" spans="1:25" ht="14.5">
      <c r="A4" s="3"/>
      <c r="B4" s="3"/>
      <c r="C4" s="3"/>
      <c r="D4" s="3"/>
      <c r="E4" s="12"/>
      <c r="F4" s="3"/>
      <c r="G4" s="3"/>
      <c r="H4" s="3"/>
      <c r="I4" s="3"/>
      <c r="J4" s="3"/>
      <c r="K4" s="3"/>
      <c r="L4" s="3"/>
      <c r="M4" s="3"/>
      <c r="N4" s="3"/>
      <c r="O4" s="3"/>
      <c r="P4" s="3"/>
      <c r="Q4" s="3"/>
      <c r="R4" s="3"/>
      <c r="S4" s="3"/>
      <c r="T4" s="3"/>
      <c r="U4" s="3"/>
      <c r="V4" s="3"/>
      <c r="W4" s="3"/>
      <c r="X4" s="3"/>
      <c r="Y4" s="3"/>
    </row>
    <row r="5" spans="1:25" ht="14.5">
      <c r="A5" s="13" t="s">
        <v>25</v>
      </c>
      <c r="B5" s="14">
        <f>SUMIFS(BV_Data_An_Cour!$P:$P,BV_Data_An_Cour!$U:$U,$A$1,BV_Data_An_Cour!$V:$V,$A5)</f>
        <v>841618.98999999987</v>
      </c>
      <c r="C5" s="15"/>
      <c r="D5" s="13" t="s">
        <v>26</v>
      </c>
      <c r="E5" s="16">
        <f>-SUMIFS(BV_Data_An_Cour!$P:$P,BV_Data_An_Cour!$U:$U,$A$1,BV_Data_An_Cour!$V:$V,$D5)</f>
        <v>0</v>
      </c>
      <c r="F5" s="3"/>
      <c r="G5" s="3"/>
      <c r="H5" s="3"/>
      <c r="I5" s="3"/>
      <c r="J5" s="3"/>
      <c r="K5" s="3"/>
      <c r="L5" s="3"/>
      <c r="M5" s="3"/>
      <c r="N5" s="3"/>
      <c r="O5" s="3"/>
      <c r="P5" s="3"/>
      <c r="Q5" s="3"/>
      <c r="R5" s="3"/>
      <c r="S5" s="3"/>
      <c r="T5" s="3"/>
      <c r="U5" s="3"/>
      <c r="V5" s="3"/>
      <c r="W5" s="3"/>
      <c r="X5" s="3"/>
      <c r="Y5" s="3"/>
    </row>
    <row r="6" spans="1:25" ht="14.5">
      <c r="A6" s="17" t="s">
        <v>27</v>
      </c>
      <c r="B6" s="18">
        <f>SUM(B5)</f>
        <v>841618.98999999987</v>
      </c>
      <c r="C6" s="19"/>
      <c r="D6" s="20"/>
      <c r="E6" s="21"/>
      <c r="F6" s="3"/>
      <c r="G6" s="3"/>
      <c r="H6" s="3"/>
      <c r="I6" s="3"/>
      <c r="J6" s="3"/>
      <c r="K6" s="3"/>
      <c r="L6" s="3"/>
      <c r="M6" s="3"/>
      <c r="N6" s="3"/>
      <c r="O6" s="3"/>
      <c r="P6" s="3"/>
      <c r="Q6" s="3"/>
      <c r="R6" s="3"/>
      <c r="S6" s="3"/>
      <c r="T6" s="3"/>
      <c r="U6" s="3"/>
      <c r="V6" s="3"/>
      <c r="W6" s="3"/>
      <c r="X6" s="3"/>
      <c r="Y6" s="3"/>
    </row>
    <row r="7" spans="1:25" ht="14.5">
      <c r="A7" s="22"/>
      <c r="B7" s="21"/>
      <c r="C7" s="15"/>
      <c r="D7" s="17" t="s">
        <v>28</v>
      </c>
      <c r="E7" s="18">
        <f>-SUMIFS(BV_Data_An_Cour!$P:$P,BV_Data_An_Cour!$U:$U,$A$1,BV_Data_An_Cour!$V:$V,$D7)</f>
        <v>0</v>
      </c>
      <c r="F7" s="3"/>
      <c r="G7" s="3"/>
      <c r="H7" s="3"/>
      <c r="I7" s="3"/>
      <c r="J7" s="3"/>
      <c r="K7" s="3"/>
      <c r="L7" s="3"/>
      <c r="M7" s="3"/>
      <c r="N7" s="3"/>
      <c r="O7" s="3"/>
      <c r="P7" s="3"/>
      <c r="Q7" s="3"/>
      <c r="R7" s="3"/>
      <c r="S7" s="3"/>
      <c r="T7" s="3"/>
      <c r="U7" s="3"/>
      <c r="V7" s="3"/>
      <c r="W7" s="3"/>
      <c r="X7" s="3"/>
      <c r="Y7" s="3"/>
    </row>
    <row r="8" spans="1:25" ht="14.5">
      <c r="A8" s="20" t="s">
        <v>29</v>
      </c>
      <c r="B8" s="21">
        <f>SUMIFS(BV_Data_An_Cour!$P:$P,BV_Data_An_Cour!$U:$U,$A$1,BV_Data_An_Cour!$V:$V,$A8)</f>
        <v>462221.93</v>
      </c>
      <c r="C8" s="15"/>
      <c r="D8" s="20"/>
      <c r="E8" s="21"/>
      <c r="F8" s="3"/>
      <c r="G8" s="3"/>
      <c r="H8" s="3"/>
      <c r="I8" s="3"/>
      <c r="J8" s="3"/>
      <c r="K8" s="3"/>
      <c r="L8" s="3"/>
      <c r="M8" s="3"/>
      <c r="N8" s="3"/>
      <c r="O8" s="3"/>
      <c r="P8" s="3"/>
      <c r="Q8" s="3"/>
      <c r="R8" s="3"/>
      <c r="S8" s="3"/>
      <c r="T8" s="3"/>
      <c r="U8" s="3"/>
      <c r="V8" s="3"/>
      <c r="W8" s="3"/>
      <c r="X8" s="3"/>
      <c r="Y8" s="3"/>
    </row>
    <row r="9" spans="1:25" ht="14.5">
      <c r="A9" s="20" t="s">
        <v>30</v>
      </c>
      <c r="B9" s="21">
        <f>SUMIFS(BV_Data_An_Cour!$P:$P,BV_Data_An_Cour!$U:$U,$A$1,BV_Data_An_Cour!$V:$V,$A9)</f>
        <v>282760.27</v>
      </c>
      <c r="C9" s="15"/>
      <c r="D9" s="20" t="s">
        <v>31</v>
      </c>
      <c r="E9" s="21">
        <f>-SUMIFS(BV_Data_An_Cour!$P:$P,BV_Data_An_Cour!$U:$U,$A$1,BV_Data_An_Cour!$V:$V,$D9)</f>
        <v>0</v>
      </c>
      <c r="F9" s="3"/>
      <c r="G9" s="3"/>
      <c r="H9" s="3"/>
      <c r="I9" s="3"/>
      <c r="J9" s="3"/>
      <c r="K9" s="3"/>
      <c r="L9" s="3"/>
      <c r="M9" s="3"/>
      <c r="N9" s="3"/>
      <c r="O9" s="3"/>
      <c r="P9" s="3"/>
      <c r="Q9" s="3"/>
      <c r="R9" s="3"/>
      <c r="S9" s="3"/>
      <c r="T9" s="3"/>
      <c r="U9" s="3"/>
      <c r="V9" s="3"/>
      <c r="W9" s="3"/>
      <c r="X9" s="3"/>
      <c r="Y9" s="3"/>
    </row>
    <row r="10" spans="1:25" ht="14.5">
      <c r="A10" s="20" t="s">
        <v>32</v>
      </c>
      <c r="B10" s="21">
        <f>SUMIFS(BV_Data_An_Cour!$P:$P,BV_Data_An_Cour!$U:$U,$A$1,BV_Data_An_Cour!$V:$V,$A10)</f>
        <v>226449</v>
      </c>
      <c r="C10" s="15"/>
      <c r="D10" s="20" t="s">
        <v>33</v>
      </c>
      <c r="E10" s="21">
        <f>-SUMIFS(BV_Data_An_Cour!$P:$P,BV_Data_An_Cour!$U:$U,$A$1,BV_Data_An_Cour!$V:$V,$D10)</f>
        <v>355618.6</v>
      </c>
      <c r="F10" s="3"/>
      <c r="G10" s="3"/>
      <c r="H10" s="3"/>
      <c r="I10" s="3"/>
      <c r="J10" s="3"/>
      <c r="K10" s="3"/>
      <c r="L10" s="3"/>
      <c r="M10" s="3"/>
      <c r="N10" s="3"/>
      <c r="O10" s="3"/>
      <c r="P10" s="3"/>
      <c r="Q10" s="3"/>
      <c r="R10" s="3"/>
      <c r="S10" s="3"/>
      <c r="T10" s="3"/>
      <c r="U10" s="3"/>
      <c r="V10" s="3"/>
      <c r="W10" s="3"/>
      <c r="X10" s="3"/>
      <c r="Y10" s="3"/>
    </row>
    <row r="11" spans="1:25" ht="14.5">
      <c r="A11" s="20" t="s">
        <v>34</v>
      </c>
      <c r="B11" s="21">
        <f>SUMIFS(BV_Data_An_Cour!$P:$P,BV_Data_An_Cour!$U:$U,$A$1,BV_Data_An_Cour!$V:$V,$A11)</f>
        <v>269316.13</v>
      </c>
      <c r="C11" s="15"/>
      <c r="D11" s="20" t="s">
        <v>35</v>
      </c>
      <c r="E11" s="21">
        <f>-SUMIFS(BV_Data_An_Cour!$P:$P,BV_Data_An_Cour!$U:$U,$A$1,BV_Data_An_Cour!$V:$V,$D11)</f>
        <v>17424.489999999991</v>
      </c>
      <c r="F11" s="3"/>
      <c r="G11" s="3"/>
      <c r="H11" s="3"/>
      <c r="I11" s="3"/>
      <c r="J11" s="3"/>
      <c r="K11" s="3"/>
      <c r="L11" s="3"/>
      <c r="M11" s="3"/>
      <c r="N11" s="3"/>
      <c r="O11" s="3"/>
      <c r="P11" s="3"/>
      <c r="Q11" s="3"/>
      <c r="R11" s="3"/>
      <c r="S11" s="3"/>
      <c r="T11" s="3"/>
      <c r="U11" s="3"/>
      <c r="V11" s="3"/>
      <c r="W11" s="3"/>
      <c r="X11" s="3"/>
      <c r="Y11" s="3"/>
    </row>
    <row r="12" spans="1:25" ht="14.5">
      <c r="A12" s="20" t="s">
        <v>36</v>
      </c>
      <c r="B12" s="21">
        <f>SUMIFS(BV_Data_An_Cour!$P:$P,BV_Data_An_Cour!$U:$U,$A$1,BV_Data_An_Cour!$V:$V,$A12)</f>
        <v>70673.929999999993</v>
      </c>
      <c r="C12" s="15"/>
      <c r="D12" s="20" t="s">
        <v>37</v>
      </c>
      <c r="E12" s="21">
        <f>-SUMIFS(BV_Data_An_Cour!$P:$P,BV_Data_An_Cour!$U:$U,$A$1,BV_Data_An_Cour!$V:$V,$D12)</f>
        <v>0</v>
      </c>
      <c r="F12" s="3"/>
      <c r="G12" s="3"/>
      <c r="H12" s="3"/>
      <c r="I12" s="3"/>
      <c r="J12" s="3"/>
      <c r="K12" s="3"/>
      <c r="L12" s="3"/>
      <c r="M12" s="3"/>
      <c r="N12" s="3"/>
      <c r="O12" s="3"/>
      <c r="P12" s="3"/>
      <c r="Q12" s="3"/>
      <c r="R12" s="3"/>
      <c r="S12" s="3"/>
      <c r="T12" s="3"/>
      <c r="U12" s="3"/>
      <c r="V12" s="3"/>
      <c r="W12" s="3"/>
      <c r="X12" s="3"/>
      <c r="Y12" s="3"/>
    </row>
    <row r="13" spans="1:25" ht="14.5">
      <c r="A13" s="20" t="s">
        <v>38</v>
      </c>
      <c r="B13" s="21">
        <f>SUMIFS(BV_Data_An_Cour!$P:$P,BV_Data_An_Cour!$U:$U,$A$1,BV_Data_An_Cour!$V:$V,$A13)</f>
        <v>1054.96</v>
      </c>
      <c r="C13" s="15"/>
      <c r="D13" s="20" t="s">
        <v>39</v>
      </c>
      <c r="E13" s="21">
        <f>-SUMIFS(BV_Data_An_Cour!$P:$P,BV_Data_An_Cour!$U:$U,$A$1,BV_Data_An_Cour!$V:$V,$D13)</f>
        <v>24300</v>
      </c>
      <c r="F13" s="3"/>
      <c r="G13" s="3"/>
      <c r="H13" s="3"/>
      <c r="I13" s="3"/>
      <c r="J13" s="3"/>
      <c r="K13" s="3"/>
      <c r="L13" s="3"/>
      <c r="M13" s="3"/>
      <c r="N13" s="3"/>
      <c r="O13" s="3"/>
      <c r="P13" s="3"/>
      <c r="Q13" s="3"/>
      <c r="R13" s="3"/>
      <c r="S13" s="3"/>
      <c r="T13" s="3"/>
      <c r="U13" s="3"/>
      <c r="V13" s="3"/>
      <c r="W13" s="3"/>
      <c r="X13" s="3"/>
      <c r="Y13" s="3"/>
    </row>
    <row r="14" spans="1:25" ht="14.5">
      <c r="A14" s="20" t="s">
        <v>40</v>
      </c>
      <c r="B14" s="21">
        <f>SUMIFS(BV_Data_An_Cour!$P:$P,BV_Data_An_Cour!$U:$U,$A$1,BV_Data_An_Cour!$V:$V,$A14)</f>
        <v>0</v>
      </c>
      <c r="C14" s="15"/>
      <c r="D14" s="20" t="s">
        <v>41</v>
      </c>
      <c r="E14" s="21">
        <f>-SUMIFS(BV_Data_An_Cour!$P:$P,BV_Data_An_Cour!$U:$U,$A$1,BV_Data_An_Cour!$V:$V,$D14)</f>
        <v>0</v>
      </c>
      <c r="F14" s="3"/>
      <c r="G14" s="3"/>
      <c r="H14" s="3"/>
      <c r="I14" s="3"/>
      <c r="J14" s="3"/>
      <c r="K14" s="3"/>
      <c r="L14" s="3"/>
      <c r="M14" s="3"/>
      <c r="N14" s="3"/>
      <c r="O14" s="3"/>
      <c r="P14" s="3"/>
      <c r="Q14" s="3"/>
      <c r="R14" s="3"/>
      <c r="S14" s="3"/>
      <c r="T14" s="3"/>
      <c r="U14" s="3"/>
      <c r="V14" s="3"/>
      <c r="W14" s="3"/>
      <c r="X14" s="3"/>
      <c r="Y14" s="3"/>
    </row>
    <row r="15" spans="1:25" ht="14.5">
      <c r="A15" s="20" t="s">
        <v>42</v>
      </c>
      <c r="B15" s="21">
        <f>SUMIFS(BV_Data_An_Cour!$P:$P,BV_Data_An_Cour!$U:$U,$A$1,BV_Data_An_Cour!$V:$V,$A15)</f>
        <v>-25516.469999999998</v>
      </c>
      <c r="C15" s="15"/>
      <c r="D15" s="20" t="s">
        <v>43</v>
      </c>
      <c r="E15" s="21">
        <f>-SUMIFS(BV_Data_An_Cour!$P:$P,BV_Data_An_Cour!$U:$U,$A$1,BV_Data_An_Cour!$V:$V,$D15)</f>
        <v>195562.19</v>
      </c>
      <c r="F15" s="3"/>
      <c r="G15" s="3"/>
      <c r="H15" s="3"/>
      <c r="I15" s="3"/>
      <c r="J15" s="3"/>
      <c r="K15" s="3"/>
      <c r="L15" s="3"/>
      <c r="M15" s="3"/>
      <c r="N15" s="3"/>
      <c r="O15" s="3"/>
      <c r="P15" s="3"/>
      <c r="Q15" s="3"/>
      <c r="R15" s="3"/>
      <c r="S15" s="3"/>
      <c r="T15" s="3"/>
      <c r="U15" s="3"/>
      <c r="V15" s="3"/>
      <c r="W15" s="3"/>
      <c r="X15" s="3"/>
      <c r="Y15" s="3"/>
    </row>
    <row r="16" spans="1:25" ht="14.5">
      <c r="A16" s="17" t="s">
        <v>44</v>
      </c>
      <c r="B16" s="18">
        <f>+SUM(B8:B15)</f>
        <v>1286959.75</v>
      </c>
      <c r="C16" s="19"/>
      <c r="D16" s="17" t="s">
        <v>45</v>
      </c>
      <c r="E16" s="18">
        <f>+SUM(E10:E15)</f>
        <v>592905.28</v>
      </c>
      <c r="F16" s="3"/>
      <c r="G16" s="3"/>
      <c r="H16" s="3"/>
      <c r="I16" s="3"/>
      <c r="J16" s="3"/>
      <c r="K16" s="3"/>
      <c r="L16" s="3"/>
      <c r="M16" s="3"/>
      <c r="N16" s="3"/>
      <c r="O16" s="3"/>
      <c r="P16" s="3"/>
      <c r="Q16" s="3"/>
      <c r="R16" s="3"/>
      <c r="S16" s="3"/>
      <c r="T16" s="3"/>
      <c r="U16" s="3"/>
      <c r="V16" s="3"/>
      <c r="W16" s="3"/>
      <c r="X16" s="3"/>
      <c r="Y16" s="3"/>
    </row>
    <row r="17" spans="1:25" ht="14.5">
      <c r="A17" s="20"/>
      <c r="B17" s="21"/>
      <c r="C17" s="15"/>
      <c r="D17" s="22"/>
      <c r="E17" s="21"/>
      <c r="F17" s="3"/>
      <c r="G17" s="3"/>
      <c r="H17" s="3"/>
      <c r="I17" s="3"/>
      <c r="J17" s="3"/>
      <c r="K17" s="3"/>
      <c r="L17" s="3"/>
      <c r="M17" s="3"/>
      <c r="N17" s="3"/>
      <c r="O17" s="3"/>
      <c r="P17" s="3"/>
      <c r="Q17" s="3"/>
      <c r="R17" s="3"/>
      <c r="S17" s="3"/>
      <c r="T17" s="3"/>
      <c r="U17" s="3"/>
      <c r="V17" s="3"/>
      <c r="W17" s="3"/>
      <c r="X17" s="3"/>
      <c r="Y17" s="3"/>
    </row>
    <row r="18" spans="1:25" ht="14.5">
      <c r="A18" s="20" t="s">
        <v>46</v>
      </c>
      <c r="B18" s="21">
        <f>SUMIFS(BV_Data_An_Cour!$P:$P,BV_Data_An_Cour!$U:$U,$A$1,BV_Data_An_Cour!$V:$V,$A18)</f>
        <v>5994767.0099999998</v>
      </c>
      <c r="C18" s="15"/>
      <c r="D18" s="20" t="s">
        <v>47</v>
      </c>
      <c r="E18" s="21">
        <f>-SUMIFS(BV_Data_An_Cour!$P:$P,BV_Data_An_Cour!$U:$U,$A$1,BV_Data_An_Cour!$V:$V,$D18)</f>
        <v>7186335.7599999998</v>
      </c>
      <c r="F18" s="3"/>
      <c r="G18" s="3"/>
      <c r="H18" s="3"/>
      <c r="I18" s="3"/>
      <c r="J18" s="3"/>
      <c r="K18" s="3"/>
      <c r="L18" s="3"/>
      <c r="M18" s="3"/>
      <c r="N18" s="3"/>
      <c r="O18" s="3"/>
      <c r="P18" s="3"/>
      <c r="Q18" s="3"/>
      <c r="R18" s="3"/>
      <c r="S18" s="3"/>
      <c r="T18" s="3"/>
      <c r="U18" s="3"/>
      <c r="V18" s="3"/>
      <c r="W18" s="3"/>
      <c r="X18" s="3"/>
      <c r="Y18" s="3"/>
    </row>
    <row r="19" spans="1:25" ht="14.5">
      <c r="A19" s="20" t="s">
        <v>48</v>
      </c>
      <c r="B19" s="21">
        <f>SUMIFS(BV_Data_An_Cour!$P:$P,BV_Data_An_Cour!$U:$U,$A$1,BV_Data_An_Cour!$V:$V,$A19)</f>
        <v>717912.15</v>
      </c>
      <c r="C19" s="15"/>
      <c r="D19" s="20" t="s">
        <v>49</v>
      </c>
      <c r="E19" s="21">
        <f>-SUMIFS(BV_Data_An_Cour!$P:$P,BV_Data_An_Cour!$U:$U,$A$1,BV_Data_An_Cour!$V:$V,$D19)</f>
        <v>288144.33</v>
      </c>
      <c r="F19" s="3"/>
      <c r="G19" s="3"/>
      <c r="H19" s="3"/>
      <c r="I19" s="3"/>
      <c r="J19" s="3"/>
      <c r="K19" s="3"/>
      <c r="L19" s="3"/>
      <c r="M19" s="3"/>
      <c r="N19" s="3"/>
      <c r="O19" s="3"/>
      <c r="P19" s="3"/>
      <c r="Q19" s="3"/>
      <c r="R19" s="3"/>
      <c r="S19" s="3"/>
      <c r="T19" s="3"/>
      <c r="U19" s="3"/>
      <c r="V19" s="3"/>
      <c r="W19" s="3"/>
      <c r="X19" s="3"/>
      <c r="Y19" s="3"/>
    </row>
    <row r="20" spans="1:25" ht="14.5">
      <c r="A20" s="20" t="s">
        <v>50</v>
      </c>
      <c r="B20" s="21">
        <f>SUMIFS(BV_Data_An_Cour!$P:$P,BV_Data_An_Cour!$U:$U,$A$1,BV_Data_An_Cour!$V:$V,$A20)</f>
        <v>571114.03</v>
      </c>
      <c r="C20" s="15"/>
      <c r="D20" s="17" t="s">
        <v>51</v>
      </c>
      <c r="E20" s="18">
        <f>+SUM(E18:E19)</f>
        <v>7474480.0899999999</v>
      </c>
      <c r="F20" s="3"/>
      <c r="G20" s="3"/>
      <c r="H20" s="3"/>
      <c r="I20" s="3"/>
      <c r="J20" s="3"/>
      <c r="K20" s="3"/>
      <c r="L20" s="3"/>
      <c r="M20" s="3"/>
      <c r="N20" s="3"/>
      <c r="O20" s="3"/>
      <c r="P20" s="3"/>
      <c r="Q20" s="3"/>
      <c r="R20" s="3"/>
      <c r="S20" s="3"/>
      <c r="T20" s="3"/>
      <c r="U20" s="3"/>
      <c r="V20" s="3"/>
      <c r="W20" s="3"/>
      <c r="X20" s="3"/>
      <c r="Y20" s="3"/>
    </row>
    <row r="21" spans="1:25" ht="15.75" customHeight="1">
      <c r="A21" s="17" t="s">
        <v>52</v>
      </c>
      <c r="B21" s="18">
        <f>SUM(B18:B20)</f>
        <v>7283793.1900000004</v>
      </c>
      <c r="C21" s="19"/>
      <c r="D21" s="20"/>
      <c r="E21" s="21"/>
      <c r="F21" s="3"/>
      <c r="G21" s="3"/>
      <c r="H21" s="3"/>
      <c r="I21" s="3"/>
      <c r="J21" s="3"/>
      <c r="K21" s="3"/>
      <c r="L21" s="3"/>
      <c r="M21" s="3"/>
      <c r="N21" s="3"/>
      <c r="O21" s="3"/>
      <c r="P21" s="3"/>
      <c r="Q21" s="3"/>
      <c r="R21" s="3"/>
      <c r="S21" s="3"/>
      <c r="T21" s="3"/>
      <c r="U21" s="3"/>
      <c r="V21" s="3"/>
      <c r="W21" s="3"/>
      <c r="X21" s="3"/>
      <c r="Y21" s="3"/>
    </row>
    <row r="22" spans="1:25" ht="15.75" customHeight="1">
      <c r="A22" s="22"/>
      <c r="B22" s="21"/>
      <c r="C22" s="15"/>
      <c r="D22" s="20" t="s">
        <v>53</v>
      </c>
      <c r="E22" s="21">
        <f>-SUMIFS(BV_Data_An_Cour!$P:$P,BV_Data_An_Cour!$U:$U,$A$1,BV_Data_An_Cour!$V:$V,$D22)</f>
        <v>319415.77</v>
      </c>
      <c r="F22" s="3"/>
      <c r="G22" s="3"/>
      <c r="H22" s="3"/>
      <c r="I22" s="3"/>
      <c r="J22" s="3"/>
      <c r="K22" s="3"/>
      <c r="L22" s="3"/>
      <c r="M22" s="3"/>
      <c r="N22" s="3"/>
      <c r="O22" s="3"/>
      <c r="P22" s="3"/>
      <c r="Q22" s="3"/>
      <c r="R22" s="3"/>
      <c r="S22" s="3"/>
      <c r="T22" s="3"/>
      <c r="U22" s="3"/>
      <c r="V22" s="3"/>
      <c r="W22" s="3"/>
      <c r="X22" s="3"/>
      <c r="Y22" s="3"/>
    </row>
    <row r="23" spans="1:25" ht="15.75" customHeight="1">
      <c r="A23" s="20" t="s">
        <v>54</v>
      </c>
      <c r="B23" s="21">
        <f>SUMIFS(BV_Data_An_Cour!$P:$P,BV_Data_An_Cour!$U:$U,$A$1,BV_Data_An_Cour!$V:$V,$A23)</f>
        <v>0</v>
      </c>
      <c r="C23" s="15"/>
      <c r="D23" s="20" t="s">
        <v>55</v>
      </c>
      <c r="E23" s="21">
        <f>-SUMIFS(BV_Data_An_Cour!$P:$P,BV_Data_An_Cour!$U:$U,$A$1,BV_Data_An_Cour!$V:$V,$D23)</f>
        <v>-5670.7800000000007</v>
      </c>
      <c r="F23" s="3"/>
      <c r="G23" s="3"/>
      <c r="H23" s="3"/>
      <c r="I23" s="3"/>
      <c r="J23" s="3"/>
      <c r="K23" s="3"/>
      <c r="L23" s="3"/>
      <c r="M23" s="3"/>
      <c r="N23" s="3"/>
      <c r="O23" s="3"/>
      <c r="P23" s="3"/>
      <c r="Q23" s="3"/>
      <c r="R23" s="3"/>
      <c r="S23" s="3"/>
      <c r="T23" s="3"/>
      <c r="U23" s="3"/>
      <c r="V23" s="3"/>
      <c r="W23" s="3"/>
      <c r="X23" s="3"/>
      <c r="Y23" s="3"/>
    </row>
    <row r="24" spans="1:25" ht="15.75" customHeight="1">
      <c r="A24" s="20" t="s">
        <v>56</v>
      </c>
      <c r="B24" s="21">
        <f>SUMIFS(BV_Data_An_Cour!$P:$P,BV_Data_An_Cour!$U:$U,$A$1,BV_Data_An_Cour!$V:$V,$A24)</f>
        <v>16647.669999999998</v>
      </c>
      <c r="C24" s="15"/>
      <c r="D24" s="20" t="s">
        <v>57</v>
      </c>
      <c r="E24" s="21">
        <f>-SUMIFS(BV_Data_An_Cour!$P:$P,BV_Data_An_Cour!$U:$U,$A$1,BV_Data_An_Cour!$V:$V,$D24)</f>
        <v>447642.9</v>
      </c>
      <c r="F24" s="3"/>
      <c r="G24" s="3"/>
      <c r="H24" s="3"/>
      <c r="I24" s="3"/>
      <c r="J24" s="3"/>
      <c r="K24" s="3"/>
      <c r="L24" s="3"/>
      <c r="M24" s="3"/>
      <c r="N24" s="3"/>
      <c r="O24" s="3"/>
      <c r="P24" s="3"/>
      <c r="Q24" s="3"/>
      <c r="R24" s="3"/>
      <c r="S24" s="3"/>
      <c r="T24" s="3"/>
      <c r="U24" s="3"/>
      <c r="V24" s="3"/>
      <c r="W24" s="3"/>
      <c r="X24" s="3"/>
      <c r="Y24" s="3"/>
    </row>
    <row r="25" spans="1:25" ht="15.75" customHeight="1">
      <c r="A25" s="20" t="s">
        <v>58</v>
      </c>
      <c r="B25" s="21">
        <f>SUMIFS(BV_Data_An_Cour!$P:$P,BV_Data_An_Cour!$U:$U,$A$1,BV_Data_An_Cour!$V:$V,$A25)</f>
        <v>-20380.91</v>
      </c>
      <c r="C25" s="15"/>
      <c r="D25" s="20" t="s">
        <v>59</v>
      </c>
      <c r="E25" s="21">
        <f>-SUMIFS(BV_Data_An_Cour!$P:$P,BV_Data_An_Cour!$U:$U,$A$1,BV_Data_An_Cour!$V:$V,$D25)</f>
        <v>0</v>
      </c>
      <c r="F25" s="3"/>
      <c r="G25" s="3"/>
      <c r="H25" s="3"/>
      <c r="I25" s="3"/>
      <c r="J25" s="3"/>
      <c r="K25" s="3"/>
      <c r="L25" s="3"/>
      <c r="M25" s="3"/>
      <c r="N25" s="3"/>
      <c r="O25" s="3"/>
      <c r="P25" s="3"/>
      <c r="Q25" s="3"/>
      <c r="R25" s="3"/>
      <c r="S25" s="3"/>
      <c r="T25" s="3"/>
      <c r="U25" s="3"/>
      <c r="V25" s="3"/>
      <c r="W25" s="3"/>
      <c r="X25" s="3"/>
      <c r="Y25" s="3"/>
    </row>
    <row r="26" spans="1:25" ht="15.75" customHeight="1">
      <c r="A26" s="20" t="s">
        <v>60</v>
      </c>
      <c r="B26" s="21">
        <f>SUMIFS(BV_Data_An_Cour!$P:$P,BV_Data_An_Cour!$U:$U,$A$1,BV_Data_An_Cour!$V:$V,$A26)</f>
        <v>56521.9</v>
      </c>
      <c r="C26" s="15"/>
      <c r="D26" s="20" t="s">
        <v>59</v>
      </c>
      <c r="E26" s="21">
        <f>-SUMIFS(BV_Data_An_Cour!$P:$P,BV_Data_An_Cour!$U:$U,$A$1,BV_Data_An_Cour!$V:$V,$D26)</f>
        <v>0</v>
      </c>
      <c r="F26" s="3"/>
      <c r="G26" s="3"/>
      <c r="H26" s="3"/>
      <c r="I26" s="3"/>
      <c r="J26" s="3"/>
      <c r="K26" s="3"/>
      <c r="L26" s="3"/>
      <c r="M26" s="3"/>
      <c r="N26" s="3"/>
      <c r="O26" s="3"/>
      <c r="P26" s="3"/>
      <c r="Q26" s="3"/>
      <c r="R26" s="3"/>
      <c r="S26" s="3"/>
      <c r="T26" s="3"/>
      <c r="U26" s="3"/>
      <c r="V26" s="3"/>
      <c r="W26" s="3"/>
      <c r="X26" s="3"/>
      <c r="Y26" s="3"/>
    </row>
    <row r="27" spans="1:25" ht="15.75" customHeight="1">
      <c r="A27" s="20" t="s">
        <v>59</v>
      </c>
      <c r="B27" s="21">
        <f>SUMIFS(BV_Data_An_Cour!$P:$P,BV_Data_An_Cour!$U:$U,$A$1,BV_Data_An_Cour!$V:$V,$A27)</f>
        <v>0</v>
      </c>
      <c r="C27" s="15"/>
      <c r="D27" s="20" t="s">
        <v>59</v>
      </c>
      <c r="E27" s="21">
        <f>-SUMIFS(BV_Data_An_Cour!$P:$P,BV_Data_An_Cour!$U:$U,$A$1,BV_Data_An_Cour!$V:$V,$D27)</f>
        <v>0</v>
      </c>
      <c r="F27" s="3"/>
      <c r="G27" s="3"/>
      <c r="H27" s="3"/>
      <c r="I27" s="3"/>
      <c r="J27" s="3"/>
      <c r="K27" s="3"/>
      <c r="L27" s="3"/>
      <c r="M27" s="3"/>
      <c r="N27" s="3"/>
      <c r="O27" s="3"/>
      <c r="P27" s="3"/>
      <c r="Q27" s="3"/>
      <c r="R27" s="3"/>
      <c r="S27" s="3"/>
      <c r="T27" s="3"/>
      <c r="U27" s="3"/>
      <c r="V27" s="3"/>
      <c r="W27" s="3"/>
      <c r="X27" s="3"/>
      <c r="Y27" s="3"/>
    </row>
    <row r="28" spans="1:25" ht="15.75" customHeight="1">
      <c r="A28" s="20" t="s">
        <v>59</v>
      </c>
      <c r="B28" s="21">
        <f>SUMIFS(BV_Data_An_Cour!$P:$P,BV_Data_An_Cour!$U:$U,$A$1,BV_Data_An_Cour!$V:$V,$A28)</f>
        <v>0</v>
      </c>
      <c r="C28" s="15"/>
      <c r="D28" s="17" t="s">
        <v>61</v>
      </c>
      <c r="E28" s="18">
        <f>SUM(E22:E24)</f>
        <v>761387.89</v>
      </c>
      <c r="F28" s="3"/>
      <c r="G28" s="3"/>
      <c r="H28" s="3"/>
      <c r="I28" s="3"/>
      <c r="J28" s="3"/>
      <c r="K28" s="3"/>
      <c r="L28" s="3"/>
      <c r="M28" s="3"/>
      <c r="N28" s="3"/>
      <c r="O28" s="3"/>
      <c r="P28" s="3"/>
      <c r="Q28" s="3"/>
      <c r="R28" s="3"/>
      <c r="S28" s="3"/>
      <c r="T28" s="3"/>
      <c r="U28" s="3"/>
      <c r="V28" s="3"/>
      <c r="W28" s="3"/>
      <c r="X28" s="3"/>
      <c r="Y28" s="3"/>
    </row>
    <row r="29" spans="1:25" ht="15.75" customHeight="1">
      <c r="A29" s="20" t="s">
        <v>59</v>
      </c>
      <c r="B29" s="21">
        <f>SUMIFS(BV_Data_An_Cour!$P:$P,BV_Data_An_Cour!$U:$U,$A$1,BV_Data_An_Cour!$V:$V,$A29)</f>
        <v>0</v>
      </c>
      <c r="C29" s="15"/>
      <c r="D29" s="20"/>
      <c r="E29" s="21"/>
      <c r="F29" s="3"/>
      <c r="G29" s="3"/>
      <c r="H29" s="3"/>
      <c r="I29" s="3"/>
      <c r="J29" s="3"/>
      <c r="K29" s="3"/>
      <c r="L29" s="3"/>
      <c r="M29" s="3"/>
      <c r="N29" s="3"/>
      <c r="O29" s="3"/>
      <c r="P29" s="3"/>
      <c r="Q29" s="3"/>
      <c r="R29" s="3"/>
      <c r="S29" s="3"/>
      <c r="T29" s="3"/>
      <c r="U29" s="3"/>
      <c r="V29" s="3"/>
      <c r="W29" s="3"/>
      <c r="X29" s="3"/>
      <c r="Y29" s="3"/>
    </row>
    <row r="30" spans="1:25" ht="15.75" customHeight="1">
      <c r="A30" s="17" t="s">
        <v>62</v>
      </c>
      <c r="B30" s="18">
        <f>SUM(B23:B29)</f>
        <v>52788.66</v>
      </c>
      <c r="C30" s="19"/>
      <c r="D30" s="23" t="s">
        <v>63</v>
      </c>
      <c r="E30" s="24">
        <f>+E5+E7+E16+E20+E28</f>
        <v>8828773.2599999998</v>
      </c>
      <c r="F30" s="3"/>
      <c r="G30" s="3"/>
      <c r="H30" s="3"/>
      <c r="I30" s="3"/>
      <c r="J30" s="3"/>
      <c r="K30" s="3"/>
      <c r="L30" s="3"/>
      <c r="M30" s="3"/>
      <c r="N30" s="3"/>
      <c r="O30" s="3"/>
      <c r="P30" s="3"/>
      <c r="Q30" s="3"/>
      <c r="R30" s="3"/>
      <c r="S30" s="3"/>
      <c r="T30" s="3"/>
      <c r="U30" s="3"/>
      <c r="V30" s="3"/>
      <c r="W30" s="3"/>
      <c r="X30" s="3"/>
      <c r="Y30" s="3"/>
    </row>
    <row r="31" spans="1:25" ht="15.75" customHeight="1">
      <c r="A31" s="20"/>
      <c r="B31" s="21"/>
      <c r="C31" s="15"/>
      <c r="D31" s="25"/>
      <c r="E31" s="26"/>
      <c r="F31" s="3"/>
      <c r="G31" s="3"/>
      <c r="H31" s="3"/>
      <c r="I31" s="3"/>
      <c r="J31" s="3"/>
      <c r="K31" s="3"/>
      <c r="L31" s="3"/>
      <c r="M31" s="3"/>
      <c r="N31" s="3"/>
      <c r="O31" s="3"/>
      <c r="P31" s="3"/>
      <c r="Q31" s="3"/>
      <c r="R31" s="3"/>
      <c r="S31" s="3"/>
      <c r="T31" s="3"/>
      <c r="U31" s="3"/>
      <c r="V31" s="3"/>
      <c r="W31" s="3"/>
      <c r="X31" s="3"/>
      <c r="Y31" s="3"/>
    </row>
    <row r="32" spans="1:25" ht="15.75" customHeight="1">
      <c r="A32" s="23" t="s">
        <v>64</v>
      </c>
      <c r="B32" s="24">
        <f>+B6+B16+B21+B30</f>
        <v>9465160.5899999999</v>
      </c>
      <c r="C32" s="19"/>
      <c r="D32" s="20"/>
      <c r="E32" s="21"/>
      <c r="F32" s="3"/>
      <c r="G32" s="3"/>
      <c r="H32" s="3"/>
      <c r="I32" s="3"/>
      <c r="J32" s="3"/>
      <c r="K32" s="3"/>
      <c r="L32" s="3"/>
      <c r="M32" s="3"/>
      <c r="N32" s="3"/>
      <c r="O32" s="3"/>
      <c r="P32" s="3"/>
      <c r="Q32" s="3"/>
      <c r="R32" s="3"/>
      <c r="S32" s="3"/>
      <c r="T32" s="3"/>
      <c r="U32" s="3"/>
      <c r="V32" s="3"/>
      <c r="W32" s="3"/>
      <c r="X32" s="3"/>
      <c r="Y32" s="3"/>
    </row>
    <row r="33" spans="1:25" ht="15.75" customHeight="1">
      <c r="A33" s="25"/>
      <c r="B33" s="26"/>
      <c r="C33" s="27"/>
      <c r="D33" s="17" t="s">
        <v>65</v>
      </c>
      <c r="E33" s="28">
        <f>-SUMIFS(BV_Data_An_Cour!$P:$P,BV_Data_An_Cour!$U:$U,$A$1,BV_Data_An_Cour!$V:$V,$D33)</f>
        <v>0</v>
      </c>
      <c r="F33" s="3"/>
      <c r="G33" s="3"/>
      <c r="H33" s="3"/>
      <c r="I33" s="3"/>
      <c r="J33" s="3"/>
      <c r="K33" s="3"/>
      <c r="L33" s="3"/>
      <c r="M33" s="3"/>
      <c r="N33" s="3"/>
      <c r="O33" s="3"/>
      <c r="P33" s="3"/>
      <c r="Q33" s="3"/>
      <c r="R33" s="3"/>
      <c r="S33" s="3"/>
      <c r="T33" s="3"/>
      <c r="U33" s="3"/>
      <c r="V33" s="3"/>
      <c r="W33" s="3"/>
      <c r="X33" s="3"/>
      <c r="Y33" s="3"/>
    </row>
    <row r="34" spans="1:25" ht="15.75" customHeight="1">
      <c r="A34" s="20"/>
      <c r="B34" s="21"/>
      <c r="C34" s="15"/>
      <c r="D34" s="20"/>
      <c r="E34" s="21"/>
      <c r="F34" s="3"/>
      <c r="G34" s="3"/>
      <c r="H34" s="3"/>
      <c r="I34" s="3"/>
      <c r="J34" s="3"/>
      <c r="K34" s="3"/>
      <c r="L34" s="3"/>
      <c r="M34" s="3"/>
      <c r="N34" s="3"/>
      <c r="O34" s="3"/>
      <c r="P34" s="3"/>
      <c r="Q34" s="3"/>
      <c r="R34" s="3"/>
      <c r="S34" s="3"/>
      <c r="T34" s="3"/>
      <c r="U34" s="3"/>
      <c r="V34" s="3"/>
      <c r="W34" s="3"/>
      <c r="X34" s="3"/>
      <c r="Y34" s="3"/>
    </row>
    <row r="35" spans="1:25" ht="15.75" customHeight="1">
      <c r="A35" s="20" t="s">
        <v>66</v>
      </c>
      <c r="B35" s="21">
        <f>SUMIFS(BV_Data_An_Cour!$P:$P,BV_Data_An_Cour!$U:$U,$A$1,BV_Data_An_Cour!$V:$V,$A35)</f>
        <v>0</v>
      </c>
      <c r="C35" s="15"/>
      <c r="D35" s="20" t="s">
        <v>67</v>
      </c>
      <c r="E35" s="21">
        <f>-SUMIFS(BV_Data_An_Cour!$P:$P,BV_Data_An_Cour!$U:$U,$A$1,BV_Data_An_Cour!$V:$V,$D35)</f>
        <v>0</v>
      </c>
      <c r="F35" s="3"/>
      <c r="G35" s="3"/>
      <c r="H35" s="3"/>
      <c r="I35" s="3"/>
      <c r="J35" s="3"/>
      <c r="K35" s="3"/>
      <c r="L35" s="3"/>
      <c r="M35" s="3"/>
      <c r="N35" s="3"/>
      <c r="O35" s="3"/>
      <c r="P35" s="3"/>
      <c r="Q35" s="3"/>
      <c r="R35" s="3"/>
      <c r="S35" s="3"/>
      <c r="T35" s="3"/>
      <c r="U35" s="3"/>
      <c r="V35" s="3"/>
      <c r="W35" s="3"/>
      <c r="X35" s="3"/>
      <c r="Y35" s="3"/>
    </row>
    <row r="36" spans="1:25" ht="15.75" customHeight="1">
      <c r="A36" s="20" t="s">
        <v>68</v>
      </c>
      <c r="B36" s="21">
        <f>SUMIFS(BV_Data_An_Cour!$P:$P,BV_Data_An_Cour!$U:$U,$A$1,BV_Data_An_Cour!$V:$V,$A36)</f>
        <v>0</v>
      </c>
      <c r="C36" s="15"/>
      <c r="D36" s="20" t="s">
        <v>69</v>
      </c>
      <c r="E36" s="21">
        <f>-SUMIFS(BV_Data_An_Cour!$P:$P,BV_Data_An_Cour!$U:$U,$A$1,BV_Data_An_Cour!$V:$V,$D36)</f>
        <v>0</v>
      </c>
      <c r="F36" s="3"/>
      <c r="G36" s="3"/>
      <c r="H36" s="3"/>
      <c r="I36" s="3"/>
      <c r="J36" s="3"/>
      <c r="K36" s="3"/>
      <c r="L36" s="3"/>
      <c r="M36" s="3"/>
      <c r="N36" s="3"/>
      <c r="O36" s="3"/>
      <c r="P36" s="3"/>
      <c r="Q36" s="3"/>
      <c r="R36" s="3"/>
      <c r="S36" s="3"/>
      <c r="T36" s="3"/>
      <c r="U36" s="3"/>
      <c r="V36" s="3"/>
      <c r="W36" s="3"/>
      <c r="X36" s="3"/>
      <c r="Y36" s="3"/>
    </row>
    <row r="37" spans="1:25" ht="15.75" customHeight="1">
      <c r="A37" s="20" t="s">
        <v>70</v>
      </c>
      <c r="B37" s="21">
        <f>SUMIFS(BV_Data_An_Cour!$P:$P,BV_Data_An_Cour!$U:$U,$A$1,BV_Data_An_Cour!$V:$V,$A37)</f>
        <v>10121292.280000001</v>
      </c>
      <c r="C37" s="15"/>
      <c r="D37" s="20" t="s">
        <v>71</v>
      </c>
      <c r="E37" s="21">
        <f>-SUMIFS(BV_Data_An_Cour!$P:$P,BV_Data_An_Cour!$U:$U,$A$1,BV_Data_An_Cour!$V:$V,$D37)</f>
        <v>0</v>
      </c>
      <c r="F37" s="3"/>
      <c r="G37" s="3"/>
      <c r="H37" s="3"/>
      <c r="I37" s="3"/>
      <c r="J37" s="3"/>
      <c r="K37" s="3"/>
      <c r="L37" s="3"/>
      <c r="M37" s="3"/>
      <c r="N37" s="3"/>
      <c r="O37" s="3"/>
      <c r="P37" s="3"/>
      <c r="Q37" s="3"/>
      <c r="R37" s="3"/>
      <c r="S37" s="3"/>
      <c r="T37" s="3"/>
      <c r="U37" s="3"/>
      <c r="V37" s="3"/>
      <c r="W37" s="3"/>
      <c r="X37" s="3"/>
      <c r="Y37" s="3"/>
    </row>
    <row r="38" spans="1:25" ht="15.75" customHeight="1">
      <c r="A38" s="20" t="s">
        <v>72</v>
      </c>
      <c r="B38" s="21">
        <f>SUMIFS(BV_Data_An_Cour!$P:$P,BV_Data_An_Cour!$U:$U,$A$1,BV_Data_An_Cour!$V:$V,$A38)</f>
        <v>0</v>
      </c>
      <c r="C38" s="15"/>
      <c r="D38" s="20" t="s">
        <v>73</v>
      </c>
      <c r="E38" s="21">
        <f>-SUMIFS(BV_Data_An_Cour!$P:$P,BV_Data_An_Cour!$U:$U,$A$1,BV_Data_An_Cour!$V:$V,$D38)</f>
        <v>0</v>
      </c>
      <c r="F38" s="3"/>
      <c r="G38" s="29"/>
      <c r="H38" s="3"/>
      <c r="I38" s="3"/>
      <c r="J38" s="3"/>
      <c r="K38" s="3"/>
      <c r="L38" s="3"/>
      <c r="M38" s="3"/>
      <c r="N38" s="3"/>
      <c r="O38" s="3"/>
      <c r="P38" s="3"/>
      <c r="Q38" s="3"/>
      <c r="R38" s="3"/>
      <c r="S38" s="3"/>
      <c r="T38" s="3"/>
      <c r="U38" s="3"/>
      <c r="V38" s="3"/>
      <c r="W38" s="3"/>
      <c r="X38" s="3"/>
      <c r="Y38" s="3"/>
    </row>
    <row r="39" spans="1:25" ht="15.75" customHeight="1">
      <c r="A39" s="20" t="s">
        <v>74</v>
      </c>
      <c r="B39" s="21">
        <f>SUMIFS(BV_Data_An_Cour!$P:$P,BV_Data_An_Cour!$U:$U,$A$1,BV_Data_An_Cour!$V:$V,$A39)</f>
        <v>368258.36</v>
      </c>
      <c r="C39" s="15"/>
      <c r="D39" s="20" t="s">
        <v>59</v>
      </c>
      <c r="E39" s="21">
        <f>-SUMIFS(BV_Data_An_Cour!$P:$P,BV_Data_An_Cour!$U:$U,$A$1,BV_Data_An_Cour!$V:$V,$D39)</f>
        <v>0</v>
      </c>
      <c r="F39" s="3"/>
      <c r="G39" s="3"/>
      <c r="H39" s="3"/>
      <c r="I39" s="3"/>
      <c r="J39" s="3"/>
      <c r="K39" s="3"/>
      <c r="L39" s="3"/>
      <c r="M39" s="3"/>
      <c r="N39" s="3"/>
      <c r="O39" s="3"/>
      <c r="P39" s="3"/>
      <c r="Q39" s="3"/>
      <c r="R39" s="3"/>
      <c r="S39" s="3"/>
      <c r="T39" s="3"/>
      <c r="U39" s="3"/>
      <c r="V39" s="3"/>
      <c r="W39" s="3"/>
      <c r="X39" s="3"/>
      <c r="Y39" s="3"/>
    </row>
    <row r="40" spans="1:25" ht="15.75" customHeight="1">
      <c r="A40" s="20" t="s">
        <v>75</v>
      </c>
      <c r="B40" s="21">
        <f>SUMIFS(BV_Data_An_Cour!$P:$P,BV_Data_An_Cour!$U:$U,$A$1,BV_Data_An_Cour!$V:$V,$A40)</f>
        <v>21281.760000000009</v>
      </c>
      <c r="C40" s="15"/>
      <c r="D40" s="20" t="s">
        <v>59</v>
      </c>
      <c r="E40" s="21">
        <f>-SUMIFS(BV_Data_An_Cour!$P:$P,BV_Data_An_Cour!$U:$U,$A$1,BV_Data_An_Cour!$V:$V,$D40)</f>
        <v>0</v>
      </c>
      <c r="F40" s="3"/>
      <c r="G40" s="3"/>
      <c r="H40" s="3"/>
      <c r="I40" s="3"/>
      <c r="J40" s="3"/>
      <c r="K40" s="3"/>
      <c r="L40" s="3"/>
      <c r="M40" s="3"/>
      <c r="N40" s="3"/>
      <c r="O40" s="3"/>
      <c r="P40" s="3"/>
      <c r="Q40" s="3"/>
      <c r="R40" s="3"/>
      <c r="S40" s="3"/>
      <c r="T40" s="3"/>
      <c r="U40" s="3"/>
      <c r="V40" s="3"/>
      <c r="W40" s="3"/>
      <c r="X40" s="3"/>
      <c r="Y40" s="3"/>
    </row>
    <row r="41" spans="1:25" ht="15.75" customHeight="1">
      <c r="A41" s="20" t="s">
        <v>76</v>
      </c>
      <c r="B41" s="21">
        <f>SUMIFS(BV_Data_An_Cour!$P:$P,BV_Data_An_Cour!$U:$U,$A$1,BV_Data_An_Cour!$V:$V,$A41)</f>
        <v>51522.039999999994</v>
      </c>
      <c r="C41" s="15"/>
      <c r="D41" s="20" t="s">
        <v>59</v>
      </c>
      <c r="E41" s="21">
        <f>-SUMIFS(BV_Data_An_Cour!$P:$P,BV_Data_An_Cour!$U:$U,$A$1,BV_Data_An_Cour!$V:$V,$D41)</f>
        <v>0</v>
      </c>
      <c r="F41" s="3"/>
      <c r="G41" s="3"/>
      <c r="H41" s="3"/>
      <c r="I41" s="3"/>
      <c r="J41" s="3"/>
      <c r="K41" s="3"/>
      <c r="L41" s="3"/>
      <c r="M41" s="3"/>
      <c r="N41" s="3"/>
      <c r="O41" s="3"/>
      <c r="P41" s="3"/>
      <c r="Q41" s="3"/>
      <c r="R41" s="3"/>
      <c r="S41" s="3"/>
      <c r="T41" s="3"/>
      <c r="U41" s="3"/>
      <c r="V41" s="3"/>
      <c r="W41" s="3"/>
      <c r="X41" s="3"/>
      <c r="Y41" s="3"/>
    </row>
    <row r="42" spans="1:25" ht="15.75" customHeight="1">
      <c r="A42" s="20" t="s">
        <v>77</v>
      </c>
      <c r="B42" s="21">
        <f>SUMIFS(BV_Data_An_Cour!$P:$P,BV_Data_An_Cour!$U:$U,$A$1,BV_Data_An_Cour!$V:$V,$A42)</f>
        <v>0</v>
      </c>
      <c r="C42" s="15"/>
      <c r="D42" s="23" t="s">
        <v>78</v>
      </c>
      <c r="E42" s="24">
        <f>+SUM(E33:E38)</f>
        <v>0</v>
      </c>
      <c r="F42" s="3"/>
      <c r="G42" s="3"/>
      <c r="H42" s="3"/>
      <c r="I42" s="3"/>
      <c r="J42" s="3"/>
      <c r="K42" s="3"/>
      <c r="L42" s="3"/>
      <c r="M42" s="3"/>
      <c r="N42" s="3"/>
      <c r="O42" s="3"/>
      <c r="P42" s="3"/>
      <c r="Q42" s="3"/>
      <c r="R42" s="3"/>
      <c r="S42" s="3"/>
      <c r="T42" s="3"/>
      <c r="U42" s="3"/>
      <c r="V42" s="3"/>
      <c r="W42" s="3"/>
      <c r="X42" s="3"/>
      <c r="Y42" s="3"/>
    </row>
    <row r="43" spans="1:25" ht="15.75" customHeight="1">
      <c r="A43" s="20" t="s">
        <v>79</v>
      </c>
      <c r="B43" s="21">
        <f>SUMIFS(BV_Data_An_Cour!$P:$P,BV_Data_An_Cour!$U:$U,$A$1,BV_Data_An_Cour!$V:$V,$A43)</f>
        <v>1.0000000009313226E-2</v>
      </c>
      <c r="C43" s="15"/>
      <c r="D43" s="25"/>
      <c r="E43" s="26"/>
      <c r="F43" s="3"/>
      <c r="G43" s="3"/>
      <c r="H43" s="3"/>
      <c r="I43" s="3"/>
      <c r="J43" s="3"/>
      <c r="K43" s="3"/>
      <c r="L43" s="3"/>
      <c r="M43" s="3"/>
      <c r="N43" s="3"/>
      <c r="O43" s="3"/>
      <c r="P43" s="3"/>
      <c r="Q43" s="3"/>
      <c r="R43" s="3"/>
      <c r="S43" s="3"/>
      <c r="T43" s="3"/>
      <c r="U43" s="3"/>
      <c r="V43" s="3"/>
      <c r="W43" s="3"/>
      <c r="X43" s="3"/>
      <c r="Y43" s="3"/>
    </row>
    <row r="44" spans="1:25" ht="15.75" customHeight="1">
      <c r="A44" s="17" t="s">
        <v>80</v>
      </c>
      <c r="B44" s="18">
        <f>SUM(B35:B43)</f>
        <v>10562354.449999999</v>
      </c>
      <c r="C44" s="19"/>
      <c r="D44" s="20"/>
      <c r="E44" s="21"/>
      <c r="F44" s="3"/>
      <c r="G44" s="3"/>
      <c r="H44" s="3"/>
      <c r="I44" s="3"/>
      <c r="J44" s="3"/>
      <c r="K44" s="3"/>
      <c r="L44" s="3"/>
      <c r="M44" s="3"/>
      <c r="N44" s="3"/>
      <c r="O44" s="3"/>
      <c r="P44" s="3"/>
      <c r="Q44" s="3"/>
      <c r="R44" s="3"/>
      <c r="S44" s="3"/>
      <c r="T44" s="3"/>
      <c r="U44" s="3"/>
      <c r="V44" s="3"/>
      <c r="W44" s="3"/>
      <c r="X44" s="3"/>
      <c r="Y44" s="3"/>
    </row>
    <row r="45" spans="1:25" ht="15.75" customHeight="1">
      <c r="A45" s="22"/>
      <c r="B45" s="21"/>
      <c r="C45" s="15"/>
      <c r="D45" s="23" t="s">
        <v>81</v>
      </c>
      <c r="E45" s="24">
        <f>+E42+E30</f>
        <v>8828773.2599999998</v>
      </c>
      <c r="F45" s="3"/>
      <c r="G45" s="3"/>
      <c r="H45" s="3"/>
      <c r="I45" s="3"/>
      <c r="J45" s="3"/>
      <c r="K45" s="3"/>
      <c r="L45" s="3"/>
      <c r="M45" s="3"/>
      <c r="N45" s="3"/>
      <c r="O45" s="3"/>
      <c r="P45" s="3"/>
      <c r="Q45" s="3"/>
      <c r="R45" s="3"/>
      <c r="S45" s="3"/>
      <c r="T45" s="3"/>
      <c r="U45" s="3"/>
      <c r="V45" s="3"/>
      <c r="W45" s="3"/>
      <c r="X45" s="3"/>
      <c r="Y45" s="3"/>
    </row>
    <row r="46" spans="1:25" ht="15.75" customHeight="1">
      <c r="A46" s="17" t="s">
        <v>82</v>
      </c>
      <c r="B46" s="18">
        <f>SUMIFS(BV_Data_An_Cour!$P:$P,BV_Data_An_Cour!$U:$U,$A$1,BV_Data_An_Cour!$V:$V,$A46)</f>
        <v>1223600</v>
      </c>
      <c r="C46" s="19"/>
      <c r="D46" s="25"/>
      <c r="E46" s="26"/>
      <c r="F46" s="3"/>
      <c r="G46" s="3"/>
      <c r="H46" s="3"/>
      <c r="I46" s="3"/>
      <c r="J46" s="3"/>
      <c r="K46" s="3"/>
      <c r="L46" s="3"/>
      <c r="M46" s="3"/>
      <c r="N46" s="3"/>
      <c r="O46" s="3"/>
      <c r="P46" s="3"/>
      <c r="Q46" s="3"/>
      <c r="R46" s="3"/>
      <c r="S46" s="3"/>
      <c r="T46" s="3"/>
      <c r="U46" s="3"/>
      <c r="V46" s="3"/>
      <c r="W46" s="3"/>
      <c r="X46" s="3"/>
      <c r="Y46" s="3"/>
    </row>
    <row r="47" spans="1:25" ht="15.75" customHeight="1">
      <c r="A47" s="20"/>
      <c r="B47" s="21"/>
      <c r="C47" s="15"/>
      <c r="D47" s="20"/>
      <c r="E47" s="21"/>
      <c r="F47" s="3"/>
      <c r="G47" s="3"/>
      <c r="H47" s="3"/>
      <c r="I47" s="3"/>
      <c r="J47" s="3"/>
      <c r="K47" s="3"/>
      <c r="L47" s="3"/>
      <c r="M47" s="3"/>
      <c r="N47" s="3"/>
      <c r="O47" s="3"/>
      <c r="P47" s="3"/>
      <c r="Q47" s="3"/>
      <c r="R47" s="3"/>
      <c r="S47" s="3"/>
      <c r="T47" s="3"/>
      <c r="U47" s="3"/>
      <c r="V47" s="3"/>
      <c r="W47" s="3"/>
      <c r="X47" s="3"/>
      <c r="Y47" s="3"/>
    </row>
    <row r="48" spans="1:25" ht="15.75" customHeight="1">
      <c r="A48" s="17" t="s">
        <v>83</v>
      </c>
      <c r="B48" s="18">
        <f>SUMIFS(BV_Data_An_Cour!$P:$P,BV_Data_An_Cour!$U:$U,$A$1,BV_Data_An_Cour!$V:$V,$A48)</f>
        <v>0</v>
      </c>
      <c r="C48" s="19"/>
      <c r="D48" s="20" t="s">
        <v>84</v>
      </c>
      <c r="E48" s="21">
        <f>-SUMIFS(BV_Data_An_Cour!$P:$P,BV_Data_An_Cour!$U:$U,$A$1,BV_Data_An_Cour!$V:$V,$D48)</f>
        <v>2697547.5</v>
      </c>
      <c r="F48" s="3"/>
      <c r="G48" s="3"/>
      <c r="H48" s="3"/>
      <c r="I48" s="3"/>
      <c r="J48" s="3"/>
      <c r="K48" s="3"/>
      <c r="L48" s="3"/>
      <c r="M48" s="3"/>
      <c r="N48" s="3"/>
      <c r="O48" s="3"/>
      <c r="P48" s="3"/>
      <c r="Q48" s="3"/>
      <c r="R48" s="3"/>
      <c r="S48" s="3"/>
      <c r="T48" s="3"/>
      <c r="U48" s="3"/>
      <c r="V48" s="3"/>
      <c r="W48" s="3"/>
      <c r="X48" s="3"/>
      <c r="Y48" s="3"/>
    </row>
    <row r="49" spans="1:25" ht="15.75" customHeight="1">
      <c r="A49" s="20"/>
      <c r="B49" s="21"/>
      <c r="C49" s="15"/>
      <c r="D49" s="20" t="s">
        <v>85</v>
      </c>
      <c r="E49" s="21">
        <f>-SUMIFS(BV_Data_An_Cour!$P:$P,BV_Data_An_Cour!$U:$U,$A$1,BV_Data_An_Cour!$V:$V,$D49)</f>
        <v>1723617</v>
      </c>
      <c r="F49" s="3"/>
      <c r="G49" s="3"/>
      <c r="H49" s="3"/>
      <c r="I49" s="3"/>
      <c r="J49" s="3"/>
      <c r="K49" s="3"/>
      <c r="L49" s="3"/>
      <c r="M49" s="3"/>
      <c r="N49" s="3"/>
      <c r="O49" s="3"/>
      <c r="P49" s="3"/>
      <c r="Q49" s="3"/>
      <c r="R49" s="3"/>
      <c r="S49" s="3"/>
      <c r="T49" s="3"/>
      <c r="U49" s="3"/>
      <c r="V49" s="3"/>
      <c r="W49" s="3"/>
      <c r="X49" s="3"/>
      <c r="Y49" s="3"/>
    </row>
    <row r="50" spans="1:25" ht="15.75" customHeight="1">
      <c r="A50" s="20" t="s">
        <v>59</v>
      </c>
      <c r="B50" s="21">
        <f>SUMIFS(BV_Data_An_Cour!$P:$P,BV_Data_An_Cour!$U:$U,$A$1,BV_Data_An_Cour!$V:$V,$A50)</f>
        <v>0</v>
      </c>
      <c r="C50" s="15"/>
      <c r="D50" s="20" t="s">
        <v>86</v>
      </c>
      <c r="E50" s="21">
        <f>-SUMIFS(BV_Data_An_Cour!$P:$P,BV_Data_An_Cour!$U:$U,$A$1,BV_Data_An_Cour!$V:$V,$D50)+Print_AAD!AF498</f>
        <v>8001177.2800000003</v>
      </c>
      <c r="F50" s="3"/>
      <c r="G50" s="3"/>
      <c r="H50" s="3"/>
      <c r="I50" s="3"/>
      <c r="J50" s="3"/>
      <c r="K50" s="3"/>
      <c r="L50" s="3"/>
      <c r="M50" s="3"/>
      <c r="N50" s="3"/>
      <c r="O50" s="3"/>
      <c r="P50" s="3"/>
      <c r="Q50" s="3"/>
      <c r="R50" s="3"/>
      <c r="S50" s="3"/>
      <c r="T50" s="3"/>
      <c r="U50" s="3"/>
      <c r="V50" s="3"/>
      <c r="W50" s="3"/>
      <c r="X50" s="3"/>
      <c r="Y50" s="3"/>
    </row>
    <row r="51" spans="1:25" ht="15.75" customHeight="1">
      <c r="A51" s="20" t="s">
        <v>59</v>
      </c>
      <c r="B51" s="21">
        <f>SUMIFS(BV_Data_An_Cour!$P:$P,BV_Data_An_Cour!$U:$U,$A$1,BV_Data_An_Cour!$V:$V,$A51)</f>
        <v>0</v>
      </c>
      <c r="C51" s="15"/>
      <c r="D51" s="20" t="s">
        <v>87</v>
      </c>
      <c r="E51" s="21">
        <f>-SUMIFS(BV_Data_An_Cour!$P:$P,BV_Data_An_Cour!$U:$U,$A$1,BV_Data_An_Cour!$V:$V,$D51)</f>
        <v>0</v>
      </c>
      <c r="F51" s="3"/>
      <c r="G51" s="3"/>
      <c r="H51" s="3"/>
      <c r="I51" s="3"/>
      <c r="J51" s="3"/>
      <c r="K51" s="3"/>
      <c r="L51" s="3"/>
      <c r="M51" s="3"/>
      <c r="N51" s="3"/>
      <c r="O51" s="3"/>
      <c r="P51" s="3"/>
      <c r="Q51" s="3"/>
      <c r="R51" s="3"/>
      <c r="S51" s="3"/>
      <c r="T51" s="3"/>
      <c r="U51" s="3"/>
      <c r="V51" s="3"/>
      <c r="W51" s="3"/>
      <c r="X51" s="3"/>
      <c r="Y51" s="3"/>
    </row>
    <row r="52" spans="1:25" ht="15.75" customHeight="1">
      <c r="A52" s="20" t="s">
        <v>59</v>
      </c>
      <c r="B52" s="21">
        <f>SUMIFS(BV_Data_An_Cour!$P:$P,BV_Data_An_Cour!$U:$U,$A$1,BV_Data_An_Cour!$V:$V,$A52)</f>
        <v>0</v>
      </c>
      <c r="C52" s="15"/>
      <c r="D52" s="30"/>
      <c r="E52" s="31"/>
      <c r="F52" s="3"/>
      <c r="G52" s="3"/>
      <c r="H52" s="3"/>
      <c r="I52" s="3"/>
      <c r="J52" s="3"/>
      <c r="K52" s="3"/>
      <c r="L52" s="3"/>
      <c r="M52" s="3"/>
      <c r="N52" s="3"/>
      <c r="O52" s="3"/>
      <c r="P52" s="3"/>
      <c r="Q52" s="3"/>
      <c r="R52" s="3"/>
      <c r="S52" s="3"/>
      <c r="T52" s="3"/>
      <c r="U52" s="3"/>
      <c r="V52" s="3"/>
      <c r="W52" s="3"/>
      <c r="X52" s="3"/>
      <c r="Y52" s="3"/>
    </row>
    <row r="53" spans="1:25" ht="15.75" customHeight="1">
      <c r="A53" s="23" t="s">
        <v>88</v>
      </c>
      <c r="B53" s="24">
        <f>+B44+B48+B46</f>
        <v>11785954.449999999</v>
      </c>
      <c r="C53" s="19"/>
      <c r="D53" s="23" t="s">
        <v>89</v>
      </c>
      <c r="E53" s="24">
        <f>SUM(E48:E51)</f>
        <v>12422341.780000001</v>
      </c>
      <c r="F53" s="3"/>
      <c r="G53" s="3"/>
      <c r="H53" s="3"/>
      <c r="I53" s="3"/>
      <c r="J53" s="3"/>
      <c r="K53" s="3"/>
      <c r="L53" s="3"/>
      <c r="M53" s="3"/>
      <c r="N53" s="3"/>
      <c r="O53" s="3"/>
      <c r="P53" s="3"/>
      <c r="Q53" s="3"/>
      <c r="R53" s="3"/>
      <c r="S53" s="3"/>
      <c r="T53" s="3"/>
      <c r="U53" s="3"/>
      <c r="V53" s="3"/>
      <c r="W53" s="3"/>
      <c r="X53" s="3"/>
      <c r="Y53" s="3"/>
    </row>
    <row r="54" spans="1:25" ht="15.75" customHeight="1">
      <c r="A54" s="25"/>
      <c r="B54" s="26"/>
      <c r="C54" s="27"/>
      <c r="D54" s="25"/>
      <c r="E54" s="26"/>
      <c r="F54" s="3"/>
      <c r="G54" s="3"/>
      <c r="H54" s="3"/>
      <c r="I54" s="3"/>
      <c r="J54" s="3"/>
      <c r="K54" s="3"/>
      <c r="L54" s="3"/>
      <c r="M54" s="3"/>
      <c r="N54" s="3"/>
      <c r="O54" s="3"/>
      <c r="P54" s="3"/>
      <c r="Q54" s="3"/>
      <c r="R54" s="3"/>
      <c r="S54" s="3"/>
      <c r="T54" s="3"/>
      <c r="U54" s="3"/>
      <c r="V54" s="3"/>
      <c r="W54" s="3"/>
      <c r="X54" s="3"/>
      <c r="Y54" s="3"/>
    </row>
    <row r="55" spans="1:25" ht="15.75" customHeight="1">
      <c r="A55" s="20"/>
      <c r="B55" s="21"/>
      <c r="C55" s="15"/>
      <c r="D55" s="20"/>
      <c r="E55" s="21"/>
      <c r="F55" s="3"/>
      <c r="G55" s="3"/>
      <c r="H55" s="3"/>
      <c r="I55" s="3"/>
      <c r="J55" s="3"/>
      <c r="K55" s="3"/>
      <c r="L55" s="3"/>
      <c r="M55" s="3"/>
      <c r="N55" s="3"/>
      <c r="O55" s="3"/>
      <c r="P55" s="3"/>
      <c r="Q55" s="3"/>
      <c r="R55" s="3"/>
      <c r="S55" s="3"/>
      <c r="T55" s="3"/>
      <c r="U55" s="3"/>
      <c r="V55" s="3"/>
      <c r="W55" s="3"/>
      <c r="X55" s="3"/>
      <c r="Y55" s="3"/>
    </row>
    <row r="56" spans="1:25" ht="15.75" customHeight="1">
      <c r="A56" s="23" t="s">
        <v>90</v>
      </c>
      <c r="B56" s="24">
        <f>+B32+B53</f>
        <v>21251115.039999999</v>
      </c>
      <c r="C56" s="19"/>
      <c r="D56" s="23" t="s">
        <v>91</v>
      </c>
      <c r="E56" s="24">
        <f>+E53+E45</f>
        <v>21251115.039999999</v>
      </c>
      <c r="F56" s="3"/>
      <c r="G56" s="3"/>
      <c r="H56" s="3"/>
      <c r="I56" s="3"/>
      <c r="J56" s="3"/>
      <c r="K56" s="3"/>
      <c r="L56" s="3"/>
      <c r="M56" s="3"/>
      <c r="N56" s="3"/>
      <c r="O56" s="3"/>
      <c r="P56" s="3"/>
      <c r="Q56" s="3"/>
      <c r="R56" s="3"/>
      <c r="S56" s="3"/>
      <c r="T56" s="3"/>
      <c r="U56" s="3"/>
      <c r="V56" s="3"/>
      <c r="W56" s="3"/>
      <c r="X56" s="3"/>
      <c r="Y56" s="3"/>
    </row>
    <row r="57" spans="1:25" ht="15.75" customHeight="1">
      <c r="A57" s="25"/>
      <c r="B57" s="26"/>
      <c r="C57" s="27"/>
      <c r="D57" s="25"/>
      <c r="E57" s="26"/>
      <c r="F57" s="3"/>
      <c r="G57" s="3"/>
      <c r="H57" s="3"/>
      <c r="I57" s="3"/>
      <c r="J57" s="3"/>
      <c r="K57" s="3"/>
      <c r="L57" s="3"/>
      <c r="M57" s="3"/>
      <c r="N57" s="3"/>
      <c r="O57" s="3"/>
      <c r="P57" s="3"/>
      <c r="Q57" s="3"/>
      <c r="R57" s="3"/>
      <c r="S57" s="3"/>
      <c r="T57" s="3"/>
      <c r="U57" s="3"/>
      <c r="V57" s="3"/>
      <c r="W57" s="3"/>
      <c r="X57" s="3"/>
      <c r="Y57" s="3"/>
    </row>
    <row r="58" spans="1:25"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spans="1:25"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spans="1:25"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spans="1:25"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spans="1:25"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spans="1:25"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spans="1:25" ht="15.75" customHeight="1">
      <c r="A64" s="3"/>
      <c r="B64" s="32"/>
      <c r="C64" s="32"/>
      <c r="D64" s="3"/>
      <c r="E64" s="32"/>
      <c r="F64" s="3"/>
      <c r="G64" s="3"/>
      <c r="H64" s="3"/>
      <c r="I64" s="3"/>
      <c r="J64" s="3"/>
      <c r="K64" s="3"/>
      <c r="L64" s="3"/>
      <c r="M64" s="3"/>
      <c r="N64" s="3"/>
      <c r="O64" s="3"/>
      <c r="P64" s="3"/>
      <c r="Q64" s="3"/>
      <c r="R64" s="3"/>
      <c r="S64" s="3"/>
      <c r="T64" s="3"/>
      <c r="U64" s="3"/>
      <c r="V64" s="3"/>
      <c r="W64" s="3"/>
      <c r="X64" s="3"/>
      <c r="Y64" s="3"/>
    </row>
    <row r="65" spans="1:25" ht="15.75" customHeight="1">
      <c r="A65" s="3"/>
      <c r="B65" s="32"/>
      <c r="C65" s="32"/>
      <c r="D65" s="3"/>
      <c r="E65" s="32">
        <f>+B56-E56</f>
        <v>0</v>
      </c>
      <c r="F65" s="3"/>
      <c r="G65" s="3"/>
      <c r="H65" s="3"/>
      <c r="I65" s="3"/>
      <c r="J65" s="3"/>
      <c r="K65" s="3"/>
      <c r="L65" s="3"/>
      <c r="M65" s="3"/>
      <c r="N65" s="3"/>
      <c r="O65" s="3"/>
      <c r="P65" s="3"/>
      <c r="Q65" s="3"/>
      <c r="R65" s="3"/>
      <c r="S65" s="3"/>
      <c r="T65" s="3"/>
      <c r="U65" s="3"/>
      <c r="V65" s="3"/>
      <c r="W65" s="3"/>
      <c r="X65" s="3"/>
      <c r="Y65" s="3"/>
    </row>
    <row r="66" spans="1:25" ht="15.75" customHeight="1">
      <c r="A66" s="3"/>
      <c r="B66" s="3"/>
      <c r="C66" s="3"/>
      <c r="D66" s="3"/>
      <c r="E66" s="32"/>
      <c r="F66" s="3"/>
      <c r="G66" s="3"/>
      <c r="H66" s="3"/>
      <c r="I66" s="3"/>
      <c r="J66" s="3"/>
      <c r="K66" s="3"/>
      <c r="L66" s="3"/>
      <c r="M66" s="3"/>
      <c r="N66" s="3"/>
      <c r="O66" s="3"/>
      <c r="P66" s="3"/>
      <c r="Q66" s="3"/>
      <c r="R66" s="3"/>
      <c r="S66" s="3"/>
      <c r="T66" s="3"/>
      <c r="U66" s="3"/>
      <c r="V66" s="3"/>
      <c r="W66" s="3"/>
      <c r="X66" s="3"/>
      <c r="Y66" s="3"/>
    </row>
    <row r="67" spans="1:25" ht="15.75" customHeight="1">
      <c r="A67" s="3"/>
      <c r="B67" s="3"/>
      <c r="C67" s="3"/>
      <c r="D67" s="3"/>
      <c r="E67" s="32"/>
      <c r="F67" s="3"/>
      <c r="G67" s="3"/>
      <c r="H67" s="3"/>
      <c r="I67" s="3"/>
      <c r="J67" s="3"/>
      <c r="K67" s="3"/>
      <c r="L67" s="3"/>
      <c r="M67" s="3"/>
      <c r="N67" s="3"/>
      <c r="O67" s="3"/>
      <c r="P67" s="3"/>
      <c r="Q67" s="3"/>
      <c r="R67" s="3"/>
      <c r="S67" s="3"/>
      <c r="T67" s="3"/>
      <c r="U67" s="3"/>
      <c r="V67" s="3"/>
      <c r="W67" s="3"/>
      <c r="X67" s="3"/>
      <c r="Y67" s="3"/>
    </row>
    <row r="68" spans="1:25" ht="15.75" customHeight="1">
      <c r="A68" s="3"/>
      <c r="B68" s="3"/>
      <c r="C68" s="3"/>
      <c r="D68" s="3"/>
      <c r="E68" s="32"/>
      <c r="F68" s="3"/>
      <c r="G68" s="3"/>
      <c r="H68" s="3"/>
      <c r="I68" s="3"/>
      <c r="J68" s="3"/>
      <c r="K68" s="3"/>
      <c r="L68" s="3"/>
      <c r="M68" s="3"/>
      <c r="N68" s="3"/>
      <c r="O68" s="3"/>
      <c r="P68" s="3"/>
      <c r="Q68" s="3"/>
      <c r="R68" s="3"/>
      <c r="S68" s="3"/>
      <c r="T68" s="3"/>
      <c r="U68" s="3"/>
      <c r="V68" s="3"/>
      <c r="W68" s="3"/>
      <c r="X68" s="3"/>
      <c r="Y68" s="3"/>
    </row>
    <row r="69" spans="1:25"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spans="1:25"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spans="1:25"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spans="1:25"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spans="1:25"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spans="1:25"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spans="1:2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spans="1:25"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spans="1:25"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spans="1:25"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spans="1:25"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spans="1:25"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spans="1:25"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spans="1:25"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spans="1:25"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spans="1:25"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spans="1:2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spans="1:25"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spans="1:25"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spans="1:25"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spans="1:25"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spans="1:25"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spans="1:25"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spans="1:25"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spans="1:25"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spans="1:25"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spans="1:2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spans="1:25"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spans="1:25"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spans="1:25"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spans="1:25"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spans="1:25"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r:id="rId1"/>
  <ignoredErrors>
    <ignoredError sqref="E50"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701"/>
  <sheetViews>
    <sheetView topLeftCell="A10" zoomScale="80" zoomScaleNormal="80" workbookViewId="0">
      <selection activeCell="C505" sqref="C505"/>
    </sheetView>
  </sheetViews>
  <sheetFormatPr baseColWidth="10" defaultColWidth="12.58203125" defaultRowHeight="15" customHeight="1"/>
  <cols>
    <col min="1" max="1" width="56.1640625" customWidth="1"/>
    <col min="2" max="2" width="34.58203125" customWidth="1"/>
    <col min="3" max="3" width="16.6640625" customWidth="1"/>
    <col min="4" max="4" width="14.5" customWidth="1"/>
    <col min="5" max="5" width="17.4140625" customWidth="1"/>
    <col min="6" max="6" width="16.6640625" customWidth="1"/>
    <col min="7" max="7" width="14.5" customWidth="1"/>
    <col min="8" max="8" width="15.9140625" customWidth="1"/>
    <col min="9" max="9" width="16.6640625" customWidth="1"/>
    <col min="10" max="10" width="14.5" customWidth="1"/>
    <col min="11" max="11" width="15.9140625" customWidth="1"/>
    <col min="12" max="12" width="16.6640625" customWidth="1"/>
    <col min="13" max="13" width="14.5" customWidth="1"/>
    <col min="14" max="14" width="15.9140625" customWidth="1"/>
    <col min="15" max="15" width="16.6640625" customWidth="1"/>
    <col min="16" max="16" width="14.5" customWidth="1"/>
    <col min="17" max="17" width="15.9140625" customWidth="1"/>
    <col min="18" max="18" width="16.6640625" customWidth="1"/>
    <col min="19" max="19" width="14.5" customWidth="1"/>
    <col min="20" max="20" width="15.9140625" customWidth="1"/>
    <col min="21" max="21" width="16.6640625" customWidth="1"/>
    <col min="22" max="22" width="14.5" customWidth="1"/>
    <col min="23" max="23" width="15.9140625" customWidth="1"/>
    <col min="24" max="24" width="16.6640625" customWidth="1"/>
    <col min="25" max="25" width="14.5" customWidth="1"/>
    <col min="26" max="26" width="15.9140625" customWidth="1"/>
    <col min="27" max="27" width="16.6640625" customWidth="1"/>
    <col min="28" max="28" width="14.5" customWidth="1"/>
    <col min="29" max="29" width="15.9140625" customWidth="1"/>
    <col min="30" max="30" width="16.6640625" customWidth="1"/>
    <col min="31" max="31" width="14.5" customWidth="1"/>
    <col min="32" max="32" width="15.9140625" customWidth="1"/>
    <col min="33" max="33" width="16.6640625" customWidth="1"/>
    <col min="34" max="34" width="14.5" customWidth="1"/>
    <col min="35" max="35" width="15.9140625" customWidth="1"/>
    <col min="36" max="36" width="16.6640625" customWidth="1"/>
    <col min="37" max="37" width="14.5" customWidth="1"/>
    <col min="38" max="38" width="15.9140625" customWidth="1"/>
    <col min="39" max="39" width="16.6640625" customWidth="1"/>
    <col min="40" max="40" width="14.5" customWidth="1"/>
    <col min="41" max="41" width="15.9140625" customWidth="1"/>
    <col min="42" max="61" width="11" customWidth="1"/>
  </cols>
  <sheetData>
    <row r="1" spans="1:61" ht="41.25" customHeight="1">
      <c r="A1" s="33"/>
      <c r="B1" s="972" t="str">
        <f>"Budget 2024 Mensuel Révisé"&amp;" "&amp;Parametres!$B$1</f>
        <v>Budget 2024 Mensuel Révisé Volks</v>
      </c>
      <c r="C1" s="973"/>
      <c r="D1" s="973"/>
      <c r="E1" s="973"/>
      <c r="F1" s="973"/>
      <c r="G1" s="973"/>
      <c r="H1" s="973"/>
      <c r="I1" s="973"/>
      <c r="J1" s="973"/>
      <c r="K1" s="973"/>
      <c r="L1" s="973"/>
      <c r="M1" s="973"/>
      <c r="N1" s="973"/>
      <c r="O1" s="973"/>
      <c r="P1" s="973"/>
      <c r="Q1" s="973"/>
      <c r="R1" s="973"/>
      <c r="S1" s="973"/>
      <c r="T1" s="973"/>
      <c r="U1" s="973"/>
      <c r="V1" s="973"/>
      <c r="W1" s="973"/>
      <c r="X1" s="973"/>
      <c r="Y1" s="973"/>
      <c r="Z1" s="973"/>
      <c r="AA1" s="973"/>
      <c r="AB1" s="973"/>
      <c r="AC1" s="973"/>
      <c r="AD1" s="973"/>
      <c r="AE1" s="973"/>
      <c r="AF1" s="973"/>
      <c r="AG1" s="973"/>
      <c r="AH1" s="973"/>
      <c r="AI1" s="973"/>
      <c r="AJ1" s="973"/>
      <c r="AK1" s="973"/>
      <c r="AL1" s="973"/>
      <c r="AM1" s="973"/>
      <c r="AN1" s="973"/>
      <c r="AO1" s="973"/>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X</v>
      </c>
      <c r="J2" s="35" t="str">
        <f>+IF(Parametres!$B$3=I$6,"O","")</f>
        <v>O</v>
      </c>
      <c r="K2" s="35" t="str">
        <f>+IF(Parametres!$B$3=I$6,"U","")</f>
        <v>U</v>
      </c>
      <c r="L2" s="35" t="str">
        <f>+IF(Parametres!$B$3=L$6,"X","")</f>
        <v/>
      </c>
      <c r="M2" s="35" t="str">
        <f>+IF(Parametres!$B$3=L$6,"O","")</f>
        <v/>
      </c>
      <c r="N2" s="35" t="str">
        <f>+IF(Parametres!$B$3=L$6,"U","")</f>
        <v/>
      </c>
      <c r="O2" s="35" t="str">
        <f>+IF(Parametres!$B$3=O$6,"X","")</f>
        <v/>
      </c>
      <c r="P2" s="35" t="str">
        <f>+IF(Parametres!$B$3=O$6,"O","")</f>
        <v/>
      </c>
      <c r="Q2" s="35" t="str">
        <f>+IF(Parametres!$B$3=O$6,"U","")</f>
        <v/>
      </c>
      <c r="R2" s="35" t="str">
        <f>+IF(Parametres!$B$3=R$6,"X","")</f>
        <v/>
      </c>
      <c r="S2" s="35" t="str">
        <f>+IF(Parametres!$B$3=R$6,"O","")</f>
        <v/>
      </c>
      <c r="T2" s="35" t="str">
        <f>+IF(Parametres!$B$3=R$6,"U","")</f>
        <v/>
      </c>
      <c r="U2" s="35" t="str">
        <f>+IF(Parametres!$B$3=U$6,"X","")</f>
        <v/>
      </c>
      <c r="V2" s="35" t="str">
        <f>+IF(Parametres!$B$3=U$6,"O","")</f>
        <v/>
      </c>
      <c r="W2" s="35" t="str">
        <f>+IF(Parametres!$B$3=U$6,"U","")</f>
        <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
      </c>
      <c r="M3" s="9" t="str">
        <f>+IF(VLOOKUP(L$6,Parametres!$K$3:$N$14,4,0)="X","O","")</f>
        <v/>
      </c>
      <c r="N3" s="9" t="str">
        <f>+IF(VLOOKUP(L$6,Parametres!$K$3:$N$14,4,0)="X","U","")</f>
        <v/>
      </c>
      <c r="O3" s="9" t="str">
        <f>+IF(VLOOKUP(O$6,Parametres!$K$3:$N$14,4,0)="X","X","")</f>
        <v/>
      </c>
      <c r="P3" s="9" t="str">
        <f>+IF(VLOOKUP(O$6,Parametres!$K$3:$N$14,4,0)="X","O","")</f>
        <v/>
      </c>
      <c r="Q3" s="9" t="str">
        <f>+IF(VLOOKUP(O$6,Parametres!$K$3:$N$14,4,0)="X","U","")</f>
        <v/>
      </c>
      <c r="R3" s="9" t="str">
        <f>+IF(VLOOKUP(R$6,Parametres!$K$3:$N$14,4,0)="X","X","")</f>
        <v/>
      </c>
      <c r="S3" s="9" t="str">
        <f>+IF(VLOOKUP(R$6,Parametres!$K$3:$N$14,4,0)="X","O","")</f>
        <v/>
      </c>
      <c r="T3" s="9" t="str">
        <f>+IF(VLOOKUP(R$6,Parametres!$K$3:$N$14,4,0)="X","U","")</f>
        <v/>
      </c>
      <c r="U3" s="9" t="str">
        <f>+IF(VLOOKUP(U$6,Parametres!$K$3:$N$14,4,0)="X","X","")</f>
        <v/>
      </c>
      <c r="V3" s="9" t="str">
        <f>+IF(VLOOKUP(U$6,Parametres!$K$3:$N$14,4,0)="X","O","")</f>
        <v/>
      </c>
      <c r="W3" s="9" t="str">
        <f>+IF(VLOOKUP(U$6,Parametres!$K$3:$N$14,4,0)="X","U","")</f>
        <v/>
      </c>
      <c r="X3" s="9" t="str">
        <f>+IF(VLOOKUP(X$6,Parametres!$K$3:$N$14,4,0)="X","X","")</f>
        <v/>
      </c>
      <c r="Y3" s="9" t="str">
        <f>+IF(VLOOKUP(X$6,Parametres!$K$3:$N$14,4,0)="X","O","")</f>
        <v/>
      </c>
      <c r="Z3" s="9" t="str">
        <f>+IF(VLOOKUP(X$6,Parametres!$K$3:$N$14,4,0)="X","U","")</f>
        <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
      <c r="A4" s="9"/>
      <c r="B4" s="9" t="s">
        <v>3934</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0">
      <c r="A6" s="39"/>
      <c r="B6" s="40" t="s">
        <v>3</v>
      </c>
      <c r="C6" s="969">
        <v>2025</v>
      </c>
      <c r="D6" s="970"/>
      <c r="E6" s="971"/>
      <c r="F6" s="729" t="s">
        <v>8</v>
      </c>
      <c r="G6" s="730"/>
      <c r="H6" s="731"/>
      <c r="I6" s="729" t="s">
        <v>10</v>
      </c>
      <c r="J6" s="730"/>
      <c r="K6" s="731"/>
      <c r="L6" s="729" t="s">
        <v>11</v>
      </c>
      <c r="M6" s="730"/>
      <c r="N6" s="731"/>
      <c r="O6" s="729" t="s">
        <v>12</v>
      </c>
      <c r="P6" s="730"/>
      <c r="Q6" s="731"/>
      <c r="R6" s="729" t="s">
        <v>13</v>
      </c>
      <c r="S6" s="730"/>
      <c r="T6" s="731"/>
      <c r="U6" s="729" t="s">
        <v>14</v>
      </c>
      <c r="V6" s="730"/>
      <c r="W6" s="731"/>
      <c r="X6" s="729" t="s">
        <v>16</v>
      </c>
      <c r="Y6" s="730"/>
      <c r="Z6" s="731"/>
      <c r="AA6" s="729" t="s">
        <v>18</v>
      </c>
      <c r="AB6" s="730"/>
      <c r="AC6" s="731"/>
      <c r="AD6" s="729" t="s">
        <v>20</v>
      </c>
      <c r="AE6" s="730"/>
      <c r="AF6" s="731"/>
      <c r="AG6" s="729" t="s">
        <v>22</v>
      </c>
      <c r="AH6" s="730"/>
      <c r="AI6" s="731"/>
      <c r="AJ6" s="729" t="s">
        <v>23</v>
      </c>
      <c r="AK6" s="730"/>
      <c r="AL6" s="731"/>
      <c r="AM6" s="729" t="s">
        <v>6</v>
      </c>
      <c r="AN6" s="730"/>
      <c r="AO6" s="731"/>
      <c r="AP6" s="41"/>
      <c r="AQ6" s="41"/>
      <c r="AR6" s="41"/>
      <c r="AS6" s="41"/>
      <c r="AT6" s="41"/>
      <c r="AU6" s="41"/>
      <c r="AV6" s="41"/>
      <c r="AW6" s="41"/>
      <c r="AX6" s="41"/>
      <c r="AY6" s="41"/>
      <c r="AZ6" s="41"/>
      <c r="BA6" s="41"/>
      <c r="BB6" s="41"/>
      <c r="BC6" s="41"/>
      <c r="BD6" s="41"/>
      <c r="BE6" s="41"/>
      <c r="BF6" s="41"/>
      <c r="BG6" s="41"/>
      <c r="BH6" s="41"/>
      <c r="BI6" s="41"/>
    </row>
    <row r="7" spans="1:61" ht="20">
      <c r="A7" s="39"/>
      <c r="B7" s="42"/>
      <c r="C7" s="732" t="s">
        <v>93</v>
      </c>
      <c r="D7" s="733" t="s">
        <v>94</v>
      </c>
      <c r="E7" s="734" t="s">
        <v>95</v>
      </c>
      <c r="F7" s="732" t="s">
        <v>93</v>
      </c>
      <c r="G7" s="733" t="s">
        <v>94</v>
      </c>
      <c r="H7" s="734" t="s">
        <v>95</v>
      </c>
      <c r="I7" s="732" t="s">
        <v>93</v>
      </c>
      <c r="J7" s="733" t="s">
        <v>94</v>
      </c>
      <c r="K7" s="734" t="s">
        <v>95</v>
      </c>
      <c r="L7" s="732" t="s">
        <v>93</v>
      </c>
      <c r="M7" s="733" t="s">
        <v>94</v>
      </c>
      <c r="N7" s="734" t="s">
        <v>95</v>
      </c>
      <c r="O7" s="732" t="s">
        <v>93</v>
      </c>
      <c r="P7" s="733" t="s">
        <v>94</v>
      </c>
      <c r="Q7" s="734" t="s">
        <v>95</v>
      </c>
      <c r="R7" s="732" t="s">
        <v>93</v>
      </c>
      <c r="S7" s="733" t="s">
        <v>94</v>
      </c>
      <c r="T7" s="734" t="s">
        <v>95</v>
      </c>
      <c r="U7" s="732" t="s">
        <v>93</v>
      </c>
      <c r="V7" s="733" t="s">
        <v>94</v>
      </c>
      <c r="W7" s="734" t="s">
        <v>95</v>
      </c>
      <c r="X7" s="732" t="s">
        <v>93</v>
      </c>
      <c r="Y7" s="733" t="s">
        <v>94</v>
      </c>
      <c r="Z7" s="734" t="s">
        <v>95</v>
      </c>
      <c r="AA7" s="732" t="s">
        <v>93</v>
      </c>
      <c r="AB7" s="733" t="s">
        <v>94</v>
      </c>
      <c r="AC7" s="734" t="s">
        <v>95</v>
      </c>
      <c r="AD7" s="732" t="s">
        <v>93</v>
      </c>
      <c r="AE7" s="733" t="s">
        <v>94</v>
      </c>
      <c r="AF7" s="734" t="s">
        <v>95</v>
      </c>
      <c r="AG7" s="732" t="s">
        <v>93</v>
      </c>
      <c r="AH7" s="733" t="s">
        <v>94</v>
      </c>
      <c r="AI7" s="734" t="s">
        <v>95</v>
      </c>
      <c r="AJ7" s="732" t="s">
        <v>93</v>
      </c>
      <c r="AK7" s="733" t="s">
        <v>94</v>
      </c>
      <c r="AL7" s="734" t="s">
        <v>95</v>
      </c>
      <c r="AM7" s="732" t="s">
        <v>93</v>
      </c>
      <c r="AN7" s="733" t="s">
        <v>94</v>
      </c>
      <c r="AO7" s="734" t="s">
        <v>95</v>
      </c>
      <c r="AP7" s="41"/>
      <c r="AQ7" s="41"/>
      <c r="AR7" s="41"/>
      <c r="AS7" s="41"/>
      <c r="AT7" s="41"/>
      <c r="AU7" s="41"/>
      <c r="AV7" s="41"/>
      <c r="AW7" s="41"/>
      <c r="AX7" s="41"/>
      <c r="AY7" s="41"/>
      <c r="AZ7" s="41"/>
      <c r="BA7" s="41"/>
      <c r="BB7" s="41"/>
      <c r="BC7" s="41"/>
      <c r="BD7" s="41"/>
      <c r="BE7" s="41"/>
      <c r="BF7" s="41"/>
      <c r="BG7" s="41"/>
      <c r="BH7" s="41"/>
      <c r="BI7" s="41"/>
    </row>
    <row r="8" spans="1:61" ht="20">
      <c r="A8" s="39" t="str">
        <f t="shared" ref="A8:A88" si="0">+$C$4&amp;B8</f>
        <v>Véhicules neufsVentes nettes</v>
      </c>
      <c r="B8" s="43" t="s">
        <v>96</v>
      </c>
      <c r="C8" s="735"/>
      <c r="D8" s="736"/>
      <c r="E8" s="737">
        <v>42012201.801665038</v>
      </c>
      <c r="F8" s="735"/>
      <c r="G8" s="736"/>
      <c r="H8" s="738">
        <v>2738793.1171082277</v>
      </c>
      <c r="I8" s="735"/>
      <c r="J8" s="736"/>
      <c r="K8" s="738">
        <v>2857429.7225132226</v>
      </c>
      <c r="L8" s="735"/>
      <c r="M8" s="736"/>
      <c r="N8" s="738">
        <v>3142915.1351248776</v>
      </c>
      <c r="O8" s="735"/>
      <c r="P8" s="736"/>
      <c r="Q8" s="738">
        <v>3150915.1351248776</v>
      </c>
      <c r="R8" s="735"/>
      <c r="S8" s="736"/>
      <c r="T8" s="738">
        <v>3234339.5387282078</v>
      </c>
      <c r="U8" s="735"/>
      <c r="V8" s="736"/>
      <c r="W8" s="738">
        <v>3782098.1621498531</v>
      </c>
      <c r="X8" s="735"/>
      <c r="Y8" s="736"/>
      <c r="Z8" s="738">
        <v>3782098.1621498531</v>
      </c>
      <c r="AA8" s="735"/>
      <c r="AB8" s="736"/>
      <c r="AC8" s="738">
        <v>4621342.1981831538</v>
      </c>
      <c r="AD8" s="735"/>
      <c r="AE8" s="736"/>
      <c r="AF8" s="738">
        <v>3359976.1441332032</v>
      </c>
      <c r="AG8" s="735"/>
      <c r="AH8" s="736"/>
      <c r="AI8" s="738">
        <v>3781098.1621498531</v>
      </c>
      <c r="AJ8" s="735"/>
      <c r="AK8" s="736"/>
      <c r="AL8" s="738">
        <v>4620342.1981831538</v>
      </c>
      <c r="AM8" s="735"/>
      <c r="AN8" s="736"/>
      <c r="AO8" s="738">
        <v>2940854.1261165529</v>
      </c>
      <c r="AP8" s="41"/>
      <c r="AQ8" s="41"/>
      <c r="AR8" s="41"/>
      <c r="AS8" s="41"/>
      <c r="AT8" s="41"/>
      <c r="AU8" s="41"/>
      <c r="AV8" s="41"/>
      <c r="AW8" s="41"/>
      <c r="AX8" s="41"/>
      <c r="AY8" s="41"/>
      <c r="AZ8" s="41"/>
      <c r="BA8" s="41"/>
      <c r="BB8" s="41"/>
      <c r="BC8" s="41"/>
      <c r="BD8" s="41"/>
      <c r="BE8" s="41"/>
      <c r="BF8" s="41"/>
      <c r="BG8" s="41"/>
      <c r="BH8" s="41"/>
      <c r="BI8" s="41"/>
    </row>
    <row r="9" spans="1:61" ht="20">
      <c r="A9" s="39" t="str">
        <f t="shared" si="0"/>
        <v>Véhicules neufsAutos détail</v>
      </c>
      <c r="B9" s="44" t="s">
        <v>97</v>
      </c>
      <c r="C9" s="739">
        <v>206</v>
      </c>
      <c r="D9" s="740">
        <v>1953.6491683802797</v>
      </c>
      <c r="E9" s="741">
        <v>402451.72868633759</v>
      </c>
      <c r="F9" s="742">
        <v>15</v>
      </c>
      <c r="G9" s="740">
        <v>1953.6491683802794</v>
      </c>
      <c r="H9" s="743">
        <v>29304.737525704193</v>
      </c>
      <c r="I9" s="742">
        <v>14</v>
      </c>
      <c r="J9" s="740">
        <v>1953.6491683802797</v>
      </c>
      <c r="K9" s="743">
        <v>27351.088357323915</v>
      </c>
      <c r="L9" s="742">
        <v>13</v>
      </c>
      <c r="M9" s="740">
        <v>1953.6491683802799</v>
      </c>
      <c r="N9" s="743">
        <v>25397.439188943637</v>
      </c>
      <c r="O9" s="742">
        <v>15</v>
      </c>
      <c r="P9" s="740">
        <v>1953.6491683802794</v>
      </c>
      <c r="Q9" s="743">
        <v>29304.737525704193</v>
      </c>
      <c r="R9" s="742">
        <v>16</v>
      </c>
      <c r="S9" s="740">
        <v>1953.6491683802797</v>
      </c>
      <c r="T9" s="743">
        <v>31258.386694084475</v>
      </c>
      <c r="U9" s="742">
        <v>19</v>
      </c>
      <c r="V9" s="740">
        <v>1953.6491683802797</v>
      </c>
      <c r="W9" s="743">
        <v>37119.334199225312</v>
      </c>
      <c r="X9" s="742">
        <v>19</v>
      </c>
      <c r="Y9" s="740">
        <v>1953.6491683802797</v>
      </c>
      <c r="Z9" s="743">
        <v>37119.334199225312</v>
      </c>
      <c r="AA9" s="742">
        <v>23</v>
      </c>
      <c r="AB9" s="740">
        <v>1953.6491683802797</v>
      </c>
      <c r="AC9" s="743">
        <v>44933.93087274643</v>
      </c>
      <c r="AD9" s="742">
        <v>16</v>
      </c>
      <c r="AE9" s="740">
        <v>1953.6491683802797</v>
      </c>
      <c r="AF9" s="743">
        <v>31258.386694084475</v>
      </c>
      <c r="AG9" s="742">
        <v>19</v>
      </c>
      <c r="AH9" s="740">
        <v>1953.6491683802797</v>
      </c>
      <c r="AI9" s="743">
        <v>37119.334199225312</v>
      </c>
      <c r="AJ9" s="742">
        <v>23</v>
      </c>
      <c r="AK9" s="740">
        <v>1953.6491683802797</v>
      </c>
      <c r="AL9" s="743">
        <v>44933.93087274643</v>
      </c>
      <c r="AM9" s="742">
        <v>14</v>
      </c>
      <c r="AN9" s="740">
        <v>1953.6491683802797</v>
      </c>
      <c r="AO9" s="743">
        <v>27351.088357323915</v>
      </c>
      <c r="AP9" s="41"/>
      <c r="AQ9" s="41"/>
      <c r="AR9" s="41"/>
      <c r="AS9" s="41"/>
      <c r="AT9" s="41"/>
      <c r="AU9" s="41"/>
      <c r="AV9" s="41"/>
      <c r="AW9" s="41"/>
      <c r="AX9" s="41"/>
      <c r="AY9" s="41"/>
      <c r="AZ9" s="41"/>
      <c r="BA9" s="41"/>
      <c r="BB9" s="41"/>
      <c r="BC9" s="41"/>
      <c r="BD9" s="41"/>
      <c r="BE9" s="41"/>
      <c r="BF9" s="41"/>
      <c r="BG9" s="41"/>
      <c r="BH9" s="41"/>
      <c r="BI9" s="41"/>
    </row>
    <row r="10" spans="1:61" ht="20">
      <c r="A10" s="39" t="str">
        <f t="shared" si="0"/>
        <v>Véhicules neufsCamions détail</v>
      </c>
      <c r="B10" s="44" t="s">
        <v>98</v>
      </c>
      <c r="C10" s="739">
        <v>555</v>
      </c>
      <c r="D10" s="740">
        <v>2435.9046775963693</v>
      </c>
      <c r="E10" s="741">
        <v>1351927.096065985</v>
      </c>
      <c r="F10" s="742">
        <v>42</v>
      </c>
      <c r="G10" s="740">
        <v>2435.9046775963693</v>
      </c>
      <c r="H10" s="743">
        <v>102307.99645904751</v>
      </c>
      <c r="I10" s="742">
        <v>38</v>
      </c>
      <c r="J10" s="740">
        <v>2435.9046775963693</v>
      </c>
      <c r="K10" s="743">
        <v>92564.377748662038</v>
      </c>
      <c r="L10" s="742">
        <v>36</v>
      </c>
      <c r="M10" s="740">
        <v>2435.9046775963693</v>
      </c>
      <c r="N10" s="743">
        <v>87692.568393469293</v>
      </c>
      <c r="O10" s="742">
        <v>42</v>
      </c>
      <c r="P10" s="740">
        <v>2435.9046775963693</v>
      </c>
      <c r="Q10" s="743">
        <v>102307.99645904751</v>
      </c>
      <c r="R10" s="742">
        <v>43</v>
      </c>
      <c r="S10" s="740">
        <v>2435.9046775963693</v>
      </c>
      <c r="T10" s="743">
        <v>104743.90113664388</v>
      </c>
      <c r="U10" s="742">
        <v>50</v>
      </c>
      <c r="V10" s="740">
        <v>2435.9046775963693</v>
      </c>
      <c r="W10" s="743">
        <v>121795.23387981846</v>
      </c>
      <c r="X10" s="742">
        <v>50</v>
      </c>
      <c r="Y10" s="740">
        <v>2435.9046775963693</v>
      </c>
      <c r="Z10" s="743">
        <v>121795.23387981846</v>
      </c>
      <c r="AA10" s="742">
        <v>61</v>
      </c>
      <c r="AB10" s="740">
        <v>2435.9046775963693</v>
      </c>
      <c r="AC10" s="743">
        <v>148590.18533337853</v>
      </c>
      <c r="AD10" s="742">
        <v>44</v>
      </c>
      <c r="AE10" s="740">
        <v>2435.9046775963693</v>
      </c>
      <c r="AF10" s="743">
        <v>107179.80581424024</v>
      </c>
      <c r="AG10" s="742">
        <v>50</v>
      </c>
      <c r="AH10" s="740">
        <v>2435.9046775963693</v>
      </c>
      <c r="AI10" s="743">
        <v>121795.23387981846</v>
      </c>
      <c r="AJ10" s="742">
        <v>60</v>
      </c>
      <c r="AK10" s="740">
        <v>2435.9046775963693</v>
      </c>
      <c r="AL10" s="743">
        <v>146154.28065578215</v>
      </c>
      <c r="AM10" s="742">
        <v>39</v>
      </c>
      <c r="AN10" s="740">
        <v>2435.9046775963693</v>
      </c>
      <c r="AO10" s="743">
        <v>95000.282426258404</v>
      </c>
      <c r="AP10" s="41"/>
      <c r="AQ10" s="41"/>
      <c r="AR10" s="41"/>
      <c r="AS10" s="41"/>
      <c r="AT10" s="41"/>
      <c r="AU10" s="41"/>
      <c r="AV10" s="41"/>
      <c r="AW10" s="41"/>
      <c r="AX10" s="41"/>
      <c r="AY10" s="41"/>
      <c r="AZ10" s="41"/>
      <c r="BA10" s="41"/>
      <c r="BB10" s="41"/>
      <c r="BC10" s="41"/>
      <c r="BD10" s="41"/>
      <c r="BE10" s="41"/>
      <c r="BF10" s="41"/>
      <c r="BG10" s="41"/>
      <c r="BH10" s="41"/>
      <c r="BI10" s="41"/>
    </row>
    <row r="11" spans="1:61" ht="20">
      <c r="A11" s="39" t="str">
        <f t="shared" si="0"/>
        <v>Véhicules neufsSprinter</v>
      </c>
      <c r="B11" s="44" t="s">
        <v>99</v>
      </c>
      <c r="C11" s="739">
        <v>0</v>
      </c>
      <c r="D11" s="740">
        <v>0</v>
      </c>
      <c r="E11" s="741">
        <v>0</v>
      </c>
      <c r="F11" s="742">
        <v>0</v>
      </c>
      <c r="G11" s="740">
        <v>0</v>
      </c>
      <c r="H11" s="743">
        <v>0</v>
      </c>
      <c r="I11" s="742">
        <v>0</v>
      </c>
      <c r="J11" s="740">
        <v>0</v>
      </c>
      <c r="K11" s="743">
        <v>0</v>
      </c>
      <c r="L11" s="742">
        <v>0</v>
      </c>
      <c r="M11" s="740">
        <v>0</v>
      </c>
      <c r="N11" s="743">
        <v>0</v>
      </c>
      <c r="O11" s="742">
        <v>0</v>
      </c>
      <c r="P11" s="740">
        <v>0</v>
      </c>
      <c r="Q11" s="743">
        <v>0</v>
      </c>
      <c r="R11" s="742">
        <v>0</v>
      </c>
      <c r="S11" s="740">
        <v>0</v>
      </c>
      <c r="T11" s="743">
        <v>0</v>
      </c>
      <c r="U11" s="742">
        <v>0</v>
      </c>
      <c r="V11" s="740">
        <v>0</v>
      </c>
      <c r="W11" s="743">
        <v>0</v>
      </c>
      <c r="X11" s="742">
        <v>0</v>
      </c>
      <c r="Y11" s="740">
        <v>0</v>
      </c>
      <c r="Z11" s="743">
        <v>0</v>
      </c>
      <c r="AA11" s="742">
        <v>0</v>
      </c>
      <c r="AB11" s="740">
        <v>0</v>
      </c>
      <c r="AC11" s="743">
        <v>0</v>
      </c>
      <c r="AD11" s="742">
        <v>0</v>
      </c>
      <c r="AE11" s="740">
        <v>0</v>
      </c>
      <c r="AF11" s="743">
        <v>0</v>
      </c>
      <c r="AG11" s="742">
        <v>0</v>
      </c>
      <c r="AH11" s="740">
        <v>0</v>
      </c>
      <c r="AI11" s="743">
        <v>0</v>
      </c>
      <c r="AJ11" s="742">
        <v>0</v>
      </c>
      <c r="AK11" s="740">
        <v>0</v>
      </c>
      <c r="AL11" s="743">
        <v>0</v>
      </c>
      <c r="AM11" s="742">
        <v>0</v>
      </c>
      <c r="AN11" s="740">
        <v>0</v>
      </c>
      <c r="AO11" s="743">
        <v>0</v>
      </c>
      <c r="AP11" s="41"/>
      <c r="AQ11" s="41"/>
      <c r="AR11" s="41"/>
      <c r="AS11" s="41"/>
      <c r="AT11" s="41"/>
      <c r="AU11" s="41"/>
      <c r="AV11" s="41"/>
      <c r="AW11" s="41"/>
      <c r="AX11" s="41"/>
      <c r="AY11" s="41"/>
      <c r="AZ11" s="41"/>
      <c r="BA11" s="41"/>
      <c r="BB11" s="41"/>
      <c r="BC11" s="41"/>
      <c r="BD11" s="41"/>
      <c r="BE11" s="41"/>
      <c r="BF11" s="41"/>
      <c r="BG11" s="41"/>
      <c r="BH11" s="41"/>
      <c r="BI11" s="41"/>
    </row>
    <row r="12" spans="1:61" ht="20">
      <c r="A12" s="39" t="str">
        <f t="shared" si="0"/>
        <v>Véhicules neufsMoto détail</v>
      </c>
      <c r="B12" s="44" t="s">
        <v>100</v>
      </c>
      <c r="C12" s="739">
        <v>0</v>
      </c>
      <c r="D12" s="740">
        <v>0</v>
      </c>
      <c r="E12" s="741">
        <v>0</v>
      </c>
      <c r="F12" s="742">
        <v>0</v>
      </c>
      <c r="G12" s="740">
        <v>0</v>
      </c>
      <c r="H12" s="743">
        <v>0</v>
      </c>
      <c r="I12" s="742">
        <v>0</v>
      </c>
      <c r="J12" s="740">
        <v>0</v>
      </c>
      <c r="K12" s="743">
        <v>0</v>
      </c>
      <c r="L12" s="742">
        <v>0</v>
      </c>
      <c r="M12" s="740">
        <v>0</v>
      </c>
      <c r="N12" s="743">
        <v>0</v>
      </c>
      <c r="O12" s="742">
        <v>0</v>
      </c>
      <c r="P12" s="740">
        <v>0</v>
      </c>
      <c r="Q12" s="743">
        <v>0</v>
      </c>
      <c r="R12" s="742">
        <v>0</v>
      </c>
      <c r="S12" s="740">
        <v>0</v>
      </c>
      <c r="T12" s="743">
        <v>0</v>
      </c>
      <c r="U12" s="742">
        <v>0</v>
      </c>
      <c r="V12" s="740">
        <v>0</v>
      </c>
      <c r="W12" s="743">
        <v>0</v>
      </c>
      <c r="X12" s="742">
        <v>0</v>
      </c>
      <c r="Y12" s="740">
        <v>0</v>
      </c>
      <c r="Z12" s="743">
        <v>0</v>
      </c>
      <c r="AA12" s="742">
        <v>0</v>
      </c>
      <c r="AB12" s="740">
        <v>0</v>
      </c>
      <c r="AC12" s="743">
        <v>0</v>
      </c>
      <c r="AD12" s="742">
        <v>0</v>
      </c>
      <c r="AE12" s="740">
        <v>0</v>
      </c>
      <c r="AF12" s="743">
        <v>0</v>
      </c>
      <c r="AG12" s="742">
        <v>0</v>
      </c>
      <c r="AH12" s="740">
        <v>0</v>
      </c>
      <c r="AI12" s="743">
        <v>0</v>
      </c>
      <c r="AJ12" s="742">
        <v>0</v>
      </c>
      <c r="AK12" s="740">
        <v>0</v>
      </c>
      <c r="AL12" s="743">
        <v>0</v>
      </c>
      <c r="AM12" s="742">
        <v>0</v>
      </c>
      <c r="AN12" s="740">
        <v>0</v>
      </c>
      <c r="AO12" s="743">
        <v>0</v>
      </c>
      <c r="AP12" s="41"/>
      <c r="AQ12" s="41"/>
      <c r="AR12" s="41"/>
      <c r="AS12" s="41"/>
      <c r="AT12" s="41"/>
      <c r="AU12" s="41"/>
      <c r="AV12" s="41"/>
      <c r="AW12" s="41"/>
      <c r="AX12" s="41"/>
      <c r="AY12" s="41"/>
      <c r="AZ12" s="41"/>
      <c r="BA12" s="41"/>
      <c r="BB12" s="41"/>
      <c r="BC12" s="41"/>
      <c r="BD12" s="41"/>
      <c r="BE12" s="41"/>
      <c r="BF12" s="41"/>
      <c r="BG12" s="41"/>
      <c r="BH12" s="41"/>
      <c r="BI12" s="41"/>
    </row>
    <row r="13" spans="1:61" ht="20">
      <c r="A13" s="39" t="str">
        <f t="shared" si="0"/>
        <v>Véhicules neufs[...]</v>
      </c>
      <c r="B13" s="44" t="s">
        <v>59</v>
      </c>
      <c r="C13" s="739">
        <v>0</v>
      </c>
      <c r="D13" s="740">
        <v>0</v>
      </c>
      <c r="E13" s="741">
        <v>0</v>
      </c>
      <c r="F13" s="739"/>
      <c r="G13" s="740">
        <v>0</v>
      </c>
      <c r="H13" s="741"/>
      <c r="I13" s="739"/>
      <c r="J13" s="740">
        <v>0</v>
      </c>
      <c r="K13" s="741"/>
      <c r="L13" s="739"/>
      <c r="M13" s="740">
        <v>0</v>
      </c>
      <c r="N13" s="741"/>
      <c r="O13" s="739"/>
      <c r="P13" s="740">
        <v>0</v>
      </c>
      <c r="Q13" s="741"/>
      <c r="R13" s="739"/>
      <c r="S13" s="740">
        <v>0</v>
      </c>
      <c r="T13" s="741"/>
      <c r="U13" s="739"/>
      <c r="V13" s="740">
        <v>0</v>
      </c>
      <c r="W13" s="741"/>
      <c r="X13" s="739"/>
      <c r="Y13" s="740">
        <v>0</v>
      </c>
      <c r="Z13" s="741"/>
      <c r="AA13" s="739"/>
      <c r="AB13" s="740">
        <v>0</v>
      </c>
      <c r="AC13" s="741"/>
      <c r="AD13" s="739"/>
      <c r="AE13" s="740">
        <v>0</v>
      </c>
      <c r="AF13" s="741"/>
      <c r="AG13" s="739"/>
      <c r="AH13" s="740">
        <v>0</v>
      </c>
      <c r="AI13" s="741"/>
      <c r="AJ13" s="739"/>
      <c r="AK13" s="740">
        <v>0</v>
      </c>
      <c r="AL13" s="741"/>
      <c r="AM13" s="739"/>
      <c r="AN13" s="740">
        <v>0</v>
      </c>
      <c r="AO13" s="741"/>
      <c r="AP13" s="41"/>
      <c r="AQ13" s="41"/>
      <c r="AR13" s="41"/>
      <c r="AS13" s="41"/>
      <c r="AT13" s="41"/>
      <c r="AU13" s="41"/>
      <c r="AV13" s="41"/>
      <c r="AW13" s="41"/>
      <c r="AX13" s="41"/>
      <c r="AY13" s="41"/>
      <c r="AZ13" s="41"/>
      <c r="BA13" s="41"/>
      <c r="BB13" s="41"/>
      <c r="BC13" s="41"/>
      <c r="BD13" s="41"/>
      <c r="BE13" s="41"/>
      <c r="BF13" s="41"/>
      <c r="BG13" s="41"/>
      <c r="BH13" s="41"/>
      <c r="BI13" s="41"/>
    </row>
    <row r="14" spans="1:61" ht="20">
      <c r="A14" s="39" t="str">
        <f t="shared" si="0"/>
        <v>Véhicules neufs[...]</v>
      </c>
      <c r="B14" s="44" t="s">
        <v>59</v>
      </c>
      <c r="C14" s="739">
        <v>0</v>
      </c>
      <c r="D14" s="740">
        <v>0</v>
      </c>
      <c r="E14" s="741">
        <v>0</v>
      </c>
      <c r="F14" s="739"/>
      <c r="G14" s="740">
        <v>0</v>
      </c>
      <c r="H14" s="741"/>
      <c r="I14" s="739"/>
      <c r="J14" s="740">
        <v>0</v>
      </c>
      <c r="K14" s="741"/>
      <c r="L14" s="739"/>
      <c r="M14" s="740">
        <v>0</v>
      </c>
      <c r="N14" s="741"/>
      <c r="O14" s="739"/>
      <c r="P14" s="740">
        <v>0</v>
      </c>
      <c r="Q14" s="741"/>
      <c r="R14" s="739"/>
      <c r="S14" s="740">
        <v>0</v>
      </c>
      <c r="T14" s="741"/>
      <c r="U14" s="739"/>
      <c r="V14" s="740">
        <v>0</v>
      </c>
      <c r="W14" s="741"/>
      <c r="X14" s="739"/>
      <c r="Y14" s="740">
        <v>0</v>
      </c>
      <c r="Z14" s="741"/>
      <c r="AA14" s="739"/>
      <c r="AB14" s="740">
        <v>0</v>
      </c>
      <c r="AC14" s="741"/>
      <c r="AD14" s="739"/>
      <c r="AE14" s="740">
        <v>0</v>
      </c>
      <c r="AF14" s="741"/>
      <c r="AG14" s="739"/>
      <c r="AH14" s="740">
        <v>0</v>
      </c>
      <c r="AI14" s="741"/>
      <c r="AJ14" s="739"/>
      <c r="AK14" s="740">
        <v>0</v>
      </c>
      <c r="AL14" s="741"/>
      <c r="AM14" s="739"/>
      <c r="AN14" s="740">
        <v>0</v>
      </c>
      <c r="AO14" s="741"/>
      <c r="AP14" s="41"/>
      <c r="AQ14" s="41"/>
      <c r="AR14" s="41"/>
      <c r="AS14" s="41"/>
      <c r="AT14" s="41"/>
      <c r="AU14" s="41"/>
      <c r="AV14" s="41"/>
      <c r="AW14" s="41"/>
      <c r="AX14" s="41"/>
      <c r="AY14" s="41"/>
      <c r="AZ14" s="41"/>
      <c r="BA14" s="41"/>
      <c r="BB14" s="41"/>
      <c r="BC14" s="41"/>
      <c r="BD14" s="41"/>
      <c r="BE14" s="41"/>
      <c r="BF14" s="41"/>
      <c r="BG14" s="41"/>
      <c r="BH14" s="41"/>
      <c r="BI14" s="41"/>
    </row>
    <row r="15" spans="1:61" ht="20">
      <c r="A15" s="39" t="str">
        <f t="shared" si="0"/>
        <v>Véhicules neufs[...]</v>
      </c>
      <c r="B15" s="44" t="s">
        <v>59</v>
      </c>
      <c r="C15" s="739">
        <v>0</v>
      </c>
      <c r="D15" s="740">
        <v>0</v>
      </c>
      <c r="E15" s="741">
        <v>0</v>
      </c>
      <c r="F15" s="739"/>
      <c r="G15" s="740">
        <v>0</v>
      </c>
      <c r="H15" s="741"/>
      <c r="I15" s="739"/>
      <c r="J15" s="740">
        <v>0</v>
      </c>
      <c r="K15" s="741"/>
      <c r="L15" s="739"/>
      <c r="M15" s="740">
        <v>0</v>
      </c>
      <c r="N15" s="741"/>
      <c r="O15" s="739"/>
      <c r="P15" s="740">
        <v>0</v>
      </c>
      <c r="Q15" s="741"/>
      <c r="R15" s="739"/>
      <c r="S15" s="740">
        <v>0</v>
      </c>
      <c r="T15" s="741"/>
      <c r="U15" s="739"/>
      <c r="V15" s="740">
        <v>0</v>
      </c>
      <c r="W15" s="741"/>
      <c r="X15" s="739"/>
      <c r="Y15" s="740">
        <v>0</v>
      </c>
      <c r="Z15" s="741"/>
      <c r="AA15" s="739"/>
      <c r="AB15" s="740">
        <v>0</v>
      </c>
      <c r="AC15" s="741"/>
      <c r="AD15" s="739"/>
      <c r="AE15" s="740">
        <v>0</v>
      </c>
      <c r="AF15" s="741"/>
      <c r="AG15" s="739"/>
      <c r="AH15" s="740">
        <v>0</v>
      </c>
      <c r="AI15" s="741"/>
      <c r="AJ15" s="739"/>
      <c r="AK15" s="740">
        <v>0</v>
      </c>
      <c r="AL15" s="741"/>
      <c r="AM15" s="739"/>
      <c r="AN15" s="740">
        <v>0</v>
      </c>
      <c r="AO15" s="741"/>
      <c r="AP15" s="41"/>
      <c r="AQ15" s="41"/>
      <c r="AR15" s="41"/>
      <c r="AS15" s="41"/>
      <c r="AT15" s="41"/>
      <c r="AU15" s="41"/>
      <c r="AV15" s="41"/>
      <c r="AW15" s="41"/>
      <c r="AX15" s="41"/>
      <c r="AY15" s="41"/>
      <c r="AZ15" s="41"/>
      <c r="BA15" s="41"/>
      <c r="BB15" s="41"/>
      <c r="BC15" s="41"/>
      <c r="BD15" s="41"/>
      <c r="BE15" s="41"/>
      <c r="BF15" s="41"/>
      <c r="BG15" s="41"/>
      <c r="BH15" s="41"/>
      <c r="BI15" s="41"/>
    </row>
    <row r="16" spans="1:61" ht="20">
      <c r="A16" s="39" t="str">
        <f t="shared" si="0"/>
        <v>Véhicules neufsTotal Neufs</v>
      </c>
      <c r="B16" s="45" t="s">
        <v>101</v>
      </c>
      <c r="C16" s="744">
        <v>761</v>
      </c>
      <c r="D16" s="745">
        <v>2305.3598222763767</v>
      </c>
      <c r="E16" s="746">
        <v>1754378.8247523226</v>
      </c>
      <c r="F16" s="744">
        <v>57</v>
      </c>
      <c r="G16" s="745">
        <v>2308.9953330658195</v>
      </c>
      <c r="H16" s="746">
        <v>131612.73398475171</v>
      </c>
      <c r="I16" s="744">
        <v>52</v>
      </c>
      <c r="J16" s="745">
        <v>2306.066655884345</v>
      </c>
      <c r="K16" s="746">
        <v>119915.46610598595</v>
      </c>
      <c r="L16" s="744">
        <v>49</v>
      </c>
      <c r="M16" s="745">
        <v>2307.9593384165905</v>
      </c>
      <c r="N16" s="746">
        <v>113090.00758241293</v>
      </c>
      <c r="O16" s="744">
        <v>57</v>
      </c>
      <c r="P16" s="745">
        <v>2308.9953330658195</v>
      </c>
      <c r="Q16" s="746">
        <v>131612.73398475171</v>
      </c>
      <c r="R16" s="744">
        <v>59</v>
      </c>
      <c r="S16" s="745">
        <v>2305.1235225547175</v>
      </c>
      <c r="T16" s="746">
        <v>136002.28783072834</v>
      </c>
      <c r="U16" s="744">
        <v>69</v>
      </c>
      <c r="V16" s="745">
        <v>2303.109682304982</v>
      </c>
      <c r="W16" s="746">
        <v>158914.56807904376</v>
      </c>
      <c r="X16" s="744">
        <v>69</v>
      </c>
      <c r="Y16" s="745">
        <v>2303.109682304982</v>
      </c>
      <c r="Z16" s="746">
        <v>158914.56807904376</v>
      </c>
      <c r="AA16" s="744">
        <v>84</v>
      </c>
      <c r="AB16" s="745">
        <v>2303.8585262633924</v>
      </c>
      <c r="AC16" s="746">
        <v>193524.11620612495</v>
      </c>
      <c r="AD16" s="744">
        <v>60</v>
      </c>
      <c r="AE16" s="745">
        <v>2307.3032084720785</v>
      </c>
      <c r="AF16" s="746">
        <v>138438.19250832472</v>
      </c>
      <c r="AG16" s="744">
        <v>69</v>
      </c>
      <c r="AH16" s="745">
        <v>2303.109682304982</v>
      </c>
      <c r="AI16" s="746">
        <v>158914.56807904376</v>
      </c>
      <c r="AJ16" s="744">
        <v>83</v>
      </c>
      <c r="AK16" s="745">
        <v>2302.2676087774526</v>
      </c>
      <c r="AL16" s="746">
        <v>191088.21152852857</v>
      </c>
      <c r="AM16" s="744">
        <v>53</v>
      </c>
      <c r="AN16" s="745">
        <v>2308.5164298789118</v>
      </c>
      <c r="AO16" s="746">
        <v>122351.37078358232</v>
      </c>
      <c r="AP16" s="41"/>
      <c r="AQ16" s="41"/>
      <c r="AR16" s="41"/>
      <c r="AS16" s="41"/>
      <c r="AT16" s="41"/>
      <c r="AU16" s="41"/>
      <c r="AV16" s="41"/>
      <c r="AW16" s="41"/>
      <c r="AX16" s="41"/>
      <c r="AY16" s="41"/>
      <c r="AZ16" s="41"/>
      <c r="BA16" s="41"/>
      <c r="BB16" s="41"/>
      <c r="BC16" s="41"/>
      <c r="BD16" s="41"/>
      <c r="BE16" s="41"/>
      <c r="BF16" s="41"/>
      <c r="BG16" s="41"/>
      <c r="BH16" s="41"/>
      <c r="BI16" s="41"/>
    </row>
    <row r="17" spans="1:61" ht="20">
      <c r="A17" s="39" t="str">
        <f t="shared" si="0"/>
        <v>Véhicules neufs</v>
      </c>
      <c r="B17" s="44"/>
      <c r="C17" s="747"/>
      <c r="D17" s="740"/>
      <c r="E17" s="748"/>
      <c r="F17" s="747"/>
      <c r="G17" s="740"/>
      <c r="H17" s="748"/>
      <c r="I17" s="747"/>
      <c r="J17" s="740"/>
      <c r="K17" s="748"/>
      <c r="L17" s="747"/>
      <c r="M17" s="740"/>
      <c r="N17" s="748"/>
      <c r="O17" s="747"/>
      <c r="P17" s="740"/>
      <c r="Q17" s="748"/>
      <c r="R17" s="747"/>
      <c r="S17" s="740"/>
      <c r="T17" s="748"/>
      <c r="U17" s="747"/>
      <c r="V17" s="740"/>
      <c r="W17" s="748"/>
      <c r="X17" s="747"/>
      <c r="Y17" s="740"/>
      <c r="Z17" s="748"/>
      <c r="AA17" s="747"/>
      <c r="AB17" s="740"/>
      <c r="AC17" s="748"/>
      <c r="AD17" s="747"/>
      <c r="AE17" s="740"/>
      <c r="AF17" s="748"/>
      <c r="AG17" s="747"/>
      <c r="AH17" s="740"/>
      <c r="AI17" s="748"/>
      <c r="AJ17" s="747"/>
      <c r="AK17" s="740"/>
      <c r="AL17" s="748"/>
      <c r="AM17" s="747"/>
      <c r="AN17" s="740"/>
      <c r="AO17" s="748"/>
      <c r="AP17" s="41"/>
      <c r="AQ17" s="41"/>
      <c r="AR17" s="41"/>
      <c r="AS17" s="41"/>
      <c r="AT17" s="41"/>
      <c r="AU17" s="41"/>
      <c r="AV17" s="41"/>
      <c r="AW17" s="41"/>
      <c r="AX17" s="41"/>
      <c r="AY17" s="41"/>
      <c r="AZ17" s="41"/>
      <c r="BA17" s="41"/>
      <c r="BB17" s="41"/>
      <c r="BC17" s="41"/>
      <c r="BD17" s="41"/>
      <c r="BE17" s="41"/>
      <c r="BF17" s="41"/>
      <c r="BG17" s="41"/>
      <c r="BH17" s="41"/>
      <c r="BI17" s="41"/>
    </row>
    <row r="18" spans="1:61" ht="20">
      <c r="A18" s="39" t="str">
        <f t="shared" si="0"/>
        <v>Véhicules neufsEx-Démos et courtoisies</v>
      </c>
      <c r="B18" s="46" t="s">
        <v>102</v>
      </c>
      <c r="C18" s="749">
        <v>39</v>
      </c>
      <c r="D18" s="750">
        <v>1534.7521433415677</v>
      </c>
      <c r="E18" s="751">
        <v>59855.333590321141</v>
      </c>
      <c r="F18" s="752">
        <v>3</v>
      </c>
      <c r="G18" s="750">
        <v>1534.7521433415677</v>
      </c>
      <c r="H18" s="753">
        <v>4604.2564300247031</v>
      </c>
      <c r="I18" s="752">
        <v>3</v>
      </c>
      <c r="J18" s="750">
        <v>1534.7521433415677</v>
      </c>
      <c r="K18" s="753">
        <v>4604.2564300247031</v>
      </c>
      <c r="L18" s="752">
        <v>3</v>
      </c>
      <c r="M18" s="750">
        <v>1534.7521433415677</v>
      </c>
      <c r="N18" s="753">
        <v>4604.2564300247031</v>
      </c>
      <c r="O18" s="752">
        <v>3</v>
      </c>
      <c r="P18" s="750">
        <v>1534.7521433415677</v>
      </c>
      <c r="Q18" s="753">
        <v>4604.2564300247031</v>
      </c>
      <c r="R18" s="752">
        <v>2</v>
      </c>
      <c r="S18" s="750">
        <v>1534.7521433415677</v>
      </c>
      <c r="T18" s="753">
        <v>3069.5042866831354</v>
      </c>
      <c r="U18" s="752">
        <v>4</v>
      </c>
      <c r="V18" s="750">
        <v>1534.7521433415677</v>
      </c>
      <c r="W18" s="753">
        <v>6139.0085733662709</v>
      </c>
      <c r="X18" s="752">
        <v>4</v>
      </c>
      <c r="Y18" s="750">
        <v>1534.7521433415677</v>
      </c>
      <c r="Z18" s="753">
        <v>6139.0085733662709</v>
      </c>
      <c r="AA18" s="752">
        <v>4</v>
      </c>
      <c r="AB18" s="750">
        <v>1534.7521433415677</v>
      </c>
      <c r="AC18" s="753">
        <v>6139.0085733662709</v>
      </c>
      <c r="AD18" s="752">
        <v>3</v>
      </c>
      <c r="AE18" s="750">
        <v>1534.7521433415677</v>
      </c>
      <c r="AF18" s="753">
        <v>4604.2564300247031</v>
      </c>
      <c r="AG18" s="752">
        <v>3</v>
      </c>
      <c r="AH18" s="750">
        <v>1534.7521433415677</v>
      </c>
      <c r="AI18" s="753">
        <v>4604.2564300247031</v>
      </c>
      <c r="AJ18" s="752">
        <v>4</v>
      </c>
      <c r="AK18" s="750">
        <v>1534.7521433415677</v>
      </c>
      <c r="AL18" s="753">
        <v>6139.0085733662709</v>
      </c>
      <c r="AM18" s="752">
        <v>3</v>
      </c>
      <c r="AN18" s="750">
        <v>1534.7521433415677</v>
      </c>
      <c r="AO18" s="753">
        <v>4604.2564300247031</v>
      </c>
      <c r="AP18" s="41"/>
      <c r="AQ18" s="41"/>
      <c r="AR18" s="41"/>
      <c r="AS18" s="41"/>
      <c r="AT18" s="41"/>
      <c r="AU18" s="41"/>
      <c r="AV18" s="41"/>
      <c r="AW18" s="41"/>
      <c r="AX18" s="41"/>
      <c r="AY18" s="41"/>
      <c r="AZ18" s="41"/>
      <c r="BA18" s="41"/>
      <c r="BB18" s="41"/>
      <c r="BC18" s="41"/>
      <c r="BD18" s="41"/>
      <c r="BE18" s="41"/>
      <c r="BF18" s="41"/>
      <c r="BG18" s="41"/>
      <c r="BH18" s="41"/>
      <c r="BI18" s="41"/>
    </row>
    <row r="19" spans="1:61" ht="20">
      <c r="A19" s="39" t="str">
        <f t="shared" si="0"/>
        <v>Véhicules neufs</v>
      </c>
      <c r="B19" s="44"/>
      <c r="C19" s="747"/>
      <c r="D19" s="740"/>
      <c r="E19" s="748"/>
      <c r="F19" s="747"/>
      <c r="G19" s="740"/>
      <c r="H19" s="748"/>
      <c r="I19" s="747"/>
      <c r="J19" s="740"/>
      <c r="K19" s="748"/>
      <c r="L19" s="747"/>
      <c r="M19" s="740"/>
      <c r="N19" s="748"/>
      <c r="O19" s="747"/>
      <c r="P19" s="740"/>
      <c r="Q19" s="748"/>
      <c r="R19" s="747"/>
      <c r="S19" s="740"/>
      <c r="T19" s="748"/>
      <c r="U19" s="747"/>
      <c r="V19" s="740"/>
      <c r="W19" s="748"/>
      <c r="X19" s="747"/>
      <c r="Y19" s="740"/>
      <c r="Z19" s="748"/>
      <c r="AA19" s="747"/>
      <c r="AB19" s="740"/>
      <c r="AC19" s="748"/>
      <c r="AD19" s="747"/>
      <c r="AE19" s="740"/>
      <c r="AF19" s="748"/>
      <c r="AG19" s="747"/>
      <c r="AH19" s="740"/>
      <c r="AI19" s="748"/>
      <c r="AJ19" s="747"/>
      <c r="AK19" s="740"/>
      <c r="AL19" s="748"/>
      <c r="AM19" s="747"/>
      <c r="AN19" s="740"/>
      <c r="AO19" s="748"/>
      <c r="AP19" s="41"/>
      <c r="AQ19" s="41"/>
      <c r="AR19" s="41"/>
      <c r="AS19" s="41"/>
      <c r="AT19" s="41"/>
      <c r="AU19" s="41"/>
      <c r="AV19" s="41"/>
      <c r="AW19" s="41"/>
      <c r="AX19" s="41"/>
      <c r="AY19" s="41"/>
      <c r="AZ19" s="41"/>
      <c r="BA19" s="41"/>
      <c r="BB19" s="41"/>
      <c r="BC19" s="41"/>
      <c r="BD19" s="41"/>
      <c r="BE19" s="41"/>
      <c r="BF19" s="41"/>
      <c r="BG19" s="41"/>
      <c r="BH19" s="41"/>
      <c r="BI19" s="41"/>
    </row>
    <row r="20" spans="1:61" ht="20">
      <c r="A20" s="39" t="str">
        <f t="shared" si="0"/>
        <v>Véhicules neufsFlottes</v>
      </c>
      <c r="B20" s="47" t="s">
        <v>103</v>
      </c>
      <c r="C20" s="739">
        <v>20</v>
      </c>
      <c r="D20" s="740">
        <v>2393.8521192147823</v>
      </c>
      <c r="E20" s="741">
        <v>47877.042384295644</v>
      </c>
      <c r="F20" s="742">
        <v>1</v>
      </c>
      <c r="G20" s="740">
        <v>2393.8521192147828</v>
      </c>
      <c r="H20" s="743">
        <v>2393.8521192147828</v>
      </c>
      <c r="I20" s="742">
        <v>1</v>
      </c>
      <c r="J20" s="740">
        <v>2393.8521192147828</v>
      </c>
      <c r="K20" s="743">
        <v>2393.8521192147828</v>
      </c>
      <c r="L20" s="742">
        <v>1</v>
      </c>
      <c r="M20" s="740">
        <v>2393.8521192147828</v>
      </c>
      <c r="N20" s="743">
        <v>2393.8521192147828</v>
      </c>
      <c r="O20" s="742">
        <v>2</v>
      </c>
      <c r="P20" s="740">
        <v>2393.8521192147828</v>
      </c>
      <c r="Q20" s="743">
        <v>4787.7042384295655</v>
      </c>
      <c r="R20" s="742">
        <v>2</v>
      </c>
      <c r="S20" s="740">
        <v>2393.8521192147828</v>
      </c>
      <c r="T20" s="743">
        <v>4787.7042384295655</v>
      </c>
      <c r="U20" s="742">
        <v>2</v>
      </c>
      <c r="V20" s="740">
        <v>2393.8521192147828</v>
      </c>
      <c r="W20" s="743">
        <v>4787.7042384295655</v>
      </c>
      <c r="X20" s="742">
        <v>2</v>
      </c>
      <c r="Y20" s="740">
        <v>2393.8521192147828</v>
      </c>
      <c r="Z20" s="743">
        <v>4787.7042384295655</v>
      </c>
      <c r="AA20" s="742">
        <v>2</v>
      </c>
      <c r="AB20" s="740">
        <v>2393.8521192147828</v>
      </c>
      <c r="AC20" s="743">
        <v>4787.7042384295655</v>
      </c>
      <c r="AD20" s="742">
        <v>2</v>
      </c>
      <c r="AE20" s="740">
        <v>2393.8521192147828</v>
      </c>
      <c r="AF20" s="743">
        <v>4787.7042384295655</v>
      </c>
      <c r="AG20" s="742">
        <v>2</v>
      </c>
      <c r="AH20" s="740">
        <v>2393.8521192147828</v>
      </c>
      <c r="AI20" s="743">
        <v>4787.7042384295655</v>
      </c>
      <c r="AJ20" s="742">
        <v>2</v>
      </c>
      <c r="AK20" s="740">
        <v>2393.8521192147828</v>
      </c>
      <c r="AL20" s="743">
        <v>4787.7042384295655</v>
      </c>
      <c r="AM20" s="742">
        <v>1</v>
      </c>
      <c r="AN20" s="740">
        <v>2393.8521192147828</v>
      </c>
      <c r="AO20" s="743">
        <v>2393.8521192147828</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754"/>
      <c r="D21" s="755"/>
      <c r="E21" s="756"/>
      <c r="F21" s="754"/>
      <c r="G21" s="755"/>
      <c r="H21" s="756"/>
      <c r="I21" s="754"/>
      <c r="J21" s="755"/>
      <c r="K21" s="756"/>
      <c r="L21" s="754"/>
      <c r="M21" s="755"/>
      <c r="N21" s="756"/>
      <c r="O21" s="754"/>
      <c r="P21" s="755"/>
      <c r="Q21" s="756"/>
      <c r="R21" s="754"/>
      <c r="S21" s="755"/>
      <c r="T21" s="756"/>
      <c r="U21" s="754"/>
      <c r="V21" s="755"/>
      <c r="W21" s="756"/>
      <c r="X21" s="754"/>
      <c r="Y21" s="755"/>
      <c r="Z21" s="756"/>
      <c r="AA21" s="754"/>
      <c r="AB21" s="755"/>
      <c r="AC21" s="756"/>
      <c r="AD21" s="754"/>
      <c r="AE21" s="755"/>
      <c r="AF21" s="756"/>
      <c r="AG21" s="754"/>
      <c r="AH21" s="755"/>
      <c r="AI21" s="756"/>
      <c r="AJ21" s="754"/>
      <c r="AK21" s="755"/>
      <c r="AL21" s="756"/>
      <c r="AM21" s="754"/>
      <c r="AN21" s="755"/>
      <c r="AO21" s="756"/>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104</v>
      </c>
      <c r="C22" s="739"/>
      <c r="D22" s="740"/>
      <c r="E22" s="741">
        <v>85000</v>
      </c>
      <c r="F22" s="739"/>
      <c r="G22" s="740"/>
      <c r="H22" s="743">
        <v>5525</v>
      </c>
      <c r="I22" s="739"/>
      <c r="J22" s="740"/>
      <c r="K22" s="743">
        <v>5780</v>
      </c>
      <c r="L22" s="739"/>
      <c r="M22" s="740"/>
      <c r="N22" s="743">
        <v>6375</v>
      </c>
      <c r="O22" s="739"/>
      <c r="P22" s="740"/>
      <c r="Q22" s="743">
        <v>6375</v>
      </c>
      <c r="R22" s="739"/>
      <c r="S22" s="740"/>
      <c r="T22" s="743">
        <v>6545</v>
      </c>
      <c r="U22" s="739"/>
      <c r="V22" s="740"/>
      <c r="W22" s="743">
        <v>7650</v>
      </c>
      <c r="X22" s="739"/>
      <c r="Y22" s="740"/>
      <c r="Z22" s="743">
        <v>7650</v>
      </c>
      <c r="AA22" s="739"/>
      <c r="AB22" s="740"/>
      <c r="AC22" s="743">
        <v>9350</v>
      </c>
      <c r="AD22" s="739"/>
      <c r="AE22" s="740"/>
      <c r="AF22" s="743">
        <v>6800</v>
      </c>
      <c r="AG22" s="739"/>
      <c r="AH22" s="740"/>
      <c r="AI22" s="743">
        <v>7650</v>
      </c>
      <c r="AJ22" s="739"/>
      <c r="AK22" s="740"/>
      <c r="AL22" s="743">
        <v>9350</v>
      </c>
      <c r="AM22" s="739"/>
      <c r="AN22" s="740"/>
      <c r="AO22" s="743">
        <v>5950.0000000000009</v>
      </c>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754"/>
      <c r="D23" s="755"/>
      <c r="E23" s="756"/>
      <c r="F23" s="754"/>
      <c r="G23" s="755"/>
      <c r="H23" s="756"/>
      <c r="I23" s="754"/>
      <c r="J23" s="755"/>
      <c r="K23" s="756"/>
      <c r="L23" s="754"/>
      <c r="M23" s="755"/>
      <c r="N23" s="756"/>
      <c r="O23" s="754"/>
      <c r="P23" s="755"/>
      <c r="Q23" s="756"/>
      <c r="R23" s="754"/>
      <c r="S23" s="755"/>
      <c r="T23" s="756"/>
      <c r="U23" s="754"/>
      <c r="V23" s="755"/>
      <c r="W23" s="756"/>
      <c r="X23" s="754"/>
      <c r="Y23" s="755"/>
      <c r="Z23" s="756"/>
      <c r="AA23" s="754"/>
      <c r="AB23" s="755"/>
      <c r="AC23" s="756"/>
      <c r="AD23" s="754"/>
      <c r="AE23" s="755"/>
      <c r="AF23" s="756"/>
      <c r="AG23" s="754"/>
      <c r="AH23" s="755"/>
      <c r="AI23" s="756"/>
      <c r="AJ23" s="754"/>
      <c r="AK23" s="755"/>
      <c r="AL23" s="756"/>
      <c r="AM23" s="754"/>
      <c r="AN23" s="755"/>
      <c r="AO23" s="756"/>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105</v>
      </c>
      <c r="C24" s="739"/>
      <c r="D24" s="740">
        <v>50</v>
      </c>
      <c r="E24" s="741">
        <v>40000</v>
      </c>
      <c r="F24" s="742"/>
      <c r="G24" s="740">
        <v>50</v>
      </c>
      <c r="H24" s="743">
        <v>3000</v>
      </c>
      <c r="I24" s="742"/>
      <c r="J24" s="740">
        <v>50</v>
      </c>
      <c r="K24" s="743">
        <v>2750</v>
      </c>
      <c r="L24" s="742"/>
      <c r="M24" s="740">
        <v>50</v>
      </c>
      <c r="N24" s="743">
        <v>2600</v>
      </c>
      <c r="O24" s="742"/>
      <c r="P24" s="740">
        <v>50</v>
      </c>
      <c r="Q24" s="743">
        <v>3000</v>
      </c>
      <c r="R24" s="742"/>
      <c r="S24" s="740">
        <v>50</v>
      </c>
      <c r="T24" s="743">
        <v>3050</v>
      </c>
      <c r="U24" s="742"/>
      <c r="V24" s="740">
        <v>50</v>
      </c>
      <c r="W24" s="743">
        <v>3650</v>
      </c>
      <c r="X24" s="742"/>
      <c r="Y24" s="740">
        <v>50</v>
      </c>
      <c r="Z24" s="743">
        <v>3650</v>
      </c>
      <c r="AA24" s="742"/>
      <c r="AB24" s="740">
        <v>50</v>
      </c>
      <c r="AC24" s="743">
        <v>4400</v>
      </c>
      <c r="AD24" s="742"/>
      <c r="AE24" s="740">
        <v>50</v>
      </c>
      <c r="AF24" s="743">
        <v>3150</v>
      </c>
      <c r="AG24" s="742"/>
      <c r="AH24" s="740">
        <v>50</v>
      </c>
      <c r="AI24" s="743">
        <v>3600</v>
      </c>
      <c r="AJ24" s="742"/>
      <c r="AK24" s="740">
        <v>50</v>
      </c>
      <c r="AL24" s="743">
        <v>4350</v>
      </c>
      <c r="AM24" s="742"/>
      <c r="AN24" s="740">
        <v>50</v>
      </c>
      <c r="AO24" s="743">
        <v>2800</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106</v>
      </c>
      <c r="C25" s="739"/>
      <c r="D25" s="740">
        <v>930</v>
      </c>
      <c r="E25" s="741">
        <v>744000</v>
      </c>
      <c r="F25" s="742"/>
      <c r="G25" s="740">
        <v>930</v>
      </c>
      <c r="H25" s="743">
        <v>55800</v>
      </c>
      <c r="I25" s="742"/>
      <c r="J25" s="740">
        <v>930</v>
      </c>
      <c r="K25" s="743">
        <v>51150</v>
      </c>
      <c r="L25" s="742"/>
      <c r="M25" s="740">
        <v>930</v>
      </c>
      <c r="N25" s="743">
        <v>48360</v>
      </c>
      <c r="O25" s="742"/>
      <c r="P25" s="740">
        <v>930</v>
      </c>
      <c r="Q25" s="743">
        <v>55800</v>
      </c>
      <c r="R25" s="742"/>
      <c r="S25" s="740">
        <v>930</v>
      </c>
      <c r="T25" s="743">
        <v>56730</v>
      </c>
      <c r="U25" s="742"/>
      <c r="V25" s="740">
        <v>930</v>
      </c>
      <c r="W25" s="743">
        <v>67890</v>
      </c>
      <c r="X25" s="742"/>
      <c r="Y25" s="740">
        <v>930</v>
      </c>
      <c r="Z25" s="743">
        <v>67890</v>
      </c>
      <c r="AA25" s="742"/>
      <c r="AB25" s="740">
        <v>930</v>
      </c>
      <c r="AC25" s="743">
        <v>81840</v>
      </c>
      <c r="AD25" s="742"/>
      <c r="AE25" s="740">
        <v>930</v>
      </c>
      <c r="AF25" s="743">
        <v>58590</v>
      </c>
      <c r="AG25" s="742"/>
      <c r="AH25" s="740">
        <v>930</v>
      </c>
      <c r="AI25" s="743">
        <v>66960</v>
      </c>
      <c r="AJ25" s="742"/>
      <c r="AK25" s="740">
        <v>930</v>
      </c>
      <c r="AL25" s="743">
        <v>80910</v>
      </c>
      <c r="AM25" s="742"/>
      <c r="AN25" s="740">
        <v>930</v>
      </c>
      <c r="AO25" s="743">
        <v>52080</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107</v>
      </c>
      <c r="C26" s="739"/>
      <c r="D26" s="740">
        <v>20</v>
      </c>
      <c r="E26" s="741">
        <v>16000</v>
      </c>
      <c r="F26" s="742"/>
      <c r="G26" s="740">
        <v>20</v>
      </c>
      <c r="H26" s="743">
        <v>1200</v>
      </c>
      <c r="I26" s="742"/>
      <c r="J26" s="740">
        <v>20</v>
      </c>
      <c r="K26" s="743">
        <v>1100</v>
      </c>
      <c r="L26" s="742"/>
      <c r="M26" s="740">
        <v>20</v>
      </c>
      <c r="N26" s="743">
        <v>1040</v>
      </c>
      <c r="O26" s="742"/>
      <c r="P26" s="740">
        <v>20</v>
      </c>
      <c r="Q26" s="743">
        <v>1200</v>
      </c>
      <c r="R26" s="742"/>
      <c r="S26" s="740">
        <v>20</v>
      </c>
      <c r="T26" s="743">
        <v>1220</v>
      </c>
      <c r="U26" s="742"/>
      <c r="V26" s="740">
        <v>20</v>
      </c>
      <c r="W26" s="743">
        <v>1460</v>
      </c>
      <c r="X26" s="742"/>
      <c r="Y26" s="740">
        <v>20</v>
      </c>
      <c r="Z26" s="743">
        <v>1460</v>
      </c>
      <c r="AA26" s="742"/>
      <c r="AB26" s="740">
        <v>20</v>
      </c>
      <c r="AC26" s="743">
        <v>1760</v>
      </c>
      <c r="AD26" s="742"/>
      <c r="AE26" s="740">
        <v>20</v>
      </c>
      <c r="AF26" s="743">
        <v>1260</v>
      </c>
      <c r="AG26" s="742"/>
      <c r="AH26" s="740">
        <v>20</v>
      </c>
      <c r="AI26" s="743">
        <v>1440</v>
      </c>
      <c r="AJ26" s="742"/>
      <c r="AK26" s="740">
        <v>20</v>
      </c>
      <c r="AL26" s="743">
        <v>1740</v>
      </c>
      <c r="AM26" s="742"/>
      <c r="AN26" s="740">
        <v>20</v>
      </c>
      <c r="AO26" s="743">
        <v>1120</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108</v>
      </c>
      <c r="C27" s="744">
        <v>800</v>
      </c>
      <c r="D27" s="745">
        <v>1000</v>
      </c>
      <c r="E27" s="746">
        <v>800000</v>
      </c>
      <c r="F27" s="744">
        <v>60</v>
      </c>
      <c r="G27" s="745">
        <v>1000</v>
      </c>
      <c r="H27" s="746">
        <v>60000</v>
      </c>
      <c r="I27" s="744">
        <v>55</v>
      </c>
      <c r="J27" s="745">
        <v>1000</v>
      </c>
      <c r="K27" s="746">
        <v>55000</v>
      </c>
      <c r="L27" s="744">
        <v>52</v>
      </c>
      <c r="M27" s="745">
        <v>1000</v>
      </c>
      <c r="N27" s="746">
        <v>52000</v>
      </c>
      <c r="O27" s="744">
        <v>60</v>
      </c>
      <c r="P27" s="745">
        <v>1000</v>
      </c>
      <c r="Q27" s="746">
        <v>60000</v>
      </c>
      <c r="R27" s="744">
        <v>61</v>
      </c>
      <c r="S27" s="745">
        <v>1000</v>
      </c>
      <c r="T27" s="746">
        <v>61000</v>
      </c>
      <c r="U27" s="744">
        <v>73</v>
      </c>
      <c r="V27" s="745">
        <v>1000</v>
      </c>
      <c r="W27" s="746">
        <v>73000</v>
      </c>
      <c r="X27" s="744">
        <v>73</v>
      </c>
      <c r="Y27" s="745">
        <v>1000</v>
      </c>
      <c r="Z27" s="746">
        <v>73000</v>
      </c>
      <c r="AA27" s="744">
        <v>88</v>
      </c>
      <c r="AB27" s="745">
        <v>1000</v>
      </c>
      <c r="AC27" s="746">
        <v>88000</v>
      </c>
      <c r="AD27" s="744">
        <v>63</v>
      </c>
      <c r="AE27" s="745">
        <v>1000</v>
      </c>
      <c r="AF27" s="746">
        <v>63000</v>
      </c>
      <c r="AG27" s="744">
        <v>72</v>
      </c>
      <c r="AH27" s="745">
        <v>1000</v>
      </c>
      <c r="AI27" s="746">
        <v>72000</v>
      </c>
      <c r="AJ27" s="744">
        <v>87</v>
      </c>
      <c r="AK27" s="745">
        <v>1000</v>
      </c>
      <c r="AL27" s="746">
        <v>87000</v>
      </c>
      <c r="AM27" s="744">
        <v>56</v>
      </c>
      <c r="AN27" s="745">
        <v>1000</v>
      </c>
      <c r="AO27" s="746">
        <v>56000</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747"/>
      <c r="D28" s="757"/>
      <c r="E28" s="758"/>
      <c r="F28" s="747"/>
      <c r="G28" s="757"/>
      <c r="H28" s="758"/>
      <c r="I28" s="747"/>
      <c r="J28" s="757"/>
      <c r="K28" s="758"/>
      <c r="L28" s="747"/>
      <c r="M28" s="757"/>
      <c r="N28" s="758"/>
      <c r="O28" s="747"/>
      <c r="P28" s="757"/>
      <c r="Q28" s="758"/>
      <c r="R28" s="747"/>
      <c r="S28" s="757"/>
      <c r="T28" s="758"/>
      <c r="U28" s="747"/>
      <c r="V28" s="757"/>
      <c r="W28" s="758"/>
      <c r="X28" s="747"/>
      <c r="Y28" s="757"/>
      <c r="Z28" s="758"/>
      <c r="AA28" s="747"/>
      <c r="AB28" s="757"/>
      <c r="AC28" s="758"/>
      <c r="AD28" s="747"/>
      <c r="AE28" s="757"/>
      <c r="AF28" s="758"/>
      <c r="AG28" s="747"/>
      <c r="AH28" s="757"/>
      <c r="AI28" s="758"/>
      <c r="AJ28" s="747"/>
      <c r="AK28" s="757"/>
      <c r="AL28" s="758"/>
      <c r="AM28" s="747"/>
      <c r="AN28" s="757"/>
      <c r="AO28" s="758"/>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c r="A29" s="39" t="str">
        <f t="shared" si="0"/>
        <v>Véhicules neufs</v>
      </c>
      <c r="B29" s="44"/>
      <c r="C29" s="747"/>
      <c r="D29" s="757"/>
      <c r="E29" s="748"/>
      <c r="F29" s="747"/>
      <c r="G29" s="757"/>
      <c r="H29" s="748"/>
      <c r="I29" s="747"/>
      <c r="J29" s="757"/>
      <c r="K29" s="748"/>
      <c r="L29" s="747"/>
      <c r="M29" s="757"/>
      <c r="N29" s="748"/>
      <c r="O29" s="747"/>
      <c r="P29" s="757"/>
      <c r="Q29" s="748"/>
      <c r="R29" s="747"/>
      <c r="S29" s="757"/>
      <c r="T29" s="748"/>
      <c r="U29" s="747"/>
      <c r="V29" s="757"/>
      <c r="W29" s="748"/>
      <c r="X29" s="747"/>
      <c r="Y29" s="757"/>
      <c r="Z29" s="748"/>
      <c r="AA29" s="747"/>
      <c r="AB29" s="757"/>
      <c r="AC29" s="748"/>
      <c r="AD29" s="747"/>
      <c r="AE29" s="757"/>
      <c r="AF29" s="748"/>
      <c r="AG29" s="747"/>
      <c r="AH29" s="757"/>
      <c r="AI29" s="748"/>
      <c r="AJ29" s="747"/>
      <c r="AK29" s="757"/>
      <c r="AL29" s="748"/>
      <c r="AM29" s="747"/>
      <c r="AN29" s="757"/>
      <c r="AO29" s="748"/>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c r="A30" s="39" t="str">
        <f t="shared" si="0"/>
        <v>Véhicules neufsTotal Dépt. Neufs</v>
      </c>
      <c r="B30" s="49" t="s">
        <v>109</v>
      </c>
      <c r="C30" s="759">
        <v>820</v>
      </c>
      <c r="D30" s="760">
        <v>3350.1356106426092</v>
      </c>
      <c r="E30" s="761">
        <v>2747111.2007269394</v>
      </c>
      <c r="F30" s="759">
        <v>61</v>
      </c>
      <c r="G30" s="760">
        <v>3346.4892218687082</v>
      </c>
      <c r="H30" s="761">
        <v>204135.84253399121</v>
      </c>
      <c r="I30" s="759">
        <v>56</v>
      </c>
      <c r="J30" s="760">
        <v>3351.6709759861687</v>
      </c>
      <c r="K30" s="761">
        <v>187693.57465522544</v>
      </c>
      <c r="L30" s="759">
        <v>53</v>
      </c>
      <c r="M30" s="760">
        <v>3367.2286062575931</v>
      </c>
      <c r="N30" s="761">
        <v>178463.11613165244</v>
      </c>
      <c r="O30" s="759">
        <v>62</v>
      </c>
      <c r="P30" s="760">
        <v>3344.8337847291286</v>
      </c>
      <c r="Q30" s="761">
        <v>207379.69465320598</v>
      </c>
      <c r="R30" s="759">
        <v>63</v>
      </c>
      <c r="S30" s="760">
        <v>3355.6269262831911</v>
      </c>
      <c r="T30" s="761">
        <v>211404.49635584105</v>
      </c>
      <c r="U30" s="759">
        <v>75</v>
      </c>
      <c r="V30" s="760">
        <v>3339.8837452111948</v>
      </c>
      <c r="W30" s="761">
        <v>250491.28089083961</v>
      </c>
      <c r="X30" s="759">
        <v>75</v>
      </c>
      <c r="Y30" s="760">
        <v>3339.8837452111948</v>
      </c>
      <c r="Z30" s="761">
        <v>250491.28089083961</v>
      </c>
      <c r="AA30" s="759">
        <v>90</v>
      </c>
      <c r="AB30" s="760">
        <v>3353.3425446435649</v>
      </c>
      <c r="AC30" s="761">
        <v>301800.82901792083</v>
      </c>
      <c r="AD30" s="759">
        <v>65</v>
      </c>
      <c r="AE30" s="760">
        <v>3348.1562027196769</v>
      </c>
      <c r="AF30" s="761">
        <v>217630.15317677899</v>
      </c>
      <c r="AG30" s="759">
        <v>74</v>
      </c>
      <c r="AH30" s="760">
        <v>3350.7639019932171</v>
      </c>
      <c r="AI30" s="761">
        <v>247956.52874749806</v>
      </c>
      <c r="AJ30" s="759">
        <v>89</v>
      </c>
      <c r="AK30" s="760">
        <v>3352.4148802283644</v>
      </c>
      <c r="AL30" s="761">
        <v>298364.92434032442</v>
      </c>
      <c r="AM30" s="759">
        <v>57</v>
      </c>
      <c r="AN30" s="760">
        <v>3356.1312163652947</v>
      </c>
      <c r="AO30" s="761">
        <v>191299.47933282179</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c r="A31" s="39" t="str">
        <f t="shared" si="0"/>
        <v>Véhicules neufs</v>
      </c>
      <c r="B31" s="50"/>
      <c r="C31" s="762"/>
      <c r="D31" s="763"/>
      <c r="E31" s="764"/>
      <c r="F31" s="762"/>
      <c r="G31" s="763"/>
      <c r="H31" s="764"/>
      <c r="I31" s="762"/>
      <c r="J31" s="763"/>
      <c r="K31" s="764"/>
      <c r="L31" s="762"/>
      <c r="M31" s="763"/>
      <c r="N31" s="764"/>
      <c r="O31" s="762"/>
      <c r="P31" s="763"/>
      <c r="Q31" s="764"/>
      <c r="R31" s="762"/>
      <c r="S31" s="763"/>
      <c r="T31" s="764"/>
      <c r="U31" s="762"/>
      <c r="V31" s="763"/>
      <c r="W31" s="764"/>
      <c r="X31" s="762"/>
      <c r="Y31" s="763"/>
      <c r="Z31" s="764"/>
      <c r="AA31" s="762"/>
      <c r="AB31" s="763"/>
      <c r="AC31" s="764"/>
      <c r="AD31" s="762"/>
      <c r="AE31" s="763"/>
      <c r="AF31" s="764"/>
      <c r="AG31" s="762"/>
      <c r="AH31" s="763"/>
      <c r="AI31" s="764"/>
      <c r="AJ31" s="762"/>
      <c r="AK31" s="763"/>
      <c r="AL31" s="764"/>
      <c r="AM31" s="762"/>
      <c r="AN31" s="763"/>
      <c r="AO31" s="764"/>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c r="A32" s="39" t="str">
        <f t="shared" si="0"/>
        <v>Véhicules neufs</v>
      </c>
      <c r="B32" s="47"/>
      <c r="C32" s="765"/>
      <c r="D32" s="766"/>
      <c r="E32" s="767"/>
      <c r="F32" s="765"/>
      <c r="G32" s="766"/>
      <c r="H32" s="767"/>
      <c r="I32" s="765"/>
      <c r="J32" s="766"/>
      <c r="K32" s="767"/>
      <c r="L32" s="765"/>
      <c r="M32" s="766"/>
      <c r="N32" s="767"/>
      <c r="O32" s="765"/>
      <c r="P32" s="766"/>
      <c r="Q32" s="767"/>
      <c r="R32" s="765"/>
      <c r="S32" s="766"/>
      <c r="T32" s="767"/>
      <c r="U32" s="765"/>
      <c r="V32" s="766"/>
      <c r="W32" s="767"/>
      <c r="X32" s="765"/>
      <c r="Y32" s="766"/>
      <c r="Z32" s="767"/>
      <c r="AA32" s="765"/>
      <c r="AB32" s="766"/>
      <c r="AC32" s="767"/>
      <c r="AD32" s="765"/>
      <c r="AE32" s="766"/>
      <c r="AF32" s="767"/>
      <c r="AG32" s="765"/>
      <c r="AH32" s="766"/>
      <c r="AI32" s="767"/>
      <c r="AJ32" s="765"/>
      <c r="AK32" s="766"/>
      <c r="AL32" s="767"/>
      <c r="AM32" s="765"/>
      <c r="AN32" s="766"/>
      <c r="AO32" s="767"/>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110</v>
      </c>
      <c r="C33" s="747"/>
      <c r="D33" s="768"/>
      <c r="E33" s="748"/>
      <c r="F33" s="747"/>
      <c r="G33" s="768"/>
      <c r="H33" s="748"/>
      <c r="I33" s="747"/>
      <c r="J33" s="768"/>
      <c r="K33" s="748"/>
      <c r="L33" s="747"/>
      <c r="M33" s="768"/>
      <c r="N33" s="748"/>
      <c r="O33" s="747"/>
      <c r="P33" s="768"/>
      <c r="Q33" s="748"/>
      <c r="R33" s="747"/>
      <c r="S33" s="768"/>
      <c r="T33" s="748"/>
      <c r="U33" s="747"/>
      <c r="V33" s="768"/>
      <c r="W33" s="748"/>
      <c r="X33" s="747"/>
      <c r="Y33" s="768"/>
      <c r="Z33" s="748"/>
      <c r="AA33" s="747"/>
      <c r="AB33" s="768"/>
      <c r="AC33" s="748"/>
      <c r="AD33" s="747"/>
      <c r="AE33" s="768"/>
      <c r="AF33" s="748"/>
      <c r="AG33" s="747"/>
      <c r="AH33" s="768"/>
      <c r="AI33" s="748"/>
      <c r="AJ33" s="747"/>
      <c r="AK33" s="768"/>
      <c r="AL33" s="748"/>
      <c r="AM33" s="747"/>
      <c r="AN33" s="768"/>
      <c r="AO33" s="748"/>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111</v>
      </c>
      <c r="C34" s="769">
        <v>0.3299999999999999</v>
      </c>
      <c r="D34" s="770">
        <v>748.37159031634042</v>
      </c>
      <c r="E34" s="758">
        <v>598697.27225307235</v>
      </c>
      <c r="F34" s="769">
        <v>0.33900478622949964</v>
      </c>
      <c r="G34" s="770">
        <v>769.63686193978481</v>
      </c>
      <c r="H34" s="771">
        <v>46178.211716387086</v>
      </c>
      <c r="I34" s="769">
        <v>0.3335806878178777</v>
      </c>
      <c r="J34" s="770">
        <v>755.22499437188583</v>
      </c>
      <c r="K34" s="771">
        <v>41537.374690453718</v>
      </c>
      <c r="L34" s="769">
        <v>0.33665933346340871</v>
      </c>
      <c r="M34" s="770">
        <v>761.9783168248789</v>
      </c>
      <c r="N34" s="771">
        <v>39622.872474893702</v>
      </c>
      <c r="O34" s="769">
        <v>0.33304493795843365</v>
      </c>
      <c r="P34" s="770">
        <v>756.10631869289614</v>
      </c>
      <c r="Q34" s="771">
        <v>45366.379121573766</v>
      </c>
      <c r="R34" s="769">
        <v>0.34122337682034687</v>
      </c>
      <c r="S34" s="770">
        <v>777.94338568459739</v>
      </c>
      <c r="T34" s="771">
        <v>47454.546526760438</v>
      </c>
      <c r="U34" s="769">
        <v>0.32512203902136383</v>
      </c>
      <c r="V34" s="770">
        <v>735.10349847945918</v>
      </c>
      <c r="W34" s="771">
        <v>53662.555389000518</v>
      </c>
      <c r="X34" s="769">
        <v>0.32512203902136383</v>
      </c>
      <c r="Y34" s="770">
        <v>735.10349847945918</v>
      </c>
      <c r="Z34" s="771">
        <v>53662.555389000518</v>
      </c>
      <c r="AA34" s="769">
        <v>0.3239710213803329</v>
      </c>
      <c r="AB34" s="770">
        <v>735.05757348637064</v>
      </c>
      <c r="AC34" s="771">
        <v>64685.066466800621</v>
      </c>
      <c r="AD34" s="769">
        <v>0.33053741520820579</v>
      </c>
      <c r="AE34" s="770">
        <v>750.49017995450447</v>
      </c>
      <c r="AF34" s="771">
        <v>47280.881337133782</v>
      </c>
      <c r="AG34" s="769">
        <v>0.33313832916400887</v>
      </c>
      <c r="AH34" s="770">
        <v>756.5887219974145</v>
      </c>
      <c r="AI34" s="771">
        <v>54474.387983813845</v>
      </c>
      <c r="AJ34" s="769">
        <v>0.31738468467625353</v>
      </c>
      <c r="AK34" s="770">
        <v>719.50458691510289</v>
      </c>
      <c r="AL34" s="771">
        <v>62596.899061613949</v>
      </c>
      <c r="AM34" s="769">
        <v>0.33220695310085518</v>
      </c>
      <c r="AN34" s="770">
        <v>753.13468027929287</v>
      </c>
      <c r="AO34" s="771">
        <v>42175.542095640398</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112</v>
      </c>
      <c r="C35" s="772">
        <v>0.28000000000000003</v>
      </c>
      <c r="D35" s="773">
        <v>280</v>
      </c>
      <c r="E35" s="774">
        <v>224000</v>
      </c>
      <c r="F35" s="772">
        <v>0.28000000000000003</v>
      </c>
      <c r="G35" s="773">
        <v>280</v>
      </c>
      <c r="H35" s="775">
        <v>16800</v>
      </c>
      <c r="I35" s="772">
        <v>0.28000000000000003</v>
      </c>
      <c r="J35" s="773">
        <v>280.00000000000006</v>
      </c>
      <c r="K35" s="775">
        <v>15400.000000000002</v>
      </c>
      <c r="L35" s="772">
        <v>0.28000000000000003</v>
      </c>
      <c r="M35" s="773">
        <v>280.00000000000006</v>
      </c>
      <c r="N35" s="775">
        <v>14560.000000000002</v>
      </c>
      <c r="O35" s="772">
        <v>0.28000000000000003</v>
      </c>
      <c r="P35" s="773">
        <v>280</v>
      </c>
      <c r="Q35" s="775">
        <v>16800</v>
      </c>
      <c r="R35" s="772">
        <v>0.28000000000000003</v>
      </c>
      <c r="S35" s="773">
        <v>280</v>
      </c>
      <c r="T35" s="775">
        <v>17080</v>
      </c>
      <c r="U35" s="772">
        <v>0.28000000000000003</v>
      </c>
      <c r="V35" s="773">
        <v>280.00000000000006</v>
      </c>
      <c r="W35" s="775">
        <v>20440.000000000004</v>
      </c>
      <c r="X35" s="772">
        <v>0.28000000000000003</v>
      </c>
      <c r="Y35" s="773">
        <v>280.00000000000006</v>
      </c>
      <c r="Z35" s="775">
        <v>20440.000000000004</v>
      </c>
      <c r="AA35" s="772">
        <v>0.28000000000000003</v>
      </c>
      <c r="AB35" s="773">
        <v>280.00000000000006</v>
      </c>
      <c r="AC35" s="775">
        <v>24640.000000000004</v>
      </c>
      <c r="AD35" s="772">
        <v>0.28000000000000003</v>
      </c>
      <c r="AE35" s="773">
        <v>280</v>
      </c>
      <c r="AF35" s="775">
        <v>17640</v>
      </c>
      <c r="AG35" s="772">
        <v>0.28000000000000003</v>
      </c>
      <c r="AH35" s="773">
        <v>280.00000000000006</v>
      </c>
      <c r="AI35" s="775">
        <v>20160.000000000004</v>
      </c>
      <c r="AJ35" s="772">
        <v>0.28000000000000003</v>
      </c>
      <c r="AK35" s="773">
        <v>280.00000000000006</v>
      </c>
      <c r="AL35" s="775">
        <v>24360.000000000004</v>
      </c>
      <c r="AM35" s="772">
        <v>0.28000000000000003</v>
      </c>
      <c r="AN35" s="773">
        <v>280.00000000000006</v>
      </c>
      <c r="AO35" s="775">
        <v>15680.000000000002</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113</v>
      </c>
      <c r="C36" s="747"/>
      <c r="D36" s="770">
        <v>115</v>
      </c>
      <c r="E36" s="758">
        <v>92000</v>
      </c>
      <c r="F36" s="747"/>
      <c r="G36" s="770">
        <v>115</v>
      </c>
      <c r="H36" s="771">
        <v>6900</v>
      </c>
      <c r="I36" s="747"/>
      <c r="J36" s="770">
        <v>115</v>
      </c>
      <c r="K36" s="771">
        <v>6325</v>
      </c>
      <c r="L36" s="747"/>
      <c r="M36" s="770">
        <v>115</v>
      </c>
      <c r="N36" s="771">
        <v>5980</v>
      </c>
      <c r="O36" s="747"/>
      <c r="P36" s="770">
        <v>115</v>
      </c>
      <c r="Q36" s="771">
        <v>6900</v>
      </c>
      <c r="R36" s="747"/>
      <c r="S36" s="770">
        <v>115</v>
      </c>
      <c r="T36" s="771">
        <v>7015</v>
      </c>
      <c r="U36" s="747"/>
      <c r="V36" s="770">
        <v>115</v>
      </c>
      <c r="W36" s="771">
        <v>8395</v>
      </c>
      <c r="X36" s="747"/>
      <c r="Y36" s="770">
        <v>115</v>
      </c>
      <c r="Z36" s="771">
        <v>8395</v>
      </c>
      <c r="AA36" s="747"/>
      <c r="AB36" s="770">
        <v>115</v>
      </c>
      <c r="AC36" s="771">
        <v>10120</v>
      </c>
      <c r="AD36" s="747"/>
      <c r="AE36" s="770">
        <v>115</v>
      </c>
      <c r="AF36" s="771">
        <v>7245</v>
      </c>
      <c r="AG36" s="747"/>
      <c r="AH36" s="770">
        <v>115</v>
      </c>
      <c r="AI36" s="771">
        <v>8280</v>
      </c>
      <c r="AJ36" s="747"/>
      <c r="AK36" s="770">
        <v>115</v>
      </c>
      <c r="AL36" s="771">
        <v>10005</v>
      </c>
      <c r="AM36" s="747"/>
      <c r="AN36" s="770">
        <v>115</v>
      </c>
      <c r="AO36" s="771">
        <v>6440</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114</v>
      </c>
      <c r="C37" s="747"/>
      <c r="D37" s="770">
        <v>10</v>
      </c>
      <c r="E37" s="758">
        <v>8000</v>
      </c>
      <c r="F37" s="747"/>
      <c r="G37" s="770">
        <v>10</v>
      </c>
      <c r="H37" s="771">
        <v>600</v>
      </c>
      <c r="I37" s="747"/>
      <c r="J37" s="770">
        <v>10</v>
      </c>
      <c r="K37" s="771">
        <v>550</v>
      </c>
      <c r="L37" s="747"/>
      <c r="M37" s="770">
        <v>10</v>
      </c>
      <c r="N37" s="771">
        <v>520</v>
      </c>
      <c r="O37" s="747"/>
      <c r="P37" s="770">
        <v>10</v>
      </c>
      <c r="Q37" s="771">
        <v>600</v>
      </c>
      <c r="R37" s="747"/>
      <c r="S37" s="770">
        <v>10</v>
      </c>
      <c r="T37" s="771">
        <v>610</v>
      </c>
      <c r="U37" s="747"/>
      <c r="V37" s="770">
        <v>10</v>
      </c>
      <c r="W37" s="771">
        <v>730</v>
      </c>
      <c r="X37" s="747"/>
      <c r="Y37" s="770">
        <v>10</v>
      </c>
      <c r="Z37" s="771">
        <v>730</v>
      </c>
      <c r="AA37" s="747"/>
      <c r="AB37" s="770">
        <v>10</v>
      </c>
      <c r="AC37" s="771">
        <v>880</v>
      </c>
      <c r="AD37" s="747"/>
      <c r="AE37" s="770">
        <v>10</v>
      </c>
      <c r="AF37" s="771">
        <v>630</v>
      </c>
      <c r="AG37" s="747"/>
      <c r="AH37" s="770">
        <v>10</v>
      </c>
      <c r="AI37" s="771">
        <v>720</v>
      </c>
      <c r="AJ37" s="747"/>
      <c r="AK37" s="770">
        <v>10</v>
      </c>
      <c r="AL37" s="771">
        <v>870</v>
      </c>
      <c r="AM37" s="747"/>
      <c r="AN37" s="770">
        <v>10</v>
      </c>
      <c r="AO37" s="771">
        <v>560</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115</v>
      </c>
      <c r="C38" s="776"/>
      <c r="D38" s="773">
        <v>120.75</v>
      </c>
      <c r="E38" s="774">
        <v>96600</v>
      </c>
      <c r="F38" s="776"/>
      <c r="G38" s="773">
        <v>120.75</v>
      </c>
      <c r="H38" s="775">
        <v>7245</v>
      </c>
      <c r="I38" s="776"/>
      <c r="J38" s="773">
        <v>120.75</v>
      </c>
      <c r="K38" s="775">
        <v>6641.25</v>
      </c>
      <c r="L38" s="776"/>
      <c r="M38" s="773">
        <v>120.75</v>
      </c>
      <c r="N38" s="775">
        <v>6279</v>
      </c>
      <c r="O38" s="776"/>
      <c r="P38" s="773">
        <v>120.75</v>
      </c>
      <c r="Q38" s="775">
        <v>7245</v>
      </c>
      <c r="R38" s="776"/>
      <c r="S38" s="773">
        <v>120.75</v>
      </c>
      <c r="T38" s="775">
        <v>7365.75</v>
      </c>
      <c r="U38" s="776"/>
      <c r="V38" s="773">
        <v>120.75</v>
      </c>
      <c r="W38" s="775">
        <v>8814.75</v>
      </c>
      <c r="X38" s="776"/>
      <c r="Y38" s="773">
        <v>120.75</v>
      </c>
      <c r="Z38" s="775">
        <v>8814.75</v>
      </c>
      <c r="AA38" s="776"/>
      <c r="AB38" s="773">
        <v>120.75</v>
      </c>
      <c r="AC38" s="775">
        <v>10626</v>
      </c>
      <c r="AD38" s="776"/>
      <c r="AE38" s="773">
        <v>120.75</v>
      </c>
      <c r="AF38" s="775">
        <v>7607.25</v>
      </c>
      <c r="AG38" s="776"/>
      <c r="AH38" s="773">
        <v>120.75</v>
      </c>
      <c r="AI38" s="775">
        <v>8694</v>
      </c>
      <c r="AJ38" s="776"/>
      <c r="AK38" s="773">
        <v>120.75</v>
      </c>
      <c r="AL38" s="775">
        <v>10505.25</v>
      </c>
      <c r="AM38" s="776"/>
      <c r="AN38" s="773">
        <v>120.75</v>
      </c>
      <c r="AO38" s="775">
        <v>6762</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116</v>
      </c>
      <c r="C39" s="747"/>
      <c r="D39" s="770">
        <v>101.93</v>
      </c>
      <c r="E39" s="758">
        <v>81544</v>
      </c>
      <c r="F39" s="747"/>
      <c r="G39" s="770">
        <v>91.033333333333331</v>
      </c>
      <c r="H39" s="771">
        <v>5462</v>
      </c>
      <c r="I39" s="747"/>
      <c r="J39" s="770">
        <v>108.4</v>
      </c>
      <c r="K39" s="771">
        <v>5962</v>
      </c>
      <c r="L39" s="747"/>
      <c r="M39" s="770">
        <v>351.19230769230768</v>
      </c>
      <c r="N39" s="771">
        <v>18262</v>
      </c>
      <c r="O39" s="747"/>
      <c r="P39" s="770">
        <v>91.033333333333331</v>
      </c>
      <c r="Q39" s="771">
        <v>5462</v>
      </c>
      <c r="R39" s="747"/>
      <c r="S39" s="770">
        <v>87.901639344262293</v>
      </c>
      <c r="T39" s="771">
        <v>5362</v>
      </c>
      <c r="U39" s="747"/>
      <c r="V39" s="770">
        <v>57.013698630136986</v>
      </c>
      <c r="W39" s="771">
        <v>4162</v>
      </c>
      <c r="X39" s="747"/>
      <c r="Y39" s="770">
        <v>57.013698630136986</v>
      </c>
      <c r="Z39" s="771">
        <v>4162</v>
      </c>
      <c r="AA39" s="747"/>
      <c r="AB39" s="770">
        <v>30.25</v>
      </c>
      <c r="AC39" s="771">
        <v>2662</v>
      </c>
      <c r="AD39" s="747"/>
      <c r="AE39" s="770">
        <v>81.936507936507937</v>
      </c>
      <c r="AF39" s="771">
        <v>5162</v>
      </c>
      <c r="AG39" s="747"/>
      <c r="AH39" s="770">
        <v>225.86111111111111</v>
      </c>
      <c r="AI39" s="771">
        <v>16262</v>
      </c>
      <c r="AJ39" s="747"/>
      <c r="AK39" s="770">
        <v>31.74712643678161</v>
      </c>
      <c r="AL39" s="771">
        <v>2762</v>
      </c>
      <c r="AM39" s="747"/>
      <c r="AN39" s="770">
        <v>104.67857142857143</v>
      </c>
      <c r="AO39" s="771">
        <v>5862</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117</v>
      </c>
      <c r="C40" s="747"/>
      <c r="D40" s="770">
        <v>554.29499999999996</v>
      </c>
      <c r="E40" s="758">
        <v>443435.99999999994</v>
      </c>
      <c r="F40" s="747"/>
      <c r="G40" s="770">
        <v>580.19552322928689</v>
      </c>
      <c r="H40" s="771">
        <v>34811.731393757211</v>
      </c>
      <c r="I40" s="747"/>
      <c r="J40" s="770">
        <v>623.20302355257672</v>
      </c>
      <c r="K40" s="771">
        <v>34276.166295391718</v>
      </c>
      <c r="L40" s="747"/>
      <c r="M40" s="770">
        <v>690.05503058631155</v>
      </c>
      <c r="N40" s="771">
        <v>35882.861590488203</v>
      </c>
      <c r="O40" s="747"/>
      <c r="P40" s="770">
        <v>601.02305483238945</v>
      </c>
      <c r="Q40" s="771">
        <v>36061.383289943369</v>
      </c>
      <c r="R40" s="747"/>
      <c r="S40" s="770">
        <v>626.28924071156302</v>
      </c>
      <c r="T40" s="771">
        <v>38203.643683405346</v>
      </c>
      <c r="U40" s="747"/>
      <c r="V40" s="770">
        <v>523.33758470418286</v>
      </c>
      <c r="W40" s="771">
        <v>38203.643683405346</v>
      </c>
      <c r="X40" s="747"/>
      <c r="Y40" s="770">
        <v>560.02012568812097</v>
      </c>
      <c r="Z40" s="771">
        <v>40881.469175232829</v>
      </c>
      <c r="AA40" s="747"/>
      <c r="AB40" s="770">
        <v>413.84575782788289</v>
      </c>
      <c r="AC40" s="771">
        <v>36418.426688853695</v>
      </c>
      <c r="AD40" s="747"/>
      <c r="AE40" s="770">
        <v>603.57336482460619</v>
      </c>
      <c r="AF40" s="771">
        <v>38025.121983950186</v>
      </c>
      <c r="AG40" s="747"/>
      <c r="AH40" s="770">
        <v>565.31871494135646</v>
      </c>
      <c r="AI40" s="771">
        <v>40702.947475777662</v>
      </c>
      <c r="AJ40" s="747"/>
      <c r="AK40" s="770">
        <v>402.18681716336067</v>
      </c>
      <c r="AL40" s="771">
        <v>34990.253093212377</v>
      </c>
      <c r="AM40" s="747"/>
      <c r="AN40" s="770">
        <v>624.61342226039346</v>
      </c>
      <c r="AO40" s="771">
        <v>34978.351646582036</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59</v>
      </c>
      <c r="C41" s="747"/>
      <c r="D41" s="770">
        <v>0</v>
      </c>
      <c r="E41" s="758">
        <v>0</v>
      </c>
      <c r="F41" s="747"/>
      <c r="G41" s="770">
        <v>0</v>
      </c>
      <c r="H41" s="758"/>
      <c r="I41" s="747"/>
      <c r="J41" s="770">
        <v>0</v>
      </c>
      <c r="K41" s="758"/>
      <c r="L41" s="747"/>
      <c r="M41" s="770">
        <v>0</v>
      </c>
      <c r="N41" s="758"/>
      <c r="O41" s="747"/>
      <c r="P41" s="770">
        <v>0</v>
      </c>
      <c r="Q41" s="758"/>
      <c r="R41" s="747"/>
      <c r="S41" s="770">
        <v>0</v>
      </c>
      <c r="T41" s="758"/>
      <c r="U41" s="747"/>
      <c r="V41" s="770">
        <v>0</v>
      </c>
      <c r="W41" s="758"/>
      <c r="X41" s="747"/>
      <c r="Y41" s="770">
        <v>0</v>
      </c>
      <c r="Z41" s="758"/>
      <c r="AA41" s="747"/>
      <c r="AB41" s="770">
        <v>0</v>
      </c>
      <c r="AC41" s="758"/>
      <c r="AD41" s="747"/>
      <c r="AE41" s="770">
        <v>0</v>
      </c>
      <c r="AF41" s="758"/>
      <c r="AG41" s="747"/>
      <c r="AH41" s="770">
        <v>0</v>
      </c>
      <c r="AI41" s="758"/>
      <c r="AJ41" s="747"/>
      <c r="AK41" s="770">
        <v>0</v>
      </c>
      <c r="AL41" s="758"/>
      <c r="AM41" s="747"/>
      <c r="AN41" s="770">
        <v>0</v>
      </c>
      <c r="AO41" s="758"/>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59</v>
      </c>
      <c r="C42" s="747"/>
      <c r="D42" s="770">
        <v>0</v>
      </c>
      <c r="E42" s="758">
        <v>0</v>
      </c>
      <c r="F42" s="747"/>
      <c r="G42" s="770">
        <v>0</v>
      </c>
      <c r="H42" s="758"/>
      <c r="I42" s="747"/>
      <c r="J42" s="770">
        <v>0</v>
      </c>
      <c r="K42" s="758"/>
      <c r="L42" s="747"/>
      <c r="M42" s="770">
        <v>0</v>
      </c>
      <c r="N42" s="758"/>
      <c r="O42" s="747"/>
      <c r="P42" s="770">
        <v>0</v>
      </c>
      <c r="Q42" s="758"/>
      <c r="R42" s="747"/>
      <c r="S42" s="770">
        <v>0</v>
      </c>
      <c r="T42" s="758"/>
      <c r="U42" s="747"/>
      <c r="V42" s="770">
        <v>0</v>
      </c>
      <c r="W42" s="758"/>
      <c r="X42" s="747"/>
      <c r="Y42" s="770">
        <v>0</v>
      </c>
      <c r="Z42" s="758"/>
      <c r="AA42" s="747"/>
      <c r="AB42" s="770">
        <v>0</v>
      </c>
      <c r="AC42" s="758"/>
      <c r="AD42" s="747"/>
      <c r="AE42" s="770">
        <v>0</v>
      </c>
      <c r="AF42" s="758"/>
      <c r="AG42" s="747"/>
      <c r="AH42" s="770">
        <v>0</v>
      </c>
      <c r="AI42" s="758"/>
      <c r="AJ42" s="747"/>
      <c r="AK42" s="770">
        <v>0</v>
      </c>
      <c r="AL42" s="758"/>
      <c r="AM42" s="747"/>
      <c r="AN42" s="770">
        <v>0</v>
      </c>
      <c r="AO42" s="758"/>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59</v>
      </c>
      <c r="C43" s="776"/>
      <c r="D43" s="770">
        <v>0</v>
      </c>
      <c r="E43" s="758">
        <v>0</v>
      </c>
      <c r="F43" s="776"/>
      <c r="G43" s="770">
        <v>0</v>
      </c>
      <c r="H43" s="758"/>
      <c r="I43" s="776"/>
      <c r="J43" s="770">
        <v>0</v>
      </c>
      <c r="K43" s="758"/>
      <c r="L43" s="776"/>
      <c r="M43" s="770">
        <v>0</v>
      </c>
      <c r="N43" s="758"/>
      <c r="O43" s="776"/>
      <c r="P43" s="770">
        <v>0</v>
      </c>
      <c r="Q43" s="758"/>
      <c r="R43" s="776"/>
      <c r="S43" s="770">
        <v>0</v>
      </c>
      <c r="T43" s="758"/>
      <c r="U43" s="776"/>
      <c r="V43" s="770">
        <v>0</v>
      </c>
      <c r="W43" s="758"/>
      <c r="X43" s="776"/>
      <c r="Y43" s="770">
        <v>0</v>
      </c>
      <c r="Z43" s="758"/>
      <c r="AA43" s="776"/>
      <c r="AB43" s="770">
        <v>0</v>
      </c>
      <c r="AC43" s="758"/>
      <c r="AD43" s="776"/>
      <c r="AE43" s="770">
        <v>0</v>
      </c>
      <c r="AF43" s="758"/>
      <c r="AG43" s="776"/>
      <c r="AH43" s="770">
        <v>0</v>
      </c>
      <c r="AI43" s="758"/>
      <c r="AJ43" s="776"/>
      <c r="AK43" s="770">
        <v>0</v>
      </c>
      <c r="AL43" s="758"/>
      <c r="AM43" s="776"/>
      <c r="AN43" s="770">
        <v>0</v>
      </c>
      <c r="AO43" s="758"/>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118</v>
      </c>
      <c r="C44" s="777" t="s">
        <v>119</v>
      </c>
      <c r="D44" s="778">
        <v>0.56214589050651698</v>
      </c>
      <c r="E44" s="779">
        <v>1544277.2722530724</v>
      </c>
      <c r="F44" s="777" t="s">
        <v>119</v>
      </c>
      <c r="G44" s="778">
        <v>0.57803147965304669</v>
      </c>
      <c r="H44" s="779">
        <v>117996.94311014429</v>
      </c>
      <c r="I44" s="777" t="s">
        <v>119</v>
      </c>
      <c r="J44" s="778">
        <v>0.58974736449649556</v>
      </c>
      <c r="K44" s="779">
        <v>110691.79098584544</v>
      </c>
      <c r="L44" s="777" t="s">
        <v>119</v>
      </c>
      <c r="M44" s="778">
        <v>0.6786093210209404</v>
      </c>
      <c r="N44" s="779">
        <v>121106.7340653819</v>
      </c>
      <c r="O44" s="777" t="s">
        <v>119</v>
      </c>
      <c r="P44" s="778">
        <v>0.57110105504577746</v>
      </c>
      <c r="Q44" s="779">
        <v>118434.76241151712</v>
      </c>
      <c r="R44" s="777" t="s">
        <v>119</v>
      </c>
      <c r="S44" s="778">
        <v>0.58225317971939539</v>
      </c>
      <c r="T44" s="779">
        <v>123090.94021016579</v>
      </c>
      <c r="U44" s="777" t="s">
        <v>119</v>
      </c>
      <c r="V44" s="778">
        <v>0.53657735548479579</v>
      </c>
      <c r="W44" s="779">
        <v>134407.94907240587</v>
      </c>
      <c r="X44" s="777" t="s">
        <v>119</v>
      </c>
      <c r="Y44" s="778">
        <v>0.54726764970303821</v>
      </c>
      <c r="Z44" s="779">
        <v>137085.77456423335</v>
      </c>
      <c r="AA44" s="777" t="s">
        <v>119</v>
      </c>
      <c r="AB44" s="778">
        <v>0.49712087817606854</v>
      </c>
      <c r="AC44" s="779">
        <v>150031.49315565432</v>
      </c>
      <c r="AD44" s="777" t="s">
        <v>119</v>
      </c>
      <c r="AE44" s="778">
        <v>0.56789122057315622</v>
      </c>
      <c r="AF44" s="779">
        <v>123590.25332108398</v>
      </c>
      <c r="AG44" s="777" t="s">
        <v>119</v>
      </c>
      <c r="AH44" s="778">
        <v>0.60209479546159328</v>
      </c>
      <c r="AI44" s="779">
        <v>149293.33545959153</v>
      </c>
      <c r="AJ44" s="777" t="s">
        <v>119</v>
      </c>
      <c r="AK44" s="778">
        <v>0.4896332988129401</v>
      </c>
      <c r="AL44" s="779">
        <v>146089.40215482633</v>
      </c>
      <c r="AM44" s="777" t="s">
        <v>119</v>
      </c>
      <c r="AN44" s="778">
        <v>0.58786304141773849</v>
      </c>
      <c r="AO44" s="779">
        <v>112457.89374222243</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120</v>
      </c>
      <c r="C45" s="747"/>
      <c r="D45" s="757"/>
      <c r="E45" s="758">
        <v>309574.05000000005</v>
      </c>
      <c r="F45" s="747"/>
      <c r="G45" s="757"/>
      <c r="H45" s="771">
        <v>28420.581730769234</v>
      </c>
      <c r="I45" s="747"/>
      <c r="J45" s="757"/>
      <c r="K45" s="771">
        <v>24486.465384615389</v>
      </c>
      <c r="L45" s="747"/>
      <c r="M45" s="757"/>
      <c r="N45" s="771">
        <v>24486.465384615389</v>
      </c>
      <c r="O45" s="747"/>
      <c r="P45" s="757"/>
      <c r="Q45" s="771">
        <v>24486.465384615389</v>
      </c>
      <c r="R45" s="747"/>
      <c r="S45" s="757"/>
      <c r="T45" s="771">
        <v>28420.581730769234</v>
      </c>
      <c r="U45" s="747"/>
      <c r="V45" s="757"/>
      <c r="W45" s="771">
        <v>24486.465384615389</v>
      </c>
      <c r="X45" s="747"/>
      <c r="Y45" s="757"/>
      <c r="Z45" s="771">
        <v>24486.465384615389</v>
      </c>
      <c r="AA45" s="747"/>
      <c r="AB45" s="757"/>
      <c r="AC45" s="771">
        <v>28420.581730769234</v>
      </c>
      <c r="AD45" s="747"/>
      <c r="AE45" s="757"/>
      <c r="AF45" s="771">
        <v>24486.465384615389</v>
      </c>
      <c r="AG45" s="747"/>
      <c r="AH45" s="757"/>
      <c r="AI45" s="771">
        <v>28420.581730769234</v>
      </c>
      <c r="AJ45" s="747"/>
      <c r="AK45" s="757"/>
      <c r="AL45" s="771">
        <v>24486.465384615389</v>
      </c>
      <c r="AM45" s="747"/>
      <c r="AN45" s="757"/>
      <c r="AO45" s="771">
        <v>24486.465384615389</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121</v>
      </c>
      <c r="C46" s="747"/>
      <c r="D46" s="757"/>
      <c r="E46" s="758">
        <v>179904.84799999997</v>
      </c>
      <c r="F46" s="747"/>
      <c r="G46" s="757"/>
      <c r="H46" s="771">
        <v>17167.773846153847</v>
      </c>
      <c r="I46" s="747"/>
      <c r="J46" s="757"/>
      <c r="K46" s="771">
        <v>13904.219076923078</v>
      </c>
      <c r="L46" s="747"/>
      <c r="M46" s="757"/>
      <c r="N46" s="771">
        <v>13904.219076923078</v>
      </c>
      <c r="O46" s="747"/>
      <c r="P46" s="757"/>
      <c r="Q46" s="771">
        <v>13904.219076923078</v>
      </c>
      <c r="R46" s="747"/>
      <c r="S46" s="757"/>
      <c r="T46" s="771">
        <v>17167.773846153847</v>
      </c>
      <c r="U46" s="747"/>
      <c r="V46" s="757"/>
      <c r="W46" s="771">
        <v>13904.219076923078</v>
      </c>
      <c r="X46" s="747"/>
      <c r="Y46" s="757"/>
      <c r="Z46" s="771">
        <v>13904.219076923078</v>
      </c>
      <c r="AA46" s="747"/>
      <c r="AB46" s="757"/>
      <c r="AC46" s="771">
        <v>17167.773846153847</v>
      </c>
      <c r="AD46" s="747"/>
      <c r="AE46" s="757"/>
      <c r="AF46" s="771">
        <v>13904.219076923078</v>
      </c>
      <c r="AG46" s="747"/>
      <c r="AH46" s="757"/>
      <c r="AI46" s="771">
        <v>17167.773846153847</v>
      </c>
      <c r="AJ46" s="747"/>
      <c r="AK46" s="757"/>
      <c r="AL46" s="771">
        <v>13904.219076923078</v>
      </c>
      <c r="AM46" s="747"/>
      <c r="AN46" s="757"/>
      <c r="AO46" s="771">
        <v>13904.219076923078</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122</v>
      </c>
      <c r="C47" s="780"/>
      <c r="D47" s="781"/>
      <c r="E47" s="782">
        <v>4102.2000000000007</v>
      </c>
      <c r="F47" s="780"/>
      <c r="G47" s="781"/>
      <c r="H47" s="783">
        <v>394.44230769230774</v>
      </c>
      <c r="I47" s="780"/>
      <c r="J47" s="781"/>
      <c r="K47" s="783">
        <v>315.55384615384617</v>
      </c>
      <c r="L47" s="780"/>
      <c r="M47" s="781"/>
      <c r="N47" s="783">
        <v>315.55384615384617</v>
      </c>
      <c r="O47" s="780"/>
      <c r="P47" s="781"/>
      <c r="Q47" s="783">
        <v>315.55384615384617</v>
      </c>
      <c r="R47" s="780"/>
      <c r="S47" s="781"/>
      <c r="T47" s="783">
        <v>394.44230769230774</v>
      </c>
      <c r="U47" s="780"/>
      <c r="V47" s="781"/>
      <c r="W47" s="783">
        <v>315.55384615384617</v>
      </c>
      <c r="X47" s="780"/>
      <c r="Y47" s="781"/>
      <c r="Z47" s="783">
        <v>315.55384615384617</v>
      </c>
      <c r="AA47" s="780"/>
      <c r="AB47" s="781"/>
      <c r="AC47" s="783">
        <v>394.44230769230774</v>
      </c>
      <c r="AD47" s="780"/>
      <c r="AE47" s="781"/>
      <c r="AF47" s="783">
        <v>315.55384615384617</v>
      </c>
      <c r="AG47" s="780"/>
      <c r="AH47" s="781"/>
      <c r="AI47" s="783">
        <v>394.44230769230774</v>
      </c>
      <c r="AJ47" s="780"/>
      <c r="AK47" s="781"/>
      <c r="AL47" s="783">
        <v>315.55384615384617</v>
      </c>
      <c r="AM47" s="780"/>
      <c r="AN47" s="781"/>
      <c r="AO47" s="783">
        <v>315.55384615384617</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123</v>
      </c>
      <c r="C48" s="747"/>
      <c r="D48" s="757"/>
      <c r="E48" s="758">
        <v>0</v>
      </c>
      <c r="F48" s="747"/>
      <c r="G48" s="757"/>
      <c r="H48" s="771">
        <v>0</v>
      </c>
      <c r="I48" s="747"/>
      <c r="J48" s="757"/>
      <c r="K48" s="771">
        <v>0</v>
      </c>
      <c r="L48" s="747"/>
      <c r="M48" s="757"/>
      <c r="N48" s="771">
        <v>0</v>
      </c>
      <c r="O48" s="747"/>
      <c r="P48" s="757"/>
      <c r="Q48" s="771">
        <v>0</v>
      </c>
      <c r="R48" s="747"/>
      <c r="S48" s="757"/>
      <c r="T48" s="771">
        <v>0</v>
      </c>
      <c r="U48" s="747"/>
      <c r="V48" s="757"/>
      <c r="W48" s="771">
        <v>0</v>
      </c>
      <c r="X48" s="747"/>
      <c r="Y48" s="757"/>
      <c r="Z48" s="771">
        <v>0</v>
      </c>
      <c r="AA48" s="747"/>
      <c r="AB48" s="757"/>
      <c r="AC48" s="771">
        <v>0</v>
      </c>
      <c r="AD48" s="747"/>
      <c r="AE48" s="757"/>
      <c r="AF48" s="771">
        <v>0</v>
      </c>
      <c r="AG48" s="747"/>
      <c r="AH48" s="757"/>
      <c r="AI48" s="771">
        <v>0</v>
      </c>
      <c r="AJ48" s="747"/>
      <c r="AK48" s="757"/>
      <c r="AL48" s="771">
        <v>0</v>
      </c>
      <c r="AM48" s="747"/>
      <c r="AN48" s="757"/>
      <c r="AO48" s="771">
        <v>0</v>
      </c>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59</v>
      </c>
      <c r="C49" s="747"/>
      <c r="D49" s="757"/>
      <c r="E49" s="758">
        <v>0</v>
      </c>
      <c r="F49" s="747"/>
      <c r="G49" s="757"/>
      <c r="H49" s="771">
        <v>0</v>
      </c>
      <c r="I49" s="747"/>
      <c r="J49" s="757"/>
      <c r="K49" s="771">
        <v>0</v>
      </c>
      <c r="L49" s="747"/>
      <c r="M49" s="757"/>
      <c r="N49" s="771">
        <v>0</v>
      </c>
      <c r="O49" s="747"/>
      <c r="P49" s="757"/>
      <c r="Q49" s="771">
        <v>0</v>
      </c>
      <c r="R49" s="747"/>
      <c r="S49" s="757"/>
      <c r="T49" s="771">
        <v>0</v>
      </c>
      <c r="U49" s="747"/>
      <c r="V49" s="757"/>
      <c r="W49" s="771">
        <v>0</v>
      </c>
      <c r="X49" s="747"/>
      <c r="Y49" s="757"/>
      <c r="Z49" s="771">
        <v>0</v>
      </c>
      <c r="AA49" s="747"/>
      <c r="AB49" s="757"/>
      <c r="AC49" s="771">
        <v>0</v>
      </c>
      <c r="AD49" s="747"/>
      <c r="AE49" s="757"/>
      <c r="AF49" s="771">
        <v>0</v>
      </c>
      <c r="AG49" s="747"/>
      <c r="AH49" s="757"/>
      <c r="AI49" s="771">
        <v>0</v>
      </c>
      <c r="AJ49" s="747"/>
      <c r="AK49" s="757"/>
      <c r="AL49" s="771">
        <v>0</v>
      </c>
      <c r="AM49" s="747"/>
      <c r="AN49" s="757"/>
      <c r="AO49" s="771">
        <v>0</v>
      </c>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59</v>
      </c>
      <c r="C50" s="747"/>
      <c r="D50" s="757"/>
      <c r="E50" s="758">
        <v>0</v>
      </c>
      <c r="F50" s="747"/>
      <c r="G50" s="757"/>
      <c r="H50" s="771">
        <v>0</v>
      </c>
      <c r="I50" s="747"/>
      <c r="J50" s="757"/>
      <c r="K50" s="771">
        <v>0</v>
      </c>
      <c r="L50" s="747"/>
      <c r="M50" s="757"/>
      <c r="N50" s="771">
        <v>0</v>
      </c>
      <c r="O50" s="747"/>
      <c r="P50" s="757"/>
      <c r="Q50" s="771">
        <v>0</v>
      </c>
      <c r="R50" s="747"/>
      <c r="S50" s="757"/>
      <c r="T50" s="771">
        <v>0</v>
      </c>
      <c r="U50" s="747"/>
      <c r="V50" s="757"/>
      <c r="W50" s="771">
        <v>0</v>
      </c>
      <c r="X50" s="747"/>
      <c r="Y50" s="757"/>
      <c r="Z50" s="771">
        <v>0</v>
      </c>
      <c r="AA50" s="747"/>
      <c r="AB50" s="757"/>
      <c r="AC50" s="771">
        <v>0</v>
      </c>
      <c r="AD50" s="747"/>
      <c r="AE50" s="757"/>
      <c r="AF50" s="771">
        <v>0</v>
      </c>
      <c r="AG50" s="747"/>
      <c r="AH50" s="757"/>
      <c r="AI50" s="771">
        <v>0</v>
      </c>
      <c r="AJ50" s="747"/>
      <c r="AK50" s="757"/>
      <c r="AL50" s="771">
        <v>0</v>
      </c>
      <c r="AM50" s="747"/>
      <c r="AN50" s="757"/>
      <c r="AO50" s="771">
        <v>0</v>
      </c>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59</v>
      </c>
      <c r="C51" s="747"/>
      <c r="D51" s="757"/>
      <c r="E51" s="758">
        <v>0</v>
      </c>
      <c r="F51" s="747"/>
      <c r="G51" s="757"/>
      <c r="H51" s="771">
        <v>0</v>
      </c>
      <c r="I51" s="747"/>
      <c r="J51" s="757"/>
      <c r="K51" s="771">
        <v>0</v>
      </c>
      <c r="L51" s="747"/>
      <c r="M51" s="757"/>
      <c r="N51" s="771">
        <v>0</v>
      </c>
      <c r="O51" s="747"/>
      <c r="P51" s="757"/>
      <c r="Q51" s="771">
        <v>0</v>
      </c>
      <c r="R51" s="747"/>
      <c r="S51" s="757"/>
      <c r="T51" s="771">
        <v>0</v>
      </c>
      <c r="U51" s="747"/>
      <c r="V51" s="757"/>
      <c r="W51" s="771">
        <v>0</v>
      </c>
      <c r="X51" s="747"/>
      <c r="Y51" s="757"/>
      <c r="Z51" s="771">
        <v>0</v>
      </c>
      <c r="AA51" s="747"/>
      <c r="AB51" s="757"/>
      <c r="AC51" s="771">
        <v>0</v>
      </c>
      <c r="AD51" s="747"/>
      <c r="AE51" s="757"/>
      <c r="AF51" s="771">
        <v>0</v>
      </c>
      <c r="AG51" s="747"/>
      <c r="AH51" s="757"/>
      <c r="AI51" s="771">
        <v>0</v>
      </c>
      <c r="AJ51" s="747"/>
      <c r="AK51" s="757"/>
      <c r="AL51" s="771">
        <v>0</v>
      </c>
      <c r="AM51" s="747"/>
      <c r="AN51" s="757"/>
      <c r="AO51" s="771">
        <v>0</v>
      </c>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124</v>
      </c>
      <c r="C52" s="747"/>
      <c r="D52" s="757"/>
      <c r="E52" s="758">
        <v>148529.80500274603</v>
      </c>
      <c r="F52" s="747"/>
      <c r="G52" s="757"/>
      <c r="H52" s="771">
        <v>12062.772479562989</v>
      </c>
      <c r="I52" s="747"/>
      <c r="J52" s="757"/>
      <c r="K52" s="771">
        <v>9735.8914894858408</v>
      </c>
      <c r="L52" s="747"/>
      <c r="M52" s="757"/>
      <c r="N52" s="771">
        <v>12663.726344675681</v>
      </c>
      <c r="O52" s="747"/>
      <c r="P52" s="757"/>
      <c r="Q52" s="771">
        <v>13219.128099359219</v>
      </c>
      <c r="R52" s="747"/>
      <c r="S52" s="757"/>
      <c r="T52" s="771">
        <v>14936.127334752829</v>
      </c>
      <c r="U52" s="747"/>
      <c r="V52" s="757"/>
      <c r="W52" s="771">
        <v>11620.016753536451</v>
      </c>
      <c r="X52" s="747"/>
      <c r="Y52" s="757"/>
      <c r="Z52" s="771">
        <v>11796.070671764297</v>
      </c>
      <c r="AA52" s="747"/>
      <c r="AB52" s="757"/>
      <c r="AC52" s="771">
        <v>13032.075111588296</v>
      </c>
      <c r="AD52" s="747"/>
      <c r="AE52" s="757"/>
      <c r="AF52" s="771">
        <v>12229.898508219989</v>
      </c>
      <c r="AG52" s="747"/>
      <c r="AH52" s="757"/>
      <c r="AI52" s="771">
        <v>14095.711661841447</v>
      </c>
      <c r="AJ52" s="747"/>
      <c r="AK52" s="757"/>
      <c r="AL52" s="771">
        <v>13449.662017587063</v>
      </c>
      <c r="AM52" s="747"/>
      <c r="AN52" s="757"/>
      <c r="AO52" s="771">
        <v>9688.7245303719174</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125</v>
      </c>
      <c r="C53" s="780"/>
      <c r="D53" s="781"/>
      <c r="E53" s="782">
        <v>180591.30476104806</v>
      </c>
      <c r="F53" s="780"/>
      <c r="G53" s="781"/>
      <c r="H53" s="783">
        <v>14666.630856208745</v>
      </c>
      <c r="I53" s="780"/>
      <c r="J53" s="781"/>
      <c r="K53" s="783">
        <v>11837.471590740493</v>
      </c>
      <c r="L53" s="780"/>
      <c r="M53" s="781"/>
      <c r="N53" s="783">
        <v>15397.306040222413</v>
      </c>
      <c r="O53" s="780"/>
      <c r="P53" s="781"/>
      <c r="Q53" s="783">
        <v>16072.596279397112</v>
      </c>
      <c r="R53" s="780"/>
      <c r="S53" s="781"/>
      <c r="T53" s="783">
        <v>18160.225305690667</v>
      </c>
      <c r="U53" s="780"/>
      <c r="V53" s="781"/>
      <c r="W53" s="783">
        <v>14128.302308264583</v>
      </c>
      <c r="X53" s="780"/>
      <c r="Y53" s="781"/>
      <c r="Z53" s="783">
        <v>14342.359054656152</v>
      </c>
      <c r="AA53" s="780"/>
      <c r="AB53" s="781"/>
      <c r="AC53" s="783">
        <v>15845.166214970792</v>
      </c>
      <c r="AD53" s="780"/>
      <c r="AE53" s="781"/>
      <c r="AF53" s="783">
        <v>14869.832547439282</v>
      </c>
      <c r="AG53" s="780"/>
      <c r="AH53" s="781"/>
      <c r="AI53" s="783">
        <v>17138.398320124405</v>
      </c>
      <c r="AJ53" s="780"/>
      <c r="AK53" s="781"/>
      <c r="AL53" s="783">
        <v>16352.893025788675</v>
      </c>
      <c r="AM53" s="780"/>
      <c r="AN53" s="781"/>
      <c r="AO53" s="783">
        <v>11780.123217544711</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126</v>
      </c>
      <c r="C54" s="747"/>
      <c r="D54" s="757"/>
      <c r="E54" s="758">
        <v>93043.780931235611</v>
      </c>
      <c r="F54" s="747"/>
      <c r="G54" s="757"/>
      <c r="H54" s="771">
        <v>7556.5032889597223</v>
      </c>
      <c r="I54" s="747"/>
      <c r="J54" s="757"/>
      <c r="K54" s="771">
        <v>6098.8712326206451</v>
      </c>
      <c r="L54" s="747"/>
      <c r="M54" s="757"/>
      <c r="N54" s="771">
        <v>7932.9598511580689</v>
      </c>
      <c r="O54" s="747"/>
      <c r="P54" s="757"/>
      <c r="Q54" s="771">
        <v>8280.8811265589466</v>
      </c>
      <c r="R54" s="747"/>
      <c r="S54" s="757"/>
      <c r="T54" s="771">
        <v>9356.4639074971456</v>
      </c>
      <c r="U54" s="747"/>
      <c r="V54" s="757"/>
      <c r="W54" s="771">
        <v>7279.1470588232733</v>
      </c>
      <c r="X54" s="747"/>
      <c r="Y54" s="757"/>
      <c r="Z54" s="771">
        <v>7389.4328172902333</v>
      </c>
      <c r="AA54" s="747"/>
      <c r="AB54" s="757"/>
      <c r="AC54" s="771">
        <v>8163.7052020610372</v>
      </c>
      <c r="AD54" s="747"/>
      <c r="AE54" s="757"/>
      <c r="AF54" s="771">
        <v>7661.1963342241506</v>
      </c>
      <c r="AG54" s="747"/>
      <c r="AH54" s="757"/>
      <c r="AI54" s="771">
        <v>8830.0008736293112</v>
      </c>
      <c r="AJ54" s="747"/>
      <c r="AK54" s="757"/>
      <c r="AL54" s="771">
        <v>8425.2948850259036</v>
      </c>
      <c r="AM54" s="747"/>
      <c r="AN54" s="757"/>
      <c r="AO54" s="771">
        <v>6069.3243533871655</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127</v>
      </c>
      <c r="C55" s="747"/>
      <c r="D55" s="757"/>
      <c r="E55" s="758">
        <v>40567.611939076007</v>
      </c>
      <c r="F55" s="747"/>
      <c r="G55" s="757"/>
      <c r="H55" s="771">
        <v>3294.6779459599352</v>
      </c>
      <c r="I55" s="747"/>
      <c r="J55" s="757"/>
      <c r="K55" s="771">
        <v>2659.1421689344584</v>
      </c>
      <c r="L55" s="747"/>
      <c r="M55" s="757"/>
      <c r="N55" s="771">
        <v>3458.8151249774983</v>
      </c>
      <c r="O55" s="747"/>
      <c r="P55" s="757"/>
      <c r="Q55" s="771">
        <v>3610.5107584152929</v>
      </c>
      <c r="R55" s="747"/>
      <c r="S55" s="757"/>
      <c r="T55" s="771">
        <v>4079.470902002975</v>
      </c>
      <c r="U55" s="747"/>
      <c r="V55" s="757"/>
      <c r="W55" s="771">
        <v>3173.7490692478409</v>
      </c>
      <c r="X55" s="747"/>
      <c r="Y55" s="757"/>
      <c r="Z55" s="771">
        <v>3221.8342803937726</v>
      </c>
      <c r="AA55" s="747"/>
      <c r="AB55" s="757"/>
      <c r="AC55" s="771">
        <v>3559.421396116627</v>
      </c>
      <c r="AD55" s="747"/>
      <c r="AE55" s="757"/>
      <c r="AF55" s="771">
        <v>3340.3247026856357</v>
      </c>
      <c r="AG55" s="747"/>
      <c r="AH55" s="757"/>
      <c r="AI55" s="771">
        <v>3849.9300574192498</v>
      </c>
      <c r="AJ55" s="747"/>
      <c r="AK55" s="757"/>
      <c r="AL55" s="771">
        <v>3673.4759695612238</v>
      </c>
      <c r="AM55" s="747"/>
      <c r="AN55" s="757"/>
      <c r="AO55" s="771">
        <v>2646.2595633614928</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59</v>
      </c>
      <c r="C56" s="776"/>
      <c r="D56" s="784"/>
      <c r="E56" s="774">
        <v>0</v>
      </c>
      <c r="F56" s="776"/>
      <c r="G56" s="784"/>
      <c r="H56" s="774"/>
      <c r="I56" s="776"/>
      <c r="J56" s="784"/>
      <c r="K56" s="774"/>
      <c r="L56" s="776"/>
      <c r="M56" s="784"/>
      <c r="N56" s="774"/>
      <c r="O56" s="776"/>
      <c r="P56" s="784"/>
      <c r="Q56" s="774"/>
      <c r="R56" s="776"/>
      <c r="S56" s="784"/>
      <c r="T56" s="774"/>
      <c r="U56" s="776"/>
      <c r="V56" s="784"/>
      <c r="W56" s="774"/>
      <c r="X56" s="776"/>
      <c r="Y56" s="784"/>
      <c r="Z56" s="774"/>
      <c r="AA56" s="776"/>
      <c r="AB56" s="784"/>
      <c r="AC56" s="774"/>
      <c r="AD56" s="776"/>
      <c r="AE56" s="784"/>
      <c r="AF56" s="774"/>
      <c r="AG56" s="776"/>
      <c r="AH56" s="784"/>
      <c r="AI56" s="774"/>
      <c r="AJ56" s="776"/>
      <c r="AK56" s="784"/>
      <c r="AL56" s="774"/>
      <c r="AM56" s="776"/>
      <c r="AN56" s="784"/>
      <c r="AO56" s="774"/>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128</v>
      </c>
      <c r="C57" s="777" t="s">
        <v>119</v>
      </c>
      <c r="D57" s="778">
        <v>0.34811608659345367</v>
      </c>
      <c r="E57" s="779">
        <v>956313.60063410574</v>
      </c>
      <c r="F57" s="777" t="s">
        <v>119</v>
      </c>
      <c r="G57" s="778">
        <v>0.40935183855031443</v>
      </c>
      <c r="H57" s="779">
        <v>83563.382455306783</v>
      </c>
      <c r="I57" s="777" t="s">
        <v>119</v>
      </c>
      <c r="J57" s="778">
        <v>0.36782087461592133</v>
      </c>
      <c r="K57" s="779">
        <v>69037.614789473751</v>
      </c>
      <c r="L57" s="777" t="s">
        <v>119</v>
      </c>
      <c r="M57" s="778">
        <v>0.43795629798970875</v>
      </c>
      <c r="N57" s="779">
        <v>78159.045668725972</v>
      </c>
      <c r="O57" s="777" t="s">
        <v>119</v>
      </c>
      <c r="P57" s="778">
        <v>0.38523228952101185</v>
      </c>
      <c r="Q57" s="779">
        <v>79889.354571422882</v>
      </c>
      <c r="R57" s="777" t="s">
        <v>119</v>
      </c>
      <c r="S57" s="778">
        <v>0.4376211808609568</v>
      </c>
      <c r="T57" s="779">
        <v>92515.085334559</v>
      </c>
      <c r="U57" s="777" t="s">
        <v>119</v>
      </c>
      <c r="V57" s="778">
        <v>0.29904215919678268</v>
      </c>
      <c r="W57" s="779">
        <v>74907.453497564464</v>
      </c>
      <c r="X57" s="777" t="s">
        <v>119</v>
      </c>
      <c r="Y57" s="778">
        <v>0.30123178285267083</v>
      </c>
      <c r="Z57" s="779">
        <v>75455.935131796767</v>
      </c>
      <c r="AA57" s="777" t="s">
        <v>119</v>
      </c>
      <c r="AB57" s="778">
        <v>0.28688842933632519</v>
      </c>
      <c r="AC57" s="779">
        <v>86583.16580935214</v>
      </c>
      <c r="AD57" s="777" t="s">
        <v>119</v>
      </c>
      <c r="AE57" s="778">
        <v>0.35292669365476831</v>
      </c>
      <c r="AF57" s="779">
        <v>76807.490400261377</v>
      </c>
      <c r="AG57" s="777" t="s">
        <v>119</v>
      </c>
      <c r="AH57" s="778">
        <v>0.36255080377082777</v>
      </c>
      <c r="AI57" s="779">
        <v>89896.838797629782</v>
      </c>
      <c r="AJ57" s="777" t="s">
        <v>119</v>
      </c>
      <c r="AK57" s="778">
        <v>0.27016434449818788</v>
      </c>
      <c r="AL57" s="779">
        <v>80607.564205655173</v>
      </c>
      <c r="AM57" s="777" t="s">
        <v>119</v>
      </c>
      <c r="AN57" s="778">
        <v>0.36011948496996171</v>
      </c>
      <c r="AO57" s="779">
        <v>68890.669972357617</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129</v>
      </c>
      <c r="C58" s="747"/>
      <c r="D58" s="757"/>
      <c r="E58" s="758">
        <v>0</v>
      </c>
      <c r="F58" s="747"/>
      <c r="G58" s="757"/>
      <c r="H58" s="771">
        <v>0</v>
      </c>
      <c r="I58" s="747"/>
      <c r="J58" s="757"/>
      <c r="K58" s="771">
        <v>0</v>
      </c>
      <c r="L58" s="747"/>
      <c r="M58" s="757"/>
      <c r="N58" s="771">
        <v>0</v>
      </c>
      <c r="O58" s="747"/>
      <c r="P58" s="757"/>
      <c r="Q58" s="771">
        <v>0</v>
      </c>
      <c r="R58" s="747"/>
      <c r="S58" s="757"/>
      <c r="T58" s="771">
        <v>0</v>
      </c>
      <c r="U58" s="747"/>
      <c r="V58" s="757"/>
      <c r="W58" s="771">
        <v>0</v>
      </c>
      <c r="X58" s="747"/>
      <c r="Y58" s="757"/>
      <c r="Z58" s="771">
        <v>0</v>
      </c>
      <c r="AA58" s="747"/>
      <c r="AB58" s="757"/>
      <c r="AC58" s="771">
        <v>0</v>
      </c>
      <c r="AD58" s="747"/>
      <c r="AE58" s="757"/>
      <c r="AF58" s="771">
        <v>0</v>
      </c>
      <c r="AG58" s="747"/>
      <c r="AH58" s="757"/>
      <c r="AI58" s="771">
        <v>0</v>
      </c>
      <c r="AJ58" s="747"/>
      <c r="AK58" s="757"/>
      <c r="AL58" s="771">
        <v>0</v>
      </c>
      <c r="AM58" s="747"/>
      <c r="AN58" s="757"/>
      <c r="AO58" s="771">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130</v>
      </c>
      <c r="C59" s="747"/>
      <c r="D59" s="757"/>
      <c r="E59" s="758">
        <v>0</v>
      </c>
      <c r="F59" s="747"/>
      <c r="G59" s="757"/>
      <c r="H59" s="771">
        <v>0</v>
      </c>
      <c r="I59" s="747"/>
      <c r="J59" s="757"/>
      <c r="K59" s="771">
        <v>0</v>
      </c>
      <c r="L59" s="747"/>
      <c r="M59" s="757"/>
      <c r="N59" s="771">
        <v>0</v>
      </c>
      <c r="O59" s="747"/>
      <c r="P59" s="757"/>
      <c r="Q59" s="771">
        <v>0</v>
      </c>
      <c r="R59" s="747"/>
      <c r="S59" s="757"/>
      <c r="T59" s="771">
        <v>0</v>
      </c>
      <c r="U59" s="747"/>
      <c r="V59" s="757"/>
      <c r="W59" s="771">
        <v>0</v>
      </c>
      <c r="X59" s="747"/>
      <c r="Y59" s="757"/>
      <c r="Z59" s="771">
        <v>0</v>
      </c>
      <c r="AA59" s="747"/>
      <c r="AB59" s="757"/>
      <c r="AC59" s="771">
        <v>0</v>
      </c>
      <c r="AD59" s="747"/>
      <c r="AE59" s="757"/>
      <c r="AF59" s="771">
        <v>0</v>
      </c>
      <c r="AG59" s="747"/>
      <c r="AH59" s="757"/>
      <c r="AI59" s="771">
        <v>0</v>
      </c>
      <c r="AJ59" s="747"/>
      <c r="AK59" s="757"/>
      <c r="AL59" s="771">
        <v>0</v>
      </c>
      <c r="AM59" s="747"/>
      <c r="AN59" s="757"/>
      <c r="AO59" s="771">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131</v>
      </c>
      <c r="C60" s="785"/>
      <c r="D60" s="786"/>
      <c r="E60" s="787">
        <v>107430.57520000001</v>
      </c>
      <c r="F60" s="785"/>
      <c r="G60" s="786"/>
      <c r="H60" s="788">
        <v>8952.5479333333333</v>
      </c>
      <c r="I60" s="785"/>
      <c r="J60" s="786"/>
      <c r="K60" s="788">
        <v>8952.5479333333333</v>
      </c>
      <c r="L60" s="785"/>
      <c r="M60" s="786"/>
      <c r="N60" s="788">
        <v>8952.5479333333333</v>
      </c>
      <c r="O60" s="785"/>
      <c r="P60" s="786"/>
      <c r="Q60" s="788">
        <v>8952.5479333333333</v>
      </c>
      <c r="R60" s="785"/>
      <c r="S60" s="786"/>
      <c r="T60" s="788">
        <v>8952.5479333333333</v>
      </c>
      <c r="U60" s="785"/>
      <c r="V60" s="786"/>
      <c r="W60" s="788">
        <v>8952.5479333333333</v>
      </c>
      <c r="X60" s="785"/>
      <c r="Y60" s="786"/>
      <c r="Z60" s="788">
        <v>8952.5479333333333</v>
      </c>
      <c r="AA60" s="785"/>
      <c r="AB60" s="786"/>
      <c r="AC60" s="788">
        <v>8952.5479333333333</v>
      </c>
      <c r="AD60" s="785"/>
      <c r="AE60" s="786"/>
      <c r="AF60" s="788">
        <v>8952.5479333333333</v>
      </c>
      <c r="AG60" s="785"/>
      <c r="AH60" s="786"/>
      <c r="AI60" s="788">
        <v>8952.5479333333333</v>
      </c>
      <c r="AJ60" s="785"/>
      <c r="AK60" s="786"/>
      <c r="AL60" s="788">
        <v>8952.5479333333333</v>
      </c>
      <c r="AM60" s="785"/>
      <c r="AN60" s="786"/>
      <c r="AO60" s="788">
        <v>8952.5479333333333</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132</v>
      </c>
      <c r="C61" s="747"/>
      <c r="D61" s="757"/>
      <c r="E61" s="758">
        <v>95531.937102186712</v>
      </c>
      <c r="F61" s="747"/>
      <c r="G61" s="757"/>
      <c r="H61" s="771">
        <v>7960.9947585155569</v>
      </c>
      <c r="I61" s="747"/>
      <c r="J61" s="757"/>
      <c r="K61" s="771">
        <v>7960.9947585155569</v>
      </c>
      <c r="L61" s="747"/>
      <c r="M61" s="757"/>
      <c r="N61" s="771">
        <v>7960.9947585155569</v>
      </c>
      <c r="O61" s="747"/>
      <c r="P61" s="757"/>
      <c r="Q61" s="771">
        <v>7960.9947585155569</v>
      </c>
      <c r="R61" s="747"/>
      <c r="S61" s="757"/>
      <c r="T61" s="771">
        <v>7960.9947585155569</v>
      </c>
      <c r="U61" s="747"/>
      <c r="V61" s="757"/>
      <c r="W61" s="771">
        <v>7960.9947585155569</v>
      </c>
      <c r="X61" s="747"/>
      <c r="Y61" s="757"/>
      <c r="Z61" s="771">
        <v>7960.9947585155569</v>
      </c>
      <c r="AA61" s="747"/>
      <c r="AB61" s="757"/>
      <c r="AC61" s="771">
        <v>7960.9947585155569</v>
      </c>
      <c r="AD61" s="747"/>
      <c r="AE61" s="757"/>
      <c r="AF61" s="771">
        <v>7960.9947585155569</v>
      </c>
      <c r="AG61" s="747"/>
      <c r="AH61" s="757"/>
      <c r="AI61" s="771">
        <v>7960.9947585155569</v>
      </c>
      <c r="AJ61" s="747"/>
      <c r="AK61" s="757"/>
      <c r="AL61" s="771">
        <v>7960.9947585155569</v>
      </c>
      <c r="AM61" s="747"/>
      <c r="AN61" s="757"/>
      <c r="AO61" s="771">
        <v>7960.9947585155569</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133</v>
      </c>
      <c r="C62" s="747"/>
      <c r="D62" s="757"/>
      <c r="E62" s="758">
        <v>15200.370010355771</v>
      </c>
      <c r="F62" s="747"/>
      <c r="G62" s="757"/>
      <c r="H62" s="771">
        <v>1266.6975008629806</v>
      </c>
      <c r="I62" s="747"/>
      <c r="J62" s="757"/>
      <c r="K62" s="771">
        <v>1266.6975008629806</v>
      </c>
      <c r="L62" s="747"/>
      <c r="M62" s="757"/>
      <c r="N62" s="771">
        <v>1266.6975008629806</v>
      </c>
      <c r="O62" s="747"/>
      <c r="P62" s="757"/>
      <c r="Q62" s="771">
        <v>1266.6975008629806</v>
      </c>
      <c r="R62" s="747"/>
      <c r="S62" s="757"/>
      <c r="T62" s="771">
        <v>1266.6975008629806</v>
      </c>
      <c r="U62" s="747"/>
      <c r="V62" s="757"/>
      <c r="W62" s="771">
        <v>1266.6975008629806</v>
      </c>
      <c r="X62" s="747"/>
      <c r="Y62" s="757"/>
      <c r="Z62" s="771">
        <v>1266.6975008629806</v>
      </c>
      <c r="AA62" s="747"/>
      <c r="AB62" s="757"/>
      <c r="AC62" s="771">
        <v>1266.6975008629806</v>
      </c>
      <c r="AD62" s="747"/>
      <c r="AE62" s="757"/>
      <c r="AF62" s="771">
        <v>1266.6975008629806</v>
      </c>
      <c r="AG62" s="747"/>
      <c r="AH62" s="757"/>
      <c r="AI62" s="771">
        <v>1266.6975008629806</v>
      </c>
      <c r="AJ62" s="747"/>
      <c r="AK62" s="757"/>
      <c r="AL62" s="771">
        <v>1266.6975008629806</v>
      </c>
      <c r="AM62" s="747"/>
      <c r="AN62" s="757"/>
      <c r="AO62" s="771">
        <v>1266.6975008629806</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134</v>
      </c>
      <c r="C63" s="785"/>
      <c r="D63" s="786"/>
      <c r="E63" s="787">
        <v>86588.888683050362</v>
      </c>
      <c r="F63" s="785"/>
      <c r="G63" s="786"/>
      <c r="H63" s="788">
        <v>7215.7407235875298</v>
      </c>
      <c r="I63" s="785"/>
      <c r="J63" s="786"/>
      <c r="K63" s="788">
        <v>7215.7407235875298</v>
      </c>
      <c r="L63" s="785"/>
      <c r="M63" s="786"/>
      <c r="N63" s="788">
        <v>7215.7407235875298</v>
      </c>
      <c r="O63" s="785"/>
      <c r="P63" s="786"/>
      <c r="Q63" s="788">
        <v>7215.7407235875298</v>
      </c>
      <c r="R63" s="785"/>
      <c r="S63" s="786"/>
      <c r="T63" s="788">
        <v>7215.7407235875298</v>
      </c>
      <c r="U63" s="785"/>
      <c r="V63" s="786"/>
      <c r="W63" s="788">
        <v>7215.7407235875298</v>
      </c>
      <c r="X63" s="785"/>
      <c r="Y63" s="786"/>
      <c r="Z63" s="788">
        <v>7215.7407235875298</v>
      </c>
      <c r="AA63" s="785"/>
      <c r="AB63" s="786"/>
      <c r="AC63" s="788">
        <v>7215.7407235875298</v>
      </c>
      <c r="AD63" s="785"/>
      <c r="AE63" s="786"/>
      <c r="AF63" s="788">
        <v>7215.7407235875298</v>
      </c>
      <c r="AG63" s="785"/>
      <c r="AH63" s="786"/>
      <c r="AI63" s="788">
        <v>7215.7407235875298</v>
      </c>
      <c r="AJ63" s="785"/>
      <c r="AK63" s="786"/>
      <c r="AL63" s="788">
        <v>7215.7407235875298</v>
      </c>
      <c r="AM63" s="785"/>
      <c r="AN63" s="786"/>
      <c r="AO63" s="788">
        <v>7215.7407235875298</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135</v>
      </c>
      <c r="C64" s="747"/>
      <c r="D64" s="757"/>
      <c r="E64" s="758">
        <v>1167.0880000000002</v>
      </c>
      <c r="F64" s="747"/>
      <c r="G64" s="757"/>
      <c r="H64" s="771">
        <v>97.257333333333349</v>
      </c>
      <c r="I64" s="747"/>
      <c r="J64" s="757"/>
      <c r="K64" s="771">
        <v>97.257333333333349</v>
      </c>
      <c r="L64" s="747"/>
      <c r="M64" s="757"/>
      <c r="N64" s="771">
        <v>97.257333333333349</v>
      </c>
      <c r="O64" s="747"/>
      <c r="P64" s="757"/>
      <c r="Q64" s="771">
        <v>97.257333333333349</v>
      </c>
      <c r="R64" s="747"/>
      <c r="S64" s="757"/>
      <c r="T64" s="771">
        <v>97.257333333333349</v>
      </c>
      <c r="U64" s="747"/>
      <c r="V64" s="757"/>
      <c r="W64" s="771">
        <v>97.257333333333349</v>
      </c>
      <c r="X64" s="747"/>
      <c r="Y64" s="757"/>
      <c r="Z64" s="771">
        <v>97.257333333333349</v>
      </c>
      <c r="AA64" s="747"/>
      <c r="AB64" s="757"/>
      <c r="AC64" s="771">
        <v>97.257333333333349</v>
      </c>
      <c r="AD64" s="747"/>
      <c r="AE64" s="757"/>
      <c r="AF64" s="771">
        <v>97.257333333333349</v>
      </c>
      <c r="AG64" s="747"/>
      <c r="AH64" s="757"/>
      <c r="AI64" s="771">
        <v>97.257333333333349</v>
      </c>
      <c r="AJ64" s="747"/>
      <c r="AK64" s="757"/>
      <c r="AL64" s="771">
        <v>97.257333333333349</v>
      </c>
      <c r="AM64" s="747"/>
      <c r="AN64" s="757"/>
      <c r="AO64" s="771">
        <v>97.257333333333349</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136</v>
      </c>
      <c r="C65" s="747"/>
      <c r="D65" s="757"/>
      <c r="E65" s="758">
        <v>340</v>
      </c>
      <c r="F65" s="747"/>
      <c r="G65" s="757"/>
      <c r="H65" s="771">
        <v>28.333333333333332</v>
      </c>
      <c r="I65" s="747"/>
      <c r="J65" s="757"/>
      <c r="K65" s="771">
        <v>28.333333333333332</v>
      </c>
      <c r="L65" s="747"/>
      <c r="M65" s="757"/>
      <c r="N65" s="771">
        <v>28.333333333333332</v>
      </c>
      <c r="O65" s="747"/>
      <c r="P65" s="757"/>
      <c r="Q65" s="771">
        <v>28.333333333333332</v>
      </c>
      <c r="R65" s="747"/>
      <c r="S65" s="757"/>
      <c r="T65" s="771">
        <v>28.333333333333332</v>
      </c>
      <c r="U65" s="747"/>
      <c r="V65" s="757"/>
      <c r="W65" s="771">
        <v>28.333333333333332</v>
      </c>
      <c r="X65" s="747"/>
      <c r="Y65" s="757"/>
      <c r="Z65" s="771">
        <v>28.333333333333332</v>
      </c>
      <c r="AA65" s="747"/>
      <c r="AB65" s="757"/>
      <c r="AC65" s="771">
        <v>28.333333333333332</v>
      </c>
      <c r="AD65" s="747"/>
      <c r="AE65" s="757"/>
      <c r="AF65" s="771">
        <v>28.333333333333332</v>
      </c>
      <c r="AG65" s="747"/>
      <c r="AH65" s="757"/>
      <c r="AI65" s="771">
        <v>28.333333333333332</v>
      </c>
      <c r="AJ65" s="747"/>
      <c r="AK65" s="757"/>
      <c r="AL65" s="771">
        <v>28.333333333333332</v>
      </c>
      <c r="AM65" s="747"/>
      <c r="AN65" s="757"/>
      <c r="AO65" s="771">
        <v>28.333333333333332</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137</v>
      </c>
      <c r="C66" s="747"/>
      <c r="D66" s="757"/>
      <c r="E66" s="758">
        <v>8897.1707360294404</v>
      </c>
      <c r="F66" s="747"/>
      <c r="G66" s="757"/>
      <c r="H66" s="771">
        <v>741.43089466911999</v>
      </c>
      <c r="I66" s="747"/>
      <c r="J66" s="757"/>
      <c r="K66" s="771">
        <v>741.43089466911999</v>
      </c>
      <c r="L66" s="747"/>
      <c r="M66" s="757"/>
      <c r="N66" s="771">
        <v>741.43089466911999</v>
      </c>
      <c r="O66" s="747"/>
      <c r="P66" s="757"/>
      <c r="Q66" s="771">
        <v>741.43089466911999</v>
      </c>
      <c r="R66" s="747"/>
      <c r="S66" s="757"/>
      <c r="T66" s="771">
        <v>741.43089466911999</v>
      </c>
      <c r="U66" s="747"/>
      <c r="V66" s="757"/>
      <c r="W66" s="771">
        <v>741.43089466911999</v>
      </c>
      <c r="X66" s="747"/>
      <c r="Y66" s="757"/>
      <c r="Z66" s="771">
        <v>741.43089466911999</v>
      </c>
      <c r="AA66" s="747"/>
      <c r="AB66" s="757"/>
      <c r="AC66" s="771">
        <v>741.43089466911999</v>
      </c>
      <c r="AD66" s="747"/>
      <c r="AE66" s="757"/>
      <c r="AF66" s="771">
        <v>741.43089466911999</v>
      </c>
      <c r="AG66" s="747"/>
      <c r="AH66" s="757"/>
      <c r="AI66" s="771">
        <v>741.43089466911999</v>
      </c>
      <c r="AJ66" s="747"/>
      <c r="AK66" s="757"/>
      <c r="AL66" s="771">
        <v>741.43089466911999</v>
      </c>
      <c r="AM66" s="747"/>
      <c r="AN66" s="757"/>
      <c r="AO66" s="771">
        <v>741.43089466911999</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138</v>
      </c>
      <c r="C67" s="747"/>
      <c r="D67" s="757"/>
      <c r="E67" s="758">
        <v>4137.6238190157865</v>
      </c>
      <c r="F67" s="747"/>
      <c r="G67" s="757"/>
      <c r="H67" s="771">
        <v>344.80198491798222</v>
      </c>
      <c r="I67" s="747"/>
      <c r="J67" s="757"/>
      <c r="K67" s="771">
        <v>344.80198491798222</v>
      </c>
      <c r="L67" s="747"/>
      <c r="M67" s="757"/>
      <c r="N67" s="771">
        <v>344.80198491798222</v>
      </c>
      <c r="O67" s="747"/>
      <c r="P67" s="757"/>
      <c r="Q67" s="771">
        <v>344.80198491798222</v>
      </c>
      <c r="R67" s="747"/>
      <c r="S67" s="757"/>
      <c r="T67" s="771">
        <v>344.80198491798222</v>
      </c>
      <c r="U67" s="747"/>
      <c r="V67" s="757"/>
      <c r="W67" s="771">
        <v>344.80198491798222</v>
      </c>
      <c r="X67" s="747"/>
      <c r="Y67" s="757"/>
      <c r="Z67" s="771">
        <v>344.80198491798222</v>
      </c>
      <c r="AA67" s="747"/>
      <c r="AB67" s="757"/>
      <c r="AC67" s="771">
        <v>344.80198491798222</v>
      </c>
      <c r="AD67" s="747"/>
      <c r="AE67" s="757"/>
      <c r="AF67" s="771">
        <v>344.80198491798222</v>
      </c>
      <c r="AG67" s="747"/>
      <c r="AH67" s="757"/>
      <c r="AI67" s="771">
        <v>344.80198491798222</v>
      </c>
      <c r="AJ67" s="747"/>
      <c r="AK67" s="757"/>
      <c r="AL67" s="771">
        <v>344.80198491798222</v>
      </c>
      <c r="AM67" s="747"/>
      <c r="AN67" s="757"/>
      <c r="AO67" s="771">
        <v>344.80198491798222</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139</v>
      </c>
      <c r="C68" s="747"/>
      <c r="D68" s="757"/>
      <c r="E68" s="758">
        <v>1233.8687444210134</v>
      </c>
      <c r="F68" s="747"/>
      <c r="G68" s="757"/>
      <c r="H68" s="771">
        <v>102.82239536841776</v>
      </c>
      <c r="I68" s="747"/>
      <c r="J68" s="757"/>
      <c r="K68" s="771">
        <v>102.82239536841776</v>
      </c>
      <c r="L68" s="747"/>
      <c r="M68" s="757"/>
      <c r="N68" s="771">
        <v>102.82239536841776</v>
      </c>
      <c r="O68" s="747"/>
      <c r="P68" s="757"/>
      <c r="Q68" s="771">
        <v>102.82239536841776</v>
      </c>
      <c r="R68" s="747"/>
      <c r="S68" s="757"/>
      <c r="T68" s="771">
        <v>102.82239536841776</v>
      </c>
      <c r="U68" s="747"/>
      <c r="V68" s="757"/>
      <c r="W68" s="771">
        <v>102.82239536841776</v>
      </c>
      <c r="X68" s="747"/>
      <c r="Y68" s="757"/>
      <c r="Z68" s="771">
        <v>102.82239536841776</v>
      </c>
      <c r="AA68" s="747"/>
      <c r="AB68" s="757"/>
      <c r="AC68" s="771">
        <v>102.82239536841776</v>
      </c>
      <c r="AD68" s="747"/>
      <c r="AE68" s="757"/>
      <c r="AF68" s="771">
        <v>102.82239536841776</v>
      </c>
      <c r="AG68" s="747"/>
      <c r="AH68" s="757"/>
      <c r="AI68" s="771">
        <v>102.82239536841776</v>
      </c>
      <c r="AJ68" s="747"/>
      <c r="AK68" s="757"/>
      <c r="AL68" s="771">
        <v>102.82239536841776</v>
      </c>
      <c r="AM68" s="747"/>
      <c r="AN68" s="757"/>
      <c r="AO68" s="771">
        <v>102.82239536841776</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140</v>
      </c>
      <c r="C69" s="747"/>
      <c r="D69" s="757"/>
      <c r="E69" s="758">
        <v>2414.0446220152535</v>
      </c>
      <c r="F69" s="747"/>
      <c r="G69" s="757"/>
      <c r="H69" s="771">
        <v>201.17038516793778</v>
      </c>
      <c r="I69" s="747"/>
      <c r="J69" s="757"/>
      <c r="K69" s="771">
        <v>201.17038516793778</v>
      </c>
      <c r="L69" s="747"/>
      <c r="M69" s="757"/>
      <c r="N69" s="771">
        <v>201.17038516793778</v>
      </c>
      <c r="O69" s="747"/>
      <c r="P69" s="757"/>
      <c r="Q69" s="771">
        <v>201.17038516793778</v>
      </c>
      <c r="R69" s="747"/>
      <c r="S69" s="757"/>
      <c r="T69" s="771">
        <v>201.17038516793778</v>
      </c>
      <c r="U69" s="747"/>
      <c r="V69" s="757"/>
      <c r="W69" s="771">
        <v>201.17038516793778</v>
      </c>
      <c r="X69" s="747"/>
      <c r="Y69" s="757"/>
      <c r="Z69" s="771">
        <v>201.17038516793778</v>
      </c>
      <c r="AA69" s="747"/>
      <c r="AB69" s="757"/>
      <c r="AC69" s="771">
        <v>201.17038516793778</v>
      </c>
      <c r="AD69" s="747"/>
      <c r="AE69" s="757"/>
      <c r="AF69" s="771">
        <v>201.17038516793778</v>
      </c>
      <c r="AG69" s="747"/>
      <c r="AH69" s="757"/>
      <c r="AI69" s="771">
        <v>201.17038516793778</v>
      </c>
      <c r="AJ69" s="747"/>
      <c r="AK69" s="757"/>
      <c r="AL69" s="771">
        <v>201.17038516793778</v>
      </c>
      <c r="AM69" s="747"/>
      <c r="AN69" s="757"/>
      <c r="AO69" s="771">
        <v>201.17038516793778</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141</v>
      </c>
      <c r="C70" s="747"/>
      <c r="D70" s="757"/>
      <c r="E70" s="758">
        <v>23216.474999999995</v>
      </c>
      <c r="F70" s="747"/>
      <c r="G70" s="757"/>
      <c r="H70" s="771">
        <v>1934.7062499999995</v>
      </c>
      <c r="I70" s="747"/>
      <c r="J70" s="757"/>
      <c r="K70" s="771">
        <v>1934.7062499999995</v>
      </c>
      <c r="L70" s="747"/>
      <c r="M70" s="757"/>
      <c r="N70" s="771">
        <v>1934.7062499999995</v>
      </c>
      <c r="O70" s="747"/>
      <c r="P70" s="757"/>
      <c r="Q70" s="771">
        <v>1934.7062499999995</v>
      </c>
      <c r="R70" s="747"/>
      <c r="S70" s="757"/>
      <c r="T70" s="771">
        <v>1934.7062499999995</v>
      </c>
      <c r="U70" s="747"/>
      <c r="V70" s="757"/>
      <c r="W70" s="771">
        <v>1934.7062499999995</v>
      </c>
      <c r="X70" s="747"/>
      <c r="Y70" s="757"/>
      <c r="Z70" s="771">
        <v>1934.7062499999995</v>
      </c>
      <c r="AA70" s="747"/>
      <c r="AB70" s="757"/>
      <c r="AC70" s="771">
        <v>1934.7062499999995</v>
      </c>
      <c r="AD70" s="747"/>
      <c r="AE70" s="757"/>
      <c r="AF70" s="771">
        <v>1934.7062499999995</v>
      </c>
      <c r="AG70" s="747"/>
      <c r="AH70" s="757"/>
      <c r="AI70" s="771">
        <v>1934.7062499999995</v>
      </c>
      <c r="AJ70" s="747"/>
      <c r="AK70" s="757"/>
      <c r="AL70" s="771">
        <v>1934.7062499999995</v>
      </c>
      <c r="AM70" s="747"/>
      <c r="AN70" s="757"/>
      <c r="AO70" s="771">
        <v>1934.7062499999995</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142</v>
      </c>
      <c r="C71" s="747"/>
      <c r="D71" s="757"/>
      <c r="E71" s="758">
        <v>42711.177790357877</v>
      </c>
      <c r="F71" s="747"/>
      <c r="G71" s="757"/>
      <c r="H71" s="771">
        <v>2786.751354489752</v>
      </c>
      <c r="I71" s="747"/>
      <c r="J71" s="757"/>
      <c r="K71" s="771">
        <v>2686.9399197668931</v>
      </c>
      <c r="L71" s="747"/>
      <c r="M71" s="757"/>
      <c r="N71" s="771">
        <v>2842.7950373258304</v>
      </c>
      <c r="O71" s="747"/>
      <c r="P71" s="757"/>
      <c r="Q71" s="771">
        <v>3725.0158256549021</v>
      </c>
      <c r="R71" s="747"/>
      <c r="S71" s="757"/>
      <c r="T71" s="771">
        <v>3960.0994470928576</v>
      </c>
      <c r="U71" s="747"/>
      <c r="V71" s="757"/>
      <c r="W71" s="771">
        <v>3689.0505916353209</v>
      </c>
      <c r="X71" s="747"/>
      <c r="Y71" s="757"/>
      <c r="Z71" s="771">
        <v>3605.8793737115443</v>
      </c>
      <c r="AA71" s="747"/>
      <c r="AB71" s="757"/>
      <c r="AC71" s="771">
        <v>3899.9394827825868</v>
      </c>
      <c r="AD71" s="747"/>
      <c r="AE71" s="757"/>
      <c r="AF71" s="771">
        <v>3172.2328259854512</v>
      </c>
      <c r="AG71" s="747"/>
      <c r="AH71" s="757"/>
      <c r="AI71" s="771">
        <v>4283.1051167853166</v>
      </c>
      <c r="AJ71" s="747"/>
      <c r="AK71" s="757"/>
      <c r="AL71" s="771">
        <v>5035.3183170192588</v>
      </c>
      <c r="AM71" s="747"/>
      <c r="AN71" s="757"/>
      <c r="AO71" s="771">
        <v>3024.0504981081649</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59</v>
      </c>
      <c r="C72" s="747"/>
      <c r="D72" s="757"/>
      <c r="E72" s="758">
        <v>0</v>
      </c>
      <c r="F72" s="747"/>
      <c r="G72" s="757"/>
      <c r="H72" s="758"/>
      <c r="I72" s="747"/>
      <c r="J72" s="757"/>
      <c r="K72" s="758"/>
      <c r="L72" s="747"/>
      <c r="M72" s="757"/>
      <c r="N72" s="758"/>
      <c r="O72" s="747"/>
      <c r="P72" s="757"/>
      <c r="Q72" s="758"/>
      <c r="R72" s="747"/>
      <c r="S72" s="757"/>
      <c r="T72" s="758"/>
      <c r="U72" s="747"/>
      <c r="V72" s="757"/>
      <c r="W72" s="758"/>
      <c r="X72" s="747"/>
      <c r="Y72" s="757"/>
      <c r="Z72" s="758"/>
      <c r="AA72" s="747"/>
      <c r="AB72" s="757"/>
      <c r="AC72" s="758"/>
      <c r="AD72" s="747"/>
      <c r="AE72" s="757"/>
      <c r="AF72" s="758"/>
      <c r="AG72" s="747"/>
      <c r="AH72" s="757"/>
      <c r="AI72" s="758"/>
      <c r="AJ72" s="747"/>
      <c r="AK72" s="757"/>
      <c r="AL72" s="758"/>
      <c r="AM72" s="747"/>
      <c r="AN72" s="757"/>
      <c r="AO72" s="758"/>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59</v>
      </c>
      <c r="C73" s="747"/>
      <c r="D73" s="757"/>
      <c r="E73" s="758">
        <v>0</v>
      </c>
      <c r="F73" s="747"/>
      <c r="G73" s="757"/>
      <c r="H73" s="758"/>
      <c r="I73" s="747"/>
      <c r="J73" s="757"/>
      <c r="K73" s="758"/>
      <c r="L73" s="747"/>
      <c r="M73" s="757"/>
      <c r="N73" s="758"/>
      <c r="O73" s="747"/>
      <c r="P73" s="757"/>
      <c r="Q73" s="758"/>
      <c r="R73" s="747"/>
      <c r="S73" s="757"/>
      <c r="T73" s="758"/>
      <c r="U73" s="747"/>
      <c r="V73" s="757"/>
      <c r="W73" s="758"/>
      <c r="X73" s="747"/>
      <c r="Y73" s="757"/>
      <c r="Z73" s="758"/>
      <c r="AA73" s="747"/>
      <c r="AB73" s="757"/>
      <c r="AC73" s="758"/>
      <c r="AD73" s="747"/>
      <c r="AE73" s="757"/>
      <c r="AF73" s="758"/>
      <c r="AG73" s="747"/>
      <c r="AH73" s="757"/>
      <c r="AI73" s="758"/>
      <c r="AJ73" s="747"/>
      <c r="AK73" s="757"/>
      <c r="AL73" s="758"/>
      <c r="AM73" s="747"/>
      <c r="AN73" s="757"/>
      <c r="AO73" s="758"/>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59</v>
      </c>
      <c r="C74" s="776"/>
      <c r="D74" s="784"/>
      <c r="E74" s="758">
        <v>0</v>
      </c>
      <c r="F74" s="776"/>
      <c r="G74" s="784"/>
      <c r="H74" s="758"/>
      <c r="I74" s="776"/>
      <c r="J74" s="784"/>
      <c r="K74" s="758"/>
      <c r="L74" s="776"/>
      <c r="M74" s="784"/>
      <c r="N74" s="758"/>
      <c r="O74" s="776"/>
      <c r="P74" s="784"/>
      <c r="Q74" s="758"/>
      <c r="R74" s="776"/>
      <c r="S74" s="784"/>
      <c r="T74" s="758"/>
      <c r="U74" s="776"/>
      <c r="V74" s="784"/>
      <c r="W74" s="758"/>
      <c r="X74" s="776"/>
      <c r="Y74" s="784"/>
      <c r="Z74" s="758"/>
      <c r="AA74" s="776"/>
      <c r="AB74" s="784"/>
      <c r="AC74" s="758"/>
      <c r="AD74" s="776"/>
      <c r="AE74" s="784"/>
      <c r="AF74" s="758"/>
      <c r="AG74" s="776"/>
      <c r="AH74" s="784"/>
      <c r="AI74" s="758"/>
      <c r="AJ74" s="776"/>
      <c r="AK74" s="784"/>
      <c r="AL74" s="758"/>
      <c r="AM74" s="776"/>
      <c r="AN74" s="784"/>
      <c r="AO74" s="758"/>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143</v>
      </c>
      <c r="C75" s="777" t="s">
        <v>119</v>
      </c>
      <c r="D75" s="778">
        <v>0.14155568933814175</v>
      </c>
      <c r="E75" s="779">
        <v>388869.2197074322</v>
      </c>
      <c r="F75" s="777" t="s">
        <v>119</v>
      </c>
      <c r="G75" s="778">
        <v>0.15496178649916384</v>
      </c>
      <c r="H75" s="779">
        <v>31633.254847579276</v>
      </c>
      <c r="I75" s="777" t="s">
        <v>119</v>
      </c>
      <c r="J75" s="778">
        <v>0.16800491690128572</v>
      </c>
      <c r="K75" s="779">
        <v>31533.443412856417</v>
      </c>
      <c r="L75" s="777" t="s">
        <v>119</v>
      </c>
      <c r="M75" s="778">
        <v>0.17756777544463656</v>
      </c>
      <c r="N75" s="779">
        <v>31689.298530415355</v>
      </c>
      <c r="O75" s="777" t="s">
        <v>119</v>
      </c>
      <c r="P75" s="778">
        <v>0.15706223973958813</v>
      </c>
      <c r="Q75" s="779">
        <v>32571.519318744424</v>
      </c>
      <c r="R75" s="777" t="s">
        <v>119</v>
      </c>
      <c r="S75" s="778">
        <v>0.15518403584454293</v>
      </c>
      <c r="T75" s="779">
        <v>32806.602940182383</v>
      </c>
      <c r="U75" s="777" t="s">
        <v>119</v>
      </c>
      <c r="V75" s="778">
        <v>0.12988697238888469</v>
      </c>
      <c r="W75" s="779">
        <v>32535.554084724845</v>
      </c>
      <c r="X75" s="777" t="s">
        <v>119</v>
      </c>
      <c r="Y75" s="778">
        <v>0.12955494000185713</v>
      </c>
      <c r="Z75" s="779">
        <v>32452.382866801068</v>
      </c>
      <c r="AA75" s="777" t="s">
        <v>119</v>
      </c>
      <c r="AB75" s="778">
        <v>0.10850348914690236</v>
      </c>
      <c r="AC75" s="779">
        <v>32746.442975872109</v>
      </c>
      <c r="AD75" s="777" t="s">
        <v>119</v>
      </c>
      <c r="AE75" s="778">
        <v>0.14712454065621342</v>
      </c>
      <c r="AF75" s="779">
        <v>32018.736319074975</v>
      </c>
      <c r="AG75" s="777" t="s">
        <v>119</v>
      </c>
      <c r="AH75" s="778">
        <v>0.13361055172542671</v>
      </c>
      <c r="AI75" s="779">
        <v>33129.608609874842</v>
      </c>
      <c r="AJ75" s="777" t="s">
        <v>119</v>
      </c>
      <c r="AK75" s="778">
        <v>0.11355832755817541</v>
      </c>
      <c r="AL75" s="779">
        <v>33881.821810108784</v>
      </c>
      <c r="AM75" s="777" t="s">
        <v>119</v>
      </c>
      <c r="AN75" s="778">
        <v>0.16660031748308876</v>
      </c>
      <c r="AO75" s="779">
        <v>31870.553991197688</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776"/>
      <c r="D76" s="784"/>
      <c r="E76" s="774"/>
      <c r="F76" s="776"/>
      <c r="G76" s="784"/>
      <c r="H76" s="774"/>
      <c r="I76" s="776"/>
      <c r="J76" s="784"/>
      <c r="K76" s="774"/>
      <c r="L76" s="776"/>
      <c r="M76" s="784"/>
      <c r="N76" s="774"/>
      <c r="O76" s="776"/>
      <c r="P76" s="784"/>
      <c r="Q76" s="774"/>
      <c r="R76" s="776"/>
      <c r="S76" s="784"/>
      <c r="T76" s="774"/>
      <c r="U76" s="776"/>
      <c r="V76" s="784"/>
      <c r="W76" s="774"/>
      <c r="X76" s="776"/>
      <c r="Y76" s="784"/>
      <c r="Z76" s="774"/>
      <c r="AA76" s="776"/>
      <c r="AB76" s="784"/>
      <c r="AC76" s="774"/>
      <c r="AD76" s="776"/>
      <c r="AE76" s="784"/>
      <c r="AF76" s="774"/>
      <c r="AG76" s="776"/>
      <c r="AH76" s="784"/>
      <c r="AI76" s="774"/>
      <c r="AJ76" s="776"/>
      <c r="AK76" s="784"/>
      <c r="AL76" s="774"/>
      <c r="AM76" s="776"/>
      <c r="AN76" s="784"/>
      <c r="AO76" s="774"/>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144</v>
      </c>
      <c r="C77" s="777" t="s">
        <v>119</v>
      </c>
      <c r="D77" s="778">
        <v>1.0518176664381125</v>
      </c>
      <c r="E77" s="789">
        <v>2889460.0925946105</v>
      </c>
      <c r="F77" s="777" t="s">
        <v>119</v>
      </c>
      <c r="G77" s="778">
        <v>1.142345104702525</v>
      </c>
      <c r="H77" s="789">
        <v>233193.58041303034</v>
      </c>
      <c r="I77" s="777" t="s">
        <v>119</v>
      </c>
      <c r="J77" s="778">
        <v>1.1255731560137028</v>
      </c>
      <c r="K77" s="789">
        <v>211262.84918817563</v>
      </c>
      <c r="L77" s="777" t="s">
        <v>119</v>
      </c>
      <c r="M77" s="778">
        <v>1.2941333944552857</v>
      </c>
      <c r="N77" s="789">
        <v>230955.07826452324</v>
      </c>
      <c r="O77" s="777" t="s">
        <v>119</v>
      </c>
      <c r="P77" s="778">
        <v>1.1133955843063774</v>
      </c>
      <c r="Q77" s="789">
        <v>230895.63630168443</v>
      </c>
      <c r="R77" s="777" t="s">
        <v>119</v>
      </c>
      <c r="S77" s="778">
        <v>1.1750583964248951</v>
      </c>
      <c r="T77" s="789">
        <v>248412.62848490715</v>
      </c>
      <c r="U77" s="777" t="s">
        <v>119</v>
      </c>
      <c r="V77" s="778">
        <v>0.96550648707046316</v>
      </c>
      <c r="W77" s="789">
        <v>241850.95665469518</v>
      </c>
      <c r="X77" s="777" t="s">
        <v>119</v>
      </c>
      <c r="Y77" s="778">
        <v>0.97805437255756611</v>
      </c>
      <c r="Z77" s="789">
        <v>244994.09256283118</v>
      </c>
      <c r="AA77" s="777" t="s">
        <v>119</v>
      </c>
      <c r="AB77" s="778">
        <v>0.89251279665929606</v>
      </c>
      <c r="AC77" s="789">
        <v>269361.10194087855</v>
      </c>
      <c r="AD77" s="777" t="s">
        <v>119</v>
      </c>
      <c r="AE77" s="778">
        <v>1.0679424548841379</v>
      </c>
      <c r="AF77" s="789">
        <v>232416.48004042031</v>
      </c>
      <c r="AG77" s="777" t="s">
        <v>119</v>
      </c>
      <c r="AH77" s="778">
        <v>1.0982561509578477</v>
      </c>
      <c r="AI77" s="789">
        <v>272319.78286709613</v>
      </c>
      <c r="AJ77" s="777" t="s">
        <v>119</v>
      </c>
      <c r="AK77" s="778">
        <v>0.87335597086930339</v>
      </c>
      <c r="AL77" s="789">
        <v>260578.7881705903</v>
      </c>
      <c r="AM77" s="777" t="s">
        <v>119</v>
      </c>
      <c r="AN77" s="778">
        <v>1.114582843870789</v>
      </c>
      <c r="AO77" s="789">
        <v>213219.11770577772</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145</v>
      </c>
      <c r="C78" s="747"/>
      <c r="D78" s="757"/>
      <c r="E78" s="758">
        <v>100000</v>
      </c>
      <c r="F78" s="747"/>
      <c r="G78" s="757"/>
      <c r="H78" s="771">
        <v>0</v>
      </c>
      <c r="I78" s="747"/>
      <c r="J78" s="757"/>
      <c r="K78" s="771">
        <v>0</v>
      </c>
      <c r="L78" s="747"/>
      <c r="M78" s="757"/>
      <c r="N78" s="771">
        <v>25000</v>
      </c>
      <c r="O78" s="747"/>
      <c r="P78" s="757"/>
      <c r="Q78" s="771">
        <v>0</v>
      </c>
      <c r="R78" s="747"/>
      <c r="S78" s="757"/>
      <c r="T78" s="771">
        <v>0</v>
      </c>
      <c r="U78" s="747"/>
      <c r="V78" s="757"/>
      <c r="W78" s="771">
        <v>25000</v>
      </c>
      <c r="X78" s="747"/>
      <c r="Y78" s="757"/>
      <c r="Z78" s="771">
        <v>0</v>
      </c>
      <c r="AA78" s="747"/>
      <c r="AB78" s="757"/>
      <c r="AC78" s="771">
        <v>0</v>
      </c>
      <c r="AD78" s="747"/>
      <c r="AE78" s="757"/>
      <c r="AF78" s="771">
        <v>25000</v>
      </c>
      <c r="AG78" s="747"/>
      <c r="AH78" s="757"/>
      <c r="AI78" s="771">
        <v>0</v>
      </c>
      <c r="AJ78" s="747"/>
      <c r="AK78" s="757"/>
      <c r="AL78" s="771">
        <v>0</v>
      </c>
      <c r="AM78" s="747"/>
      <c r="AN78" s="757"/>
      <c r="AO78" s="771">
        <v>25000</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146</v>
      </c>
      <c r="C79" s="747"/>
      <c r="D79" s="757"/>
      <c r="E79" s="758">
        <v>0</v>
      </c>
      <c r="F79" s="747"/>
      <c r="G79" s="757"/>
      <c r="H79" s="771">
        <v>0</v>
      </c>
      <c r="I79" s="747"/>
      <c r="J79" s="757"/>
      <c r="K79" s="771">
        <v>0</v>
      </c>
      <c r="L79" s="747"/>
      <c r="M79" s="757"/>
      <c r="N79" s="771">
        <v>0</v>
      </c>
      <c r="O79" s="747"/>
      <c r="P79" s="757"/>
      <c r="Q79" s="771">
        <v>0</v>
      </c>
      <c r="R79" s="747"/>
      <c r="S79" s="757"/>
      <c r="T79" s="771">
        <v>0</v>
      </c>
      <c r="U79" s="747"/>
      <c r="V79" s="757"/>
      <c r="W79" s="771">
        <v>0</v>
      </c>
      <c r="X79" s="747"/>
      <c r="Y79" s="757"/>
      <c r="Z79" s="771">
        <v>0</v>
      </c>
      <c r="AA79" s="747"/>
      <c r="AB79" s="757"/>
      <c r="AC79" s="771">
        <v>0</v>
      </c>
      <c r="AD79" s="747"/>
      <c r="AE79" s="757"/>
      <c r="AF79" s="771">
        <v>0</v>
      </c>
      <c r="AG79" s="747"/>
      <c r="AH79" s="757"/>
      <c r="AI79" s="771">
        <v>0</v>
      </c>
      <c r="AJ79" s="747"/>
      <c r="AK79" s="757"/>
      <c r="AL79" s="771">
        <v>0</v>
      </c>
      <c r="AM79" s="747"/>
      <c r="AN79" s="757"/>
      <c r="AO79" s="771">
        <v>0</v>
      </c>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147</v>
      </c>
      <c r="C80" s="747"/>
      <c r="D80" s="757"/>
      <c r="E80" s="758">
        <v>0</v>
      </c>
      <c r="F80" s="747"/>
      <c r="G80" s="757"/>
      <c r="H80" s="771">
        <v>0</v>
      </c>
      <c r="I80" s="747"/>
      <c r="J80" s="757"/>
      <c r="K80" s="771">
        <v>0</v>
      </c>
      <c r="L80" s="747"/>
      <c r="M80" s="757"/>
      <c r="N80" s="771">
        <v>0</v>
      </c>
      <c r="O80" s="747"/>
      <c r="P80" s="757"/>
      <c r="Q80" s="771">
        <v>0</v>
      </c>
      <c r="R80" s="747"/>
      <c r="S80" s="757"/>
      <c r="T80" s="771">
        <v>0</v>
      </c>
      <c r="U80" s="747"/>
      <c r="V80" s="757"/>
      <c r="W80" s="771">
        <v>0</v>
      </c>
      <c r="X80" s="747"/>
      <c r="Y80" s="757"/>
      <c r="Z80" s="771">
        <v>0</v>
      </c>
      <c r="AA80" s="747"/>
      <c r="AB80" s="757"/>
      <c r="AC80" s="771">
        <v>0</v>
      </c>
      <c r="AD80" s="747"/>
      <c r="AE80" s="757"/>
      <c r="AF80" s="771">
        <v>0</v>
      </c>
      <c r="AG80" s="747"/>
      <c r="AH80" s="757"/>
      <c r="AI80" s="771">
        <v>0</v>
      </c>
      <c r="AJ80" s="747"/>
      <c r="AK80" s="757"/>
      <c r="AL80" s="771">
        <v>0</v>
      </c>
      <c r="AM80" s="747"/>
      <c r="AN80" s="757"/>
      <c r="AO80" s="771">
        <v>0</v>
      </c>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148</v>
      </c>
      <c r="C81" s="747"/>
      <c r="D81" s="757"/>
      <c r="E81" s="758">
        <v>1145900.2452170278</v>
      </c>
      <c r="F81" s="747"/>
      <c r="G81" s="757"/>
      <c r="H81" s="771">
        <v>84434.754910728356</v>
      </c>
      <c r="I81" s="747"/>
      <c r="J81" s="757"/>
      <c r="K81" s="771">
        <v>76895.937507984767</v>
      </c>
      <c r="L81" s="747"/>
      <c r="M81" s="757"/>
      <c r="N81" s="771">
        <v>72372.647066338584</v>
      </c>
      <c r="O81" s="747"/>
      <c r="P81" s="757"/>
      <c r="Q81" s="771">
        <v>85942.518391277088</v>
      </c>
      <c r="R81" s="747"/>
      <c r="S81" s="757"/>
      <c r="T81" s="771">
        <v>87450.281871825806</v>
      </c>
      <c r="U81" s="747"/>
      <c r="V81" s="757"/>
      <c r="W81" s="771">
        <v>105543.44363841046</v>
      </c>
      <c r="X81" s="747"/>
      <c r="Y81" s="757"/>
      <c r="Z81" s="771">
        <v>105543.44363841046</v>
      </c>
      <c r="AA81" s="747"/>
      <c r="AB81" s="757"/>
      <c r="AC81" s="771">
        <v>128159.89584664126</v>
      </c>
      <c r="AD81" s="747"/>
      <c r="AE81" s="757"/>
      <c r="AF81" s="771">
        <v>90465.808832923241</v>
      </c>
      <c r="AG81" s="747"/>
      <c r="AH81" s="757"/>
      <c r="AI81" s="771">
        <v>104035.68015786173</v>
      </c>
      <c r="AJ81" s="747"/>
      <c r="AK81" s="757"/>
      <c r="AL81" s="771">
        <v>126652.13236609256</v>
      </c>
      <c r="AM81" s="747"/>
      <c r="AN81" s="757"/>
      <c r="AO81" s="771">
        <v>78403.70098853347</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59</v>
      </c>
      <c r="C82" s="747"/>
      <c r="D82" s="757"/>
      <c r="E82" s="758">
        <v>0</v>
      </c>
      <c r="F82" s="747"/>
      <c r="G82" s="757"/>
      <c r="H82" s="771">
        <v>0</v>
      </c>
      <c r="I82" s="747"/>
      <c r="J82" s="757"/>
      <c r="K82" s="771">
        <v>0</v>
      </c>
      <c r="L82" s="747"/>
      <c r="M82" s="757"/>
      <c r="N82" s="771">
        <v>0</v>
      </c>
      <c r="O82" s="747"/>
      <c r="P82" s="757"/>
      <c r="Q82" s="771">
        <v>0</v>
      </c>
      <c r="R82" s="747"/>
      <c r="S82" s="757"/>
      <c r="T82" s="771">
        <v>0</v>
      </c>
      <c r="U82" s="747"/>
      <c r="V82" s="757"/>
      <c r="W82" s="771">
        <v>0</v>
      </c>
      <c r="X82" s="747"/>
      <c r="Y82" s="757"/>
      <c r="Z82" s="771">
        <v>0</v>
      </c>
      <c r="AA82" s="747"/>
      <c r="AB82" s="757"/>
      <c r="AC82" s="771">
        <v>0</v>
      </c>
      <c r="AD82" s="747"/>
      <c r="AE82" s="757"/>
      <c r="AF82" s="771">
        <v>0</v>
      </c>
      <c r="AG82" s="747"/>
      <c r="AH82" s="757"/>
      <c r="AI82" s="771">
        <v>0</v>
      </c>
      <c r="AJ82" s="747"/>
      <c r="AK82" s="757"/>
      <c r="AL82" s="771">
        <v>0</v>
      </c>
      <c r="AM82" s="747"/>
      <c r="AN82" s="757"/>
      <c r="AO82" s="771">
        <v>0</v>
      </c>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59</v>
      </c>
      <c r="C83" s="747"/>
      <c r="D83" s="757"/>
      <c r="E83" s="758">
        <v>0</v>
      </c>
      <c r="F83" s="747"/>
      <c r="G83" s="757"/>
      <c r="H83" s="771">
        <v>0</v>
      </c>
      <c r="I83" s="747"/>
      <c r="J83" s="757"/>
      <c r="K83" s="771">
        <v>0</v>
      </c>
      <c r="L83" s="747"/>
      <c r="M83" s="757"/>
      <c r="N83" s="771">
        <v>0</v>
      </c>
      <c r="O83" s="747"/>
      <c r="P83" s="757"/>
      <c r="Q83" s="771">
        <v>0</v>
      </c>
      <c r="R83" s="747"/>
      <c r="S83" s="757"/>
      <c r="T83" s="771">
        <v>0</v>
      </c>
      <c r="U83" s="747"/>
      <c r="V83" s="757"/>
      <c r="W83" s="771">
        <v>0</v>
      </c>
      <c r="X83" s="747"/>
      <c r="Y83" s="757"/>
      <c r="Z83" s="771">
        <v>0</v>
      </c>
      <c r="AA83" s="747"/>
      <c r="AB83" s="757"/>
      <c r="AC83" s="771">
        <v>0</v>
      </c>
      <c r="AD83" s="747"/>
      <c r="AE83" s="757"/>
      <c r="AF83" s="771">
        <v>0</v>
      </c>
      <c r="AG83" s="747"/>
      <c r="AH83" s="757"/>
      <c r="AI83" s="771">
        <v>0</v>
      </c>
      <c r="AJ83" s="747"/>
      <c r="AK83" s="757"/>
      <c r="AL83" s="771">
        <v>0</v>
      </c>
      <c r="AM83" s="747"/>
      <c r="AN83" s="757"/>
      <c r="AO83" s="771">
        <v>0</v>
      </c>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59</v>
      </c>
      <c r="C84" s="747"/>
      <c r="D84" s="757"/>
      <c r="E84" s="758">
        <v>0</v>
      </c>
      <c r="F84" s="747"/>
      <c r="G84" s="757"/>
      <c r="H84" s="771">
        <v>0</v>
      </c>
      <c r="I84" s="747"/>
      <c r="J84" s="757"/>
      <c r="K84" s="771">
        <v>0</v>
      </c>
      <c r="L84" s="747"/>
      <c r="M84" s="757"/>
      <c r="N84" s="771">
        <v>0</v>
      </c>
      <c r="O84" s="747"/>
      <c r="P84" s="757"/>
      <c r="Q84" s="771">
        <v>0</v>
      </c>
      <c r="R84" s="747"/>
      <c r="S84" s="757"/>
      <c r="T84" s="771">
        <v>0</v>
      </c>
      <c r="U84" s="747"/>
      <c r="V84" s="757"/>
      <c r="W84" s="771">
        <v>0</v>
      </c>
      <c r="X84" s="747"/>
      <c r="Y84" s="757"/>
      <c r="Z84" s="771">
        <v>0</v>
      </c>
      <c r="AA84" s="747"/>
      <c r="AB84" s="757"/>
      <c r="AC84" s="771">
        <v>0</v>
      </c>
      <c r="AD84" s="747"/>
      <c r="AE84" s="757"/>
      <c r="AF84" s="771">
        <v>0</v>
      </c>
      <c r="AG84" s="747"/>
      <c r="AH84" s="757"/>
      <c r="AI84" s="771">
        <v>0</v>
      </c>
      <c r="AJ84" s="747"/>
      <c r="AK84" s="757"/>
      <c r="AL84" s="771">
        <v>0</v>
      </c>
      <c r="AM84" s="747"/>
      <c r="AN84" s="757"/>
      <c r="AO84" s="771">
        <v>0</v>
      </c>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149</v>
      </c>
      <c r="C85" s="747"/>
      <c r="D85" s="757"/>
      <c r="E85" s="758">
        <v>379239.99999999994</v>
      </c>
      <c r="F85" s="747"/>
      <c r="G85" s="757"/>
      <c r="H85" s="771">
        <v>28442.999999999996</v>
      </c>
      <c r="I85" s="747"/>
      <c r="J85" s="757"/>
      <c r="K85" s="771">
        <v>26072.749999999996</v>
      </c>
      <c r="L85" s="747"/>
      <c r="M85" s="757"/>
      <c r="N85" s="771">
        <v>24650.6</v>
      </c>
      <c r="O85" s="747"/>
      <c r="P85" s="757"/>
      <c r="Q85" s="771">
        <v>28442.999999999996</v>
      </c>
      <c r="R85" s="747"/>
      <c r="S85" s="757"/>
      <c r="T85" s="771">
        <v>28917.049999999996</v>
      </c>
      <c r="U85" s="747"/>
      <c r="V85" s="757"/>
      <c r="W85" s="771">
        <v>34605.649999999994</v>
      </c>
      <c r="X85" s="747"/>
      <c r="Y85" s="757"/>
      <c r="Z85" s="771">
        <v>34605.649999999994</v>
      </c>
      <c r="AA85" s="747"/>
      <c r="AB85" s="757"/>
      <c r="AC85" s="771">
        <v>41716.399999999994</v>
      </c>
      <c r="AD85" s="747"/>
      <c r="AE85" s="757"/>
      <c r="AF85" s="771">
        <v>29865.149999999998</v>
      </c>
      <c r="AG85" s="747"/>
      <c r="AH85" s="757"/>
      <c r="AI85" s="771">
        <v>34131.599999999999</v>
      </c>
      <c r="AJ85" s="747"/>
      <c r="AK85" s="757"/>
      <c r="AL85" s="771">
        <v>41242.35</v>
      </c>
      <c r="AM85" s="747"/>
      <c r="AN85" s="757"/>
      <c r="AO85" s="771">
        <v>26546.799999999996</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150</v>
      </c>
      <c r="C86" s="790"/>
      <c r="D86" s="791"/>
      <c r="E86" s="792">
        <v>1625140.2452170278</v>
      </c>
      <c r="F86" s="790"/>
      <c r="G86" s="791"/>
      <c r="H86" s="792">
        <v>112877.75491072836</v>
      </c>
      <c r="I86" s="790"/>
      <c r="J86" s="791"/>
      <c r="K86" s="792">
        <v>102968.68750798477</v>
      </c>
      <c r="L86" s="790"/>
      <c r="M86" s="791"/>
      <c r="N86" s="792">
        <v>122023.24706633858</v>
      </c>
      <c r="O86" s="790"/>
      <c r="P86" s="791"/>
      <c r="Q86" s="792">
        <v>114385.51839127709</v>
      </c>
      <c r="R86" s="790"/>
      <c r="S86" s="791"/>
      <c r="T86" s="792">
        <v>116367.33187182579</v>
      </c>
      <c r="U86" s="790"/>
      <c r="V86" s="791"/>
      <c r="W86" s="792">
        <v>165149.09363841044</v>
      </c>
      <c r="X86" s="790"/>
      <c r="Y86" s="791"/>
      <c r="Z86" s="792">
        <v>140149.09363841044</v>
      </c>
      <c r="AA86" s="790"/>
      <c r="AB86" s="791"/>
      <c r="AC86" s="792">
        <v>169876.29584664124</v>
      </c>
      <c r="AD86" s="790"/>
      <c r="AE86" s="791"/>
      <c r="AF86" s="792">
        <v>145330.95883292324</v>
      </c>
      <c r="AG86" s="790"/>
      <c r="AH86" s="791"/>
      <c r="AI86" s="792">
        <v>138167.28015786174</v>
      </c>
      <c r="AJ86" s="790"/>
      <c r="AK86" s="791"/>
      <c r="AL86" s="792">
        <v>167894.48236609256</v>
      </c>
      <c r="AM86" s="790"/>
      <c r="AN86" s="791"/>
      <c r="AO86" s="792">
        <v>129950.50098853346</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793"/>
      <c r="D87" s="794"/>
      <c r="E87" s="795"/>
      <c r="F87" s="793"/>
      <c r="G87" s="794"/>
      <c r="H87" s="795"/>
      <c r="I87" s="793"/>
      <c r="J87" s="794"/>
      <c r="K87" s="795"/>
      <c r="L87" s="793"/>
      <c r="M87" s="794"/>
      <c r="N87" s="795"/>
      <c r="O87" s="793"/>
      <c r="P87" s="794"/>
      <c r="Q87" s="795"/>
      <c r="R87" s="793"/>
      <c r="S87" s="794"/>
      <c r="T87" s="795"/>
      <c r="U87" s="793"/>
      <c r="V87" s="794"/>
      <c r="W87" s="795"/>
      <c r="X87" s="793"/>
      <c r="Y87" s="794"/>
      <c r="Z87" s="795"/>
      <c r="AA87" s="793"/>
      <c r="AB87" s="794"/>
      <c r="AC87" s="795"/>
      <c r="AD87" s="793"/>
      <c r="AE87" s="794"/>
      <c r="AF87" s="795"/>
      <c r="AG87" s="793"/>
      <c r="AH87" s="794"/>
      <c r="AI87" s="795"/>
      <c r="AJ87" s="793"/>
      <c r="AK87" s="794"/>
      <c r="AL87" s="795"/>
      <c r="AM87" s="793"/>
      <c r="AN87" s="794"/>
      <c r="AO87" s="795"/>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c r="A88" s="39" t="str">
        <f t="shared" si="0"/>
        <v>Véhicules neufsPROFIT DÉPARTEMENTAL</v>
      </c>
      <c r="B88" s="57" t="s">
        <v>151</v>
      </c>
      <c r="C88" s="796"/>
      <c r="D88" s="797"/>
      <c r="E88" s="798">
        <v>1482791.3533493567</v>
      </c>
      <c r="F88" s="796"/>
      <c r="G88" s="797"/>
      <c r="H88" s="798">
        <v>83820.017031689218</v>
      </c>
      <c r="I88" s="796"/>
      <c r="J88" s="797"/>
      <c r="K88" s="798">
        <v>79399.412975034575</v>
      </c>
      <c r="L88" s="796"/>
      <c r="M88" s="797"/>
      <c r="N88" s="798">
        <v>69531.284933467774</v>
      </c>
      <c r="O88" s="796"/>
      <c r="P88" s="797"/>
      <c r="Q88" s="798">
        <v>90869.576742798643</v>
      </c>
      <c r="R88" s="796"/>
      <c r="S88" s="797"/>
      <c r="T88" s="798">
        <v>79359.199742759694</v>
      </c>
      <c r="U88" s="796"/>
      <c r="V88" s="797"/>
      <c r="W88" s="798">
        <v>173789.41787455487</v>
      </c>
      <c r="X88" s="796"/>
      <c r="Y88" s="797"/>
      <c r="Z88" s="798">
        <v>145646.28196641887</v>
      </c>
      <c r="AA88" s="796"/>
      <c r="AB88" s="797"/>
      <c r="AC88" s="798">
        <v>202316.02292368351</v>
      </c>
      <c r="AD88" s="796"/>
      <c r="AE88" s="797"/>
      <c r="AF88" s="798">
        <v>130544.63196928191</v>
      </c>
      <c r="AG88" s="796"/>
      <c r="AH88" s="797"/>
      <c r="AI88" s="798">
        <v>113804.02603826366</v>
      </c>
      <c r="AJ88" s="796"/>
      <c r="AK88" s="797"/>
      <c r="AL88" s="798">
        <v>205680.61853582668</v>
      </c>
      <c r="AM88" s="796"/>
      <c r="AN88" s="797"/>
      <c r="AO88" s="798">
        <v>108030.86261557753</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799"/>
      <c r="D89" s="799"/>
      <c r="E89" s="800"/>
      <c r="F89" s="799"/>
      <c r="G89" s="799"/>
      <c r="H89" s="800"/>
      <c r="I89" s="799"/>
      <c r="J89" s="799"/>
      <c r="K89" s="800"/>
      <c r="L89" s="799"/>
      <c r="M89" s="799"/>
      <c r="N89" s="800"/>
      <c r="O89" s="799"/>
      <c r="P89" s="799"/>
      <c r="Q89" s="800"/>
      <c r="R89" s="799"/>
      <c r="S89" s="799"/>
      <c r="T89" s="800"/>
      <c r="U89" s="799"/>
      <c r="V89" s="799"/>
      <c r="W89" s="800"/>
      <c r="X89" s="799"/>
      <c r="Y89" s="799"/>
      <c r="Z89" s="800"/>
      <c r="AA89" s="799"/>
      <c r="AB89" s="799"/>
      <c r="AC89" s="800"/>
      <c r="AD89" s="799"/>
      <c r="AE89" s="799"/>
      <c r="AF89" s="800"/>
      <c r="AG89" s="799"/>
      <c r="AH89" s="799"/>
      <c r="AI89" s="800"/>
      <c r="AJ89" s="799"/>
      <c r="AK89" s="799"/>
      <c r="AL89" s="800"/>
      <c r="AM89" s="799"/>
      <c r="AN89" s="799"/>
      <c r="AO89" s="800"/>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799"/>
      <c r="D90" s="799"/>
      <c r="E90" s="799"/>
      <c r="F90" s="799"/>
      <c r="G90" s="799"/>
      <c r="H90" s="799"/>
      <c r="I90" s="799"/>
      <c r="J90" s="799"/>
      <c r="K90" s="799"/>
      <c r="L90" s="799"/>
      <c r="M90" s="799"/>
      <c r="N90" s="799"/>
      <c r="O90" s="799"/>
      <c r="P90" s="799"/>
      <c r="Q90" s="799"/>
      <c r="R90" s="799"/>
      <c r="S90" s="799"/>
      <c r="T90" s="799"/>
      <c r="U90" s="799"/>
      <c r="V90" s="799"/>
      <c r="W90" s="799"/>
      <c r="X90" s="799"/>
      <c r="Y90" s="799"/>
      <c r="Z90" s="799"/>
      <c r="AA90" s="799"/>
      <c r="AB90" s="799"/>
      <c r="AC90" s="799"/>
      <c r="AD90" s="799"/>
      <c r="AE90" s="799"/>
      <c r="AF90" s="799"/>
      <c r="AG90" s="799"/>
      <c r="AH90" s="799"/>
      <c r="AI90" s="799"/>
      <c r="AJ90" s="799"/>
      <c r="AK90" s="799"/>
      <c r="AL90" s="799"/>
      <c r="AM90" s="799"/>
      <c r="AN90" s="799"/>
      <c r="AO90" s="799"/>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801"/>
      <c r="D91" s="801"/>
      <c r="E91" s="801"/>
      <c r="F91" s="801"/>
      <c r="G91" s="801"/>
      <c r="H91" s="801"/>
      <c r="I91" s="801"/>
      <c r="J91" s="801"/>
      <c r="K91" s="801"/>
      <c r="L91" s="801"/>
      <c r="M91" s="801"/>
      <c r="N91" s="801"/>
      <c r="O91" s="801"/>
      <c r="P91" s="801"/>
      <c r="Q91" s="801"/>
      <c r="R91" s="801"/>
      <c r="S91" s="801"/>
      <c r="T91" s="801"/>
      <c r="U91" s="801"/>
      <c r="V91" s="801"/>
      <c r="W91" s="801"/>
      <c r="X91" s="801"/>
      <c r="Y91" s="801"/>
      <c r="Z91" s="801"/>
      <c r="AA91" s="801"/>
      <c r="AB91" s="801"/>
      <c r="AC91" s="801"/>
      <c r="AD91" s="801"/>
      <c r="AE91" s="801"/>
      <c r="AF91" s="801"/>
      <c r="AG91" s="801"/>
      <c r="AH91" s="801"/>
      <c r="AI91" s="801"/>
      <c r="AJ91" s="801"/>
      <c r="AK91" s="801"/>
      <c r="AL91" s="801"/>
      <c r="AM91" s="801"/>
      <c r="AN91" s="801"/>
      <c r="AO91" s="801"/>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3935</v>
      </c>
      <c r="C92" s="802" t="s">
        <v>152</v>
      </c>
      <c r="D92" s="802"/>
      <c r="E92" s="802"/>
      <c r="F92" s="802"/>
      <c r="G92" s="802"/>
      <c r="H92" s="802"/>
      <c r="I92" s="802"/>
      <c r="J92" s="802"/>
      <c r="K92" s="802"/>
      <c r="L92" s="802"/>
      <c r="M92" s="802"/>
      <c r="N92" s="802"/>
      <c r="O92" s="802"/>
      <c r="P92" s="802"/>
      <c r="Q92" s="802"/>
      <c r="R92" s="802"/>
      <c r="S92" s="802"/>
      <c r="T92" s="802"/>
      <c r="U92" s="802"/>
      <c r="V92" s="802"/>
      <c r="W92" s="802"/>
      <c r="X92" s="802"/>
      <c r="Y92" s="802"/>
      <c r="Z92" s="802"/>
      <c r="AA92" s="802"/>
      <c r="AB92" s="802"/>
      <c r="AC92" s="802"/>
      <c r="AD92" s="802"/>
      <c r="AE92" s="802"/>
      <c r="AF92" s="802"/>
      <c r="AG92" s="802"/>
      <c r="AH92" s="802"/>
      <c r="AI92" s="802"/>
      <c r="AJ92" s="802"/>
      <c r="AK92" s="802"/>
      <c r="AL92" s="802"/>
      <c r="AM92" s="802"/>
      <c r="AN92" s="802"/>
      <c r="AO92" s="802"/>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c r="A93" s="39"/>
      <c r="B93" s="62"/>
      <c r="C93" s="801"/>
      <c r="D93" s="801"/>
      <c r="E93" s="801"/>
      <c r="F93" s="801"/>
      <c r="G93" s="801"/>
      <c r="H93" s="801"/>
      <c r="I93" s="801"/>
      <c r="J93" s="801"/>
      <c r="K93" s="801"/>
      <c r="L93" s="801"/>
      <c r="M93" s="801"/>
      <c r="N93" s="801"/>
      <c r="O93" s="801"/>
      <c r="P93" s="801"/>
      <c r="Q93" s="801"/>
      <c r="R93" s="801"/>
      <c r="S93" s="801"/>
      <c r="T93" s="801"/>
      <c r="U93" s="801"/>
      <c r="V93" s="801"/>
      <c r="W93" s="801"/>
      <c r="X93" s="801"/>
      <c r="Y93" s="801"/>
      <c r="Z93" s="801"/>
      <c r="AA93" s="801"/>
      <c r="AB93" s="801"/>
      <c r="AC93" s="801"/>
      <c r="AD93" s="801"/>
      <c r="AE93" s="801"/>
      <c r="AF93" s="801"/>
      <c r="AG93" s="801"/>
      <c r="AH93" s="801"/>
      <c r="AI93" s="801"/>
      <c r="AJ93" s="801"/>
      <c r="AK93" s="801"/>
      <c r="AL93" s="801"/>
      <c r="AM93" s="801"/>
      <c r="AN93" s="801"/>
      <c r="AO93" s="801"/>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c r="A94" s="39"/>
      <c r="B94" s="40" t="s">
        <v>3</v>
      </c>
      <c r="C94" s="969">
        <v>2025</v>
      </c>
      <c r="D94" s="970"/>
      <c r="E94" s="971"/>
      <c r="F94" s="729" t="s">
        <v>8</v>
      </c>
      <c r="G94" s="730"/>
      <c r="H94" s="731"/>
      <c r="I94" s="729" t="s">
        <v>10</v>
      </c>
      <c r="J94" s="730"/>
      <c r="K94" s="731"/>
      <c r="L94" s="729" t="s">
        <v>11</v>
      </c>
      <c r="M94" s="730"/>
      <c r="N94" s="731"/>
      <c r="O94" s="729" t="s">
        <v>12</v>
      </c>
      <c r="P94" s="730"/>
      <c r="Q94" s="731"/>
      <c r="R94" s="729" t="s">
        <v>13</v>
      </c>
      <c r="S94" s="730"/>
      <c r="T94" s="731"/>
      <c r="U94" s="729" t="s">
        <v>14</v>
      </c>
      <c r="V94" s="730"/>
      <c r="W94" s="731"/>
      <c r="X94" s="729" t="s">
        <v>16</v>
      </c>
      <c r="Y94" s="730"/>
      <c r="Z94" s="731"/>
      <c r="AA94" s="729" t="s">
        <v>18</v>
      </c>
      <c r="AB94" s="730"/>
      <c r="AC94" s="731"/>
      <c r="AD94" s="729" t="s">
        <v>20</v>
      </c>
      <c r="AE94" s="730"/>
      <c r="AF94" s="731"/>
      <c r="AG94" s="729" t="s">
        <v>22</v>
      </c>
      <c r="AH94" s="730"/>
      <c r="AI94" s="731"/>
      <c r="AJ94" s="729" t="s">
        <v>23</v>
      </c>
      <c r="AK94" s="730"/>
      <c r="AL94" s="731"/>
      <c r="AM94" s="729" t="s">
        <v>6</v>
      </c>
      <c r="AN94" s="730"/>
      <c r="AO94" s="731"/>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803" t="s">
        <v>93</v>
      </c>
      <c r="D95" s="768" t="s">
        <v>94</v>
      </c>
      <c r="E95" s="804" t="s">
        <v>95</v>
      </c>
      <c r="F95" s="803" t="s">
        <v>93</v>
      </c>
      <c r="G95" s="768" t="s">
        <v>94</v>
      </c>
      <c r="H95" s="804" t="s">
        <v>95</v>
      </c>
      <c r="I95" s="803" t="s">
        <v>93</v>
      </c>
      <c r="J95" s="768" t="s">
        <v>94</v>
      </c>
      <c r="K95" s="804" t="s">
        <v>95</v>
      </c>
      <c r="L95" s="803" t="s">
        <v>93</v>
      </c>
      <c r="M95" s="768" t="s">
        <v>94</v>
      </c>
      <c r="N95" s="804" t="s">
        <v>95</v>
      </c>
      <c r="O95" s="803" t="s">
        <v>93</v>
      </c>
      <c r="P95" s="768" t="s">
        <v>94</v>
      </c>
      <c r="Q95" s="804" t="s">
        <v>95</v>
      </c>
      <c r="R95" s="803" t="s">
        <v>93</v>
      </c>
      <c r="S95" s="768" t="s">
        <v>94</v>
      </c>
      <c r="T95" s="804" t="s">
        <v>95</v>
      </c>
      <c r="U95" s="803" t="s">
        <v>93</v>
      </c>
      <c r="V95" s="768" t="s">
        <v>94</v>
      </c>
      <c r="W95" s="804" t="s">
        <v>95</v>
      </c>
      <c r="X95" s="803" t="s">
        <v>93</v>
      </c>
      <c r="Y95" s="768" t="s">
        <v>94</v>
      </c>
      <c r="Z95" s="804" t="s">
        <v>95</v>
      </c>
      <c r="AA95" s="803" t="s">
        <v>93</v>
      </c>
      <c r="AB95" s="768" t="s">
        <v>94</v>
      </c>
      <c r="AC95" s="804" t="s">
        <v>95</v>
      </c>
      <c r="AD95" s="803" t="s">
        <v>93</v>
      </c>
      <c r="AE95" s="768" t="s">
        <v>94</v>
      </c>
      <c r="AF95" s="804" t="s">
        <v>95</v>
      </c>
      <c r="AG95" s="803" t="s">
        <v>93</v>
      </c>
      <c r="AH95" s="768" t="s">
        <v>94</v>
      </c>
      <c r="AI95" s="804" t="s">
        <v>95</v>
      </c>
      <c r="AJ95" s="803" t="s">
        <v>93</v>
      </c>
      <c r="AK95" s="768" t="s">
        <v>94</v>
      </c>
      <c r="AL95" s="804" t="s">
        <v>95</v>
      </c>
      <c r="AM95" s="803" t="s">
        <v>93</v>
      </c>
      <c r="AN95" s="768" t="s">
        <v>94</v>
      </c>
      <c r="AO95" s="804"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43" t="s">
        <v>96</v>
      </c>
      <c r="C96" s="735"/>
      <c r="D96" s="736"/>
      <c r="E96" s="737">
        <v>18869045.323906403</v>
      </c>
      <c r="F96" s="735"/>
      <c r="G96" s="736"/>
      <c r="H96" s="805">
        <v>1038927.9928148522</v>
      </c>
      <c r="I96" s="735"/>
      <c r="J96" s="736"/>
      <c r="K96" s="805">
        <v>1318990.1726734482</v>
      </c>
      <c r="L96" s="735"/>
      <c r="M96" s="736"/>
      <c r="N96" s="805">
        <v>1322790.1726734482</v>
      </c>
      <c r="O96" s="735"/>
      <c r="P96" s="736"/>
      <c r="Q96" s="805">
        <v>1417410.8992929801</v>
      </c>
      <c r="R96" s="735"/>
      <c r="S96" s="736"/>
      <c r="T96" s="805">
        <v>2037727.6949818912</v>
      </c>
      <c r="U96" s="735"/>
      <c r="V96" s="736"/>
      <c r="W96" s="805">
        <v>1743301.3697993888</v>
      </c>
      <c r="X96" s="735"/>
      <c r="Y96" s="736"/>
      <c r="Z96" s="805">
        <v>1699373.0791515762</v>
      </c>
      <c r="AA96" s="735"/>
      <c r="AB96" s="736"/>
      <c r="AC96" s="805">
        <v>1510131.6259125122</v>
      </c>
      <c r="AD96" s="735"/>
      <c r="AE96" s="736"/>
      <c r="AF96" s="805">
        <v>1226269.4460539161</v>
      </c>
      <c r="AG96" s="735"/>
      <c r="AH96" s="736"/>
      <c r="AI96" s="805">
        <v>2168676.7122492362</v>
      </c>
      <c r="AJ96" s="735"/>
      <c r="AK96" s="736"/>
      <c r="AL96" s="805">
        <v>1792093.8057711083</v>
      </c>
      <c r="AM96" s="735"/>
      <c r="AN96" s="736"/>
      <c r="AO96" s="805">
        <v>1593352.3525320443</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153</v>
      </c>
      <c r="C97" s="739">
        <v>287</v>
      </c>
      <c r="D97" s="740">
        <v>1400</v>
      </c>
      <c r="E97" s="741">
        <v>401800</v>
      </c>
      <c r="F97" s="742">
        <v>16</v>
      </c>
      <c r="G97" s="740">
        <v>1400</v>
      </c>
      <c r="H97" s="743">
        <v>22400</v>
      </c>
      <c r="I97" s="742">
        <v>20</v>
      </c>
      <c r="J97" s="740">
        <v>1400</v>
      </c>
      <c r="K97" s="743">
        <v>28000</v>
      </c>
      <c r="L97" s="742">
        <v>20</v>
      </c>
      <c r="M97" s="740">
        <v>1400</v>
      </c>
      <c r="N97" s="743">
        <v>28000</v>
      </c>
      <c r="O97" s="742">
        <v>22</v>
      </c>
      <c r="P97" s="740">
        <v>1400</v>
      </c>
      <c r="Q97" s="743">
        <v>30800</v>
      </c>
      <c r="R97" s="742">
        <v>31</v>
      </c>
      <c r="S97" s="740">
        <v>1400</v>
      </c>
      <c r="T97" s="743">
        <v>43400</v>
      </c>
      <c r="U97" s="742">
        <v>30</v>
      </c>
      <c r="V97" s="740">
        <v>1400</v>
      </c>
      <c r="W97" s="743">
        <v>42000</v>
      </c>
      <c r="X97" s="742">
        <v>26</v>
      </c>
      <c r="Y97" s="740">
        <v>1400</v>
      </c>
      <c r="Z97" s="743">
        <v>36400</v>
      </c>
      <c r="AA97" s="742">
        <v>23</v>
      </c>
      <c r="AB97" s="740">
        <v>1400</v>
      </c>
      <c r="AC97" s="743">
        <v>32200</v>
      </c>
      <c r="AD97" s="742">
        <v>19</v>
      </c>
      <c r="AE97" s="740">
        <v>1400</v>
      </c>
      <c r="AF97" s="743">
        <v>26600</v>
      </c>
      <c r="AG97" s="742">
        <v>33</v>
      </c>
      <c r="AH97" s="740">
        <v>1400</v>
      </c>
      <c r="AI97" s="743">
        <v>46200</v>
      </c>
      <c r="AJ97" s="742">
        <v>27</v>
      </c>
      <c r="AK97" s="740">
        <v>1400</v>
      </c>
      <c r="AL97" s="743">
        <v>37800</v>
      </c>
      <c r="AM97" s="742">
        <v>20</v>
      </c>
      <c r="AN97" s="740">
        <v>1400</v>
      </c>
      <c r="AO97" s="743">
        <v>28000</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154</v>
      </c>
      <c r="C98" s="739">
        <v>34</v>
      </c>
      <c r="D98" s="740">
        <v>1800</v>
      </c>
      <c r="E98" s="741">
        <v>61200</v>
      </c>
      <c r="F98" s="742">
        <v>2</v>
      </c>
      <c r="G98" s="740">
        <v>1800</v>
      </c>
      <c r="H98" s="743">
        <v>3600</v>
      </c>
      <c r="I98" s="742">
        <v>2</v>
      </c>
      <c r="J98" s="740">
        <v>1800</v>
      </c>
      <c r="K98" s="743">
        <v>3600</v>
      </c>
      <c r="L98" s="742">
        <v>2</v>
      </c>
      <c r="M98" s="740">
        <v>1800</v>
      </c>
      <c r="N98" s="743">
        <v>3600</v>
      </c>
      <c r="O98" s="742">
        <v>3</v>
      </c>
      <c r="P98" s="740">
        <v>1800</v>
      </c>
      <c r="Q98" s="743">
        <v>5400</v>
      </c>
      <c r="R98" s="742">
        <v>4</v>
      </c>
      <c r="S98" s="740">
        <v>1800</v>
      </c>
      <c r="T98" s="743">
        <v>7200</v>
      </c>
      <c r="U98" s="742">
        <v>3</v>
      </c>
      <c r="V98" s="740">
        <v>1800</v>
      </c>
      <c r="W98" s="743">
        <v>5400</v>
      </c>
      <c r="X98" s="742">
        <v>3</v>
      </c>
      <c r="Y98" s="740">
        <v>1800</v>
      </c>
      <c r="Z98" s="743">
        <v>5400</v>
      </c>
      <c r="AA98" s="742">
        <v>3</v>
      </c>
      <c r="AB98" s="740">
        <v>1800</v>
      </c>
      <c r="AC98" s="743">
        <v>5400</v>
      </c>
      <c r="AD98" s="742">
        <v>2</v>
      </c>
      <c r="AE98" s="740">
        <v>1800</v>
      </c>
      <c r="AF98" s="743">
        <v>3600</v>
      </c>
      <c r="AG98" s="742">
        <v>4</v>
      </c>
      <c r="AH98" s="740">
        <v>1800</v>
      </c>
      <c r="AI98" s="743">
        <v>7200</v>
      </c>
      <c r="AJ98" s="742">
        <v>3</v>
      </c>
      <c r="AK98" s="740">
        <v>1800</v>
      </c>
      <c r="AL98" s="743">
        <v>5400</v>
      </c>
      <c r="AM98" s="742">
        <v>3</v>
      </c>
      <c r="AN98" s="740">
        <v>1800</v>
      </c>
      <c r="AO98" s="743">
        <v>5400</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44" t="s">
        <v>3859</v>
      </c>
      <c r="C99" s="739">
        <v>50</v>
      </c>
      <c r="D99" s="740">
        <v>1500</v>
      </c>
      <c r="E99" s="741">
        <v>75000</v>
      </c>
      <c r="F99" s="742">
        <v>3</v>
      </c>
      <c r="G99" s="740">
        <v>1500</v>
      </c>
      <c r="H99" s="743">
        <v>4500</v>
      </c>
      <c r="I99" s="742">
        <v>3</v>
      </c>
      <c r="J99" s="740">
        <v>1500</v>
      </c>
      <c r="K99" s="743">
        <v>4500</v>
      </c>
      <c r="L99" s="742">
        <v>5</v>
      </c>
      <c r="M99" s="740">
        <v>1500</v>
      </c>
      <c r="N99" s="743">
        <v>7500</v>
      </c>
      <c r="O99" s="742">
        <v>4</v>
      </c>
      <c r="P99" s="740">
        <v>1500</v>
      </c>
      <c r="Q99" s="743">
        <v>6000</v>
      </c>
      <c r="R99" s="742">
        <v>5</v>
      </c>
      <c r="S99" s="740">
        <v>1500</v>
      </c>
      <c r="T99" s="743">
        <v>7500</v>
      </c>
      <c r="U99" s="742">
        <v>5</v>
      </c>
      <c r="V99" s="740">
        <v>1500</v>
      </c>
      <c r="W99" s="743">
        <v>7500</v>
      </c>
      <c r="X99" s="742">
        <v>5</v>
      </c>
      <c r="Y99" s="740">
        <v>1500</v>
      </c>
      <c r="Z99" s="743">
        <v>7500</v>
      </c>
      <c r="AA99" s="742">
        <v>4</v>
      </c>
      <c r="AB99" s="740">
        <v>1500</v>
      </c>
      <c r="AC99" s="743">
        <v>6000</v>
      </c>
      <c r="AD99" s="742">
        <v>3</v>
      </c>
      <c r="AE99" s="740">
        <v>1500</v>
      </c>
      <c r="AF99" s="743">
        <v>4500</v>
      </c>
      <c r="AG99" s="742">
        <v>5</v>
      </c>
      <c r="AH99" s="740">
        <v>1500</v>
      </c>
      <c r="AI99" s="743">
        <v>7500</v>
      </c>
      <c r="AJ99" s="742">
        <v>5</v>
      </c>
      <c r="AK99" s="740">
        <v>1500</v>
      </c>
      <c r="AL99" s="743">
        <v>7500</v>
      </c>
      <c r="AM99" s="742">
        <v>3</v>
      </c>
      <c r="AN99" s="740">
        <v>1500</v>
      </c>
      <c r="AO99" s="743">
        <v>4500</v>
      </c>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45" t="s">
        <v>155</v>
      </c>
      <c r="C100" s="744">
        <v>371</v>
      </c>
      <c r="D100" s="745">
        <v>1450.134770889488</v>
      </c>
      <c r="E100" s="746">
        <v>538000</v>
      </c>
      <c r="F100" s="744">
        <v>21</v>
      </c>
      <c r="G100" s="745">
        <v>1452.3809523809523</v>
      </c>
      <c r="H100" s="746">
        <v>30500</v>
      </c>
      <c r="I100" s="744">
        <v>25</v>
      </c>
      <c r="J100" s="745">
        <v>1444</v>
      </c>
      <c r="K100" s="746">
        <v>36100</v>
      </c>
      <c r="L100" s="744">
        <v>27</v>
      </c>
      <c r="M100" s="745">
        <v>1448.148148148148</v>
      </c>
      <c r="N100" s="746">
        <v>39100</v>
      </c>
      <c r="O100" s="744">
        <v>29</v>
      </c>
      <c r="P100" s="745">
        <v>1455.1724137931035</v>
      </c>
      <c r="Q100" s="746">
        <v>42200</v>
      </c>
      <c r="R100" s="744">
        <v>40</v>
      </c>
      <c r="S100" s="745">
        <v>1452.5</v>
      </c>
      <c r="T100" s="746">
        <v>58100</v>
      </c>
      <c r="U100" s="744">
        <v>38</v>
      </c>
      <c r="V100" s="745">
        <v>1444.7368421052631</v>
      </c>
      <c r="W100" s="746">
        <v>54900</v>
      </c>
      <c r="X100" s="744">
        <v>34</v>
      </c>
      <c r="Y100" s="745">
        <v>1450</v>
      </c>
      <c r="Z100" s="746">
        <v>49300</v>
      </c>
      <c r="AA100" s="744">
        <v>30</v>
      </c>
      <c r="AB100" s="745">
        <v>1453.3333333333333</v>
      </c>
      <c r="AC100" s="746">
        <v>43600</v>
      </c>
      <c r="AD100" s="744">
        <v>24</v>
      </c>
      <c r="AE100" s="745">
        <v>1445.8333333333333</v>
      </c>
      <c r="AF100" s="746">
        <v>34700</v>
      </c>
      <c r="AG100" s="744">
        <v>42</v>
      </c>
      <c r="AH100" s="745">
        <v>1450</v>
      </c>
      <c r="AI100" s="746">
        <v>60900</v>
      </c>
      <c r="AJ100" s="744">
        <v>35</v>
      </c>
      <c r="AK100" s="745">
        <v>1448.5714285714287</v>
      </c>
      <c r="AL100" s="746">
        <v>50700</v>
      </c>
      <c r="AM100" s="744">
        <v>26</v>
      </c>
      <c r="AN100" s="745">
        <v>1457.6923076923076</v>
      </c>
      <c r="AO100" s="746">
        <v>37900</v>
      </c>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747"/>
      <c r="D101" s="757"/>
      <c r="E101" s="748"/>
      <c r="F101" s="747"/>
      <c r="G101" s="757"/>
      <c r="H101" s="748"/>
      <c r="I101" s="747"/>
      <c r="J101" s="757"/>
      <c r="K101" s="748"/>
      <c r="L101" s="747"/>
      <c r="M101" s="757"/>
      <c r="N101" s="748"/>
      <c r="O101" s="747"/>
      <c r="P101" s="757"/>
      <c r="Q101" s="748"/>
      <c r="R101" s="747"/>
      <c r="S101" s="757"/>
      <c r="T101" s="748"/>
      <c r="U101" s="747"/>
      <c r="V101" s="757"/>
      <c r="W101" s="748"/>
      <c r="X101" s="747"/>
      <c r="Y101" s="757"/>
      <c r="Z101" s="748"/>
      <c r="AA101" s="747"/>
      <c r="AB101" s="757"/>
      <c r="AC101" s="748"/>
      <c r="AD101" s="747"/>
      <c r="AE101" s="757"/>
      <c r="AF101" s="748"/>
      <c r="AG101" s="747"/>
      <c r="AH101" s="757"/>
      <c r="AI101" s="748"/>
      <c r="AJ101" s="747"/>
      <c r="AK101" s="757"/>
      <c r="AL101" s="748"/>
      <c r="AM101" s="747"/>
      <c r="AN101" s="757"/>
      <c r="AO101" s="748"/>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44"/>
      <c r="C102" s="747"/>
      <c r="D102" s="757"/>
      <c r="E102" s="748"/>
      <c r="F102" s="747">
        <v>0</v>
      </c>
      <c r="G102" s="757"/>
      <c r="H102" s="748">
        <v>0</v>
      </c>
      <c r="I102" s="747"/>
      <c r="J102" s="757"/>
      <c r="K102" s="748"/>
      <c r="L102" s="747"/>
      <c r="M102" s="757"/>
      <c r="N102" s="748"/>
      <c r="O102" s="747"/>
      <c r="P102" s="757"/>
      <c r="Q102" s="748"/>
      <c r="R102" s="747"/>
      <c r="S102" s="757"/>
      <c r="T102" s="748"/>
      <c r="U102" s="747"/>
      <c r="V102" s="757"/>
      <c r="W102" s="748"/>
      <c r="X102" s="747"/>
      <c r="Y102" s="757"/>
      <c r="Z102" s="748"/>
      <c r="AA102" s="747"/>
      <c r="AB102" s="757"/>
      <c r="AC102" s="748"/>
      <c r="AD102" s="747"/>
      <c r="AE102" s="757"/>
      <c r="AF102" s="748"/>
      <c r="AG102" s="747"/>
      <c r="AH102" s="757"/>
      <c r="AI102" s="748"/>
      <c r="AJ102" s="747"/>
      <c r="AK102" s="757"/>
      <c r="AL102" s="748"/>
      <c r="AM102" s="747"/>
      <c r="AN102" s="757"/>
      <c r="AO102" s="748"/>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44" t="s">
        <v>156</v>
      </c>
      <c r="C103" s="739">
        <v>409</v>
      </c>
      <c r="D103" s="740">
        <v>400</v>
      </c>
      <c r="E103" s="741">
        <v>163600</v>
      </c>
      <c r="F103" s="742">
        <v>22</v>
      </c>
      <c r="G103" s="740">
        <v>400</v>
      </c>
      <c r="H103" s="743">
        <v>8800</v>
      </c>
      <c r="I103" s="742">
        <v>29</v>
      </c>
      <c r="J103" s="740">
        <v>400</v>
      </c>
      <c r="K103" s="743">
        <v>11600</v>
      </c>
      <c r="L103" s="742">
        <v>29</v>
      </c>
      <c r="M103" s="740">
        <v>400</v>
      </c>
      <c r="N103" s="743">
        <v>11600</v>
      </c>
      <c r="O103" s="742">
        <v>31</v>
      </c>
      <c r="P103" s="740">
        <v>400</v>
      </c>
      <c r="Q103" s="743">
        <v>12400</v>
      </c>
      <c r="R103" s="742">
        <v>44</v>
      </c>
      <c r="S103" s="740">
        <v>400</v>
      </c>
      <c r="T103" s="743">
        <v>17600</v>
      </c>
      <c r="U103" s="742">
        <v>38</v>
      </c>
      <c r="V103" s="740">
        <v>400</v>
      </c>
      <c r="W103" s="743">
        <v>15200</v>
      </c>
      <c r="X103" s="742">
        <v>37</v>
      </c>
      <c r="Y103" s="740">
        <v>400</v>
      </c>
      <c r="Z103" s="743">
        <v>14800</v>
      </c>
      <c r="AA103" s="742">
        <v>33</v>
      </c>
      <c r="AB103" s="740">
        <v>400</v>
      </c>
      <c r="AC103" s="743">
        <v>13200</v>
      </c>
      <c r="AD103" s="742">
        <v>27</v>
      </c>
      <c r="AE103" s="740">
        <v>400</v>
      </c>
      <c r="AF103" s="743">
        <v>10800</v>
      </c>
      <c r="AG103" s="742">
        <v>45</v>
      </c>
      <c r="AH103" s="740">
        <v>400</v>
      </c>
      <c r="AI103" s="743">
        <v>18000</v>
      </c>
      <c r="AJ103" s="742">
        <v>39</v>
      </c>
      <c r="AK103" s="740">
        <v>400</v>
      </c>
      <c r="AL103" s="743">
        <v>15600</v>
      </c>
      <c r="AM103" s="742">
        <v>35</v>
      </c>
      <c r="AN103" s="740">
        <v>400</v>
      </c>
      <c r="AO103" s="743">
        <v>14000</v>
      </c>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43"/>
      <c r="C104" s="806"/>
      <c r="D104" s="807"/>
      <c r="E104" s="808"/>
      <c r="F104" s="806"/>
      <c r="G104" s="807"/>
      <c r="H104" s="808"/>
      <c r="I104" s="806"/>
      <c r="J104" s="807"/>
      <c r="K104" s="808"/>
      <c r="L104" s="806"/>
      <c r="M104" s="807"/>
      <c r="N104" s="808"/>
      <c r="O104" s="806"/>
      <c r="P104" s="807"/>
      <c r="Q104" s="808"/>
      <c r="R104" s="806"/>
      <c r="S104" s="807"/>
      <c r="T104" s="808"/>
      <c r="U104" s="806"/>
      <c r="V104" s="807"/>
      <c r="W104" s="808"/>
      <c r="X104" s="806"/>
      <c r="Y104" s="807"/>
      <c r="Z104" s="808"/>
      <c r="AA104" s="806"/>
      <c r="AB104" s="807"/>
      <c r="AC104" s="808"/>
      <c r="AD104" s="806"/>
      <c r="AE104" s="807"/>
      <c r="AF104" s="808"/>
      <c r="AG104" s="806"/>
      <c r="AH104" s="807"/>
      <c r="AI104" s="808"/>
      <c r="AJ104" s="806"/>
      <c r="AK104" s="807"/>
      <c r="AL104" s="808"/>
      <c r="AM104" s="806"/>
      <c r="AN104" s="807"/>
      <c r="AO104" s="808"/>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44" t="s">
        <v>105</v>
      </c>
      <c r="C105" s="739"/>
      <c r="D105" s="740">
        <v>600</v>
      </c>
      <c r="E105" s="741">
        <v>222600</v>
      </c>
      <c r="F105" s="742"/>
      <c r="G105" s="740">
        <v>600</v>
      </c>
      <c r="H105" s="743">
        <v>12600</v>
      </c>
      <c r="I105" s="742"/>
      <c r="J105" s="740">
        <v>600</v>
      </c>
      <c r="K105" s="743">
        <v>15000</v>
      </c>
      <c r="L105" s="742"/>
      <c r="M105" s="740">
        <v>600</v>
      </c>
      <c r="N105" s="743">
        <v>16200</v>
      </c>
      <c r="O105" s="742"/>
      <c r="P105" s="740">
        <v>600</v>
      </c>
      <c r="Q105" s="743">
        <v>17400</v>
      </c>
      <c r="R105" s="742"/>
      <c r="S105" s="740">
        <v>600</v>
      </c>
      <c r="T105" s="743">
        <v>24000</v>
      </c>
      <c r="U105" s="742"/>
      <c r="V105" s="740">
        <v>600</v>
      </c>
      <c r="W105" s="743">
        <v>22800</v>
      </c>
      <c r="X105" s="742"/>
      <c r="Y105" s="740">
        <v>600</v>
      </c>
      <c r="Z105" s="743">
        <v>20400</v>
      </c>
      <c r="AA105" s="742"/>
      <c r="AB105" s="740">
        <v>600</v>
      </c>
      <c r="AC105" s="743">
        <v>18000</v>
      </c>
      <c r="AD105" s="742"/>
      <c r="AE105" s="740">
        <v>600</v>
      </c>
      <c r="AF105" s="743">
        <v>14400</v>
      </c>
      <c r="AG105" s="742"/>
      <c r="AH105" s="740">
        <v>600</v>
      </c>
      <c r="AI105" s="743">
        <v>25200</v>
      </c>
      <c r="AJ105" s="742"/>
      <c r="AK105" s="740">
        <v>600</v>
      </c>
      <c r="AL105" s="743">
        <v>21000</v>
      </c>
      <c r="AM105" s="742"/>
      <c r="AN105" s="740">
        <v>600</v>
      </c>
      <c r="AO105" s="743">
        <v>15600</v>
      </c>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44" t="s">
        <v>106</v>
      </c>
      <c r="C106" s="739"/>
      <c r="D106" s="740">
        <v>1250</v>
      </c>
      <c r="E106" s="741">
        <v>463750</v>
      </c>
      <c r="F106" s="742"/>
      <c r="G106" s="740">
        <v>1250</v>
      </c>
      <c r="H106" s="743">
        <v>26250</v>
      </c>
      <c r="I106" s="742"/>
      <c r="J106" s="740">
        <v>1250</v>
      </c>
      <c r="K106" s="743">
        <v>31250</v>
      </c>
      <c r="L106" s="742"/>
      <c r="M106" s="740">
        <v>1250</v>
      </c>
      <c r="N106" s="743">
        <v>33750</v>
      </c>
      <c r="O106" s="742"/>
      <c r="P106" s="740">
        <v>1250</v>
      </c>
      <c r="Q106" s="743">
        <v>36250</v>
      </c>
      <c r="R106" s="742"/>
      <c r="S106" s="740">
        <v>1250</v>
      </c>
      <c r="T106" s="743">
        <v>50000</v>
      </c>
      <c r="U106" s="742"/>
      <c r="V106" s="740">
        <v>1250</v>
      </c>
      <c r="W106" s="743">
        <v>47500</v>
      </c>
      <c r="X106" s="742"/>
      <c r="Y106" s="740">
        <v>1250</v>
      </c>
      <c r="Z106" s="743">
        <v>42500</v>
      </c>
      <c r="AA106" s="742"/>
      <c r="AB106" s="740">
        <v>1250</v>
      </c>
      <c r="AC106" s="743">
        <v>37500</v>
      </c>
      <c r="AD106" s="742"/>
      <c r="AE106" s="740">
        <v>1250</v>
      </c>
      <c r="AF106" s="743">
        <v>30000</v>
      </c>
      <c r="AG106" s="742"/>
      <c r="AH106" s="740">
        <v>1250</v>
      </c>
      <c r="AI106" s="743">
        <v>52500</v>
      </c>
      <c r="AJ106" s="742"/>
      <c r="AK106" s="740">
        <v>1250</v>
      </c>
      <c r="AL106" s="743">
        <v>43750</v>
      </c>
      <c r="AM106" s="742"/>
      <c r="AN106" s="740">
        <v>1250</v>
      </c>
      <c r="AO106" s="743">
        <v>32500</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44" t="s">
        <v>107</v>
      </c>
      <c r="C107" s="739"/>
      <c r="D107" s="807">
        <v>50</v>
      </c>
      <c r="E107" s="741">
        <v>18550</v>
      </c>
      <c r="F107" s="742"/>
      <c r="G107" s="807">
        <v>50</v>
      </c>
      <c r="H107" s="743">
        <v>1050</v>
      </c>
      <c r="I107" s="742"/>
      <c r="J107" s="807">
        <v>50</v>
      </c>
      <c r="K107" s="743">
        <v>1250</v>
      </c>
      <c r="L107" s="742"/>
      <c r="M107" s="807">
        <v>50</v>
      </c>
      <c r="N107" s="743">
        <v>1350</v>
      </c>
      <c r="O107" s="742"/>
      <c r="P107" s="807">
        <v>50</v>
      </c>
      <c r="Q107" s="743">
        <v>1450</v>
      </c>
      <c r="R107" s="742"/>
      <c r="S107" s="807">
        <v>50</v>
      </c>
      <c r="T107" s="743">
        <v>2000</v>
      </c>
      <c r="U107" s="742"/>
      <c r="V107" s="807">
        <v>50</v>
      </c>
      <c r="W107" s="743">
        <v>1900</v>
      </c>
      <c r="X107" s="742"/>
      <c r="Y107" s="807">
        <v>50</v>
      </c>
      <c r="Z107" s="743">
        <v>1700</v>
      </c>
      <c r="AA107" s="742"/>
      <c r="AB107" s="807">
        <v>50</v>
      </c>
      <c r="AC107" s="743">
        <v>1500</v>
      </c>
      <c r="AD107" s="742"/>
      <c r="AE107" s="807">
        <v>50</v>
      </c>
      <c r="AF107" s="743">
        <v>1200</v>
      </c>
      <c r="AG107" s="742"/>
      <c r="AH107" s="807">
        <v>50</v>
      </c>
      <c r="AI107" s="743">
        <v>2100</v>
      </c>
      <c r="AJ107" s="742"/>
      <c r="AK107" s="807">
        <v>50</v>
      </c>
      <c r="AL107" s="743">
        <v>1750</v>
      </c>
      <c r="AM107" s="742"/>
      <c r="AN107" s="807">
        <v>50</v>
      </c>
      <c r="AO107" s="743">
        <v>1300</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45" t="s">
        <v>108</v>
      </c>
      <c r="C108" s="744">
        <v>371</v>
      </c>
      <c r="D108" s="745">
        <v>1900</v>
      </c>
      <c r="E108" s="746">
        <v>704900</v>
      </c>
      <c r="F108" s="744">
        <v>21</v>
      </c>
      <c r="G108" s="745">
        <v>1900</v>
      </c>
      <c r="H108" s="746">
        <v>39900</v>
      </c>
      <c r="I108" s="744">
        <v>25</v>
      </c>
      <c r="J108" s="745">
        <v>1900</v>
      </c>
      <c r="K108" s="746">
        <v>47500</v>
      </c>
      <c r="L108" s="744">
        <v>27</v>
      </c>
      <c r="M108" s="745">
        <v>1900</v>
      </c>
      <c r="N108" s="746">
        <v>51300</v>
      </c>
      <c r="O108" s="744">
        <v>29</v>
      </c>
      <c r="P108" s="745">
        <v>1900</v>
      </c>
      <c r="Q108" s="746">
        <v>55100</v>
      </c>
      <c r="R108" s="744">
        <v>40</v>
      </c>
      <c r="S108" s="745">
        <v>1900</v>
      </c>
      <c r="T108" s="746">
        <v>76000</v>
      </c>
      <c r="U108" s="744">
        <v>38</v>
      </c>
      <c r="V108" s="745">
        <v>1900</v>
      </c>
      <c r="W108" s="746">
        <v>72200</v>
      </c>
      <c r="X108" s="744">
        <v>34</v>
      </c>
      <c r="Y108" s="745">
        <v>1900</v>
      </c>
      <c r="Z108" s="746">
        <v>64600</v>
      </c>
      <c r="AA108" s="744">
        <v>30</v>
      </c>
      <c r="AB108" s="745">
        <v>1900</v>
      </c>
      <c r="AC108" s="746">
        <v>57000</v>
      </c>
      <c r="AD108" s="744">
        <v>24</v>
      </c>
      <c r="AE108" s="745">
        <v>1900</v>
      </c>
      <c r="AF108" s="746">
        <v>45600</v>
      </c>
      <c r="AG108" s="744">
        <v>42</v>
      </c>
      <c r="AH108" s="745">
        <v>1900</v>
      </c>
      <c r="AI108" s="746">
        <v>79800</v>
      </c>
      <c r="AJ108" s="744">
        <v>35</v>
      </c>
      <c r="AK108" s="745">
        <v>1900</v>
      </c>
      <c r="AL108" s="746">
        <v>66500</v>
      </c>
      <c r="AM108" s="744">
        <v>26</v>
      </c>
      <c r="AN108" s="745">
        <v>1900</v>
      </c>
      <c r="AO108" s="746">
        <v>49400</v>
      </c>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747"/>
      <c r="D109" s="757"/>
      <c r="E109" s="758"/>
      <c r="F109" s="747"/>
      <c r="G109" s="757"/>
      <c r="H109" s="758"/>
      <c r="I109" s="747"/>
      <c r="J109" s="757"/>
      <c r="K109" s="758"/>
      <c r="L109" s="747"/>
      <c r="M109" s="757"/>
      <c r="N109" s="758"/>
      <c r="O109" s="747"/>
      <c r="P109" s="757"/>
      <c r="Q109" s="758"/>
      <c r="R109" s="747"/>
      <c r="S109" s="757"/>
      <c r="T109" s="758"/>
      <c r="U109" s="747"/>
      <c r="V109" s="757"/>
      <c r="W109" s="758"/>
      <c r="X109" s="747"/>
      <c r="Y109" s="757"/>
      <c r="Z109" s="758"/>
      <c r="AA109" s="747"/>
      <c r="AB109" s="757"/>
      <c r="AC109" s="758"/>
      <c r="AD109" s="747"/>
      <c r="AE109" s="757"/>
      <c r="AF109" s="758"/>
      <c r="AG109" s="747"/>
      <c r="AH109" s="757"/>
      <c r="AI109" s="758"/>
      <c r="AJ109" s="747"/>
      <c r="AK109" s="757"/>
      <c r="AL109" s="758"/>
      <c r="AM109" s="747"/>
      <c r="AN109" s="757"/>
      <c r="AO109" s="758"/>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c r="A110" s="39" t="str">
        <f t="shared" si="1"/>
        <v>Véhicules usagés</v>
      </c>
      <c r="B110" s="44"/>
      <c r="C110" s="747"/>
      <c r="D110" s="757"/>
      <c r="E110" s="758"/>
      <c r="F110" s="747"/>
      <c r="G110" s="757"/>
      <c r="H110" s="758"/>
      <c r="I110" s="747"/>
      <c r="J110" s="757"/>
      <c r="K110" s="758"/>
      <c r="L110" s="747"/>
      <c r="M110" s="757"/>
      <c r="N110" s="758"/>
      <c r="O110" s="747"/>
      <c r="P110" s="757"/>
      <c r="Q110" s="758"/>
      <c r="R110" s="747"/>
      <c r="S110" s="757"/>
      <c r="T110" s="758"/>
      <c r="U110" s="747"/>
      <c r="V110" s="757"/>
      <c r="W110" s="758"/>
      <c r="X110" s="747"/>
      <c r="Y110" s="757"/>
      <c r="Z110" s="758"/>
      <c r="AA110" s="747"/>
      <c r="AB110" s="757"/>
      <c r="AC110" s="758"/>
      <c r="AD110" s="747"/>
      <c r="AE110" s="757"/>
      <c r="AF110" s="758"/>
      <c r="AG110" s="747"/>
      <c r="AH110" s="757"/>
      <c r="AI110" s="758"/>
      <c r="AJ110" s="747"/>
      <c r="AK110" s="757"/>
      <c r="AL110" s="758"/>
      <c r="AM110" s="747"/>
      <c r="AN110" s="757"/>
      <c r="AO110" s="758"/>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c r="A111" s="39" t="str">
        <f t="shared" si="1"/>
        <v>Véhicules usagésTotal Dépt. Usagés</v>
      </c>
      <c r="B111" s="49" t="s">
        <v>157</v>
      </c>
      <c r="C111" s="759">
        <v>780</v>
      </c>
      <c r="D111" s="760">
        <v>1803.2051282051282</v>
      </c>
      <c r="E111" s="761">
        <v>1406500</v>
      </c>
      <c r="F111" s="759">
        <v>43</v>
      </c>
      <c r="G111" s="760">
        <v>1841.8604651162791</v>
      </c>
      <c r="H111" s="761">
        <v>79200</v>
      </c>
      <c r="I111" s="759">
        <v>54</v>
      </c>
      <c r="J111" s="760">
        <v>1762.962962962963</v>
      </c>
      <c r="K111" s="761">
        <v>95200</v>
      </c>
      <c r="L111" s="759">
        <v>56</v>
      </c>
      <c r="M111" s="760">
        <v>1821.4285714285713</v>
      </c>
      <c r="N111" s="761">
        <v>102000</v>
      </c>
      <c r="O111" s="759">
        <v>60</v>
      </c>
      <c r="P111" s="760">
        <v>1828.3333333333333</v>
      </c>
      <c r="Q111" s="761">
        <v>109700</v>
      </c>
      <c r="R111" s="759">
        <v>84</v>
      </c>
      <c r="S111" s="760">
        <v>1805.952380952381</v>
      </c>
      <c r="T111" s="761">
        <v>151700</v>
      </c>
      <c r="U111" s="759">
        <v>76</v>
      </c>
      <c r="V111" s="760">
        <v>1872.3684210526317</v>
      </c>
      <c r="W111" s="761">
        <v>142300</v>
      </c>
      <c r="X111" s="759">
        <v>71</v>
      </c>
      <c r="Y111" s="760">
        <v>1812.6760563380283</v>
      </c>
      <c r="Z111" s="761">
        <v>128700</v>
      </c>
      <c r="AA111" s="759">
        <v>63</v>
      </c>
      <c r="AB111" s="760">
        <v>1806.3492063492063</v>
      </c>
      <c r="AC111" s="761">
        <v>113800</v>
      </c>
      <c r="AD111" s="759">
        <v>51</v>
      </c>
      <c r="AE111" s="760">
        <v>1786.2745098039215</v>
      </c>
      <c r="AF111" s="761">
        <v>91100</v>
      </c>
      <c r="AG111" s="759">
        <v>87</v>
      </c>
      <c r="AH111" s="760">
        <v>1824.1379310344828</v>
      </c>
      <c r="AI111" s="761">
        <v>158700</v>
      </c>
      <c r="AJ111" s="759">
        <v>74</v>
      </c>
      <c r="AK111" s="760">
        <v>1794.5945945945946</v>
      </c>
      <c r="AL111" s="761">
        <v>132800</v>
      </c>
      <c r="AM111" s="759">
        <v>61</v>
      </c>
      <c r="AN111" s="760">
        <v>1660.655737704918</v>
      </c>
      <c r="AO111" s="761">
        <v>101300</v>
      </c>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c r="A112" s="39" t="str">
        <f t="shared" si="1"/>
        <v>Véhicules usagés</v>
      </c>
      <c r="B112" s="50"/>
      <c r="C112" s="762"/>
      <c r="D112" s="763"/>
      <c r="E112" s="764"/>
      <c r="F112" s="762"/>
      <c r="G112" s="763"/>
      <c r="H112" s="764"/>
      <c r="I112" s="762"/>
      <c r="J112" s="763"/>
      <c r="K112" s="764"/>
      <c r="L112" s="762"/>
      <c r="M112" s="763"/>
      <c r="N112" s="764"/>
      <c r="O112" s="762"/>
      <c r="P112" s="763"/>
      <c r="Q112" s="764"/>
      <c r="R112" s="762"/>
      <c r="S112" s="763"/>
      <c r="T112" s="764"/>
      <c r="U112" s="762"/>
      <c r="V112" s="763"/>
      <c r="W112" s="764"/>
      <c r="X112" s="762"/>
      <c r="Y112" s="763"/>
      <c r="Z112" s="764"/>
      <c r="AA112" s="762"/>
      <c r="AB112" s="763"/>
      <c r="AC112" s="764"/>
      <c r="AD112" s="762"/>
      <c r="AE112" s="763"/>
      <c r="AF112" s="764"/>
      <c r="AG112" s="762"/>
      <c r="AH112" s="763"/>
      <c r="AI112" s="764"/>
      <c r="AJ112" s="762"/>
      <c r="AK112" s="763"/>
      <c r="AL112" s="764"/>
      <c r="AM112" s="762"/>
      <c r="AN112" s="763"/>
      <c r="AO112" s="764"/>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c r="A113" s="39" t="str">
        <f t="shared" si="1"/>
        <v>Véhicules usagés</v>
      </c>
      <c r="B113" s="47"/>
      <c r="C113" s="809"/>
      <c r="D113" s="810"/>
      <c r="E113" s="811"/>
      <c r="F113" s="809"/>
      <c r="G113" s="810"/>
      <c r="H113" s="811"/>
      <c r="I113" s="809"/>
      <c r="J113" s="810"/>
      <c r="K113" s="811"/>
      <c r="L113" s="809"/>
      <c r="M113" s="810"/>
      <c r="N113" s="811"/>
      <c r="O113" s="809"/>
      <c r="P113" s="810"/>
      <c r="Q113" s="811"/>
      <c r="R113" s="809"/>
      <c r="S113" s="810"/>
      <c r="T113" s="811"/>
      <c r="U113" s="809"/>
      <c r="V113" s="810"/>
      <c r="W113" s="811"/>
      <c r="X113" s="809"/>
      <c r="Y113" s="810"/>
      <c r="Z113" s="811"/>
      <c r="AA113" s="809"/>
      <c r="AB113" s="810"/>
      <c r="AC113" s="811"/>
      <c r="AD113" s="809"/>
      <c r="AE113" s="810"/>
      <c r="AF113" s="811"/>
      <c r="AG113" s="809"/>
      <c r="AH113" s="810"/>
      <c r="AI113" s="811"/>
      <c r="AJ113" s="809"/>
      <c r="AK113" s="810"/>
      <c r="AL113" s="811"/>
      <c r="AM113" s="809"/>
      <c r="AN113" s="810"/>
      <c r="AO113" s="811"/>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52" t="s">
        <v>110</v>
      </c>
      <c r="C114" s="747"/>
      <c r="D114" s="768"/>
      <c r="E114" s="748"/>
      <c r="F114" s="747"/>
      <c r="G114" s="768"/>
      <c r="H114" s="748"/>
      <c r="I114" s="747"/>
      <c r="J114" s="768"/>
      <c r="K114" s="748"/>
      <c r="L114" s="747"/>
      <c r="M114" s="768"/>
      <c r="N114" s="748"/>
      <c r="O114" s="747"/>
      <c r="P114" s="768"/>
      <c r="Q114" s="748"/>
      <c r="R114" s="747"/>
      <c r="S114" s="768"/>
      <c r="T114" s="748"/>
      <c r="U114" s="747"/>
      <c r="V114" s="768"/>
      <c r="W114" s="748"/>
      <c r="X114" s="747"/>
      <c r="Y114" s="768"/>
      <c r="Z114" s="748"/>
      <c r="AA114" s="747"/>
      <c r="AB114" s="768"/>
      <c r="AC114" s="748"/>
      <c r="AD114" s="747"/>
      <c r="AE114" s="768"/>
      <c r="AF114" s="748"/>
      <c r="AG114" s="747"/>
      <c r="AH114" s="768"/>
      <c r="AI114" s="748"/>
      <c r="AJ114" s="747"/>
      <c r="AK114" s="768"/>
      <c r="AL114" s="748"/>
      <c r="AM114" s="747"/>
      <c r="AN114" s="768"/>
      <c r="AO114" s="748"/>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44" t="s">
        <v>111</v>
      </c>
      <c r="C115" s="769">
        <v>0.35</v>
      </c>
      <c r="D115" s="770">
        <v>586.60436137071656</v>
      </c>
      <c r="E115" s="758">
        <v>188300</v>
      </c>
      <c r="F115" s="769">
        <v>0.40340241261985771</v>
      </c>
      <c r="G115" s="770">
        <v>683.54297693920341</v>
      </c>
      <c r="H115" s="771">
        <v>12303.773584905661</v>
      </c>
      <c r="I115" s="769">
        <v>0.36247769373782024</v>
      </c>
      <c r="J115" s="770">
        <v>594.79294290615042</v>
      </c>
      <c r="K115" s="771">
        <v>13085.44474393531</v>
      </c>
      <c r="L115" s="769">
        <v>0.35489207988363514</v>
      </c>
      <c r="M115" s="770">
        <v>630.74001470227881</v>
      </c>
      <c r="N115" s="771">
        <v>13876.280323450133</v>
      </c>
      <c r="O115" s="769">
        <v>0.34756198822191847</v>
      </c>
      <c r="P115" s="770">
        <v>586.68463611859841</v>
      </c>
      <c r="Q115" s="771">
        <v>14667.115902964959</v>
      </c>
      <c r="R115" s="769">
        <v>0.34107937332696203</v>
      </c>
      <c r="S115" s="770">
        <v>566.19175972275696</v>
      </c>
      <c r="T115" s="771">
        <v>19816.711590296494</v>
      </c>
      <c r="U115" s="769">
        <v>0.33198316959529456</v>
      </c>
      <c r="V115" s="770">
        <v>552.29927305398996</v>
      </c>
      <c r="W115" s="771">
        <v>18225.876010781671</v>
      </c>
      <c r="X115" s="769">
        <v>0.33761064608016272</v>
      </c>
      <c r="Y115" s="770">
        <v>573.93809833627665</v>
      </c>
      <c r="Z115" s="771">
        <v>16644.204851752023</v>
      </c>
      <c r="AA115" s="769">
        <v>0.36381958010831128</v>
      </c>
      <c r="AB115" s="770">
        <v>610.09744972009116</v>
      </c>
      <c r="AC115" s="771">
        <v>15862.533692722371</v>
      </c>
      <c r="AD115" s="769">
        <v>0.3657068286506599</v>
      </c>
      <c r="AE115" s="770">
        <v>604.28699781799514</v>
      </c>
      <c r="AF115" s="771">
        <v>12690.026954177898</v>
      </c>
      <c r="AG115" s="769">
        <v>0.33838336896241905</v>
      </c>
      <c r="AH115" s="770">
        <v>556.96073431922491</v>
      </c>
      <c r="AI115" s="771">
        <v>20607.547169811322</v>
      </c>
      <c r="AJ115" s="769">
        <v>0.33608723158795728</v>
      </c>
      <c r="AK115" s="770">
        <v>567.98742138364787</v>
      </c>
      <c r="AL115" s="771">
        <v>17039.622641509435</v>
      </c>
      <c r="AM115" s="769">
        <v>0.35569558136392404</v>
      </c>
      <c r="AN115" s="770">
        <v>586.1244579866401</v>
      </c>
      <c r="AO115" s="771">
        <v>13480.862533692722</v>
      </c>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43" t="s">
        <v>112</v>
      </c>
      <c r="C116" s="772">
        <v>0.3</v>
      </c>
      <c r="D116" s="773">
        <v>658.78504672897191</v>
      </c>
      <c r="E116" s="774">
        <v>211470</v>
      </c>
      <c r="F116" s="772">
        <v>0.3</v>
      </c>
      <c r="G116" s="773">
        <v>665</v>
      </c>
      <c r="H116" s="775">
        <v>11970</v>
      </c>
      <c r="I116" s="772">
        <v>0.3</v>
      </c>
      <c r="J116" s="773">
        <v>647.72727272727275</v>
      </c>
      <c r="K116" s="775">
        <v>14250</v>
      </c>
      <c r="L116" s="772">
        <v>0.3</v>
      </c>
      <c r="M116" s="773">
        <v>699.5454545454545</v>
      </c>
      <c r="N116" s="775">
        <v>15390</v>
      </c>
      <c r="O116" s="772">
        <v>0.3</v>
      </c>
      <c r="P116" s="773">
        <v>661.2</v>
      </c>
      <c r="Q116" s="775">
        <v>16530</v>
      </c>
      <c r="R116" s="772">
        <v>0.3</v>
      </c>
      <c r="S116" s="773">
        <v>651.42857142857144</v>
      </c>
      <c r="T116" s="775">
        <v>22800</v>
      </c>
      <c r="U116" s="772">
        <v>0.3</v>
      </c>
      <c r="V116" s="773">
        <v>656.36363636363637</v>
      </c>
      <c r="W116" s="775">
        <v>21660</v>
      </c>
      <c r="X116" s="772">
        <v>0.3</v>
      </c>
      <c r="Y116" s="773">
        <v>668.27586206896547</v>
      </c>
      <c r="Z116" s="775">
        <v>19380</v>
      </c>
      <c r="AA116" s="772">
        <v>0.3</v>
      </c>
      <c r="AB116" s="773">
        <v>657.69230769230774</v>
      </c>
      <c r="AC116" s="775">
        <v>17100</v>
      </c>
      <c r="AD116" s="772">
        <v>0.3</v>
      </c>
      <c r="AE116" s="773">
        <v>651.42857142857144</v>
      </c>
      <c r="AF116" s="775">
        <v>13680</v>
      </c>
      <c r="AG116" s="772">
        <v>0.3</v>
      </c>
      <c r="AH116" s="773">
        <v>647.02702702702697</v>
      </c>
      <c r="AI116" s="775">
        <v>23940</v>
      </c>
      <c r="AJ116" s="772">
        <v>0.3</v>
      </c>
      <c r="AK116" s="773">
        <v>665</v>
      </c>
      <c r="AL116" s="775">
        <v>19950</v>
      </c>
      <c r="AM116" s="772">
        <v>0.3</v>
      </c>
      <c r="AN116" s="773">
        <v>644.3478260869565</v>
      </c>
      <c r="AO116" s="775">
        <v>14820</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44" t="s">
        <v>113</v>
      </c>
      <c r="C117" s="747"/>
      <c r="D117" s="770">
        <v>9.2461059190031154</v>
      </c>
      <c r="E117" s="758">
        <v>2968</v>
      </c>
      <c r="F117" s="747"/>
      <c r="G117" s="770">
        <v>9.3333333333333339</v>
      </c>
      <c r="H117" s="771">
        <v>168</v>
      </c>
      <c r="I117" s="747"/>
      <c r="J117" s="770">
        <v>9.0909090909090917</v>
      </c>
      <c r="K117" s="771">
        <v>200</v>
      </c>
      <c r="L117" s="747"/>
      <c r="M117" s="770">
        <v>9.8181818181818183</v>
      </c>
      <c r="N117" s="771">
        <v>216</v>
      </c>
      <c r="O117" s="747"/>
      <c r="P117" s="770">
        <v>9.2799999999999994</v>
      </c>
      <c r="Q117" s="771">
        <v>232</v>
      </c>
      <c r="R117" s="747"/>
      <c r="S117" s="770">
        <v>9.1428571428571423</v>
      </c>
      <c r="T117" s="771">
        <v>320</v>
      </c>
      <c r="U117" s="747"/>
      <c r="V117" s="770">
        <v>9.2121212121212128</v>
      </c>
      <c r="W117" s="771">
        <v>304</v>
      </c>
      <c r="X117" s="747"/>
      <c r="Y117" s="770">
        <v>9.3793103448275854</v>
      </c>
      <c r="Z117" s="771">
        <v>272</v>
      </c>
      <c r="AA117" s="747"/>
      <c r="AB117" s="770">
        <v>9.2307692307692299</v>
      </c>
      <c r="AC117" s="771">
        <v>240</v>
      </c>
      <c r="AD117" s="747"/>
      <c r="AE117" s="770">
        <v>9.1428571428571423</v>
      </c>
      <c r="AF117" s="771">
        <v>192</v>
      </c>
      <c r="AG117" s="747"/>
      <c r="AH117" s="770">
        <v>9.0810810810810807</v>
      </c>
      <c r="AI117" s="771">
        <v>336</v>
      </c>
      <c r="AJ117" s="747"/>
      <c r="AK117" s="770">
        <v>9.3333333333333339</v>
      </c>
      <c r="AL117" s="771">
        <v>280</v>
      </c>
      <c r="AM117" s="747"/>
      <c r="AN117" s="770">
        <v>9.0434782608695645</v>
      </c>
      <c r="AO117" s="771">
        <v>208</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44" t="s">
        <v>114</v>
      </c>
      <c r="C118" s="747"/>
      <c r="D118" s="770">
        <v>52.009345794392523</v>
      </c>
      <c r="E118" s="758">
        <v>16695</v>
      </c>
      <c r="F118" s="747"/>
      <c r="G118" s="770">
        <v>52.5</v>
      </c>
      <c r="H118" s="771">
        <v>945</v>
      </c>
      <c r="I118" s="747"/>
      <c r="J118" s="770">
        <v>51.136363636363633</v>
      </c>
      <c r="K118" s="771">
        <v>1125</v>
      </c>
      <c r="L118" s="747"/>
      <c r="M118" s="770">
        <v>55.227272727272727</v>
      </c>
      <c r="N118" s="771">
        <v>1215</v>
      </c>
      <c r="O118" s="747"/>
      <c r="P118" s="770">
        <v>52.2</v>
      </c>
      <c r="Q118" s="771">
        <v>1305</v>
      </c>
      <c r="R118" s="747"/>
      <c r="S118" s="770">
        <v>51.428571428571431</v>
      </c>
      <c r="T118" s="771">
        <v>1800</v>
      </c>
      <c r="U118" s="747"/>
      <c r="V118" s="770">
        <v>51.81818181818182</v>
      </c>
      <c r="W118" s="771">
        <v>1710</v>
      </c>
      <c r="X118" s="747"/>
      <c r="Y118" s="770">
        <v>52.758620689655174</v>
      </c>
      <c r="Z118" s="771">
        <v>1530</v>
      </c>
      <c r="AA118" s="747"/>
      <c r="AB118" s="770">
        <v>51.92307692307692</v>
      </c>
      <c r="AC118" s="771">
        <v>1350</v>
      </c>
      <c r="AD118" s="747"/>
      <c r="AE118" s="770">
        <v>51.428571428571431</v>
      </c>
      <c r="AF118" s="771">
        <v>1080</v>
      </c>
      <c r="AG118" s="747"/>
      <c r="AH118" s="770">
        <v>51.081081081081081</v>
      </c>
      <c r="AI118" s="771">
        <v>1890</v>
      </c>
      <c r="AJ118" s="747"/>
      <c r="AK118" s="770">
        <v>52.5</v>
      </c>
      <c r="AL118" s="771">
        <v>1575</v>
      </c>
      <c r="AM118" s="747"/>
      <c r="AN118" s="770">
        <v>50.869565217391305</v>
      </c>
      <c r="AO118" s="771">
        <v>1170</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43" t="s">
        <v>115</v>
      </c>
      <c r="C119" s="776"/>
      <c r="D119" s="773">
        <v>184.9221183800623</v>
      </c>
      <c r="E119" s="774">
        <v>59360</v>
      </c>
      <c r="F119" s="776"/>
      <c r="G119" s="773">
        <v>186.66666666666666</v>
      </c>
      <c r="H119" s="775">
        <v>3360</v>
      </c>
      <c r="I119" s="776"/>
      <c r="J119" s="773">
        <v>181.81818181818181</v>
      </c>
      <c r="K119" s="775">
        <v>4000</v>
      </c>
      <c r="L119" s="776"/>
      <c r="M119" s="773">
        <v>196.36363636363637</v>
      </c>
      <c r="N119" s="775">
        <v>4320</v>
      </c>
      <c r="O119" s="776"/>
      <c r="P119" s="773">
        <v>185.6</v>
      </c>
      <c r="Q119" s="775">
        <v>4640</v>
      </c>
      <c r="R119" s="776"/>
      <c r="S119" s="773">
        <v>182.85714285714286</v>
      </c>
      <c r="T119" s="775">
        <v>6400</v>
      </c>
      <c r="U119" s="776"/>
      <c r="V119" s="773">
        <v>184.24242424242425</v>
      </c>
      <c r="W119" s="775">
        <v>6080</v>
      </c>
      <c r="X119" s="776"/>
      <c r="Y119" s="773">
        <v>187.58620689655172</v>
      </c>
      <c r="Z119" s="775">
        <v>5440</v>
      </c>
      <c r="AA119" s="776"/>
      <c r="AB119" s="773">
        <v>184.61538461538461</v>
      </c>
      <c r="AC119" s="775">
        <v>4800</v>
      </c>
      <c r="AD119" s="776"/>
      <c r="AE119" s="773">
        <v>182.85714285714286</v>
      </c>
      <c r="AF119" s="775">
        <v>3840</v>
      </c>
      <c r="AG119" s="776"/>
      <c r="AH119" s="773">
        <v>181.62162162162161</v>
      </c>
      <c r="AI119" s="775">
        <v>6720</v>
      </c>
      <c r="AJ119" s="776"/>
      <c r="AK119" s="773">
        <v>186.66666666666666</v>
      </c>
      <c r="AL119" s="775">
        <v>5600</v>
      </c>
      <c r="AM119" s="776"/>
      <c r="AN119" s="773">
        <v>180.86956521739131</v>
      </c>
      <c r="AO119" s="775">
        <v>4160</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44" t="s">
        <v>116</v>
      </c>
      <c r="C120" s="747"/>
      <c r="D120" s="770">
        <v>455.71339563862927</v>
      </c>
      <c r="E120" s="758">
        <v>146284</v>
      </c>
      <c r="F120" s="747"/>
      <c r="G120" s="770">
        <v>732.33333333333337</v>
      </c>
      <c r="H120" s="771">
        <v>13182</v>
      </c>
      <c r="I120" s="747"/>
      <c r="J120" s="770">
        <v>581</v>
      </c>
      <c r="K120" s="771">
        <v>12782</v>
      </c>
      <c r="L120" s="747"/>
      <c r="M120" s="770">
        <v>571.90909090909088</v>
      </c>
      <c r="N120" s="771">
        <v>12582</v>
      </c>
      <c r="O120" s="747"/>
      <c r="P120" s="770">
        <v>495.28</v>
      </c>
      <c r="Q120" s="771">
        <v>12382</v>
      </c>
      <c r="R120" s="747"/>
      <c r="S120" s="770">
        <v>322.34285714285716</v>
      </c>
      <c r="T120" s="771">
        <v>11282</v>
      </c>
      <c r="U120" s="747"/>
      <c r="V120" s="770">
        <v>347.93939393939394</v>
      </c>
      <c r="W120" s="771">
        <v>11482</v>
      </c>
      <c r="X120" s="747"/>
      <c r="Y120" s="770">
        <v>409.72413793103448</v>
      </c>
      <c r="Z120" s="771">
        <v>11882</v>
      </c>
      <c r="AA120" s="747"/>
      <c r="AB120" s="770">
        <v>472.38461538461536</v>
      </c>
      <c r="AC120" s="771">
        <v>12282</v>
      </c>
      <c r="AD120" s="747"/>
      <c r="AE120" s="770">
        <v>613.42857142857144</v>
      </c>
      <c r="AF120" s="771">
        <v>12882</v>
      </c>
      <c r="AG120" s="747"/>
      <c r="AH120" s="770">
        <v>299.51351351351349</v>
      </c>
      <c r="AI120" s="771">
        <v>11082</v>
      </c>
      <c r="AJ120" s="747"/>
      <c r="AK120" s="770">
        <v>392.73333333333335</v>
      </c>
      <c r="AL120" s="771">
        <v>11782</v>
      </c>
      <c r="AM120" s="747"/>
      <c r="AN120" s="770">
        <v>551.39130434782612</v>
      </c>
      <c r="AO120" s="771">
        <v>12682</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44" t="s">
        <v>117</v>
      </c>
      <c r="C121" s="747"/>
      <c r="D121" s="770">
        <v>275.48598130841128</v>
      </c>
      <c r="E121" s="758">
        <v>88431.000000000015</v>
      </c>
      <c r="F121" s="747"/>
      <c r="G121" s="770">
        <v>370.35569203596663</v>
      </c>
      <c r="H121" s="771">
        <v>6666.402456647399</v>
      </c>
      <c r="I121" s="747"/>
      <c r="J121" s="770">
        <v>308.82695086705206</v>
      </c>
      <c r="K121" s="771">
        <v>6794.1929190751453</v>
      </c>
      <c r="L121" s="747"/>
      <c r="M121" s="770">
        <v>320.4442656332107</v>
      </c>
      <c r="N121" s="771">
        <v>7049.7738439306358</v>
      </c>
      <c r="O121" s="747"/>
      <c r="P121" s="770">
        <v>343.33037572254329</v>
      </c>
      <c r="Q121" s="771">
        <v>8583.259393063583</v>
      </c>
      <c r="R121" s="747"/>
      <c r="S121" s="770">
        <v>230.63135838150288</v>
      </c>
      <c r="T121" s="771">
        <v>8072.097543352601</v>
      </c>
      <c r="U121" s="747"/>
      <c r="V121" s="770">
        <v>234.92792082676476</v>
      </c>
      <c r="W121" s="771">
        <v>7752.6213872832368</v>
      </c>
      <c r="X121" s="747"/>
      <c r="Y121" s="770">
        <v>249.70550129559496</v>
      </c>
      <c r="Z121" s="771">
        <v>7241.4595375722538</v>
      </c>
      <c r="AA121" s="747"/>
      <c r="AB121" s="770">
        <v>249.02756780791464</v>
      </c>
      <c r="AC121" s="771">
        <v>6474.7167630057802</v>
      </c>
      <c r="AD121" s="747"/>
      <c r="AE121" s="770">
        <v>417.85452793834293</v>
      </c>
      <c r="AF121" s="771">
        <v>8774.9450867052019</v>
      </c>
      <c r="AG121" s="747"/>
      <c r="AH121" s="770">
        <v>214.71100218715827</v>
      </c>
      <c r="AI121" s="771">
        <v>7944.3070809248557</v>
      </c>
      <c r="AJ121" s="747"/>
      <c r="AK121" s="770">
        <v>237.12230250481696</v>
      </c>
      <c r="AL121" s="771">
        <v>7113.6690751445085</v>
      </c>
      <c r="AM121" s="747"/>
      <c r="AN121" s="770">
        <v>259.28499623020861</v>
      </c>
      <c r="AO121" s="771">
        <v>5963.5549132947981</v>
      </c>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59</v>
      </c>
      <c r="C122" s="812"/>
      <c r="D122" s="770">
        <v>0</v>
      </c>
      <c r="E122" s="758">
        <v>0</v>
      </c>
      <c r="F122" s="812"/>
      <c r="G122" s="770">
        <v>0</v>
      </c>
      <c r="H122" s="758"/>
      <c r="I122" s="812"/>
      <c r="J122" s="770">
        <v>0</v>
      </c>
      <c r="K122" s="758"/>
      <c r="L122" s="812"/>
      <c r="M122" s="770">
        <v>0</v>
      </c>
      <c r="N122" s="758"/>
      <c r="O122" s="812"/>
      <c r="P122" s="770">
        <v>0</v>
      </c>
      <c r="Q122" s="758"/>
      <c r="R122" s="812"/>
      <c r="S122" s="770">
        <v>0</v>
      </c>
      <c r="T122" s="758"/>
      <c r="U122" s="812"/>
      <c r="V122" s="770">
        <v>0</v>
      </c>
      <c r="W122" s="758"/>
      <c r="X122" s="812"/>
      <c r="Y122" s="770">
        <v>0</v>
      </c>
      <c r="Z122" s="758"/>
      <c r="AA122" s="812"/>
      <c r="AB122" s="770">
        <v>0</v>
      </c>
      <c r="AC122" s="758"/>
      <c r="AD122" s="812"/>
      <c r="AE122" s="770">
        <v>0</v>
      </c>
      <c r="AF122" s="758"/>
      <c r="AG122" s="812"/>
      <c r="AH122" s="770">
        <v>0</v>
      </c>
      <c r="AI122" s="758"/>
      <c r="AJ122" s="812"/>
      <c r="AK122" s="770">
        <v>0</v>
      </c>
      <c r="AL122" s="758"/>
      <c r="AM122" s="812"/>
      <c r="AN122" s="770">
        <v>0</v>
      </c>
      <c r="AO122" s="758"/>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59</v>
      </c>
      <c r="C123" s="812"/>
      <c r="D123" s="770">
        <v>0</v>
      </c>
      <c r="E123" s="758">
        <v>0</v>
      </c>
      <c r="F123" s="812"/>
      <c r="G123" s="770">
        <v>0</v>
      </c>
      <c r="H123" s="758"/>
      <c r="I123" s="812"/>
      <c r="J123" s="770">
        <v>0</v>
      </c>
      <c r="K123" s="758"/>
      <c r="L123" s="812"/>
      <c r="M123" s="770">
        <v>0</v>
      </c>
      <c r="N123" s="758"/>
      <c r="O123" s="812"/>
      <c r="P123" s="770">
        <v>0</v>
      </c>
      <c r="Q123" s="758"/>
      <c r="R123" s="812"/>
      <c r="S123" s="770">
        <v>0</v>
      </c>
      <c r="T123" s="758"/>
      <c r="U123" s="812"/>
      <c r="V123" s="770">
        <v>0</v>
      </c>
      <c r="W123" s="758"/>
      <c r="X123" s="812"/>
      <c r="Y123" s="770">
        <v>0</v>
      </c>
      <c r="Z123" s="758"/>
      <c r="AA123" s="812"/>
      <c r="AB123" s="770">
        <v>0</v>
      </c>
      <c r="AC123" s="758"/>
      <c r="AD123" s="812"/>
      <c r="AE123" s="770">
        <v>0</v>
      </c>
      <c r="AF123" s="758"/>
      <c r="AG123" s="812"/>
      <c r="AH123" s="770">
        <v>0</v>
      </c>
      <c r="AI123" s="758"/>
      <c r="AJ123" s="812"/>
      <c r="AK123" s="770">
        <v>0</v>
      </c>
      <c r="AL123" s="758"/>
      <c r="AM123" s="812"/>
      <c r="AN123" s="770">
        <v>0</v>
      </c>
      <c r="AO123" s="758"/>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44" t="s">
        <v>59</v>
      </c>
      <c r="C124" s="812"/>
      <c r="D124" s="770">
        <v>0</v>
      </c>
      <c r="E124" s="758">
        <v>0</v>
      </c>
      <c r="F124" s="812"/>
      <c r="G124" s="770">
        <v>0</v>
      </c>
      <c r="H124" s="758"/>
      <c r="I124" s="812"/>
      <c r="J124" s="770">
        <v>0</v>
      </c>
      <c r="K124" s="758"/>
      <c r="L124" s="812"/>
      <c r="M124" s="770">
        <v>0</v>
      </c>
      <c r="N124" s="758"/>
      <c r="O124" s="812"/>
      <c r="P124" s="770">
        <v>0</v>
      </c>
      <c r="Q124" s="758"/>
      <c r="R124" s="812"/>
      <c r="S124" s="770">
        <v>0</v>
      </c>
      <c r="T124" s="758"/>
      <c r="U124" s="812"/>
      <c r="V124" s="770">
        <v>0</v>
      </c>
      <c r="W124" s="758"/>
      <c r="X124" s="812"/>
      <c r="Y124" s="770">
        <v>0</v>
      </c>
      <c r="Z124" s="758"/>
      <c r="AA124" s="812"/>
      <c r="AB124" s="770">
        <v>0</v>
      </c>
      <c r="AC124" s="758"/>
      <c r="AD124" s="812"/>
      <c r="AE124" s="770">
        <v>0</v>
      </c>
      <c r="AF124" s="758"/>
      <c r="AG124" s="812"/>
      <c r="AH124" s="770">
        <v>0</v>
      </c>
      <c r="AI124" s="758"/>
      <c r="AJ124" s="812"/>
      <c r="AK124" s="770">
        <v>0</v>
      </c>
      <c r="AL124" s="758"/>
      <c r="AM124" s="812"/>
      <c r="AN124" s="770">
        <v>0</v>
      </c>
      <c r="AO124" s="758"/>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53" t="s">
        <v>118</v>
      </c>
      <c r="C125" s="777" t="s">
        <v>119</v>
      </c>
      <c r="D125" s="778">
        <v>0.50729328119445427</v>
      </c>
      <c r="E125" s="779">
        <v>713508</v>
      </c>
      <c r="F125" s="777" t="s">
        <v>119</v>
      </c>
      <c r="G125" s="778">
        <v>0.61357545507011435</v>
      </c>
      <c r="H125" s="779">
        <v>48595.176041553059</v>
      </c>
      <c r="I125" s="777" t="s">
        <v>119</v>
      </c>
      <c r="J125" s="778">
        <v>0.54870417713246278</v>
      </c>
      <c r="K125" s="779">
        <v>52236.637663010457</v>
      </c>
      <c r="L125" s="777" t="s">
        <v>119</v>
      </c>
      <c r="M125" s="778">
        <v>0.53577504085667416</v>
      </c>
      <c r="N125" s="779">
        <v>54649.054167380767</v>
      </c>
      <c r="O125" s="777" t="s">
        <v>119</v>
      </c>
      <c r="P125" s="778">
        <v>0.53180834362833673</v>
      </c>
      <c r="Q125" s="779">
        <v>58339.375296028542</v>
      </c>
      <c r="R125" s="777" t="s">
        <v>119</v>
      </c>
      <c r="S125" s="778">
        <v>0.46467243990539941</v>
      </c>
      <c r="T125" s="779">
        <v>70490.809133649091</v>
      </c>
      <c r="U125" s="777" t="s">
        <v>119</v>
      </c>
      <c r="V125" s="778">
        <v>0.47234362191191082</v>
      </c>
      <c r="W125" s="779">
        <v>67214.497398064908</v>
      </c>
      <c r="X125" s="777" t="s">
        <v>119</v>
      </c>
      <c r="Y125" s="778">
        <v>0.48476817707322672</v>
      </c>
      <c r="Z125" s="779">
        <v>62389.66438932428</v>
      </c>
      <c r="AA125" s="777" t="s">
        <v>119</v>
      </c>
      <c r="AB125" s="778">
        <v>0.51062610242291873</v>
      </c>
      <c r="AC125" s="779">
        <v>58109.25045572815</v>
      </c>
      <c r="AD125" s="777" t="s">
        <v>119</v>
      </c>
      <c r="AE125" s="778">
        <v>0.58330375456512729</v>
      </c>
      <c r="AF125" s="779">
        <v>53138.972040883098</v>
      </c>
      <c r="AG125" s="777" t="s">
        <v>119</v>
      </c>
      <c r="AH125" s="778">
        <v>0.45696190454150087</v>
      </c>
      <c r="AI125" s="779">
        <v>72519.854250736185</v>
      </c>
      <c r="AJ125" s="777" t="s">
        <v>119</v>
      </c>
      <c r="AK125" s="778">
        <v>0.47696002798685194</v>
      </c>
      <c r="AL125" s="779">
        <v>63340.291716653941</v>
      </c>
      <c r="AM125" s="777" t="s">
        <v>119</v>
      </c>
      <c r="AN125" s="778">
        <v>0.51810876058230526</v>
      </c>
      <c r="AO125" s="779">
        <v>52484.417446987522</v>
      </c>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54" t="s">
        <v>120</v>
      </c>
      <c r="C126" s="747"/>
      <c r="D126" s="757"/>
      <c r="E126" s="758">
        <v>115460.90000000002</v>
      </c>
      <c r="F126" s="747"/>
      <c r="G126" s="757"/>
      <c r="H126" s="771">
        <v>10460.983974358975</v>
      </c>
      <c r="I126" s="747"/>
      <c r="J126" s="757"/>
      <c r="K126" s="771">
        <v>9202.1205128205147</v>
      </c>
      <c r="L126" s="747"/>
      <c r="M126" s="757"/>
      <c r="N126" s="771">
        <v>9202.1205128205147</v>
      </c>
      <c r="O126" s="747"/>
      <c r="P126" s="757"/>
      <c r="Q126" s="771">
        <v>9202.1205128205147</v>
      </c>
      <c r="R126" s="747"/>
      <c r="S126" s="757"/>
      <c r="T126" s="771">
        <v>10460.983974358975</v>
      </c>
      <c r="U126" s="747"/>
      <c r="V126" s="757"/>
      <c r="W126" s="771">
        <v>9202.1205128205147</v>
      </c>
      <c r="X126" s="747"/>
      <c r="Y126" s="757"/>
      <c r="Z126" s="771">
        <v>9202.1205128205147</v>
      </c>
      <c r="AA126" s="747"/>
      <c r="AB126" s="757"/>
      <c r="AC126" s="771">
        <v>10460.983974358975</v>
      </c>
      <c r="AD126" s="747"/>
      <c r="AE126" s="757"/>
      <c r="AF126" s="771">
        <v>9202.1205128205147</v>
      </c>
      <c r="AG126" s="747"/>
      <c r="AH126" s="757"/>
      <c r="AI126" s="771">
        <v>10460.983974358975</v>
      </c>
      <c r="AJ126" s="747"/>
      <c r="AK126" s="757"/>
      <c r="AL126" s="771">
        <v>9202.1205128205147</v>
      </c>
      <c r="AM126" s="747"/>
      <c r="AN126" s="757"/>
      <c r="AO126" s="771">
        <v>9202.1205128205147</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55" t="s">
        <v>121</v>
      </c>
      <c r="C127" s="747"/>
      <c r="D127" s="757"/>
      <c r="E127" s="758">
        <v>110210.56</v>
      </c>
      <c r="F127" s="747"/>
      <c r="G127" s="757"/>
      <c r="H127" s="771">
        <v>10493.323076923078</v>
      </c>
      <c r="I127" s="747"/>
      <c r="J127" s="757"/>
      <c r="K127" s="771">
        <v>8529.65846153846</v>
      </c>
      <c r="L127" s="747"/>
      <c r="M127" s="757"/>
      <c r="N127" s="771">
        <v>8529.65846153846</v>
      </c>
      <c r="O127" s="747"/>
      <c r="P127" s="757"/>
      <c r="Q127" s="771">
        <v>8529.65846153846</v>
      </c>
      <c r="R127" s="747"/>
      <c r="S127" s="757"/>
      <c r="T127" s="771">
        <v>10493.323076923078</v>
      </c>
      <c r="U127" s="747"/>
      <c r="V127" s="757"/>
      <c r="W127" s="771">
        <v>8529.65846153846</v>
      </c>
      <c r="X127" s="747"/>
      <c r="Y127" s="757"/>
      <c r="Z127" s="771">
        <v>8529.65846153846</v>
      </c>
      <c r="AA127" s="747"/>
      <c r="AB127" s="757"/>
      <c r="AC127" s="771">
        <v>10493.323076923078</v>
      </c>
      <c r="AD127" s="747"/>
      <c r="AE127" s="757"/>
      <c r="AF127" s="771">
        <v>8529.65846153846</v>
      </c>
      <c r="AG127" s="747"/>
      <c r="AH127" s="757"/>
      <c r="AI127" s="771">
        <v>10493.323076923078</v>
      </c>
      <c r="AJ127" s="747"/>
      <c r="AK127" s="757"/>
      <c r="AL127" s="771">
        <v>8529.65846153846</v>
      </c>
      <c r="AM127" s="747"/>
      <c r="AN127" s="757"/>
      <c r="AO127" s="771">
        <v>8529.65846153846</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54" t="s">
        <v>122</v>
      </c>
      <c r="C128" s="780"/>
      <c r="D128" s="781"/>
      <c r="E128" s="782">
        <v>43483.600000000006</v>
      </c>
      <c r="F128" s="780"/>
      <c r="G128" s="781"/>
      <c r="H128" s="783">
        <v>4181.1153846153848</v>
      </c>
      <c r="I128" s="780"/>
      <c r="J128" s="781"/>
      <c r="K128" s="783">
        <v>3344.8923076923074</v>
      </c>
      <c r="L128" s="780"/>
      <c r="M128" s="781"/>
      <c r="N128" s="783">
        <v>3344.8923076923074</v>
      </c>
      <c r="O128" s="780"/>
      <c r="P128" s="781"/>
      <c r="Q128" s="783">
        <v>3344.8923076923074</v>
      </c>
      <c r="R128" s="780"/>
      <c r="S128" s="781"/>
      <c r="T128" s="783">
        <v>4181.1153846153848</v>
      </c>
      <c r="U128" s="780"/>
      <c r="V128" s="781"/>
      <c r="W128" s="783">
        <v>3344.8923076923074</v>
      </c>
      <c r="X128" s="780"/>
      <c r="Y128" s="781"/>
      <c r="Z128" s="783">
        <v>3344.8923076923074</v>
      </c>
      <c r="AA128" s="780"/>
      <c r="AB128" s="781"/>
      <c r="AC128" s="783">
        <v>4181.1153846153848</v>
      </c>
      <c r="AD128" s="780"/>
      <c r="AE128" s="781"/>
      <c r="AF128" s="783">
        <v>3344.8923076923074</v>
      </c>
      <c r="AG128" s="780"/>
      <c r="AH128" s="781"/>
      <c r="AI128" s="783">
        <v>4181.1153846153848</v>
      </c>
      <c r="AJ128" s="780"/>
      <c r="AK128" s="781"/>
      <c r="AL128" s="783">
        <v>3344.8923076923074</v>
      </c>
      <c r="AM128" s="780"/>
      <c r="AN128" s="781"/>
      <c r="AO128" s="783">
        <v>3344.8923076923074</v>
      </c>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54" t="s">
        <v>123</v>
      </c>
      <c r="C129" s="747"/>
      <c r="D129" s="757"/>
      <c r="E129" s="758">
        <v>0</v>
      </c>
      <c r="F129" s="747"/>
      <c r="G129" s="757"/>
      <c r="H129" s="771">
        <v>0</v>
      </c>
      <c r="I129" s="747"/>
      <c r="J129" s="757"/>
      <c r="K129" s="771">
        <v>0</v>
      </c>
      <c r="L129" s="747"/>
      <c r="M129" s="757"/>
      <c r="N129" s="771">
        <v>0</v>
      </c>
      <c r="O129" s="747"/>
      <c r="P129" s="757"/>
      <c r="Q129" s="771">
        <v>0</v>
      </c>
      <c r="R129" s="747"/>
      <c r="S129" s="757"/>
      <c r="T129" s="771">
        <v>0</v>
      </c>
      <c r="U129" s="747"/>
      <c r="V129" s="757"/>
      <c r="W129" s="771">
        <v>0</v>
      </c>
      <c r="X129" s="747"/>
      <c r="Y129" s="757"/>
      <c r="Z129" s="771">
        <v>0</v>
      </c>
      <c r="AA129" s="747"/>
      <c r="AB129" s="757"/>
      <c r="AC129" s="771">
        <v>0</v>
      </c>
      <c r="AD129" s="747"/>
      <c r="AE129" s="757"/>
      <c r="AF129" s="771">
        <v>0</v>
      </c>
      <c r="AG129" s="747"/>
      <c r="AH129" s="757"/>
      <c r="AI129" s="771">
        <v>0</v>
      </c>
      <c r="AJ129" s="747"/>
      <c r="AK129" s="757"/>
      <c r="AL129" s="771">
        <v>0</v>
      </c>
      <c r="AM129" s="747"/>
      <c r="AN129" s="757"/>
      <c r="AO129" s="771">
        <v>0</v>
      </c>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59</v>
      </c>
      <c r="C130" s="747"/>
      <c r="D130" s="757"/>
      <c r="E130" s="758">
        <v>0</v>
      </c>
      <c r="F130" s="747"/>
      <c r="G130" s="757"/>
      <c r="H130" s="771">
        <v>0</v>
      </c>
      <c r="I130" s="747"/>
      <c r="J130" s="757"/>
      <c r="K130" s="771">
        <v>0</v>
      </c>
      <c r="L130" s="747"/>
      <c r="M130" s="757"/>
      <c r="N130" s="771">
        <v>0</v>
      </c>
      <c r="O130" s="747"/>
      <c r="P130" s="757"/>
      <c r="Q130" s="771">
        <v>0</v>
      </c>
      <c r="R130" s="747"/>
      <c r="S130" s="757"/>
      <c r="T130" s="771">
        <v>0</v>
      </c>
      <c r="U130" s="747"/>
      <c r="V130" s="757"/>
      <c r="W130" s="771">
        <v>0</v>
      </c>
      <c r="X130" s="747"/>
      <c r="Y130" s="757"/>
      <c r="Z130" s="771">
        <v>0</v>
      </c>
      <c r="AA130" s="747"/>
      <c r="AB130" s="757"/>
      <c r="AC130" s="771">
        <v>0</v>
      </c>
      <c r="AD130" s="747"/>
      <c r="AE130" s="757"/>
      <c r="AF130" s="771">
        <v>0</v>
      </c>
      <c r="AG130" s="747"/>
      <c r="AH130" s="757"/>
      <c r="AI130" s="771">
        <v>0</v>
      </c>
      <c r="AJ130" s="747"/>
      <c r="AK130" s="757"/>
      <c r="AL130" s="771">
        <v>0</v>
      </c>
      <c r="AM130" s="747"/>
      <c r="AN130" s="757"/>
      <c r="AO130" s="771">
        <v>0</v>
      </c>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59</v>
      </c>
      <c r="C131" s="747"/>
      <c r="D131" s="757"/>
      <c r="E131" s="758">
        <v>0</v>
      </c>
      <c r="F131" s="747"/>
      <c r="G131" s="757"/>
      <c r="H131" s="771">
        <v>0</v>
      </c>
      <c r="I131" s="747"/>
      <c r="J131" s="757"/>
      <c r="K131" s="771">
        <v>0</v>
      </c>
      <c r="L131" s="747"/>
      <c r="M131" s="757"/>
      <c r="N131" s="771">
        <v>0</v>
      </c>
      <c r="O131" s="747"/>
      <c r="P131" s="757"/>
      <c r="Q131" s="771">
        <v>0</v>
      </c>
      <c r="R131" s="747"/>
      <c r="S131" s="757"/>
      <c r="T131" s="771">
        <v>0</v>
      </c>
      <c r="U131" s="747"/>
      <c r="V131" s="757"/>
      <c r="W131" s="771">
        <v>0</v>
      </c>
      <c r="X131" s="747"/>
      <c r="Y131" s="757"/>
      <c r="Z131" s="771">
        <v>0</v>
      </c>
      <c r="AA131" s="747"/>
      <c r="AB131" s="757"/>
      <c r="AC131" s="771">
        <v>0</v>
      </c>
      <c r="AD131" s="747"/>
      <c r="AE131" s="757"/>
      <c r="AF131" s="771">
        <v>0</v>
      </c>
      <c r="AG131" s="747"/>
      <c r="AH131" s="757"/>
      <c r="AI131" s="771">
        <v>0</v>
      </c>
      <c r="AJ131" s="747"/>
      <c r="AK131" s="757"/>
      <c r="AL131" s="771">
        <v>0</v>
      </c>
      <c r="AM131" s="747"/>
      <c r="AN131" s="757"/>
      <c r="AO131" s="771">
        <v>0</v>
      </c>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44" t="s">
        <v>59</v>
      </c>
      <c r="C132" s="747"/>
      <c r="D132" s="757"/>
      <c r="E132" s="758">
        <v>0</v>
      </c>
      <c r="F132" s="747"/>
      <c r="G132" s="757"/>
      <c r="H132" s="771">
        <v>0</v>
      </c>
      <c r="I132" s="747"/>
      <c r="J132" s="757"/>
      <c r="K132" s="771">
        <v>0</v>
      </c>
      <c r="L132" s="747"/>
      <c r="M132" s="757"/>
      <c r="N132" s="771">
        <v>0</v>
      </c>
      <c r="O132" s="747"/>
      <c r="P132" s="757"/>
      <c r="Q132" s="771">
        <v>0</v>
      </c>
      <c r="R132" s="747"/>
      <c r="S132" s="757"/>
      <c r="T132" s="771">
        <v>0</v>
      </c>
      <c r="U132" s="747"/>
      <c r="V132" s="757"/>
      <c r="W132" s="771">
        <v>0</v>
      </c>
      <c r="X132" s="747"/>
      <c r="Y132" s="757"/>
      <c r="Z132" s="771">
        <v>0</v>
      </c>
      <c r="AA132" s="747"/>
      <c r="AB132" s="757"/>
      <c r="AC132" s="771">
        <v>0</v>
      </c>
      <c r="AD132" s="747"/>
      <c r="AE132" s="757"/>
      <c r="AF132" s="771">
        <v>0</v>
      </c>
      <c r="AG132" s="747"/>
      <c r="AH132" s="757"/>
      <c r="AI132" s="771">
        <v>0</v>
      </c>
      <c r="AJ132" s="747"/>
      <c r="AK132" s="757"/>
      <c r="AL132" s="771">
        <v>0</v>
      </c>
      <c r="AM132" s="747"/>
      <c r="AN132" s="757"/>
      <c r="AO132" s="771">
        <v>0</v>
      </c>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55" t="s">
        <v>124</v>
      </c>
      <c r="C133" s="747"/>
      <c r="D133" s="757"/>
      <c r="E133" s="758">
        <v>97035.129310000004</v>
      </c>
      <c r="F133" s="747"/>
      <c r="G133" s="757"/>
      <c r="H133" s="771">
        <v>7688.5772349358976</v>
      </c>
      <c r="I133" s="747"/>
      <c r="J133" s="757"/>
      <c r="K133" s="771">
        <v>7179.3004212820515</v>
      </c>
      <c r="L133" s="747"/>
      <c r="M133" s="757"/>
      <c r="N133" s="771">
        <v>7818.0216712820511</v>
      </c>
      <c r="O133" s="747"/>
      <c r="P133" s="757"/>
      <c r="Q133" s="771">
        <v>9509.0581712820513</v>
      </c>
      <c r="R133" s="747"/>
      <c r="S133" s="757"/>
      <c r="T133" s="771">
        <v>9745.1404849358969</v>
      </c>
      <c r="U133" s="747"/>
      <c r="V133" s="757"/>
      <c r="W133" s="771">
        <v>8046.9511712820504</v>
      </c>
      <c r="X133" s="747"/>
      <c r="Y133" s="757"/>
      <c r="Z133" s="771">
        <v>7574.3371712820526</v>
      </c>
      <c r="AA133" s="747"/>
      <c r="AB133" s="757"/>
      <c r="AC133" s="771">
        <v>8541.4729849358973</v>
      </c>
      <c r="AD133" s="747"/>
      <c r="AE133" s="757"/>
      <c r="AF133" s="771">
        <v>7803.266671282051</v>
      </c>
      <c r="AG133" s="747"/>
      <c r="AH133" s="757"/>
      <c r="AI133" s="771">
        <v>8663.315234935897</v>
      </c>
      <c r="AJ133" s="747"/>
      <c r="AK133" s="757"/>
      <c r="AL133" s="771">
        <v>7925.1089212820507</v>
      </c>
      <c r="AM133" s="747"/>
      <c r="AN133" s="757"/>
      <c r="AO133" s="771">
        <v>6540.5791712820519</v>
      </c>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54" t="s">
        <v>125</v>
      </c>
      <c r="C134" s="780"/>
      <c r="D134" s="781"/>
      <c r="E134" s="782">
        <v>117981.03827999999</v>
      </c>
      <c r="F134" s="780"/>
      <c r="G134" s="781"/>
      <c r="H134" s="783">
        <v>9348.2260653846151</v>
      </c>
      <c r="I134" s="780"/>
      <c r="J134" s="781"/>
      <c r="K134" s="783">
        <v>8729.0172523076926</v>
      </c>
      <c r="L134" s="780"/>
      <c r="M134" s="781"/>
      <c r="N134" s="783">
        <v>9505.612252307692</v>
      </c>
      <c r="O134" s="780"/>
      <c r="P134" s="781"/>
      <c r="Q134" s="783">
        <v>11561.674252307692</v>
      </c>
      <c r="R134" s="780"/>
      <c r="S134" s="781"/>
      <c r="T134" s="783">
        <v>11848.717065384617</v>
      </c>
      <c r="U134" s="780"/>
      <c r="V134" s="781"/>
      <c r="W134" s="783">
        <v>9783.9582523076915</v>
      </c>
      <c r="X134" s="780"/>
      <c r="Y134" s="781"/>
      <c r="Z134" s="783">
        <v>9209.3262523076937</v>
      </c>
      <c r="AA134" s="780"/>
      <c r="AB134" s="781"/>
      <c r="AC134" s="783">
        <v>10385.227065384615</v>
      </c>
      <c r="AD134" s="780"/>
      <c r="AE134" s="781"/>
      <c r="AF134" s="783">
        <v>9487.6722523076915</v>
      </c>
      <c r="AG134" s="780"/>
      <c r="AH134" s="781"/>
      <c r="AI134" s="783">
        <v>10533.370065384615</v>
      </c>
      <c r="AJ134" s="780"/>
      <c r="AK134" s="781"/>
      <c r="AL134" s="783">
        <v>9635.8152523076915</v>
      </c>
      <c r="AM134" s="780"/>
      <c r="AN134" s="781"/>
      <c r="AO134" s="783">
        <v>7952.4222523076933</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54" t="s">
        <v>126</v>
      </c>
      <c r="C135" s="747"/>
      <c r="D135" s="757"/>
      <c r="E135" s="758">
        <v>60785.882766000002</v>
      </c>
      <c r="F135" s="747"/>
      <c r="G135" s="757"/>
      <c r="H135" s="771">
        <v>4816.3686467307689</v>
      </c>
      <c r="I135" s="747"/>
      <c r="J135" s="757"/>
      <c r="K135" s="771">
        <v>4497.3414973846156</v>
      </c>
      <c r="L135" s="747"/>
      <c r="M135" s="757"/>
      <c r="N135" s="771">
        <v>4897.4567473846146</v>
      </c>
      <c r="O135" s="747"/>
      <c r="P135" s="757"/>
      <c r="Q135" s="771">
        <v>5956.7756473846148</v>
      </c>
      <c r="R135" s="747"/>
      <c r="S135" s="757"/>
      <c r="T135" s="771">
        <v>6104.6650967307687</v>
      </c>
      <c r="U135" s="747"/>
      <c r="V135" s="757"/>
      <c r="W135" s="771">
        <v>5040.8654473846145</v>
      </c>
      <c r="X135" s="747"/>
      <c r="Y135" s="757"/>
      <c r="Z135" s="771">
        <v>4744.805047384616</v>
      </c>
      <c r="AA135" s="747"/>
      <c r="AB135" s="757"/>
      <c r="AC135" s="771">
        <v>5350.6495967307692</v>
      </c>
      <c r="AD135" s="747"/>
      <c r="AE135" s="757"/>
      <c r="AF135" s="771">
        <v>4888.2137473846151</v>
      </c>
      <c r="AG135" s="747"/>
      <c r="AH135" s="757"/>
      <c r="AI135" s="771">
        <v>5426.9754467307685</v>
      </c>
      <c r="AJ135" s="747"/>
      <c r="AK135" s="757"/>
      <c r="AL135" s="771">
        <v>4964.5395973846144</v>
      </c>
      <c r="AM135" s="747"/>
      <c r="AN135" s="757"/>
      <c r="AO135" s="771">
        <v>4097.2262473846149</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54" t="s">
        <v>127</v>
      </c>
      <c r="C136" s="747"/>
      <c r="D136" s="757"/>
      <c r="E136" s="758">
        <v>26502.986859999994</v>
      </c>
      <c r="F136" s="747"/>
      <c r="G136" s="757"/>
      <c r="H136" s="771">
        <v>2099.9638262820513</v>
      </c>
      <c r="I136" s="747"/>
      <c r="J136" s="757"/>
      <c r="K136" s="771">
        <v>1960.8661943589743</v>
      </c>
      <c r="L136" s="747"/>
      <c r="M136" s="757"/>
      <c r="N136" s="771">
        <v>2135.318694358974</v>
      </c>
      <c r="O136" s="747"/>
      <c r="P136" s="757"/>
      <c r="Q136" s="771">
        <v>2597.1876943589741</v>
      </c>
      <c r="R136" s="747"/>
      <c r="S136" s="757"/>
      <c r="T136" s="771">
        <v>2661.6683262820511</v>
      </c>
      <c r="U136" s="747"/>
      <c r="V136" s="757"/>
      <c r="W136" s="771">
        <v>2197.845694358974</v>
      </c>
      <c r="X136" s="747"/>
      <c r="Y136" s="757"/>
      <c r="Z136" s="771">
        <v>2068.7616943589746</v>
      </c>
      <c r="AA136" s="747"/>
      <c r="AB136" s="757"/>
      <c r="AC136" s="771">
        <v>2332.913326282051</v>
      </c>
      <c r="AD136" s="747"/>
      <c r="AE136" s="757"/>
      <c r="AF136" s="771">
        <v>2131.2886943589742</v>
      </c>
      <c r="AG136" s="747"/>
      <c r="AH136" s="757"/>
      <c r="AI136" s="771">
        <v>2366.1918262820514</v>
      </c>
      <c r="AJ136" s="747"/>
      <c r="AK136" s="757"/>
      <c r="AL136" s="771">
        <v>2164.5671943589741</v>
      </c>
      <c r="AM136" s="747"/>
      <c r="AN136" s="757"/>
      <c r="AO136" s="771">
        <v>1786.4136943589745</v>
      </c>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t="str">
        <f t="shared" si="1"/>
        <v>Véhicules usagés[...]</v>
      </c>
      <c r="B137" s="44" t="s">
        <v>59</v>
      </c>
      <c r="C137" s="776"/>
      <c r="D137" s="784"/>
      <c r="E137" s="774">
        <v>0</v>
      </c>
      <c r="F137" s="776"/>
      <c r="G137" s="784"/>
      <c r="H137" s="774"/>
      <c r="I137" s="776"/>
      <c r="J137" s="784"/>
      <c r="K137" s="774"/>
      <c r="L137" s="776"/>
      <c r="M137" s="784"/>
      <c r="N137" s="774"/>
      <c r="O137" s="776"/>
      <c r="P137" s="784"/>
      <c r="Q137" s="774"/>
      <c r="R137" s="776"/>
      <c r="S137" s="784"/>
      <c r="T137" s="774"/>
      <c r="U137" s="776"/>
      <c r="V137" s="784"/>
      <c r="W137" s="774"/>
      <c r="X137" s="776"/>
      <c r="Y137" s="784"/>
      <c r="Z137" s="774"/>
      <c r="AA137" s="776"/>
      <c r="AB137" s="784"/>
      <c r="AC137" s="774"/>
      <c r="AD137" s="776"/>
      <c r="AE137" s="784"/>
      <c r="AF137" s="774"/>
      <c r="AG137" s="776"/>
      <c r="AH137" s="784"/>
      <c r="AI137" s="774"/>
      <c r="AJ137" s="776"/>
      <c r="AK137" s="784"/>
      <c r="AL137" s="774"/>
      <c r="AM137" s="776"/>
      <c r="AN137" s="784"/>
      <c r="AO137" s="774"/>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53" t="s">
        <v>128</v>
      </c>
      <c r="C138" s="777" t="s">
        <v>119</v>
      </c>
      <c r="D138" s="778">
        <v>0.40629939368361179</v>
      </c>
      <c r="E138" s="779">
        <v>571460.09721599997</v>
      </c>
      <c r="F138" s="777" t="s">
        <v>119</v>
      </c>
      <c r="G138" s="778">
        <v>0.61980502789432801</v>
      </c>
      <c r="H138" s="779">
        <v>49088.558209230774</v>
      </c>
      <c r="I138" s="777" t="s">
        <v>119</v>
      </c>
      <c r="J138" s="778">
        <v>0.45633609923723339</v>
      </c>
      <c r="K138" s="779">
        <v>43443.196647384619</v>
      </c>
      <c r="L138" s="777" t="s">
        <v>119</v>
      </c>
      <c r="M138" s="778">
        <v>0.44542235928808444</v>
      </c>
      <c r="N138" s="779">
        <v>45433.08064738461</v>
      </c>
      <c r="O138" s="777" t="s">
        <v>119</v>
      </c>
      <c r="P138" s="778">
        <v>0.4621820150171797</v>
      </c>
      <c r="Q138" s="779">
        <v>50701.367047384614</v>
      </c>
      <c r="R138" s="777" t="s">
        <v>119</v>
      </c>
      <c r="S138" s="778">
        <v>0.36582474231529843</v>
      </c>
      <c r="T138" s="779">
        <v>55495.613409230769</v>
      </c>
      <c r="U138" s="777" t="s">
        <v>119</v>
      </c>
      <c r="V138" s="778">
        <v>0.32428876913130439</v>
      </c>
      <c r="W138" s="779">
        <v>46146.291847384615</v>
      </c>
      <c r="X138" s="777" t="s">
        <v>119</v>
      </c>
      <c r="Y138" s="778">
        <v>0.34711656136273983</v>
      </c>
      <c r="Z138" s="779">
        <v>44673.901447384618</v>
      </c>
      <c r="AA138" s="777" t="s">
        <v>119</v>
      </c>
      <c r="AB138" s="778">
        <v>0.4547072531566852</v>
      </c>
      <c r="AC138" s="779">
        <v>51745.685409230777</v>
      </c>
      <c r="AD138" s="777" t="s">
        <v>119</v>
      </c>
      <c r="AE138" s="778">
        <v>0.49821199393396942</v>
      </c>
      <c r="AF138" s="779">
        <v>45387.112647384616</v>
      </c>
      <c r="AG138" s="777" t="s">
        <v>119</v>
      </c>
      <c r="AH138" s="778">
        <v>0.32845163836944402</v>
      </c>
      <c r="AI138" s="779">
        <v>52125.275009230769</v>
      </c>
      <c r="AJ138" s="777" t="s">
        <v>119</v>
      </c>
      <c r="AK138" s="778">
        <v>0.34462878198331792</v>
      </c>
      <c r="AL138" s="779">
        <v>45766.702247384623</v>
      </c>
      <c r="AM138" s="777" t="s">
        <v>119</v>
      </c>
      <c r="AN138" s="778">
        <v>0.40921335288632399</v>
      </c>
      <c r="AO138" s="779">
        <v>41453.312647384621</v>
      </c>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44" t="s">
        <v>129</v>
      </c>
      <c r="C139" s="747"/>
      <c r="D139" s="757"/>
      <c r="E139" s="758">
        <v>0</v>
      </c>
      <c r="F139" s="747"/>
      <c r="G139" s="757"/>
      <c r="H139" s="771">
        <v>0</v>
      </c>
      <c r="I139" s="747"/>
      <c r="J139" s="757"/>
      <c r="K139" s="771">
        <v>0</v>
      </c>
      <c r="L139" s="747"/>
      <c r="M139" s="757"/>
      <c r="N139" s="771">
        <v>0</v>
      </c>
      <c r="O139" s="747"/>
      <c r="P139" s="757"/>
      <c r="Q139" s="771">
        <v>0</v>
      </c>
      <c r="R139" s="747"/>
      <c r="S139" s="757"/>
      <c r="T139" s="771">
        <v>0</v>
      </c>
      <c r="U139" s="747"/>
      <c r="V139" s="757"/>
      <c r="W139" s="771">
        <v>0</v>
      </c>
      <c r="X139" s="747"/>
      <c r="Y139" s="757"/>
      <c r="Z139" s="771">
        <v>0</v>
      </c>
      <c r="AA139" s="747"/>
      <c r="AB139" s="757"/>
      <c r="AC139" s="771">
        <v>0</v>
      </c>
      <c r="AD139" s="747"/>
      <c r="AE139" s="757"/>
      <c r="AF139" s="771">
        <v>0</v>
      </c>
      <c r="AG139" s="747"/>
      <c r="AH139" s="757"/>
      <c r="AI139" s="771">
        <v>0</v>
      </c>
      <c r="AJ139" s="747"/>
      <c r="AK139" s="757"/>
      <c r="AL139" s="771">
        <v>0</v>
      </c>
      <c r="AM139" s="747"/>
      <c r="AN139" s="757"/>
      <c r="AO139" s="771">
        <v>0</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44" t="s">
        <v>130</v>
      </c>
      <c r="C140" s="747"/>
      <c r="D140" s="757"/>
      <c r="E140" s="758">
        <v>0</v>
      </c>
      <c r="F140" s="747"/>
      <c r="G140" s="757"/>
      <c r="H140" s="771">
        <v>0</v>
      </c>
      <c r="I140" s="747"/>
      <c r="J140" s="757"/>
      <c r="K140" s="771">
        <v>0</v>
      </c>
      <c r="L140" s="747"/>
      <c r="M140" s="757"/>
      <c r="N140" s="771">
        <v>0</v>
      </c>
      <c r="O140" s="747"/>
      <c r="P140" s="757"/>
      <c r="Q140" s="771">
        <v>0</v>
      </c>
      <c r="R140" s="747"/>
      <c r="S140" s="757"/>
      <c r="T140" s="771">
        <v>0</v>
      </c>
      <c r="U140" s="747"/>
      <c r="V140" s="757"/>
      <c r="W140" s="771">
        <v>0</v>
      </c>
      <c r="X140" s="747"/>
      <c r="Y140" s="757"/>
      <c r="Z140" s="771">
        <v>0</v>
      </c>
      <c r="AA140" s="747"/>
      <c r="AB140" s="757"/>
      <c r="AC140" s="771">
        <v>0</v>
      </c>
      <c r="AD140" s="747"/>
      <c r="AE140" s="757"/>
      <c r="AF140" s="771">
        <v>0</v>
      </c>
      <c r="AG140" s="747"/>
      <c r="AH140" s="757"/>
      <c r="AI140" s="771">
        <v>0</v>
      </c>
      <c r="AJ140" s="747"/>
      <c r="AK140" s="757"/>
      <c r="AL140" s="771">
        <v>0</v>
      </c>
      <c r="AM140" s="747"/>
      <c r="AN140" s="757"/>
      <c r="AO140" s="771">
        <v>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43" t="s">
        <v>131</v>
      </c>
      <c r="C141" s="785"/>
      <c r="D141" s="786"/>
      <c r="E141" s="787">
        <v>15409.839466666666</v>
      </c>
      <c r="F141" s="785"/>
      <c r="G141" s="786"/>
      <c r="H141" s="788">
        <v>1284.1532888888889</v>
      </c>
      <c r="I141" s="785"/>
      <c r="J141" s="786"/>
      <c r="K141" s="788">
        <v>1284.1532888888889</v>
      </c>
      <c r="L141" s="785"/>
      <c r="M141" s="786"/>
      <c r="N141" s="788">
        <v>1284.1532888888889</v>
      </c>
      <c r="O141" s="785"/>
      <c r="P141" s="786"/>
      <c r="Q141" s="788">
        <v>1284.1532888888889</v>
      </c>
      <c r="R141" s="785"/>
      <c r="S141" s="786"/>
      <c r="T141" s="788">
        <v>1284.1532888888889</v>
      </c>
      <c r="U141" s="785"/>
      <c r="V141" s="786"/>
      <c r="W141" s="788">
        <v>1284.1532888888889</v>
      </c>
      <c r="X141" s="785"/>
      <c r="Y141" s="786"/>
      <c r="Z141" s="788">
        <v>1284.1532888888889</v>
      </c>
      <c r="AA141" s="785"/>
      <c r="AB141" s="786"/>
      <c r="AC141" s="788">
        <v>1284.1532888888889</v>
      </c>
      <c r="AD141" s="785"/>
      <c r="AE141" s="786"/>
      <c r="AF141" s="788">
        <v>1284.1532888888889</v>
      </c>
      <c r="AG141" s="785"/>
      <c r="AH141" s="786"/>
      <c r="AI141" s="788">
        <v>1284.1532888888889</v>
      </c>
      <c r="AJ141" s="785"/>
      <c r="AK141" s="786"/>
      <c r="AL141" s="788">
        <v>1284.1532888888889</v>
      </c>
      <c r="AM141" s="785"/>
      <c r="AN141" s="786"/>
      <c r="AO141" s="788">
        <v>1284.1532888888889</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44" t="s">
        <v>132</v>
      </c>
      <c r="C142" s="747"/>
      <c r="D142" s="757"/>
      <c r="E142" s="758">
        <v>45092.227472319973</v>
      </c>
      <c r="F142" s="747"/>
      <c r="G142" s="757"/>
      <c r="H142" s="771">
        <v>3757.6856226933323</v>
      </c>
      <c r="I142" s="747"/>
      <c r="J142" s="757"/>
      <c r="K142" s="771">
        <v>3757.6856226933323</v>
      </c>
      <c r="L142" s="747"/>
      <c r="M142" s="757"/>
      <c r="N142" s="771">
        <v>3757.6856226933323</v>
      </c>
      <c r="O142" s="747"/>
      <c r="P142" s="757"/>
      <c r="Q142" s="771">
        <v>3757.6856226933323</v>
      </c>
      <c r="R142" s="747"/>
      <c r="S142" s="757"/>
      <c r="T142" s="771">
        <v>3757.6856226933323</v>
      </c>
      <c r="U142" s="747"/>
      <c r="V142" s="757"/>
      <c r="W142" s="771">
        <v>3757.6856226933323</v>
      </c>
      <c r="X142" s="747"/>
      <c r="Y142" s="757"/>
      <c r="Z142" s="771">
        <v>3757.6856226933323</v>
      </c>
      <c r="AA142" s="747"/>
      <c r="AB142" s="757"/>
      <c r="AC142" s="771">
        <v>3757.6856226933323</v>
      </c>
      <c r="AD142" s="747"/>
      <c r="AE142" s="757"/>
      <c r="AF142" s="771">
        <v>3757.6856226933323</v>
      </c>
      <c r="AG142" s="747"/>
      <c r="AH142" s="757"/>
      <c r="AI142" s="771">
        <v>3757.6856226933323</v>
      </c>
      <c r="AJ142" s="747"/>
      <c r="AK142" s="757"/>
      <c r="AL142" s="771">
        <v>3757.6856226933323</v>
      </c>
      <c r="AM142" s="747"/>
      <c r="AN142" s="757"/>
      <c r="AO142" s="771">
        <v>3757.6856226933323</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44" t="s">
        <v>133</v>
      </c>
      <c r="C143" s="747"/>
      <c r="D143" s="757"/>
      <c r="E143" s="758">
        <v>6668.0429252885951</v>
      </c>
      <c r="F143" s="747"/>
      <c r="G143" s="757"/>
      <c r="H143" s="771">
        <v>555.6702437740496</v>
      </c>
      <c r="I143" s="747"/>
      <c r="J143" s="757"/>
      <c r="K143" s="771">
        <v>555.6702437740496</v>
      </c>
      <c r="L143" s="747"/>
      <c r="M143" s="757"/>
      <c r="N143" s="771">
        <v>555.6702437740496</v>
      </c>
      <c r="O143" s="747"/>
      <c r="P143" s="757"/>
      <c r="Q143" s="771">
        <v>555.6702437740496</v>
      </c>
      <c r="R143" s="747"/>
      <c r="S143" s="757"/>
      <c r="T143" s="771">
        <v>555.6702437740496</v>
      </c>
      <c r="U143" s="747"/>
      <c r="V143" s="757"/>
      <c r="W143" s="771">
        <v>555.6702437740496</v>
      </c>
      <c r="X143" s="747"/>
      <c r="Y143" s="757"/>
      <c r="Z143" s="771">
        <v>555.6702437740496</v>
      </c>
      <c r="AA143" s="747"/>
      <c r="AB143" s="757"/>
      <c r="AC143" s="771">
        <v>555.6702437740496</v>
      </c>
      <c r="AD143" s="747"/>
      <c r="AE143" s="757"/>
      <c r="AF143" s="771">
        <v>555.6702437740496</v>
      </c>
      <c r="AG143" s="747"/>
      <c r="AH143" s="757"/>
      <c r="AI143" s="771">
        <v>555.6702437740496</v>
      </c>
      <c r="AJ143" s="747"/>
      <c r="AK143" s="757"/>
      <c r="AL143" s="771">
        <v>555.6702437740496</v>
      </c>
      <c r="AM143" s="747"/>
      <c r="AN143" s="757"/>
      <c r="AO143" s="771">
        <v>555.6702437740496</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43" t="s">
        <v>134</v>
      </c>
      <c r="C144" s="785"/>
      <c r="D144" s="786"/>
      <c r="E144" s="787">
        <v>16786.193568643892</v>
      </c>
      <c r="F144" s="785"/>
      <c r="G144" s="786"/>
      <c r="H144" s="788">
        <v>1398.8494640536576</v>
      </c>
      <c r="I144" s="785"/>
      <c r="J144" s="786"/>
      <c r="K144" s="788">
        <v>1398.8494640536576</v>
      </c>
      <c r="L144" s="785"/>
      <c r="M144" s="786"/>
      <c r="N144" s="788">
        <v>1398.8494640536576</v>
      </c>
      <c r="O144" s="785"/>
      <c r="P144" s="786"/>
      <c r="Q144" s="788">
        <v>1398.8494640536576</v>
      </c>
      <c r="R144" s="785"/>
      <c r="S144" s="786"/>
      <c r="T144" s="788">
        <v>1398.8494640536576</v>
      </c>
      <c r="U144" s="785"/>
      <c r="V144" s="786"/>
      <c r="W144" s="788">
        <v>1398.8494640536576</v>
      </c>
      <c r="X144" s="785"/>
      <c r="Y144" s="786"/>
      <c r="Z144" s="788">
        <v>1398.8494640536576</v>
      </c>
      <c r="AA144" s="785"/>
      <c r="AB144" s="786"/>
      <c r="AC144" s="788">
        <v>1398.8494640536576</v>
      </c>
      <c r="AD144" s="785"/>
      <c r="AE144" s="786"/>
      <c r="AF144" s="788">
        <v>1398.8494640536576</v>
      </c>
      <c r="AG144" s="785"/>
      <c r="AH144" s="786"/>
      <c r="AI144" s="788">
        <v>1398.8494640536576</v>
      </c>
      <c r="AJ144" s="785"/>
      <c r="AK144" s="786"/>
      <c r="AL144" s="788">
        <v>1398.8494640536576</v>
      </c>
      <c r="AM144" s="785"/>
      <c r="AN144" s="786"/>
      <c r="AO144" s="788">
        <v>1398.8494640536576</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44" t="s">
        <v>135</v>
      </c>
      <c r="C145" s="747"/>
      <c r="D145" s="757"/>
      <c r="E145" s="758">
        <v>1006.6264</v>
      </c>
      <c r="F145" s="747"/>
      <c r="G145" s="757"/>
      <c r="H145" s="771">
        <v>83.885533333333328</v>
      </c>
      <c r="I145" s="747"/>
      <c r="J145" s="757"/>
      <c r="K145" s="771">
        <v>83.885533333333328</v>
      </c>
      <c r="L145" s="747"/>
      <c r="M145" s="757"/>
      <c r="N145" s="771">
        <v>83.885533333333328</v>
      </c>
      <c r="O145" s="747"/>
      <c r="P145" s="757"/>
      <c r="Q145" s="771">
        <v>83.885533333333328</v>
      </c>
      <c r="R145" s="747"/>
      <c r="S145" s="757"/>
      <c r="T145" s="771">
        <v>83.885533333333328</v>
      </c>
      <c r="U145" s="747"/>
      <c r="V145" s="757"/>
      <c r="W145" s="771">
        <v>83.885533333333328</v>
      </c>
      <c r="X145" s="747"/>
      <c r="Y145" s="757"/>
      <c r="Z145" s="771">
        <v>83.885533333333328</v>
      </c>
      <c r="AA145" s="747"/>
      <c r="AB145" s="757"/>
      <c r="AC145" s="771">
        <v>83.885533333333328</v>
      </c>
      <c r="AD145" s="747"/>
      <c r="AE145" s="757"/>
      <c r="AF145" s="771">
        <v>83.885533333333328</v>
      </c>
      <c r="AG145" s="747"/>
      <c r="AH145" s="757"/>
      <c r="AI145" s="771">
        <v>83.885533333333328</v>
      </c>
      <c r="AJ145" s="747"/>
      <c r="AK145" s="757"/>
      <c r="AL145" s="771">
        <v>83.885533333333328</v>
      </c>
      <c r="AM145" s="747"/>
      <c r="AN145" s="757"/>
      <c r="AO145" s="771">
        <v>83.885533333333328</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44" t="s">
        <v>136</v>
      </c>
      <c r="C146" s="747"/>
      <c r="D146" s="757"/>
      <c r="E146" s="758">
        <v>340</v>
      </c>
      <c r="F146" s="747"/>
      <c r="G146" s="757"/>
      <c r="H146" s="771">
        <v>28.333333333333332</v>
      </c>
      <c r="I146" s="747"/>
      <c r="J146" s="757"/>
      <c r="K146" s="771">
        <v>28.333333333333332</v>
      </c>
      <c r="L146" s="747"/>
      <c r="M146" s="757"/>
      <c r="N146" s="771">
        <v>28.333333333333332</v>
      </c>
      <c r="O146" s="747"/>
      <c r="P146" s="757"/>
      <c r="Q146" s="771">
        <v>28.333333333333332</v>
      </c>
      <c r="R146" s="747"/>
      <c r="S146" s="757"/>
      <c r="T146" s="771">
        <v>28.333333333333332</v>
      </c>
      <c r="U146" s="747"/>
      <c r="V146" s="757"/>
      <c r="W146" s="771">
        <v>28.333333333333332</v>
      </c>
      <c r="X146" s="747"/>
      <c r="Y146" s="757"/>
      <c r="Z146" s="771">
        <v>28.333333333333332</v>
      </c>
      <c r="AA146" s="747"/>
      <c r="AB146" s="757"/>
      <c r="AC146" s="771">
        <v>28.333333333333332</v>
      </c>
      <c r="AD146" s="747"/>
      <c r="AE146" s="757"/>
      <c r="AF146" s="771">
        <v>28.333333333333332</v>
      </c>
      <c r="AG146" s="747"/>
      <c r="AH146" s="757"/>
      <c r="AI146" s="771">
        <v>28.333333333333332</v>
      </c>
      <c r="AJ146" s="747"/>
      <c r="AK146" s="757"/>
      <c r="AL146" s="771">
        <v>28.333333333333332</v>
      </c>
      <c r="AM146" s="747"/>
      <c r="AN146" s="757"/>
      <c r="AO146" s="771">
        <v>28.333333333333332</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44" t="s">
        <v>137</v>
      </c>
      <c r="C147" s="747"/>
      <c r="D147" s="757"/>
      <c r="E147" s="758">
        <v>3883.4327685110397</v>
      </c>
      <c r="F147" s="747"/>
      <c r="G147" s="757"/>
      <c r="H147" s="771">
        <v>323.61939737591996</v>
      </c>
      <c r="I147" s="747"/>
      <c r="J147" s="757"/>
      <c r="K147" s="771">
        <v>323.61939737591996</v>
      </c>
      <c r="L147" s="747"/>
      <c r="M147" s="757"/>
      <c r="N147" s="771">
        <v>323.61939737591996</v>
      </c>
      <c r="O147" s="747"/>
      <c r="P147" s="757"/>
      <c r="Q147" s="771">
        <v>323.61939737591996</v>
      </c>
      <c r="R147" s="747"/>
      <c r="S147" s="757"/>
      <c r="T147" s="771">
        <v>323.61939737591996</v>
      </c>
      <c r="U147" s="747"/>
      <c r="V147" s="757"/>
      <c r="W147" s="771">
        <v>323.61939737591996</v>
      </c>
      <c r="X147" s="747"/>
      <c r="Y147" s="757"/>
      <c r="Z147" s="771">
        <v>323.61939737591996</v>
      </c>
      <c r="AA147" s="747"/>
      <c r="AB147" s="757"/>
      <c r="AC147" s="771">
        <v>323.61939737591996</v>
      </c>
      <c r="AD147" s="747"/>
      <c r="AE147" s="757"/>
      <c r="AF147" s="771">
        <v>323.61939737591996</v>
      </c>
      <c r="AG147" s="747"/>
      <c r="AH147" s="757"/>
      <c r="AI147" s="771">
        <v>323.61939737591996</v>
      </c>
      <c r="AJ147" s="747"/>
      <c r="AK147" s="757"/>
      <c r="AL147" s="771">
        <v>323.61939737591996</v>
      </c>
      <c r="AM147" s="747"/>
      <c r="AN147" s="757"/>
      <c r="AO147" s="771">
        <v>323.61939737591996</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44" t="s">
        <v>138</v>
      </c>
      <c r="C148" s="747"/>
      <c r="D148" s="757"/>
      <c r="E148" s="758">
        <v>753.17465813091997</v>
      </c>
      <c r="F148" s="747"/>
      <c r="G148" s="757"/>
      <c r="H148" s="771">
        <v>62.764554844243328</v>
      </c>
      <c r="I148" s="747"/>
      <c r="J148" s="757"/>
      <c r="K148" s="771">
        <v>62.764554844243328</v>
      </c>
      <c r="L148" s="747"/>
      <c r="M148" s="757"/>
      <c r="N148" s="771">
        <v>62.764554844243328</v>
      </c>
      <c r="O148" s="747"/>
      <c r="P148" s="757"/>
      <c r="Q148" s="771">
        <v>62.764554844243328</v>
      </c>
      <c r="R148" s="747"/>
      <c r="S148" s="757"/>
      <c r="T148" s="771">
        <v>62.764554844243328</v>
      </c>
      <c r="U148" s="747"/>
      <c r="V148" s="757"/>
      <c r="W148" s="771">
        <v>62.764554844243328</v>
      </c>
      <c r="X148" s="747"/>
      <c r="Y148" s="757"/>
      <c r="Z148" s="771">
        <v>62.764554844243328</v>
      </c>
      <c r="AA148" s="747"/>
      <c r="AB148" s="757"/>
      <c r="AC148" s="771">
        <v>62.764554844243328</v>
      </c>
      <c r="AD148" s="747"/>
      <c r="AE148" s="757"/>
      <c r="AF148" s="771">
        <v>62.764554844243328</v>
      </c>
      <c r="AG148" s="747"/>
      <c r="AH148" s="757"/>
      <c r="AI148" s="771">
        <v>62.764554844243328</v>
      </c>
      <c r="AJ148" s="747"/>
      <c r="AK148" s="757"/>
      <c r="AL148" s="771">
        <v>62.764554844243328</v>
      </c>
      <c r="AM148" s="747"/>
      <c r="AN148" s="757"/>
      <c r="AO148" s="771">
        <v>62.764554844243328</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44" t="s">
        <v>139</v>
      </c>
      <c r="C149" s="747"/>
      <c r="D149" s="757"/>
      <c r="E149" s="758">
        <v>578.60212965787991</v>
      </c>
      <c r="F149" s="747"/>
      <c r="G149" s="757"/>
      <c r="H149" s="771">
        <v>48.216844138156659</v>
      </c>
      <c r="I149" s="747"/>
      <c r="J149" s="757"/>
      <c r="K149" s="771">
        <v>48.216844138156659</v>
      </c>
      <c r="L149" s="747"/>
      <c r="M149" s="757"/>
      <c r="N149" s="771">
        <v>48.216844138156659</v>
      </c>
      <c r="O149" s="747"/>
      <c r="P149" s="757"/>
      <c r="Q149" s="771">
        <v>48.216844138156659</v>
      </c>
      <c r="R149" s="747"/>
      <c r="S149" s="757"/>
      <c r="T149" s="771">
        <v>48.216844138156659</v>
      </c>
      <c r="U149" s="747"/>
      <c r="V149" s="757"/>
      <c r="W149" s="771">
        <v>48.216844138156659</v>
      </c>
      <c r="X149" s="747"/>
      <c r="Y149" s="757"/>
      <c r="Z149" s="771">
        <v>48.216844138156659</v>
      </c>
      <c r="AA149" s="747"/>
      <c r="AB149" s="757"/>
      <c r="AC149" s="771">
        <v>48.216844138156659</v>
      </c>
      <c r="AD149" s="747"/>
      <c r="AE149" s="757"/>
      <c r="AF149" s="771">
        <v>48.216844138156659</v>
      </c>
      <c r="AG149" s="747"/>
      <c r="AH149" s="757"/>
      <c r="AI149" s="771">
        <v>48.216844138156659</v>
      </c>
      <c r="AJ149" s="747"/>
      <c r="AK149" s="757"/>
      <c r="AL149" s="771">
        <v>48.216844138156659</v>
      </c>
      <c r="AM149" s="747"/>
      <c r="AN149" s="757"/>
      <c r="AO149" s="771">
        <v>48.216844138156659</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44" t="s">
        <v>140</v>
      </c>
      <c r="C150" s="747"/>
      <c r="D150" s="757"/>
      <c r="E150" s="758">
        <v>1288.2194092557202</v>
      </c>
      <c r="F150" s="747"/>
      <c r="G150" s="757"/>
      <c r="H150" s="771">
        <v>107.35161743797669</v>
      </c>
      <c r="I150" s="747"/>
      <c r="J150" s="757"/>
      <c r="K150" s="771">
        <v>107.35161743797669</v>
      </c>
      <c r="L150" s="747"/>
      <c r="M150" s="757"/>
      <c r="N150" s="771">
        <v>107.35161743797669</v>
      </c>
      <c r="O150" s="747"/>
      <c r="P150" s="757"/>
      <c r="Q150" s="771">
        <v>107.35161743797669</v>
      </c>
      <c r="R150" s="747"/>
      <c r="S150" s="757"/>
      <c r="T150" s="771">
        <v>107.35161743797669</v>
      </c>
      <c r="U150" s="747"/>
      <c r="V150" s="757"/>
      <c r="W150" s="771">
        <v>107.35161743797669</v>
      </c>
      <c r="X150" s="747"/>
      <c r="Y150" s="757"/>
      <c r="Z150" s="771">
        <v>107.35161743797669</v>
      </c>
      <c r="AA150" s="747"/>
      <c r="AB150" s="757"/>
      <c r="AC150" s="771">
        <v>107.35161743797669</v>
      </c>
      <c r="AD150" s="747"/>
      <c r="AE150" s="757"/>
      <c r="AF150" s="771">
        <v>107.35161743797669</v>
      </c>
      <c r="AG150" s="747"/>
      <c r="AH150" s="757"/>
      <c r="AI150" s="771">
        <v>107.35161743797669</v>
      </c>
      <c r="AJ150" s="747"/>
      <c r="AK150" s="757"/>
      <c r="AL150" s="771">
        <v>107.35161743797669</v>
      </c>
      <c r="AM150" s="747"/>
      <c r="AN150" s="757"/>
      <c r="AO150" s="771">
        <v>107.35161743797669</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44" t="s">
        <v>141</v>
      </c>
      <c r="C151" s="747"/>
      <c r="D151" s="757"/>
      <c r="E151" s="758">
        <v>2621.5724603638187</v>
      </c>
      <c r="F151" s="747"/>
      <c r="G151" s="757"/>
      <c r="H151" s="771">
        <v>218.46437169698484</v>
      </c>
      <c r="I151" s="747"/>
      <c r="J151" s="757"/>
      <c r="K151" s="771">
        <v>218.46437169698484</v>
      </c>
      <c r="L151" s="747"/>
      <c r="M151" s="757"/>
      <c r="N151" s="771">
        <v>218.46437169698484</v>
      </c>
      <c r="O151" s="747"/>
      <c r="P151" s="757"/>
      <c r="Q151" s="771">
        <v>218.46437169698484</v>
      </c>
      <c r="R151" s="747"/>
      <c r="S151" s="757"/>
      <c r="T151" s="771">
        <v>218.46437169698484</v>
      </c>
      <c r="U151" s="747"/>
      <c r="V151" s="757"/>
      <c r="W151" s="771">
        <v>218.46437169698484</v>
      </c>
      <c r="X151" s="747"/>
      <c r="Y151" s="757"/>
      <c r="Z151" s="771">
        <v>218.46437169698484</v>
      </c>
      <c r="AA151" s="747"/>
      <c r="AB151" s="757"/>
      <c r="AC151" s="771">
        <v>218.46437169698484</v>
      </c>
      <c r="AD151" s="747"/>
      <c r="AE151" s="757"/>
      <c r="AF151" s="771">
        <v>218.46437169698484</v>
      </c>
      <c r="AG151" s="747"/>
      <c r="AH151" s="757"/>
      <c r="AI151" s="771">
        <v>218.46437169698484</v>
      </c>
      <c r="AJ151" s="747"/>
      <c r="AK151" s="757"/>
      <c r="AL151" s="771">
        <v>218.46437169698484</v>
      </c>
      <c r="AM151" s="747"/>
      <c r="AN151" s="757"/>
      <c r="AO151" s="771">
        <v>218.46437169698484</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44" t="s">
        <v>142</v>
      </c>
      <c r="C152" s="747"/>
      <c r="D152" s="757"/>
      <c r="E152" s="758">
        <v>9723.8520499178303</v>
      </c>
      <c r="F152" s="747"/>
      <c r="G152" s="757"/>
      <c r="H152" s="771">
        <v>634.44651430529916</v>
      </c>
      <c r="I152" s="747"/>
      <c r="J152" s="757"/>
      <c r="K152" s="771">
        <v>611.72291654129151</v>
      </c>
      <c r="L152" s="747"/>
      <c r="M152" s="757"/>
      <c r="N152" s="771">
        <v>647.20571478685497</v>
      </c>
      <c r="O152" s="747"/>
      <c r="P152" s="757"/>
      <c r="Q152" s="771">
        <v>848.05675343487826</v>
      </c>
      <c r="R152" s="747"/>
      <c r="S152" s="757"/>
      <c r="T152" s="771">
        <v>901.5771308274592</v>
      </c>
      <c r="U152" s="747"/>
      <c r="V152" s="757"/>
      <c r="W152" s="771">
        <v>839.8687185306751</v>
      </c>
      <c r="X152" s="747"/>
      <c r="Y152" s="757"/>
      <c r="Z152" s="771">
        <v>820.93352030523874</v>
      </c>
      <c r="AA152" s="747"/>
      <c r="AB152" s="757"/>
      <c r="AC152" s="771">
        <v>887.88079599087973</v>
      </c>
      <c r="AD152" s="747"/>
      <c r="AE152" s="757"/>
      <c r="AF152" s="771">
        <v>722.2072596354127</v>
      </c>
      <c r="AG152" s="747"/>
      <c r="AH152" s="757"/>
      <c r="AI152" s="771">
        <v>975.11430554061235</v>
      </c>
      <c r="AJ152" s="747"/>
      <c r="AK152" s="757"/>
      <c r="AL152" s="771">
        <v>1146.3671308542077</v>
      </c>
      <c r="AM152" s="747"/>
      <c r="AN152" s="757"/>
      <c r="AO152" s="771">
        <v>688.4712891650214</v>
      </c>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59</v>
      </c>
      <c r="C153" s="747"/>
      <c r="D153" s="757"/>
      <c r="E153" s="758">
        <v>0</v>
      </c>
      <c r="F153" s="747"/>
      <c r="G153" s="757"/>
      <c r="H153" s="758"/>
      <c r="I153" s="747"/>
      <c r="J153" s="757"/>
      <c r="K153" s="758"/>
      <c r="L153" s="747"/>
      <c r="M153" s="757"/>
      <c r="N153" s="758"/>
      <c r="O153" s="747"/>
      <c r="P153" s="757"/>
      <c r="Q153" s="758"/>
      <c r="R153" s="747"/>
      <c r="S153" s="757"/>
      <c r="T153" s="758"/>
      <c r="U153" s="747"/>
      <c r="V153" s="757"/>
      <c r="W153" s="758"/>
      <c r="X153" s="747"/>
      <c r="Y153" s="757"/>
      <c r="Z153" s="758"/>
      <c r="AA153" s="747"/>
      <c r="AB153" s="757"/>
      <c r="AC153" s="758"/>
      <c r="AD153" s="747"/>
      <c r="AE153" s="757"/>
      <c r="AF153" s="758"/>
      <c r="AG153" s="747"/>
      <c r="AH153" s="757"/>
      <c r="AI153" s="758"/>
      <c r="AJ153" s="747"/>
      <c r="AK153" s="757"/>
      <c r="AL153" s="758"/>
      <c r="AM153" s="747"/>
      <c r="AN153" s="757"/>
      <c r="AO153" s="758"/>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59</v>
      </c>
      <c r="C154" s="747"/>
      <c r="D154" s="757"/>
      <c r="E154" s="758">
        <v>0</v>
      </c>
      <c r="F154" s="747"/>
      <c r="G154" s="757"/>
      <c r="H154" s="758"/>
      <c r="I154" s="747"/>
      <c r="J154" s="757"/>
      <c r="K154" s="758"/>
      <c r="L154" s="747"/>
      <c r="M154" s="757"/>
      <c r="N154" s="758"/>
      <c r="O154" s="747"/>
      <c r="P154" s="757"/>
      <c r="Q154" s="758"/>
      <c r="R154" s="747"/>
      <c r="S154" s="757"/>
      <c r="T154" s="758"/>
      <c r="U154" s="747"/>
      <c r="V154" s="757"/>
      <c r="W154" s="758"/>
      <c r="X154" s="747"/>
      <c r="Y154" s="757"/>
      <c r="Z154" s="758"/>
      <c r="AA154" s="747"/>
      <c r="AB154" s="757"/>
      <c r="AC154" s="758"/>
      <c r="AD154" s="747"/>
      <c r="AE154" s="757"/>
      <c r="AF154" s="758"/>
      <c r="AG154" s="747"/>
      <c r="AH154" s="757"/>
      <c r="AI154" s="758"/>
      <c r="AJ154" s="747"/>
      <c r="AK154" s="757"/>
      <c r="AL154" s="758"/>
      <c r="AM154" s="747"/>
      <c r="AN154" s="757"/>
      <c r="AO154" s="758"/>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44" t="s">
        <v>59</v>
      </c>
      <c r="C155" s="776"/>
      <c r="D155" s="784"/>
      <c r="E155" s="758">
        <v>0</v>
      </c>
      <c r="F155" s="776"/>
      <c r="G155" s="784"/>
      <c r="H155" s="758"/>
      <c r="I155" s="776"/>
      <c r="J155" s="784"/>
      <c r="K155" s="758"/>
      <c r="L155" s="776"/>
      <c r="M155" s="784"/>
      <c r="N155" s="758"/>
      <c r="O155" s="776"/>
      <c r="P155" s="784"/>
      <c r="Q155" s="758"/>
      <c r="R155" s="776"/>
      <c r="S155" s="784"/>
      <c r="T155" s="758"/>
      <c r="U155" s="776"/>
      <c r="V155" s="784"/>
      <c r="W155" s="758"/>
      <c r="X155" s="776"/>
      <c r="Y155" s="784"/>
      <c r="Z155" s="758"/>
      <c r="AA155" s="776"/>
      <c r="AB155" s="784"/>
      <c r="AC155" s="758"/>
      <c r="AD155" s="776"/>
      <c r="AE155" s="784"/>
      <c r="AF155" s="758"/>
      <c r="AG155" s="776"/>
      <c r="AH155" s="784"/>
      <c r="AI155" s="758"/>
      <c r="AJ155" s="776"/>
      <c r="AK155" s="784"/>
      <c r="AL155" s="758"/>
      <c r="AM155" s="776"/>
      <c r="AN155" s="784"/>
      <c r="AO155" s="758"/>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53" t="s">
        <v>143</v>
      </c>
      <c r="C156" s="777" t="s">
        <v>119</v>
      </c>
      <c r="D156" s="778">
        <v>7.4050325850519974E-2</v>
      </c>
      <c r="E156" s="779">
        <v>104151.78330875633</v>
      </c>
      <c r="F156" s="777" t="s">
        <v>119</v>
      </c>
      <c r="G156" s="778">
        <v>0.10736667658933301</v>
      </c>
      <c r="H156" s="779">
        <v>8503.4407858751747</v>
      </c>
      <c r="I156" s="777" t="s">
        <v>119</v>
      </c>
      <c r="J156" s="778">
        <v>8.908316374066351E-2</v>
      </c>
      <c r="K156" s="779">
        <v>8480.7171881111663</v>
      </c>
      <c r="L156" s="777" t="s">
        <v>119</v>
      </c>
      <c r="M156" s="778">
        <v>8.3492156728987563E-2</v>
      </c>
      <c r="N156" s="779">
        <v>8516.1999863567307</v>
      </c>
      <c r="O156" s="777" t="s">
        <v>119</v>
      </c>
      <c r="P156" s="778">
        <v>7.946263468554926E-2</v>
      </c>
      <c r="Q156" s="779">
        <v>8717.0510250047537</v>
      </c>
      <c r="R156" s="777" t="s">
        <v>119</v>
      </c>
      <c r="S156" s="778">
        <v>5.7815236667088557E-2</v>
      </c>
      <c r="T156" s="779">
        <v>8770.5714023973342</v>
      </c>
      <c r="U156" s="777" t="s">
        <v>119</v>
      </c>
      <c r="V156" s="778">
        <v>6.120072375334188E-2</v>
      </c>
      <c r="W156" s="779">
        <v>8708.8629901005497</v>
      </c>
      <c r="X156" s="777" t="s">
        <v>119</v>
      </c>
      <c r="Y156" s="778">
        <v>6.75208064636761E-2</v>
      </c>
      <c r="Z156" s="779">
        <v>8689.9277918751141</v>
      </c>
      <c r="AA156" s="777" t="s">
        <v>119</v>
      </c>
      <c r="AB156" s="778">
        <v>7.6949693036562003E-2</v>
      </c>
      <c r="AC156" s="779">
        <v>8756.8750675607553</v>
      </c>
      <c r="AD156" s="777" t="s">
        <v>119</v>
      </c>
      <c r="AE156" s="778">
        <v>9.4305175973713365E-2</v>
      </c>
      <c r="AF156" s="779">
        <v>8591.2015312052881</v>
      </c>
      <c r="AG156" s="777" t="s">
        <v>119</v>
      </c>
      <c r="AH156" s="778">
        <v>5.5728472445560728E-2</v>
      </c>
      <c r="AI156" s="779">
        <v>8844.1085771104881</v>
      </c>
      <c r="AJ156" s="777" t="s">
        <v>119</v>
      </c>
      <c r="AK156" s="778">
        <v>6.7886757548374116E-2</v>
      </c>
      <c r="AL156" s="779">
        <v>9015.3614024240833</v>
      </c>
      <c r="AM156" s="777" t="s">
        <v>119</v>
      </c>
      <c r="AN156" s="778">
        <v>8.4476461606464909E-2</v>
      </c>
      <c r="AO156" s="779">
        <v>8557.4655607348959</v>
      </c>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43"/>
      <c r="C157" s="776"/>
      <c r="D157" s="784"/>
      <c r="E157" s="774"/>
      <c r="F157" s="776"/>
      <c r="G157" s="784"/>
      <c r="H157" s="774"/>
      <c r="I157" s="776"/>
      <c r="J157" s="784"/>
      <c r="K157" s="774"/>
      <c r="L157" s="776"/>
      <c r="M157" s="784"/>
      <c r="N157" s="774"/>
      <c r="O157" s="776"/>
      <c r="P157" s="784"/>
      <c r="Q157" s="774"/>
      <c r="R157" s="776"/>
      <c r="S157" s="784"/>
      <c r="T157" s="774"/>
      <c r="U157" s="776"/>
      <c r="V157" s="784"/>
      <c r="W157" s="774"/>
      <c r="X157" s="776"/>
      <c r="Y157" s="784"/>
      <c r="Z157" s="774"/>
      <c r="AA157" s="776"/>
      <c r="AB157" s="784"/>
      <c r="AC157" s="774"/>
      <c r="AD157" s="776"/>
      <c r="AE157" s="784"/>
      <c r="AF157" s="774"/>
      <c r="AG157" s="776"/>
      <c r="AH157" s="784"/>
      <c r="AI157" s="774"/>
      <c r="AJ157" s="776"/>
      <c r="AK157" s="784"/>
      <c r="AL157" s="774"/>
      <c r="AM157" s="776"/>
      <c r="AN157" s="784"/>
      <c r="AO157" s="774"/>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53" t="s">
        <v>144</v>
      </c>
      <c r="C158" s="777" t="s">
        <v>119</v>
      </c>
      <c r="D158" s="778">
        <v>0.98764300072858591</v>
      </c>
      <c r="E158" s="789">
        <v>1389119.8805247562</v>
      </c>
      <c r="F158" s="777" t="s">
        <v>119</v>
      </c>
      <c r="G158" s="778">
        <v>1.3407471595537754</v>
      </c>
      <c r="H158" s="789">
        <v>106187.17503665901</v>
      </c>
      <c r="I158" s="777" t="s">
        <v>119</v>
      </c>
      <c r="J158" s="778">
        <v>1.0941234401103597</v>
      </c>
      <c r="K158" s="789">
        <v>104160.55149850625</v>
      </c>
      <c r="L158" s="777" t="s">
        <v>119</v>
      </c>
      <c r="M158" s="778">
        <v>1.0646895568737462</v>
      </c>
      <c r="N158" s="789">
        <v>108598.33480112211</v>
      </c>
      <c r="O158" s="777" t="s">
        <v>119</v>
      </c>
      <c r="P158" s="778">
        <v>1.0734529933310657</v>
      </c>
      <c r="Q158" s="789">
        <v>117757.7933684179</v>
      </c>
      <c r="R158" s="777" t="s">
        <v>119</v>
      </c>
      <c r="S158" s="778">
        <v>0.88831241888778634</v>
      </c>
      <c r="T158" s="789">
        <v>134756.99394527718</v>
      </c>
      <c r="U158" s="777" t="s">
        <v>119</v>
      </c>
      <c r="V158" s="778">
        <v>0.85783311479655711</v>
      </c>
      <c r="W158" s="789">
        <v>122069.65223555008</v>
      </c>
      <c r="X158" s="777" t="s">
        <v>119</v>
      </c>
      <c r="Y158" s="778">
        <v>0.89940554489964275</v>
      </c>
      <c r="Z158" s="789">
        <v>115753.49362858402</v>
      </c>
      <c r="AA158" s="777" t="s">
        <v>119</v>
      </c>
      <c r="AB158" s="778">
        <v>1.0422830486161661</v>
      </c>
      <c r="AC158" s="789">
        <v>118611.81093251969</v>
      </c>
      <c r="AD158" s="777" t="s">
        <v>119</v>
      </c>
      <c r="AE158" s="778">
        <v>1.1758209244728102</v>
      </c>
      <c r="AF158" s="789">
        <v>107117.286219473</v>
      </c>
      <c r="AG158" s="777" t="s">
        <v>119</v>
      </c>
      <c r="AH158" s="778">
        <v>0.84114201535650557</v>
      </c>
      <c r="AI158" s="789">
        <v>133489.23783707744</v>
      </c>
      <c r="AJ158" s="777" t="s">
        <v>119</v>
      </c>
      <c r="AK158" s="778">
        <v>0.88947556751854395</v>
      </c>
      <c r="AL158" s="789">
        <v>118122.35536646264</v>
      </c>
      <c r="AM158" s="777" t="s">
        <v>119</v>
      </c>
      <c r="AN158" s="778">
        <v>1.0117985750750942</v>
      </c>
      <c r="AO158" s="789">
        <v>102495.19565510705</v>
      </c>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747" t="s">
        <v>158</v>
      </c>
      <c r="C159" s="803"/>
      <c r="D159" s="813"/>
      <c r="E159" s="758">
        <v>0</v>
      </c>
      <c r="F159" s="803"/>
      <c r="G159" s="813"/>
      <c r="H159" s="771">
        <v>0</v>
      </c>
      <c r="I159" s="803"/>
      <c r="J159" s="813"/>
      <c r="K159" s="771">
        <v>0</v>
      </c>
      <c r="L159" s="803"/>
      <c r="M159" s="813"/>
      <c r="N159" s="771">
        <v>0</v>
      </c>
      <c r="O159" s="803"/>
      <c r="P159" s="813"/>
      <c r="Q159" s="771">
        <v>0</v>
      </c>
      <c r="R159" s="803"/>
      <c r="S159" s="813"/>
      <c r="T159" s="771">
        <v>0</v>
      </c>
      <c r="U159" s="803"/>
      <c r="V159" s="813"/>
      <c r="W159" s="771">
        <v>0</v>
      </c>
      <c r="X159" s="803"/>
      <c r="Y159" s="813"/>
      <c r="Z159" s="771">
        <v>0</v>
      </c>
      <c r="AA159" s="803"/>
      <c r="AB159" s="813"/>
      <c r="AC159" s="771">
        <v>0</v>
      </c>
      <c r="AD159" s="803"/>
      <c r="AE159" s="813"/>
      <c r="AF159" s="771">
        <v>0</v>
      </c>
      <c r="AG159" s="803"/>
      <c r="AH159" s="813"/>
      <c r="AI159" s="771">
        <v>0</v>
      </c>
      <c r="AJ159" s="803"/>
      <c r="AK159" s="813"/>
      <c r="AL159" s="771">
        <v>0</v>
      </c>
      <c r="AM159" s="803"/>
      <c r="AN159" s="813"/>
      <c r="AO159" s="771">
        <v>0</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747" t="s">
        <v>159</v>
      </c>
      <c r="C160" s="803"/>
      <c r="D160" s="813"/>
      <c r="E160" s="758">
        <v>0</v>
      </c>
      <c r="F160" s="803"/>
      <c r="G160" s="813"/>
      <c r="H160" s="771">
        <v>0</v>
      </c>
      <c r="I160" s="803"/>
      <c r="J160" s="813"/>
      <c r="K160" s="771">
        <v>0</v>
      </c>
      <c r="L160" s="803"/>
      <c r="M160" s="813"/>
      <c r="N160" s="771">
        <v>0</v>
      </c>
      <c r="O160" s="803"/>
      <c r="P160" s="813"/>
      <c r="Q160" s="771">
        <v>0</v>
      </c>
      <c r="R160" s="803"/>
      <c r="S160" s="813"/>
      <c r="T160" s="771">
        <v>0</v>
      </c>
      <c r="U160" s="803"/>
      <c r="V160" s="813"/>
      <c r="W160" s="771">
        <v>0</v>
      </c>
      <c r="X160" s="803"/>
      <c r="Y160" s="813"/>
      <c r="Z160" s="771">
        <v>0</v>
      </c>
      <c r="AA160" s="803"/>
      <c r="AB160" s="813"/>
      <c r="AC160" s="771">
        <v>0</v>
      </c>
      <c r="AD160" s="803"/>
      <c r="AE160" s="813"/>
      <c r="AF160" s="771">
        <v>0</v>
      </c>
      <c r="AG160" s="803"/>
      <c r="AH160" s="813"/>
      <c r="AI160" s="771">
        <v>0</v>
      </c>
      <c r="AJ160" s="803"/>
      <c r="AK160" s="813"/>
      <c r="AL160" s="771">
        <v>0</v>
      </c>
      <c r="AM160" s="803"/>
      <c r="AN160" s="813"/>
      <c r="AO160" s="771">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747" t="s">
        <v>160</v>
      </c>
      <c r="C161" s="747"/>
      <c r="D161" s="757"/>
      <c r="E161" s="758">
        <v>0</v>
      </c>
      <c r="F161" s="747"/>
      <c r="G161" s="757"/>
      <c r="H161" s="771">
        <v>0</v>
      </c>
      <c r="I161" s="747"/>
      <c r="J161" s="757"/>
      <c r="K161" s="771">
        <v>0</v>
      </c>
      <c r="L161" s="747"/>
      <c r="M161" s="757"/>
      <c r="N161" s="771">
        <v>0</v>
      </c>
      <c r="O161" s="747"/>
      <c r="P161" s="757"/>
      <c r="Q161" s="771">
        <v>0</v>
      </c>
      <c r="R161" s="747"/>
      <c r="S161" s="757"/>
      <c r="T161" s="771">
        <v>0</v>
      </c>
      <c r="U161" s="747"/>
      <c r="V161" s="757"/>
      <c r="W161" s="771">
        <v>0</v>
      </c>
      <c r="X161" s="747"/>
      <c r="Y161" s="757"/>
      <c r="Z161" s="771">
        <v>0</v>
      </c>
      <c r="AA161" s="747"/>
      <c r="AB161" s="757"/>
      <c r="AC161" s="771">
        <v>0</v>
      </c>
      <c r="AD161" s="747"/>
      <c r="AE161" s="757"/>
      <c r="AF161" s="771">
        <v>0</v>
      </c>
      <c r="AG161" s="747"/>
      <c r="AH161" s="757"/>
      <c r="AI161" s="771">
        <v>0</v>
      </c>
      <c r="AJ161" s="747"/>
      <c r="AK161" s="757"/>
      <c r="AL161" s="771">
        <v>0</v>
      </c>
      <c r="AM161" s="747"/>
      <c r="AN161" s="757"/>
      <c r="AO161" s="771">
        <v>0</v>
      </c>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747" t="s">
        <v>59</v>
      </c>
      <c r="C162" s="747"/>
      <c r="D162" s="757"/>
      <c r="E162" s="758">
        <v>0</v>
      </c>
      <c r="F162" s="747"/>
      <c r="G162" s="757"/>
      <c r="H162" s="771">
        <v>0</v>
      </c>
      <c r="I162" s="747"/>
      <c r="J162" s="757"/>
      <c r="K162" s="771">
        <v>0</v>
      </c>
      <c r="L162" s="747"/>
      <c r="M162" s="757"/>
      <c r="N162" s="771">
        <v>0</v>
      </c>
      <c r="O162" s="747"/>
      <c r="P162" s="757"/>
      <c r="Q162" s="771">
        <v>0</v>
      </c>
      <c r="R162" s="747"/>
      <c r="S162" s="757"/>
      <c r="T162" s="771">
        <v>0</v>
      </c>
      <c r="U162" s="747"/>
      <c r="V162" s="757"/>
      <c r="W162" s="771">
        <v>0</v>
      </c>
      <c r="X162" s="747"/>
      <c r="Y162" s="757"/>
      <c r="Z162" s="771">
        <v>0</v>
      </c>
      <c r="AA162" s="747"/>
      <c r="AB162" s="757"/>
      <c r="AC162" s="771">
        <v>0</v>
      </c>
      <c r="AD162" s="747"/>
      <c r="AE162" s="757"/>
      <c r="AF162" s="771">
        <v>0</v>
      </c>
      <c r="AG162" s="747"/>
      <c r="AH162" s="757"/>
      <c r="AI162" s="771">
        <v>0</v>
      </c>
      <c r="AJ162" s="747"/>
      <c r="AK162" s="757"/>
      <c r="AL162" s="771">
        <v>0</v>
      </c>
      <c r="AM162" s="747"/>
      <c r="AN162" s="757"/>
      <c r="AO162" s="771">
        <v>0</v>
      </c>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747" t="s">
        <v>59</v>
      </c>
      <c r="C163" s="747"/>
      <c r="D163" s="757"/>
      <c r="E163" s="758">
        <v>0</v>
      </c>
      <c r="F163" s="747"/>
      <c r="G163" s="757"/>
      <c r="H163" s="771">
        <v>0</v>
      </c>
      <c r="I163" s="747"/>
      <c r="J163" s="757"/>
      <c r="K163" s="771">
        <v>0</v>
      </c>
      <c r="L163" s="747"/>
      <c r="M163" s="757"/>
      <c r="N163" s="771">
        <v>0</v>
      </c>
      <c r="O163" s="747"/>
      <c r="P163" s="757"/>
      <c r="Q163" s="771">
        <v>0</v>
      </c>
      <c r="R163" s="747"/>
      <c r="S163" s="757"/>
      <c r="T163" s="771">
        <v>0</v>
      </c>
      <c r="U163" s="747"/>
      <c r="V163" s="757"/>
      <c r="W163" s="771">
        <v>0</v>
      </c>
      <c r="X163" s="747"/>
      <c r="Y163" s="757"/>
      <c r="Z163" s="771">
        <v>0</v>
      </c>
      <c r="AA163" s="747"/>
      <c r="AB163" s="757"/>
      <c r="AC163" s="771">
        <v>0</v>
      </c>
      <c r="AD163" s="747"/>
      <c r="AE163" s="757"/>
      <c r="AF163" s="771">
        <v>0</v>
      </c>
      <c r="AG163" s="747"/>
      <c r="AH163" s="757"/>
      <c r="AI163" s="771">
        <v>0</v>
      </c>
      <c r="AJ163" s="747"/>
      <c r="AK163" s="757"/>
      <c r="AL163" s="771">
        <v>0</v>
      </c>
      <c r="AM163" s="747"/>
      <c r="AN163" s="757"/>
      <c r="AO163" s="771">
        <v>0</v>
      </c>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747" t="s">
        <v>59</v>
      </c>
      <c r="C164" s="747"/>
      <c r="D164" s="757"/>
      <c r="E164" s="758">
        <v>0</v>
      </c>
      <c r="F164" s="747"/>
      <c r="G164" s="757"/>
      <c r="H164" s="771">
        <v>0</v>
      </c>
      <c r="I164" s="747"/>
      <c r="J164" s="757"/>
      <c r="K164" s="771">
        <v>0</v>
      </c>
      <c r="L164" s="747"/>
      <c r="M164" s="757"/>
      <c r="N164" s="771">
        <v>0</v>
      </c>
      <c r="O164" s="747"/>
      <c r="P164" s="757"/>
      <c r="Q164" s="771">
        <v>0</v>
      </c>
      <c r="R164" s="747"/>
      <c r="S164" s="757"/>
      <c r="T164" s="771">
        <v>0</v>
      </c>
      <c r="U164" s="747"/>
      <c r="V164" s="757"/>
      <c r="W164" s="771">
        <v>0</v>
      </c>
      <c r="X164" s="747"/>
      <c r="Y164" s="757"/>
      <c r="Z164" s="771">
        <v>0</v>
      </c>
      <c r="AA164" s="747"/>
      <c r="AB164" s="757"/>
      <c r="AC164" s="771">
        <v>0</v>
      </c>
      <c r="AD164" s="747"/>
      <c r="AE164" s="757"/>
      <c r="AF164" s="771">
        <v>0</v>
      </c>
      <c r="AG164" s="747"/>
      <c r="AH164" s="757"/>
      <c r="AI164" s="771">
        <v>0</v>
      </c>
      <c r="AJ164" s="747"/>
      <c r="AK164" s="757"/>
      <c r="AL164" s="771">
        <v>0</v>
      </c>
      <c r="AM164" s="747"/>
      <c r="AN164" s="757"/>
      <c r="AO164" s="771">
        <v>0</v>
      </c>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776" t="s">
        <v>149</v>
      </c>
      <c r="C165" s="776"/>
      <c r="D165" s="784"/>
      <c r="E165" s="774">
        <v>140627.54999999999</v>
      </c>
      <c r="F165" s="776"/>
      <c r="G165" s="784"/>
      <c r="H165" s="775">
        <v>7960.0499999999993</v>
      </c>
      <c r="I165" s="776"/>
      <c r="J165" s="784"/>
      <c r="K165" s="775">
        <v>9476.25</v>
      </c>
      <c r="L165" s="776"/>
      <c r="M165" s="784"/>
      <c r="N165" s="775">
        <v>10234.35</v>
      </c>
      <c r="O165" s="776"/>
      <c r="P165" s="784"/>
      <c r="Q165" s="775">
        <v>10992.449999999999</v>
      </c>
      <c r="R165" s="776"/>
      <c r="S165" s="784"/>
      <c r="T165" s="775">
        <v>15162</v>
      </c>
      <c r="U165" s="776"/>
      <c r="V165" s="784"/>
      <c r="W165" s="775">
        <v>14403.9</v>
      </c>
      <c r="X165" s="776"/>
      <c r="Y165" s="784"/>
      <c r="Z165" s="775">
        <v>12887.699999999999</v>
      </c>
      <c r="AA165" s="776"/>
      <c r="AB165" s="784"/>
      <c r="AC165" s="775">
        <v>11371.5</v>
      </c>
      <c r="AD165" s="776"/>
      <c r="AE165" s="784"/>
      <c r="AF165" s="775">
        <v>9097.1999999999989</v>
      </c>
      <c r="AG165" s="776"/>
      <c r="AH165" s="784"/>
      <c r="AI165" s="775">
        <v>15920.099999999999</v>
      </c>
      <c r="AJ165" s="776"/>
      <c r="AK165" s="784"/>
      <c r="AL165" s="775">
        <v>13266.75</v>
      </c>
      <c r="AM165" s="776"/>
      <c r="AN165" s="784"/>
      <c r="AO165" s="775">
        <v>9855.2999999999993</v>
      </c>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53" t="s">
        <v>150</v>
      </c>
      <c r="C166" s="814"/>
      <c r="D166" s="815"/>
      <c r="E166" s="789">
        <v>140627.54999999999</v>
      </c>
      <c r="F166" s="814"/>
      <c r="G166" s="815"/>
      <c r="H166" s="789">
        <v>7960.0499999999993</v>
      </c>
      <c r="I166" s="814"/>
      <c r="J166" s="815"/>
      <c r="K166" s="789">
        <v>9476.25</v>
      </c>
      <c r="L166" s="814"/>
      <c r="M166" s="815"/>
      <c r="N166" s="789">
        <v>10234.35</v>
      </c>
      <c r="O166" s="814"/>
      <c r="P166" s="815"/>
      <c r="Q166" s="789">
        <v>10992.449999999999</v>
      </c>
      <c r="R166" s="814"/>
      <c r="S166" s="815"/>
      <c r="T166" s="789">
        <v>15162</v>
      </c>
      <c r="U166" s="814"/>
      <c r="V166" s="815"/>
      <c r="W166" s="789">
        <v>14403.9</v>
      </c>
      <c r="X166" s="814"/>
      <c r="Y166" s="815"/>
      <c r="Z166" s="789">
        <v>12887.699999999999</v>
      </c>
      <c r="AA166" s="814"/>
      <c r="AB166" s="815"/>
      <c r="AC166" s="789">
        <v>11371.5</v>
      </c>
      <c r="AD166" s="814"/>
      <c r="AE166" s="815"/>
      <c r="AF166" s="789">
        <v>9097.1999999999989</v>
      </c>
      <c r="AG166" s="814"/>
      <c r="AH166" s="815"/>
      <c r="AI166" s="789">
        <v>15920.099999999999</v>
      </c>
      <c r="AJ166" s="814"/>
      <c r="AK166" s="815"/>
      <c r="AL166" s="789">
        <v>13266.75</v>
      </c>
      <c r="AM166" s="814"/>
      <c r="AN166" s="815"/>
      <c r="AO166" s="789">
        <v>9855.2999999999993</v>
      </c>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44"/>
      <c r="C167" s="747"/>
      <c r="D167" s="757"/>
      <c r="E167" s="758"/>
      <c r="F167" s="747"/>
      <c r="G167" s="757"/>
      <c r="H167" s="758"/>
      <c r="I167" s="747"/>
      <c r="J167" s="757"/>
      <c r="K167" s="758"/>
      <c r="L167" s="747"/>
      <c r="M167" s="757"/>
      <c r="N167" s="758"/>
      <c r="O167" s="747"/>
      <c r="P167" s="757"/>
      <c r="Q167" s="758"/>
      <c r="R167" s="747"/>
      <c r="S167" s="757"/>
      <c r="T167" s="758"/>
      <c r="U167" s="747"/>
      <c r="V167" s="757"/>
      <c r="W167" s="758"/>
      <c r="X167" s="747"/>
      <c r="Y167" s="757"/>
      <c r="Z167" s="758"/>
      <c r="AA167" s="747"/>
      <c r="AB167" s="757"/>
      <c r="AC167" s="758"/>
      <c r="AD167" s="747"/>
      <c r="AE167" s="757"/>
      <c r="AF167" s="758"/>
      <c r="AG167" s="747"/>
      <c r="AH167" s="757"/>
      <c r="AI167" s="758"/>
      <c r="AJ167" s="747"/>
      <c r="AK167" s="757"/>
      <c r="AL167" s="758"/>
      <c r="AM167" s="747"/>
      <c r="AN167" s="757"/>
      <c r="AO167" s="758"/>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c r="A168" s="39" t="str">
        <f t="shared" si="1"/>
        <v>Véhicules usagésPROFIT DÉPARTEMENTAL</v>
      </c>
      <c r="B168" s="57" t="s">
        <v>151</v>
      </c>
      <c r="C168" s="816"/>
      <c r="D168" s="817"/>
      <c r="E168" s="798">
        <v>158007.66947524383</v>
      </c>
      <c r="F168" s="816"/>
      <c r="G168" s="817"/>
      <c r="H168" s="798">
        <v>-19027.125036659014</v>
      </c>
      <c r="I168" s="816"/>
      <c r="J168" s="817"/>
      <c r="K168" s="798">
        <v>515.6985014937527</v>
      </c>
      <c r="L168" s="816"/>
      <c r="M168" s="817"/>
      <c r="N168" s="798">
        <v>3636.0151988778907</v>
      </c>
      <c r="O168" s="816"/>
      <c r="P168" s="817"/>
      <c r="Q168" s="798">
        <v>2934.6566315820983</v>
      </c>
      <c r="R168" s="816"/>
      <c r="S168" s="817"/>
      <c r="T168" s="798">
        <v>32105.00605472282</v>
      </c>
      <c r="U168" s="816"/>
      <c r="V168" s="817"/>
      <c r="W168" s="798">
        <v>34634.247764449923</v>
      </c>
      <c r="X168" s="816"/>
      <c r="Y168" s="817"/>
      <c r="Z168" s="798">
        <v>25834.206371415974</v>
      </c>
      <c r="AA168" s="816"/>
      <c r="AB168" s="817"/>
      <c r="AC168" s="798">
        <v>6559.6890674803144</v>
      </c>
      <c r="AD168" s="816"/>
      <c r="AE168" s="817"/>
      <c r="AF168" s="798">
        <v>-6920.086219472998</v>
      </c>
      <c r="AG168" s="816"/>
      <c r="AH168" s="817"/>
      <c r="AI168" s="798">
        <v>41130.86216292256</v>
      </c>
      <c r="AJ168" s="816"/>
      <c r="AK168" s="817"/>
      <c r="AL168" s="798">
        <v>27944.394633537362</v>
      </c>
      <c r="AM168" s="816"/>
      <c r="AN168" s="817"/>
      <c r="AO168" s="798">
        <v>8660.1043448929522</v>
      </c>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0"/>
      <c r="C169" s="801"/>
      <c r="D169" s="801"/>
      <c r="E169" s="818"/>
      <c r="F169" s="801"/>
      <c r="G169" s="801"/>
      <c r="H169" s="818"/>
      <c r="I169" s="801"/>
      <c r="J169" s="801"/>
      <c r="K169" s="818"/>
      <c r="L169" s="801"/>
      <c r="M169" s="801"/>
      <c r="N169" s="818"/>
      <c r="O169" s="801"/>
      <c r="P169" s="801"/>
      <c r="Q169" s="818"/>
      <c r="R169" s="801"/>
      <c r="S169" s="801"/>
      <c r="T169" s="818"/>
      <c r="U169" s="801"/>
      <c r="V169" s="801"/>
      <c r="W169" s="818"/>
      <c r="X169" s="801"/>
      <c r="Y169" s="801"/>
      <c r="Z169" s="818"/>
      <c r="AA169" s="801"/>
      <c r="AB169" s="801"/>
      <c r="AC169" s="818"/>
      <c r="AD169" s="801"/>
      <c r="AE169" s="801"/>
      <c r="AF169" s="818"/>
      <c r="AG169" s="801"/>
      <c r="AH169" s="801"/>
      <c r="AI169" s="818"/>
      <c r="AJ169" s="801"/>
      <c r="AK169" s="801"/>
      <c r="AL169" s="818"/>
      <c r="AM169" s="801"/>
      <c r="AN169" s="801"/>
      <c r="AO169" s="818"/>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0"/>
      <c r="C170" s="801"/>
      <c r="D170" s="801"/>
      <c r="E170" s="801"/>
      <c r="F170" s="801"/>
      <c r="G170" s="801"/>
      <c r="H170" s="801"/>
      <c r="I170" s="801"/>
      <c r="J170" s="801"/>
      <c r="K170" s="801"/>
      <c r="L170" s="801"/>
      <c r="M170" s="801"/>
      <c r="N170" s="801"/>
      <c r="O170" s="801"/>
      <c r="P170" s="801"/>
      <c r="Q170" s="801"/>
      <c r="R170" s="801"/>
      <c r="S170" s="801"/>
      <c r="T170" s="801"/>
      <c r="U170" s="801"/>
      <c r="V170" s="801"/>
      <c r="W170" s="801"/>
      <c r="X170" s="801"/>
      <c r="Y170" s="801"/>
      <c r="Z170" s="801"/>
      <c r="AA170" s="801"/>
      <c r="AB170" s="801"/>
      <c r="AC170" s="801"/>
      <c r="AD170" s="801"/>
      <c r="AE170" s="801"/>
      <c r="AF170" s="801"/>
      <c r="AG170" s="801"/>
      <c r="AH170" s="801"/>
      <c r="AI170" s="801"/>
      <c r="AJ170" s="801"/>
      <c r="AK170" s="801"/>
      <c r="AL170" s="801"/>
      <c r="AM170" s="801"/>
      <c r="AN170" s="801"/>
      <c r="AO170" s="801"/>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61" t="s">
        <v>3935</v>
      </c>
      <c r="C171" s="802" t="s">
        <v>161</v>
      </c>
      <c r="D171" s="802"/>
      <c r="E171" s="802"/>
      <c r="F171" s="802"/>
      <c r="G171" s="802"/>
      <c r="H171" s="802"/>
      <c r="I171" s="802"/>
      <c r="J171" s="802"/>
      <c r="K171" s="802"/>
      <c r="L171" s="802"/>
      <c r="M171" s="802"/>
      <c r="N171" s="802"/>
      <c r="O171" s="802"/>
      <c r="P171" s="802"/>
      <c r="Q171" s="802"/>
      <c r="R171" s="802"/>
      <c r="S171" s="802"/>
      <c r="T171" s="802"/>
      <c r="U171" s="802"/>
      <c r="V171" s="802"/>
      <c r="W171" s="802"/>
      <c r="X171" s="802"/>
      <c r="Y171" s="802"/>
      <c r="Z171" s="802"/>
      <c r="AA171" s="802"/>
      <c r="AB171" s="802"/>
      <c r="AC171" s="802"/>
      <c r="AD171" s="802"/>
      <c r="AE171" s="802"/>
      <c r="AF171" s="802"/>
      <c r="AG171" s="802"/>
      <c r="AH171" s="802"/>
      <c r="AI171" s="802"/>
      <c r="AJ171" s="802"/>
      <c r="AK171" s="802"/>
      <c r="AL171" s="802"/>
      <c r="AM171" s="802"/>
      <c r="AN171" s="802"/>
      <c r="AO171" s="802"/>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c r="A172" s="39"/>
      <c r="B172" s="62"/>
      <c r="C172" s="801"/>
      <c r="D172" s="801"/>
      <c r="E172" s="801"/>
      <c r="F172" s="801"/>
      <c r="G172" s="801"/>
      <c r="H172" s="801"/>
      <c r="I172" s="801"/>
      <c r="J172" s="801"/>
      <c r="K172" s="801"/>
      <c r="L172" s="801"/>
      <c r="M172" s="801"/>
      <c r="N172" s="801"/>
      <c r="O172" s="801"/>
      <c r="P172" s="801"/>
      <c r="Q172" s="801"/>
      <c r="R172" s="801"/>
      <c r="S172" s="801"/>
      <c r="T172" s="801"/>
      <c r="U172" s="801"/>
      <c r="V172" s="801"/>
      <c r="W172" s="801"/>
      <c r="X172" s="801"/>
      <c r="Y172" s="801"/>
      <c r="Z172" s="801"/>
      <c r="AA172" s="801"/>
      <c r="AB172" s="801"/>
      <c r="AC172" s="801"/>
      <c r="AD172" s="801"/>
      <c r="AE172" s="801"/>
      <c r="AF172" s="801"/>
      <c r="AG172" s="801"/>
      <c r="AH172" s="801"/>
      <c r="AI172" s="801"/>
      <c r="AJ172" s="801"/>
      <c r="AK172" s="801"/>
      <c r="AL172" s="801"/>
      <c r="AM172" s="801"/>
      <c r="AN172" s="801"/>
      <c r="AO172" s="801"/>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c r="A173" s="39"/>
      <c r="B173" s="40" t="s">
        <v>3</v>
      </c>
      <c r="C173" s="969">
        <v>2025</v>
      </c>
      <c r="D173" s="970"/>
      <c r="E173" s="971"/>
      <c r="F173" s="729" t="s">
        <v>8</v>
      </c>
      <c r="G173" s="730"/>
      <c r="H173" s="731"/>
      <c r="I173" s="729" t="s">
        <v>10</v>
      </c>
      <c r="J173" s="730"/>
      <c r="K173" s="731"/>
      <c r="L173" s="729" t="s">
        <v>11</v>
      </c>
      <c r="M173" s="730"/>
      <c r="N173" s="731"/>
      <c r="O173" s="729" t="s">
        <v>12</v>
      </c>
      <c r="P173" s="730"/>
      <c r="Q173" s="731"/>
      <c r="R173" s="729" t="s">
        <v>13</v>
      </c>
      <c r="S173" s="730"/>
      <c r="T173" s="731"/>
      <c r="U173" s="729" t="s">
        <v>14</v>
      </c>
      <c r="V173" s="730"/>
      <c r="W173" s="731"/>
      <c r="X173" s="729" t="s">
        <v>16</v>
      </c>
      <c r="Y173" s="730"/>
      <c r="Z173" s="731"/>
      <c r="AA173" s="729" t="s">
        <v>18</v>
      </c>
      <c r="AB173" s="730"/>
      <c r="AC173" s="731"/>
      <c r="AD173" s="729" t="s">
        <v>20</v>
      </c>
      <c r="AE173" s="730"/>
      <c r="AF173" s="731"/>
      <c r="AG173" s="729" t="s">
        <v>22</v>
      </c>
      <c r="AH173" s="730"/>
      <c r="AI173" s="731"/>
      <c r="AJ173" s="729" t="s">
        <v>23</v>
      </c>
      <c r="AK173" s="730"/>
      <c r="AL173" s="731"/>
      <c r="AM173" s="729" t="s">
        <v>6</v>
      </c>
      <c r="AN173" s="730"/>
      <c r="AO173" s="731"/>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20" si="2">+$C$171&amp;B174</f>
        <v>Service</v>
      </c>
      <c r="B174" s="44"/>
      <c r="C174" s="803" t="s">
        <v>162</v>
      </c>
      <c r="D174" s="768" t="s">
        <v>163</v>
      </c>
      <c r="E174" s="804" t="s">
        <v>95</v>
      </c>
      <c r="F174" s="803" t="s">
        <v>162</v>
      </c>
      <c r="G174" s="768" t="s">
        <v>163</v>
      </c>
      <c r="H174" s="804" t="s">
        <v>95</v>
      </c>
      <c r="I174" s="803" t="s">
        <v>162</v>
      </c>
      <c r="J174" s="768" t="s">
        <v>163</v>
      </c>
      <c r="K174" s="804" t="s">
        <v>95</v>
      </c>
      <c r="L174" s="803" t="s">
        <v>162</v>
      </c>
      <c r="M174" s="768" t="s">
        <v>163</v>
      </c>
      <c r="N174" s="804" t="s">
        <v>95</v>
      </c>
      <c r="O174" s="803" t="s">
        <v>162</v>
      </c>
      <c r="P174" s="768" t="s">
        <v>163</v>
      </c>
      <c r="Q174" s="804" t="s">
        <v>95</v>
      </c>
      <c r="R174" s="803" t="s">
        <v>162</v>
      </c>
      <c r="S174" s="768" t="s">
        <v>163</v>
      </c>
      <c r="T174" s="804" t="s">
        <v>95</v>
      </c>
      <c r="U174" s="803" t="s">
        <v>162</v>
      </c>
      <c r="V174" s="768" t="s">
        <v>163</v>
      </c>
      <c r="W174" s="804" t="s">
        <v>95</v>
      </c>
      <c r="X174" s="803" t="s">
        <v>162</v>
      </c>
      <c r="Y174" s="768" t="s">
        <v>163</v>
      </c>
      <c r="Z174" s="804" t="s">
        <v>95</v>
      </c>
      <c r="AA174" s="803" t="s">
        <v>162</v>
      </c>
      <c r="AB174" s="768" t="s">
        <v>163</v>
      </c>
      <c r="AC174" s="804" t="s">
        <v>95</v>
      </c>
      <c r="AD174" s="803" t="s">
        <v>162</v>
      </c>
      <c r="AE174" s="768" t="s">
        <v>163</v>
      </c>
      <c r="AF174" s="804" t="s">
        <v>95</v>
      </c>
      <c r="AG174" s="803" t="s">
        <v>162</v>
      </c>
      <c r="AH174" s="768" t="s">
        <v>163</v>
      </c>
      <c r="AI174" s="804" t="s">
        <v>95</v>
      </c>
      <c r="AJ174" s="803" t="s">
        <v>162</v>
      </c>
      <c r="AK174" s="768" t="s">
        <v>163</v>
      </c>
      <c r="AL174" s="804" t="s">
        <v>95</v>
      </c>
      <c r="AM174" s="803" t="s">
        <v>162</v>
      </c>
      <c r="AN174" s="768" t="s">
        <v>163</v>
      </c>
      <c r="AO174" s="804" t="s">
        <v>95</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44" t="s">
        <v>164</v>
      </c>
      <c r="C175" s="819">
        <v>5996</v>
      </c>
      <c r="D175" s="770">
        <v>2038640</v>
      </c>
      <c r="E175" s="758">
        <v>1590139.2000000002</v>
      </c>
      <c r="F175" s="820">
        <v>329.78000000000003</v>
      </c>
      <c r="G175" s="821">
        <v>112125.2</v>
      </c>
      <c r="H175" s="771">
        <v>87457.656000000003</v>
      </c>
      <c r="I175" s="820">
        <v>293.80400000000003</v>
      </c>
      <c r="J175" s="821">
        <v>99893.36</v>
      </c>
      <c r="K175" s="771">
        <v>77916.820800000001</v>
      </c>
      <c r="L175" s="820">
        <v>359.76</v>
      </c>
      <c r="M175" s="821">
        <v>122318.39999999999</v>
      </c>
      <c r="N175" s="771">
        <v>95408.351999999999</v>
      </c>
      <c r="O175" s="820">
        <v>653.56399999999996</v>
      </c>
      <c r="P175" s="821">
        <v>222211.76</v>
      </c>
      <c r="Q175" s="771">
        <v>173325.1728</v>
      </c>
      <c r="R175" s="820">
        <v>641.572</v>
      </c>
      <c r="S175" s="821">
        <v>218134.47999999998</v>
      </c>
      <c r="T175" s="771">
        <v>170144.89439999999</v>
      </c>
      <c r="U175" s="820">
        <v>419.72</v>
      </c>
      <c r="V175" s="821">
        <v>142704.80000000002</v>
      </c>
      <c r="W175" s="771">
        <v>111309.74400000002</v>
      </c>
      <c r="X175" s="820">
        <v>419.72</v>
      </c>
      <c r="Y175" s="821">
        <v>142704.80000000002</v>
      </c>
      <c r="Z175" s="771">
        <v>111309.74400000002</v>
      </c>
      <c r="AA175" s="820">
        <v>419.72</v>
      </c>
      <c r="AB175" s="821">
        <v>142704.80000000002</v>
      </c>
      <c r="AC175" s="771">
        <v>111309.74400000002</v>
      </c>
      <c r="AD175" s="820">
        <v>389.74</v>
      </c>
      <c r="AE175" s="821">
        <v>132511.6</v>
      </c>
      <c r="AF175" s="771">
        <v>103359.04800000001</v>
      </c>
      <c r="AG175" s="820">
        <v>659.56000000000006</v>
      </c>
      <c r="AH175" s="821">
        <v>224250.4</v>
      </c>
      <c r="AI175" s="771">
        <v>174915.31200000001</v>
      </c>
      <c r="AJ175" s="820">
        <v>959.36</v>
      </c>
      <c r="AK175" s="821">
        <v>326182.40000000002</v>
      </c>
      <c r="AL175" s="771">
        <v>254422.27200000003</v>
      </c>
      <c r="AM175" s="820">
        <v>449.7</v>
      </c>
      <c r="AN175" s="821">
        <v>152898</v>
      </c>
      <c r="AO175" s="771">
        <v>119260.44</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44" t="s">
        <v>165</v>
      </c>
      <c r="C176" s="819"/>
      <c r="D176" s="757"/>
      <c r="E176" s="822">
        <v>0.78000000000000014</v>
      </c>
      <c r="F176" s="819"/>
      <c r="G176" s="757"/>
      <c r="H176" s="822">
        <v>0.78</v>
      </c>
      <c r="I176" s="819"/>
      <c r="J176" s="757"/>
      <c r="K176" s="822">
        <v>0.78</v>
      </c>
      <c r="L176" s="819"/>
      <c r="M176" s="757"/>
      <c r="N176" s="822">
        <v>0.78</v>
      </c>
      <c r="O176" s="819"/>
      <c r="P176" s="757"/>
      <c r="Q176" s="822">
        <v>0.77999999999999992</v>
      </c>
      <c r="R176" s="819"/>
      <c r="S176" s="757"/>
      <c r="T176" s="822">
        <v>0.78</v>
      </c>
      <c r="U176" s="819"/>
      <c r="V176" s="757"/>
      <c r="W176" s="822">
        <v>0.78</v>
      </c>
      <c r="X176" s="819"/>
      <c r="Y176" s="757"/>
      <c r="Z176" s="822">
        <v>0.78</v>
      </c>
      <c r="AA176" s="819"/>
      <c r="AB176" s="757"/>
      <c r="AC176" s="822">
        <v>0.78</v>
      </c>
      <c r="AD176" s="819"/>
      <c r="AE176" s="757"/>
      <c r="AF176" s="822">
        <v>0.78</v>
      </c>
      <c r="AG176" s="819"/>
      <c r="AH176" s="757"/>
      <c r="AI176" s="822">
        <v>0.78</v>
      </c>
      <c r="AJ176" s="819"/>
      <c r="AK176" s="757"/>
      <c r="AL176" s="822">
        <v>0.78</v>
      </c>
      <c r="AM176" s="819"/>
      <c r="AN176" s="757"/>
      <c r="AO176" s="822">
        <v>0.78</v>
      </c>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43"/>
      <c r="C177" s="823"/>
      <c r="D177" s="824">
        <v>340</v>
      </c>
      <c r="E177" s="825"/>
      <c r="F177" s="823"/>
      <c r="G177" s="824">
        <v>339.99999999999994</v>
      </c>
      <c r="H177" s="825"/>
      <c r="I177" s="823"/>
      <c r="J177" s="824">
        <v>339.99999999999994</v>
      </c>
      <c r="K177" s="825"/>
      <c r="L177" s="823"/>
      <c r="M177" s="824">
        <v>340</v>
      </c>
      <c r="N177" s="825"/>
      <c r="O177" s="823"/>
      <c r="P177" s="824">
        <v>340.00000000000006</v>
      </c>
      <c r="Q177" s="825"/>
      <c r="R177" s="823"/>
      <c r="S177" s="824">
        <v>339.99999999999994</v>
      </c>
      <c r="T177" s="825"/>
      <c r="U177" s="823"/>
      <c r="V177" s="824">
        <v>340</v>
      </c>
      <c r="W177" s="825"/>
      <c r="X177" s="823"/>
      <c r="Y177" s="824">
        <v>340</v>
      </c>
      <c r="Z177" s="825"/>
      <c r="AA177" s="823"/>
      <c r="AB177" s="824">
        <v>340</v>
      </c>
      <c r="AC177" s="825"/>
      <c r="AD177" s="823"/>
      <c r="AE177" s="824">
        <v>340</v>
      </c>
      <c r="AF177" s="825"/>
      <c r="AG177" s="823"/>
      <c r="AH177" s="824">
        <v>339.99999999999994</v>
      </c>
      <c r="AI177" s="825"/>
      <c r="AJ177" s="823"/>
      <c r="AK177" s="824">
        <v>340</v>
      </c>
      <c r="AL177" s="825"/>
      <c r="AM177" s="823"/>
      <c r="AN177" s="824">
        <v>340</v>
      </c>
      <c r="AO177" s="825"/>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42" t="s">
        <v>166</v>
      </c>
      <c r="C178" s="826">
        <v>1369.9999999999998</v>
      </c>
      <c r="D178" s="827">
        <v>369899.99999999994</v>
      </c>
      <c r="E178" s="782">
        <v>236735.99999999997</v>
      </c>
      <c r="F178" s="828">
        <v>109.60000000000001</v>
      </c>
      <c r="G178" s="829">
        <v>29592</v>
      </c>
      <c r="H178" s="783">
        <v>18938.88</v>
      </c>
      <c r="I178" s="828">
        <v>79.460000000000008</v>
      </c>
      <c r="J178" s="829">
        <v>21454.2</v>
      </c>
      <c r="K178" s="783">
        <v>13730.688</v>
      </c>
      <c r="L178" s="828">
        <v>60.279999999999994</v>
      </c>
      <c r="M178" s="829">
        <v>16275.599999999999</v>
      </c>
      <c r="N178" s="783">
        <v>10416.384</v>
      </c>
      <c r="O178" s="828">
        <v>82.2</v>
      </c>
      <c r="P178" s="829">
        <v>22194</v>
      </c>
      <c r="Q178" s="783">
        <v>14204.16</v>
      </c>
      <c r="R178" s="828">
        <v>123.3</v>
      </c>
      <c r="S178" s="829">
        <v>33291</v>
      </c>
      <c r="T178" s="783">
        <v>21306.240000000002</v>
      </c>
      <c r="U178" s="828">
        <v>127.41</v>
      </c>
      <c r="V178" s="829">
        <v>34400.699999999997</v>
      </c>
      <c r="W178" s="783">
        <v>22016.448</v>
      </c>
      <c r="X178" s="828">
        <v>149.33000000000001</v>
      </c>
      <c r="Y178" s="829">
        <v>40319.1</v>
      </c>
      <c r="Z178" s="783">
        <v>25804.223999999998</v>
      </c>
      <c r="AA178" s="828">
        <v>150.69999999999999</v>
      </c>
      <c r="AB178" s="829">
        <v>40689</v>
      </c>
      <c r="AC178" s="783">
        <v>26040.959999999999</v>
      </c>
      <c r="AD178" s="828">
        <v>143.85</v>
      </c>
      <c r="AE178" s="829">
        <v>38839.5</v>
      </c>
      <c r="AF178" s="783">
        <v>24857.279999999999</v>
      </c>
      <c r="AG178" s="828">
        <v>149.33000000000001</v>
      </c>
      <c r="AH178" s="829">
        <v>40319.1</v>
      </c>
      <c r="AI178" s="783">
        <v>25804.223999999998</v>
      </c>
      <c r="AJ178" s="828">
        <v>113.71000000000001</v>
      </c>
      <c r="AK178" s="829">
        <v>30701.7</v>
      </c>
      <c r="AL178" s="783">
        <v>19649.088</v>
      </c>
      <c r="AM178" s="828">
        <v>80.83</v>
      </c>
      <c r="AN178" s="829">
        <v>21824.1</v>
      </c>
      <c r="AO178" s="783">
        <v>13967.423999999999</v>
      </c>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44" t="s">
        <v>165</v>
      </c>
      <c r="C179" s="747"/>
      <c r="D179" s="757"/>
      <c r="E179" s="822">
        <v>0.64</v>
      </c>
      <c r="F179" s="747"/>
      <c r="G179" s="757"/>
      <c r="H179" s="822">
        <v>0.64</v>
      </c>
      <c r="I179" s="747"/>
      <c r="J179" s="757"/>
      <c r="K179" s="822">
        <v>0.64</v>
      </c>
      <c r="L179" s="747"/>
      <c r="M179" s="757"/>
      <c r="N179" s="822">
        <v>0.64</v>
      </c>
      <c r="O179" s="747"/>
      <c r="P179" s="757"/>
      <c r="Q179" s="822">
        <v>0.64</v>
      </c>
      <c r="R179" s="747"/>
      <c r="S179" s="757"/>
      <c r="T179" s="822">
        <v>0.64</v>
      </c>
      <c r="U179" s="747"/>
      <c r="V179" s="757"/>
      <c r="W179" s="822">
        <v>0.64</v>
      </c>
      <c r="X179" s="747"/>
      <c r="Y179" s="757"/>
      <c r="Z179" s="822">
        <v>0.64</v>
      </c>
      <c r="AA179" s="747"/>
      <c r="AB179" s="757"/>
      <c r="AC179" s="822">
        <v>0.64</v>
      </c>
      <c r="AD179" s="747"/>
      <c r="AE179" s="757"/>
      <c r="AF179" s="822">
        <v>0.64</v>
      </c>
      <c r="AG179" s="747"/>
      <c r="AH179" s="757"/>
      <c r="AI179" s="822">
        <v>0.64</v>
      </c>
      <c r="AJ179" s="747"/>
      <c r="AK179" s="757"/>
      <c r="AL179" s="822">
        <v>0.64</v>
      </c>
      <c r="AM179" s="747"/>
      <c r="AN179" s="757"/>
      <c r="AO179" s="822">
        <v>0.64</v>
      </c>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43"/>
      <c r="C180" s="776"/>
      <c r="D180" s="824">
        <v>270</v>
      </c>
      <c r="E180" s="825"/>
      <c r="F180" s="776"/>
      <c r="G180" s="824">
        <v>270</v>
      </c>
      <c r="H180" s="825"/>
      <c r="I180" s="776"/>
      <c r="J180" s="824">
        <v>270</v>
      </c>
      <c r="K180" s="825"/>
      <c r="L180" s="776"/>
      <c r="M180" s="824">
        <v>270</v>
      </c>
      <c r="N180" s="825"/>
      <c r="O180" s="776"/>
      <c r="P180" s="824">
        <v>270</v>
      </c>
      <c r="Q180" s="825"/>
      <c r="R180" s="776"/>
      <c r="S180" s="824">
        <v>270</v>
      </c>
      <c r="T180" s="825"/>
      <c r="U180" s="776"/>
      <c r="V180" s="824">
        <v>270</v>
      </c>
      <c r="W180" s="825"/>
      <c r="X180" s="776"/>
      <c r="Y180" s="824">
        <v>269.99999999999994</v>
      </c>
      <c r="Z180" s="825"/>
      <c r="AA180" s="776"/>
      <c r="AB180" s="824">
        <v>270</v>
      </c>
      <c r="AC180" s="825"/>
      <c r="AD180" s="776"/>
      <c r="AE180" s="824">
        <v>270</v>
      </c>
      <c r="AF180" s="825"/>
      <c r="AG180" s="776"/>
      <c r="AH180" s="824">
        <v>269.99999999999994</v>
      </c>
      <c r="AI180" s="825"/>
      <c r="AJ180" s="776"/>
      <c r="AK180" s="824">
        <v>270</v>
      </c>
      <c r="AL180" s="825"/>
      <c r="AM180" s="776"/>
      <c r="AN180" s="824">
        <v>270</v>
      </c>
      <c r="AO180" s="825"/>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44" t="s">
        <v>167</v>
      </c>
      <c r="C181" s="819">
        <v>3023.0000000000005</v>
      </c>
      <c r="D181" s="770">
        <v>928121.46000000008</v>
      </c>
      <c r="E181" s="758">
        <v>686809.88040000002</v>
      </c>
      <c r="F181" s="820">
        <v>196.495</v>
      </c>
      <c r="G181" s="821">
        <v>60327.894899999999</v>
      </c>
      <c r="H181" s="771">
        <v>44642.642225999996</v>
      </c>
      <c r="I181" s="820">
        <v>205.56400000000002</v>
      </c>
      <c r="J181" s="821">
        <v>63112.259279999998</v>
      </c>
      <c r="K181" s="771">
        <v>46703.0718672</v>
      </c>
      <c r="L181" s="820">
        <v>226.72499999999999</v>
      </c>
      <c r="M181" s="821">
        <v>69609.109499999991</v>
      </c>
      <c r="N181" s="771">
        <v>51510.74102999999</v>
      </c>
      <c r="O181" s="820">
        <v>226.72499999999999</v>
      </c>
      <c r="P181" s="821">
        <v>69609.109499999991</v>
      </c>
      <c r="Q181" s="771">
        <v>51510.74102999999</v>
      </c>
      <c r="R181" s="820">
        <v>232.77099999999999</v>
      </c>
      <c r="S181" s="821">
        <v>71465.352419999996</v>
      </c>
      <c r="T181" s="771">
        <v>52884.360790799998</v>
      </c>
      <c r="U181" s="820">
        <v>272.07</v>
      </c>
      <c r="V181" s="821">
        <v>83530.931399999987</v>
      </c>
      <c r="W181" s="771">
        <v>61812.889235999988</v>
      </c>
      <c r="X181" s="820">
        <v>272.07</v>
      </c>
      <c r="Y181" s="821">
        <v>83530.931399999987</v>
      </c>
      <c r="Z181" s="771">
        <v>61812.889235999988</v>
      </c>
      <c r="AA181" s="820">
        <v>332.53000000000003</v>
      </c>
      <c r="AB181" s="821">
        <v>102093.3606</v>
      </c>
      <c r="AC181" s="771">
        <v>75549.086844000005</v>
      </c>
      <c r="AD181" s="820">
        <v>241.84</v>
      </c>
      <c r="AE181" s="821">
        <v>74249.716799999995</v>
      </c>
      <c r="AF181" s="771">
        <v>54944.790431999994</v>
      </c>
      <c r="AG181" s="820">
        <v>272.07</v>
      </c>
      <c r="AH181" s="821">
        <v>83530.931399999987</v>
      </c>
      <c r="AI181" s="771">
        <v>61812.889235999988</v>
      </c>
      <c r="AJ181" s="820">
        <v>332.53000000000003</v>
      </c>
      <c r="AK181" s="821">
        <v>102093.3606</v>
      </c>
      <c r="AL181" s="771">
        <v>75549.086844000005</v>
      </c>
      <c r="AM181" s="820">
        <v>211.61</v>
      </c>
      <c r="AN181" s="821">
        <v>64968.502200000003</v>
      </c>
      <c r="AO181" s="771">
        <v>48076.691628</v>
      </c>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44" t="s">
        <v>165</v>
      </c>
      <c r="C182" s="819"/>
      <c r="D182" s="830"/>
      <c r="E182" s="822">
        <v>0.74</v>
      </c>
      <c r="F182" s="819"/>
      <c r="G182" s="830"/>
      <c r="H182" s="822">
        <v>0.74</v>
      </c>
      <c r="I182" s="819"/>
      <c r="J182" s="830"/>
      <c r="K182" s="822">
        <v>0.74</v>
      </c>
      <c r="L182" s="819"/>
      <c r="M182" s="830"/>
      <c r="N182" s="822">
        <v>0.74</v>
      </c>
      <c r="O182" s="819"/>
      <c r="P182" s="830"/>
      <c r="Q182" s="822">
        <v>0.74</v>
      </c>
      <c r="R182" s="819"/>
      <c r="S182" s="830"/>
      <c r="T182" s="822">
        <v>0.74</v>
      </c>
      <c r="U182" s="819"/>
      <c r="V182" s="830"/>
      <c r="W182" s="822">
        <v>0.74</v>
      </c>
      <c r="X182" s="819"/>
      <c r="Y182" s="830"/>
      <c r="Z182" s="822">
        <v>0.74</v>
      </c>
      <c r="AA182" s="819"/>
      <c r="AB182" s="830"/>
      <c r="AC182" s="822">
        <v>0.7400000000000001</v>
      </c>
      <c r="AD182" s="819"/>
      <c r="AE182" s="830"/>
      <c r="AF182" s="822">
        <v>0.74</v>
      </c>
      <c r="AG182" s="819"/>
      <c r="AH182" s="830"/>
      <c r="AI182" s="822">
        <v>0.74</v>
      </c>
      <c r="AJ182" s="819"/>
      <c r="AK182" s="830"/>
      <c r="AL182" s="822">
        <v>0.7400000000000001</v>
      </c>
      <c r="AM182" s="819"/>
      <c r="AN182" s="830"/>
      <c r="AO182" s="822">
        <v>0.74</v>
      </c>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44"/>
      <c r="C183" s="819"/>
      <c r="D183" s="831">
        <v>307.02</v>
      </c>
      <c r="E183" s="822"/>
      <c r="F183" s="819"/>
      <c r="G183" s="831">
        <v>307.02</v>
      </c>
      <c r="H183" s="822"/>
      <c r="I183" s="819"/>
      <c r="J183" s="831">
        <v>307.02</v>
      </c>
      <c r="K183" s="822"/>
      <c r="L183" s="819"/>
      <c r="M183" s="831">
        <v>307.02</v>
      </c>
      <c r="N183" s="822"/>
      <c r="O183" s="819"/>
      <c r="P183" s="831">
        <v>307.02</v>
      </c>
      <c r="Q183" s="822"/>
      <c r="R183" s="819"/>
      <c r="S183" s="831">
        <v>307.02</v>
      </c>
      <c r="T183" s="822"/>
      <c r="U183" s="819"/>
      <c r="V183" s="831">
        <v>307.02</v>
      </c>
      <c r="W183" s="822"/>
      <c r="X183" s="819"/>
      <c r="Y183" s="831">
        <v>307.02</v>
      </c>
      <c r="Z183" s="822"/>
      <c r="AA183" s="819"/>
      <c r="AB183" s="831">
        <v>307.02</v>
      </c>
      <c r="AC183" s="822"/>
      <c r="AD183" s="819"/>
      <c r="AE183" s="831">
        <v>307.02</v>
      </c>
      <c r="AF183" s="822"/>
      <c r="AG183" s="819"/>
      <c r="AH183" s="831">
        <v>307.02</v>
      </c>
      <c r="AI183" s="822"/>
      <c r="AJ183" s="819"/>
      <c r="AK183" s="831">
        <v>307.02</v>
      </c>
      <c r="AL183" s="822"/>
      <c r="AM183" s="819"/>
      <c r="AN183" s="831">
        <v>307.02</v>
      </c>
      <c r="AO183" s="822"/>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42" t="s">
        <v>168</v>
      </c>
      <c r="C184" s="826">
        <v>628.00000000000011</v>
      </c>
      <c r="D184" s="827">
        <v>169560</v>
      </c>
      <c r="E184" s="782">
        <v>127170.00000000001</v>
      </c>
      <c r="F184" s="828">
        <v>23.864000000000001</v>
      </c>
      <c r="G184" s="829">
        <v>6443.28</v>
      </c>
      <c r="H184" s="783">
        <v>4832.46</v>
      </c>
      <c r="I184" s="828">
        <v>22.607999999999997</v>
      </c>
      <c r="J184" s="829">
        <v>6104.16</v>
      </c>
      <c r="K184" s="783">
        <v>4578.12</v>
      </c>
      <c r="L184" s="828">
        <v>55.891999999999996</v>
      </c>
      <c r="M184" s="829">
        <v>15090.84</v>
      </c>
      <c r="N184" s="783">
        <v>11318.130000000001</v>
      </c>
      <c r="O184" s="828">
        <v>124.97200000000001</v>
      </c>
      <c r="P184" s="829">
        <v>33742.44</v>
      </c>
      <c r="Q184" s="783">
        <v>25306.83</v>
      </c>
      <c r="R184" s="828">
        <v>107.38800000000001</v>
      </c>
      <c r="S184" s="829">
        <v>28994.760000000002</v>
      </c>
      <c r="T184" s="783">
        <v>21746.07</v>
      </c>
      <c r="U184" s="828">
        <v>37.68</v>
      </c>
      <c r="V184" s="829">
        <v>10173.6</v>
      </c>
      <c r="W184" s="783">
        <v>7630.2000000000007</v>
      </c>
      <c r="X184" s="828">
        <v>39.564</v>
      </c>
      <c r="Y184" s="829">
        <v>10682.28</v>
      </c>
      <c r="Z184" s="783">
        <v>8011.7100000000009</v>
      </c>
      <c r="AA184" s="828">
        <v>29.516000000000002</v>
      </c>
      <c r="AB184" s="829">
        <v>7969.32</v>
      </c>
      <c r="AC184" s="783">
        <v>5976.99</v>
      </c>
      <c r="AD184" s="828">
        <v>28.259999999999998</v>
      </c>
      <c r="AE184" s="829">
        <v>7630.2</v>
      </c>
      <c r="AF184" s="783">
        <v>5722.65</v>
      </c>
      <c r="AG184" s="828">
        <v>44.587999999999994</v>
      </c>
      <c r="AH184" s="829">
        <v>12038.759999999998</v>
      </c>
      <c r="AI184" s="783">
        <v>9029.07</v>
      </c>
      <c r="AJ184" s="828">
        <v>86.036000000000001</v>
      </c>
      <c r="AK184" s="829">
        <v>23229.72</v>
      </c>
      <c r="AL184" s="783">
        <v>17422.29</v>
      </c>
      <c r="AM184" s="828">
        <v>27.631999999999998</v>
      </c>
      <c r="AN184" s="829">
        <v>7460.6399999999994</v>
      </c>
      <c r="AO184" s="783">
        <v>5595.48</v>
      </c>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44" t="s">
        <v>165</v>
      </c>
      <c r="C185" s="832"/>
      <c r="D185" s="833">
        <v>0</v>
      </c>
      <c r="E185" s="822">
        <v>0.75000000000000011</v>
      </c>
      <c r="F185" s="832"/>
      <c r="G185" s="833">
        <v>0</v>
      </c>
      <c r="H185" s="822">
        <v>0.75</v>
      </c>
      <c r="I185" s="832"/>
      <c r="J185" s="833">
        <v>0</v>
      </c>
      <c r="K185" s="822">
        <v>0.75</v>
      </c>
      <c r="L185" s="832"/>
      <c r="M185" s="833">
        <v>0</v>
      </c>
      <c r="N185" s="822">
        <v>0.75000000000000011</v>
      </c>
      <c r="O185" s="832"/>
      <c r="P185" s="833">
        <v>0</v>
      </c>
      <c r="Q185" s="822">
        <v>0.75</v>
      </c>
      <c r="R185" s="832"/>
      <c r="S185" s="833">
        <v>0</v>
      </c>
      <c r="T185" s="822">
        <v>0.74999999999999989</v>
      </c>
      <c r="U185" s="832"/>
      <c r="V185" s="833">
        <v>0</v>
      </c>
      <c r="W185" s="822">
        <v>0.75</v>
      </c>
      <c r="X185" s="832"/>
      <c r="Y185" s="833">
        <v>0</v>
      </c>
      <c r="Z185" s="822">
        <v>0.75</v>
      </c>
      <c r="AA185" s="832"/>
      <c r="AB185" s="833">
        <v>0</v>
      </c>
      <c r="AC185" s="822">
        <v>0.75</v>
      </c>
      <c r="AD185" s="832"/>
      <c r="AE185" s="833">
        <v>0</v>
      </c>
      <c r="AF185" s="822">
        <v>0.75</v>
      </c>
      <c r="AG185" s="832"/>
      <c r="AH185" s="833">
        <v>0</v>
      </c>
      <c r="AI185" s="822">
        <v>0.75000000000000011</v>
      </c>
      <c r="AJ185" s="832"/>
      <c r="AK185" s="833">
        <v>0</v>
      </c>
      <c r="AL185" s="822">
        <v>0.75</v>
      </c>
      <c r="AM185" s="832"/>
      <c r="AN185" s="833">
        <v>0</v>
      </c>
      <c r="AO185" s="822">
        <v>0.75</v>
      </c>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43"/>
      <c r="C186" s="834"/>
      <c r="D186" s="835">
        <v>269.99999999999994</v>
      </c>
      <c r="E186" s="825"/>
      <c r="F186" s="834"/>
      <c r="G186" s="835">
        <v>270</v>
      </c>
      <c r="H186" s="825"/>
      <c r="I186" s="834"/>
      <c r="J186" s="835">
        <v>270.00000000000006</v>
      </c>
      <c r="K186" s="825"/>
      <c r="L186" s="834"/>
      <c r="M186" s="835">
        <v>270</v>
      </c>
      <c r="N186" s="825"/>
      <c r="O186" s="834"/>
      <c r="P186" s="835">
        <v>270</v>
      </c>
      <c r="Q186" s="825"/>
      <c r="R186" s="834"/>
      <c r="S186" s="835">
        <v>270</v>
      </c>
      <c r="T186" s="825"/>
      <c r="U186" s="834"/>
      <c r="V186" s="835">
        <v>270</v>
      </c>
      <c r="W186" s="825"/>
      <c r="X186" s="834"/>
      <c r="Y186" s="835">
        <v>270</v>
      </c>
      <c r="Z186" s="825"/>
      <c r="AA186" s="834"/>
      <c r="AB186" s="835">
        <v>270</v>
      </c>
      <c r="AC186" s="825"/>
      <c r="AD186" s="834"/>
      <c r="AE186" s="835">
        <v>270</v>
      </c>
      <c r="AF186" s="825"/>
      <c r="AG186" s="834"/>
      <c r="AH186" s="835">
        <v>270</v>
      </c>
      <c r="AI186" s="825"/>
      <c r="AJ186" s="834"/>
      <c r="AK186" s="835">
        <v>270</v>
      </c>
      <c r="AL186" s="825"/>
      <c r="AM186" s="834"/>
      <c r="AN186" s="835">
        <v>270</v>
      </c>
      <c r="AO186" s="825"/>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c r="A187" s="39" t="str">
        <f t="shared" si="2"/>
        <v>ServiceAjustement M/O</v>
      </c>
      <c r="B187" s="44" t="s">
        <v>169</v>
      </c>
      <c r="C187" s="819"/>
      <c r="D187" s="770"/>
      <c r="E187" s="758">
        <v>-41107.000000000029</v>
      </c>
      <c r="F187" s="820"/>
      <c r="G187" s="821"/>
      <c r="H187" s="771">
        <v>-2499.422493693236</v>
      </c>
      <c r="I187" s="820"/>
      <c r="J187" s="821"/>
      <c r="K187" s="771">
        <v>-2262.7911646411389</v>
      </c>
      <c r="L187" s="820"/>
      <c r="M187" s="821"/>
      <c r="N187" s="771">
        <v>-2595.5486726356412</v>
      </c>
      <c r="O187" s="820"/>
      <c r="P187" s="821"/>
      <c r="Q187" s="771">
        <v>-3962.1963906912711</v>
      </c>
      <c r="R187" s="820"/>
      <c r="S187" s="821"/>
      <c r="T187" s="771">
        <v>-4075.8992150135141</v>
      </c>
      <c r="U187" s="820"/>
      <c r="V187" s="821"/>
      <c r="W187" s="771">
        <v>-3232.1005101727992</v>
      </c>
      <c r="X187" s="820"/>
      <c r="Y187" s="821"/>
      <c r="Z187" s="771">
        <v>-3339.351196293635</v>
      </c>
      <c r="AA187" s="820"/>
      <c r="AB187" s="821"/>
      <c r="AC187" s="771">
        <v>-3542.7164610751106</v>
      </c>
      <c r="AD187" s="820"/>
      <c r="AE187" s="821"/>
      <c r="AF187" s="771">
        <v>-3056.6502247129561</v>
      </c>
      <c r="AG187" s="820"/>
      <c r="AH187" s="821"/>
      <c r="AI187" s="771">
        <v>-4207.6552106133495</v>
      </c>
      <c r="AJ187" s="820"/>
      <c r="AK187" s="821"/>
      <c r="AL187" s="771">
        <v>-5470.5901466453215</v>
      </c>
      <c r="AM187" s="820"/>
      <c r="AN187" s="821"/>
      <c r="AO187" s="771">
        <v>-2862.0783138120501</v>
      </c>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c r="A188" s="39" t="str">
        <f t="shared" si="2"/>
        <v>ServiceSous-total M/O</v>
      </c>
      <c r="B188" s="49" t="s">
        <v>170</v>
      </c>
      <c r="C188" s="836">
        <v>11017</v>
      </c>
      <c r="D188" s="837">
        <v>3506221.46</v>
      </c>
      <c r="E188" s="838">
        <v>2599748.0804000003</v>
      </c>
      <c r="F188" s="836">
        <v>659.73900000000003</v>
      </c>
      <c r="G188" s="837">
        <v>208488.37490000002</v>
      </c>
      <c r="H188" s="838">
        <v>153372.21573230674</v>
      </c>
      <c r="I188" s="836">
        <v>601.43599999999992</v>
      </c>
      <c r="J188" s="837">
        <v>190563.97928</v>
      </c>
      <c r="K188" s="838">
        <v>140665.90950255885</v>
      </c>
      <c r="L188" s="836">
        <v>702.65699999999993</v>
      </c>
      <c r="M188" s="837">
        <v>223293.94949999999</v>
      </c>
      <c r="N188" s="838">
        <v>166058.05835736438</v>
      </c>
      <c r="O188" s="836">
        <v>1087.461</v>
      </c>
      <c r="P188" s="837">
        <v>347757.30950000003</v>
      </c>
      <c r="Q188" s="838">
        <v>260384.70743930875</v>
      </c>
      <c r="R188" s="836">
        <v>1105.0309999999999</v>
      </c>
      <c r="S188" s="837">
        <v>351885.59242</v>
      </c>
      <c r="T188" s="838">
        <v>262005.66597578648</v>
      </c>
      <c r="U188" s="836">
        <v>856.88</v>
      </c>
      <c r="V188" s="837">
        <v>270810.03139999998</v>
      </c>
      <c r="W188" s="838">
        <v>199537.1807258272</v>
      </c>
      <c r="X188" s="836">
        <v>880.68400000000008</v>
      </c>
      <c r="Y188" s="837">
        <v>277237.11140000005</v>
      </c>
      <c r="Z188" s="838">
        <v>203599.21603970637</v>
      </c>
      <c r="AA188" s="836">
        <v>932.46600000000001</v>
      </c>
      <c r="AB188" s="837">
        <v>293456.48060000001</v>
      </c>
      <c r="AC188" s="838">
        <v>215334.0643829249</v>
      </c>
      <c r="AD188" s="836">
        <v>803.69</v>
      </c>
      <c r="AE188" s="837">
        <v>253231.01680000001</v>
      </c>
      <c r="AF188" s="838">
        <v>185827.11820728701</v>
      </c>
      <c r="AG188" s="836">
        <v>1125.548</v>
      </c>
      <c r="AH188" s="837">
        <v>360139.19140000001</v>
      </c>
      <c r="AI188" s="838">
        <v>267353.84002538666</v>
      </c>
      <c r="AJ188" s="836">
        <v>1491.636</v>
      </c>
      <c r="AK188" s="837">
        <v>482207.18060000008</v>
      </c>
      <c r="AL188" s="838">
        <v>361572.14669735468</v>
      </c>
      <c r="AM188" s="836">
        <v>769.77199999999993</v>
      </c>
      <c r="AN188" s="837">
        <v>247151.24220000004</v>
      </c>
      <c r="AO188" s="838">
        <v>184037.95731418795</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46" t="s">
        <v>171</v>
      </c>
      <c r="C189" s="839"/>
      <c r="D189" s="840">
        <v>318.25555595897248</v>
      </c>
      <c r="E189" s="841">
        <v>0.74146716345749597</v>
      </c>
      <c r="F189" s="839"/>
      <c r="G189" s="840">
        <v>316.0164472617202</v>
      </c>
      <c r="H189" s="841">
        <v>0.735639173195487</v>
      </c>
      <c r="I189" s="839"/>
      <c r="J189" s="840">
        <v>316.84830851495423</v>
      </c>
      <c r="K189" s="841">
        <v>0.73815581535414532</v>
      </c>
      <c r="L189" s="839"/>
      <c r="M189" s="840">
        <v>317.78513485242445</v>
      </c>
      <c r="N189" s="841">
        <v>0.7436746885851665</v>
      </c>
      <c r="O189" s="839"/>
      <c r="P189" s="840">
        <v>319.78830459207273</v>
      </c>
      <c r="Q189" s="841">
        <v>0.74875408891817619</v>
      </c>
      <c r="R189" s="839"/>
      <c r="S189" s="840">
        <v>318.43956632890843</v>
      </c>
      <c r="T189" s="841">
        <v>0.74457628166561718</v>
      </c>
      <c r="U189" s="839"/>
      <c r="V189" s="840">
        <v>316.04195616655772</v>
      </c>
      <c r="W189" s="841">
        <v>0.73681606140763967</v>
      </c>
      <c r="X189" s="839"/>
      <c r="Y189" s="840">
        <v>314.79748854299618</v>
      </c>
      <c r="Z189" s="841">
        <v>0.73438658703218018</v>
      </c>
      <c r="AA189" s="839"/>
      <c r="AB189" s="840">
        <v>314.7101133982365</v>
      </c>
      <c r="AC189" s="841">
        <v>0.73378534337580037</v>
      </c>
      <c r="AD189" s="839"/>
      <c r="AE189" s="840">
        <v>315.08543941071804</v>
      </c>
      <c r="AF189" s="841">
        <v>0.73382447598846823</v>
      </c>
      <c r="AG189" s="839"/>
      <c r="AH189" s="840">
        <v>319.96786578626592</v>
      </c>
      <c r="AI189" s="841">
        <v>0.74236252651670342</v>
      </c>
      <c r="AJ189" s="839"/>
      <c r="AK189" s="840">
        <v>323.27402972306925</v>
      </c>
      <c r="AL189" s="841">
        <v>0.74982737969073421</v>
      </c>
      <c r="AM189" s="839"/>
      <c r="AN189" s="840">
        <v>321.07070950878972</v>
      </c>
      <c r="AO189" s="841">
        <v>0.7446369910018924</v>
      </c>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45"/>
      <c r="C190" s="819"/>
      <c r="D190" s="770"/>
      <c r="E190" s="842"/>
      <c r="F190" s="819"/>
      <c r="G190" s="770"/>
      <c r="H190" s="842"/>
      <c r="I190" s="819"/>
      <c r="J190" s="770"/>
      <c r="K190" s="842"/>
      <c r="L190" s="819"/>
      <c r="M190" s="770"/>
      <c r="N190" s="842"/>
      <c r="O190" s="819"/>
      <c r="P190" s="770"/>
      <c r="Q190" s="842"/>
      <c r="R190" s="819"/>
      <c r="S190" s="770"/>
      <c r="T190" s="842"/>
      <c r="U190" s="819"/>
      <c r="V190" s="770"/>
      <c r="W190" s="842"/>
      <c r="X190" s="819"/>
      <c r="Y190" s="770"/>
      <c r="Z190" s="842"/>
      <c r="AA190" s="819"/>
      <c r="AB190" s="770"/>
      <c r="AC190" s="842"/>
      <c r="AD190" s="819"/>
      <c r="AE190" s="770"/>
      <c r="AF190" s="842"/>
      <c r="AG190" s="819"/>
      <c r="AH190" s="770"/>
      <c r="AI190" s="842"/>
      <c r="AJ190" s="819"/>
      <c r="AK190" s="770"/>
      <c r="AL190" s="842"/>
      <c r="AM190" s="819"/>
      <c r="AN190" s="770"/>
      <c r="AO190" s="842"/>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44" t="s">
        <v>172</v>
      </c>
      <c r="C191" s="819">
        <v>0</v>
      </c>
      <c r="D191" s="830">
        <v>212148</v>
      </c>
      <c r="E191" s="758">
        <v>37338.047999999988</v>
      </c>
      <c r="F191" s="820">
        <v>0</v>
      </c>
      <c r="G191" s="843">
        <v>13789.62</v>
      </c>
      <c r="H191" s="771">
        <v>2426.9731200000001</v>
      </c>
      <c r="I191" s="820">
        <v>0</v>
      </c>
      <c r="J191" s="843">
        <v>14426.064</v>
      </c>
      <c r="K191" s="771">
        <v>2538.9872639999999</v>
      </c>
      <c r="L191" s="820">
        <v>0</v>
      </c>
      <c r="M191" s="843">
        <v>15911.099999999999</v>
      </c>
      <c r="N191" s="771">
        <v>2800.3535999999995</v>
      </c>
      <c r="O191" s="820">
        <v>0</v>
      </c>
      <c r="P191" s="843">
        <v>15911.099999999999</v>
      </c>
      <c r="Q191" s="771">
        <v>2800.3535999999995</v>
      </c>
      <c r="R191" s="820">
        <v>0</v>
      </c>
      <c r="S191" s="843">
        <v>16335.396000000001</v>
      </c>
      <c r="T191" s="771">
        <v>2875.0296960000001</v>
      </c>
      <c r="U191" s="820">
        <v>0</v>
      </c>
      <c r="V191" s="843">
        <v>19093.32</v>
      </c>
      <c r="W191" s="771">
        <v>3360.4243199999996</v>
      </c>
      <c r="X191" s="820">
        <v>0</v>
      </c>
      <c r="Y191" s="843">
        <v>19093.32</v>
      </c>
      <c r="Z191" s="771">
        <v>3360.4243199999996</v>
      </c>
      <c r="AA191" s="820">
        <v>0</v>
      </c>
      <c r="AB191" s="843">
        <v>23336.28</v>
      </c>
      <c r="AC191" s="771">
        <v>4107.1852799999997</v>
      </c>
      <c r="AD191" s="820">
        <v>0</v>
      </c>
      <c r="AE191" s="843">
        <v>16971.84</v>
      </c>
      <c r="AF191" s="771">
        <v>2987.0438399999998</v>
      </c>
      <c r="AG191" s="820">
        <v>0</v>
      </c>
      <c r="AH191" s="843">
        <v>19093.32</v>
      </c>
      <c r="AI191" s="771">
        <v>3360.4243199999996</v>
      </c>
      <c r="AJ191" s="820">
        <v>0</v>
      </c>
      <c r="AK191" s="843">
        <v>23336.28</v>
      </c>
      <c r="AL191" s="771">
        <v>4107.1852799999997</v>
      </c>
      <c r="AM191" s="820">
        <v>0</v>
      </c>
      <c r="AN191" s="843">
        <v>14850.36</v>
      </c>
      <c r="AO191" s="771">
        <v>2613.66336</v>
      </c>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44" t="s">
        <v>165</v>
      </c>
      <c r="C192" s="819"/>
      <c r="D192" s="830"/>
      <c r="E192" s="822">
        <v>0.17599999999999993</v>
      </c>
      <c r="F192" s="819"/>
      <c r="G192" s="830"/>
      <c r="H192" s="822">
        <v>0.17599999999999999</v>
      </c>
      <c r="I192" s="819"/>
      <c r="J192" s="830"/>
      <c r="K192" s="822">
        <v>0.17599999999999999</v>
      </c>
      <c r="L192" s="819"/>
      <c r="M192" s="830"/>
      <c r="N192" s="822">
        <v>0.17599999999999999</v>
      </c>
      <c r="O192" s="819"/>
      <c r="P192" s="830"/>
      <c r="Q192" s="822">
        <v>0.17599999999999999</v>
      </c>
      <c r="R192" s="819"/>
      <c r="S192" s="830"/>
      <c r="T192" s="822">
        <v>0.17599999999999999</v>
      </c>
      <c r="U192" s="819"/>
      <c r="V192" s="830"/>
      <c r="W192" s="822">
        <v>0.17599999999999999</v>
      </c>
      <c r="X192" s="819"/>
      <c r="Y192" s="830"/>
      <c r="Z192" s="822">
        <v>0.17599999999999999</v>
      </c>
      <c r="AA192" s="819"/>
      <c r="AB192" s="830"/>
      <c r="AC192" s="822">
        <v>0.17599999999999999</v>
      </c>
      <c r="AD192" s="819"/>
      <c r="AE192" s="830"/>
      <c r="AF192" s="822">
        <v>0.17599999999999999</v>
      </c>
      <c r="AG192" s="819"/>
      <c r="AH192" s="830"/>
      <c r="AI192" s="822">
        <v>0.17599999999999999</v>
      </c>
      <c r="AJ192" s="819"/>
      <c r="AK192" s="830"/>
      <c r="AL192" s="822">
        <v>0.17599999999999999</v>
      </c>
      <c r="AM192" s="819"/>
      <c r="AN192" s="830"/>
      <c r="AO192" s="822">
        <v>0.17599999999999999</v>
      </c>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44"/>
      <c r="C193" s="819"/>
      <c r="D193" s="830"/>
      <c r="E193" s="822"/>
      <c r="F193" s="819"/>
      <c r="G193" s="830"/>
      <c r="H193" s="822"/>
      <c r="I193" s="819"/>
      <c r="J193" s="830"/>
      <c r="K193" s="822"/>
      <c r="L193" s="819"/>
      <c r="M193" s="830"/>
      <c r="N193" s="822"/>
      <c r="O193" s="819"/>
      <c r="P193" s="830"/>
      <c r="Q193" s="822"/>
      <c r="R193" s="819"/>
      <c r="S193" s="830"/>
      <c r="T193" s="822"/>
      <c r="U193" s="819"/>
      <c r="V193" s="830"/>
      <c r="W193" s="822"/>
      <c r="X193" s="819"/>
      <c r="Y193" s="830"/>
      <c r="Z193" s="822"/>
      <c r="AA193" s="819"/>
      <c r="AB193" s="830"/>
      <c r="AC193" s="822"/>
      <c r="AD193" s="819"/>
      <c r="AE193" s="830"/>
      <c r="AF193" s="822"/>
      <c r="AG193" s="819"/>
      <c r="AH193" s="830"/>
      <c r="AI193" s="822"/>
      <c r="AJ193" s="819"/>
      <c r="AK193" s="830"/>
      <c r="AL193" s="822"/>
      <c r="AM193" s="819"/>
      <c r="AN193" s="830"/>
      <c r="AO193" s="822"/>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42" t="s">
        <v>173</v>
      </c>
      <c r="C194" s="826">
        <v>0</v>
      </c>
      <c r="D194" s="844">
        <v>130000</v>
      </c>
      <c r="E194" s="782">
        <v>91000</v>
      </c>
      <c r="F194" s="828">
        <v>0</v>
      </c>
      <c r="G194" s="845">
        <v>4940</v>
      </c>
      <c r="H194" s="783">
        <v>3458</v>
      </c>
      <c r="I194" s="828">
        <v>0</v>
      </c>
      <c r="J194" s="845">
        <v>4680</v>
      </c>
      <c r="K194" s="783">
        <v>3276</v>
      </c>
      <c r="L194" s="828">
        <v>0</v>
      </c>
      <c r="M194" s="845">
        <v>11570</v>
      </c>
      <c r="N194" s="783">
        <v>8098.9999999999991</v>
      </c>
      <c r="O194" s="828">
        <v>0</v>
      </c>
      <c r="P194" s="845">
        <v>25870</v>
      </c>
      <c r="Q194" s="783">
        <v>18109</v>
      </c>
      <c r="R194" s="828">
        <v>0</v>
      </c>
      <c r="S194" s="845">
        <v>22230</v>
      </c>
      <c r="T194" s="783">
        <v>15560.999999999998</v>
      </c>
      <c r="U194" s="828">
        <v>0</v>
      </c>
      <c r="V194" s="845">
        <v>7800</v>
      </c>
      <c r="W194" s="783">
        <v>5460</v>
      </c>
      <c r="X194" s="828">
        <v>0</v>
      </c>
      <c r="Y194" s="845">
        <v>8190</v>
      </c>
      <c r="Z194" s="783">
        <v>5733</v>
      </c>
      <c r="AA194" s="828">
        <v>0</v>
      </c>
      <c r="AB194" s="845">
        <v>6110</v>
      </c>
      <c r="AC194" s="783">
        <v>4277</v>
      </c>
      <c r="AD194" s="828">
        <v>0</v>
      </c>
      <c r="AE194" s="845">
        <v>5850</v>
      </c>
      <c r="AF194" s="783">
        <v>4094.9999999999995</v>
      </c>
      <c r="AG194" s="828">
        <v>0</v>
      </c>
      <c r="AH194" s="845">
        <v>9230</v>
      </c>
      <c r="AI194" s="783">
        <v>6461</v>
      </c>
      <c r="AJ194" s="828">
        <v>0</v>
      </c>
      <c r="AK194" s="845">
        <v>17810</v>
      </c>
      <c r="AL194" s="783">
        <v>12467</v>
      </c>
      <c r="AM194" s="828">
        <v>0</v>
      </c>
      <c r="AN194" s="845">
        <v>5720</v>
      </c>
      <c r="AO194" s="783">
        <v>4003.9999999999995</v>
      </c>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43" t="s">
        <v>165</v>
      </c>
      <c r="C195" s="823"/>
      <c r="D195" s="846"/>
      <c r="E195" s="825">
        <v>0.7</v>
      </c>
      <c r="F195" s="823"/>
      <c r="G195" s="846"/>
      <c r="H195" s="825">
        <v>0.7</v>
      </c>
      <c r="I195" s="823"/>
      <c r="J195" s="846"/>
      <c r="K195" s="825">
        <v>0.7</v>
      </c>
      <c r="L195" s="823"/>
      <c r="M195" s="846"/>
      <c r="N195" s="825">
        <v>0.7</v>
      </c>
      <c r="O195" s="823"/>
      <c r="P195" s="846"/>
      <c r="Q195" s="825">
        <v>0.7</v>
      </c>
      <c r="R195" s="823"/>
      <c r="S195" s="846"/>
      <c r="T195" s="825">
        <v>0.7</v>
      </c>
      <c r="U195" s="823"/>
      <c r="V195" s="846"/>
      <c r="W195" s="825">
        <v>0.7</v>
      </c>
      <c r="X195" s="823"/>
      <c r="Y195" s="846"/>
      <c r="Z195" s="825">
        <v>0.7</v>
      </c>
      <c r="AA195" s="823"/>
      <c r="AB195" s="846"/>
      <c r="AC195" s="825">
        <v>0.7</v>
      </c>
      <c r="AD195" s="823"/>
      <c r="AE195" s="846"/>
      <c r="AF195" s="825">
        <v>0.7</v>
      </c>
      <c r="AG195" s="823"/>
      <c r="AH195" s="846"/>
      <c r="AI195" s="825">
        <v>0.7</v>
      </c>
      <c r="AJ195" s="823"/>
      <c r="AK195" s="846"/>
      <c r="AL195" s="825">
        <v>0.7</v>
      </c>
      <c r="AM195" s="823"/>
      <c r="AN195" s="846"/>
      <c r="AO195" s="825">
        <v>0.7</v>
      </c>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c r="A196" s="39" t="str">
        <f t="shared" si="2"/>
        <v>Service</v>
      </c>
      <c r="B196" s="45"/>
      <c r="C196" s="847"/>
      <c r="D196" s="848"/>
      <c r="E196" s="849"/>
      <c r="F196" s="847"/>
      <c r="G196" s="848"/>
      <c r="H196" s="849"/>
      <c r="I196" s="847"/>
      <c r="J196" s="848"/>
      <c r="K196" s="849"/>
      <c r="L196" s="847"/>
      <c r="M196" s="848"/>
      <c r="N196" s="849"/>
      <c r="O196" s="847"/>
      <c r="P196" s="848"/>
      <c r="Q196" s="849"/>
      <c r="R196" s="847"/>
      <c r="S196" s="848"/>
      <c r="T196" s="849"/>
      <c r="U196" s="847"/>
      <c r="V196" s="848"/>
      <c r="W196" s="849"/>
      <c r="X196" s="847"/>
      <c r="Y196" s="848"/>
      <c r="Z196" s="849"/>
      <c r="AA196" s="847"/>
      <c r="AB196" s="848"/>
      <c r="AC196" s="849"/>
      <c r="AD196" s="847"/>
      <c r="AE196" s="848"/>
      <c r="AF196" s="849"/>
      <c r="AG196" s="847"/>
      <c r="AH196" s="848"/>
      <c r="AI196" s="849"/>
      <c r="AJ196" s="847"/>
      <c r="AK196" s="848"/>
      <c r="AL196" s="849"/>
      <c r="AM196" s="847"/>
      <c r="AN196" s="848"/>
      <c r="AO196" s="849"/>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c r="A197" s="39" t="str">
        <f t="shared" si="2"/>
        <v>ServiceTotal Mécanique</v>
      </c>
      <c r="B197" s="49" t="s">
        <v>174</v>
      </c>
      <c r="C197" s="759"/>
      <c r="D197" s="850">
        <v>3848369.46</v>
      </c>
      <c r="E197" s="761">
        <v>2728086.1284000003</v>
      </c>
      <c r="F197" s="759"/>
      <c r="G197" s="850">
        <v>227217.99490000002</v>
      </c>
      <c r="H197" s="761">
        <v>159257.18885230675</v>
      </c>
      <c r="I197" s="759"/>
      <c r="J197" s="850">
        <v>209670.04328000001</v>
      </c>
      <c r="K197" s="761">
        <v>146480.89676655884</v>
      </c>
      <c r="L197" s="759"/>
      <c r="M197" s="850">
        <v>250775.04949999999</v>
      </c>
      <c r="N197" s="761">
        <v>176957.41195736438</v>
      </c>
      <c r="O197" s="759"/>
      <c r="P197" s="850">
        <v>389538.40950000001</v>
      </c>
      <c r="Q197" s="761">
        <v>281294.06103930873</v>
      </c>
      <c r="R197" s="759"/>
      <c r="S197" s="850">
        <v>390450.98842000001</v>
      </c>
      <c r="T197" s="761">
        <v>280441.6956717865</v>
      </c>
      <c r="U197" s="759"/>
      <c r="V197" s="850">
        <v>297703.35139999999</v>
      </c>
      <c r="W197" s="761">
        <v>208357.60504582719</v>
      </c>
      <c r="X197" s="759"/>
      <c r="Y197" s="850">
        <v>304520.43140000006</v>
      </c>
      <c r="Z197" s="761">
        <v>212692.64035970636</v>
      </c>
      <c r="AA197" s="759"/>
      <c r="AB197" s="850">
        <v>322902.76060000004</v>
      </c>
      <c r="AC197" s="761">
        <v>223718.24966292491</v>
      </c>
      <c r="AD197" s="759"/>
      <c r="AE197" s="850">
        <v>276052.85680000001</v>
      </c>
      <c r="AF197" s="761">
        <v>192909.16204728701</v>
      </c>
      <c r="AG197" s="759"/>
      <c r="AH197" s="850">
        <v>388462.51140000002</v>
      </c>
      <c r="AI197" s="761">
        <v>277175.26434538665</v>
      </c>
      <c r="AJ197" s="759"/>
      <c r="AK197" s="850">
        <v>523353.46060000011</v>
      </c>
      <c r="AL197" s="761">
        <v>378146.33197735465</v>
      </c>
      <c r="AM197" s="759"/>
      <c r="AN197" s="850">
        <v>267721.60220000002</v>
      </c>
      <c r="AO197" s="761">
        <v>190655.62067418796</v>
      </c>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c r="A198" s="39" t="str">
        <f t="shared" si="2"/>
        <v>Service</v>
      </c>
      <c r="B198" s="50"/>
      <c r="C198" s="762"/>
      <c r="D198" s="763"/>
      <c r="E198" s="851">
        <v>0.70889402817368796</v>
      </c>
      <c r="F198" s="762"/>
      <c r="G198" s="763"/>
      <c r="H198" s="851">
        <v>0.70090042350033399</v>
      </c>
      <c r="I198" s="762"/>
      <c r="J198" s="763"/>
      <c r="K198" s="851">
        <v>0.69862577636302392</v>
      </c>
      <c r="L198" s="762"/>
      <c r="M198" s="763"/>
      <c r="N198" s="851">
        <v>0.70564201785698133</v>
      </c>
      <c r="O198" s="762"/>
      <c r="P198" s="763"/>
      <c r="Q198" s="851">
        <v>0.72212150119000962</v>
      </c>
      <c r="R198" s="762"/>
      <c r="S198" s="763"/>
      <c r="T198" s="851">
        <v>0.71825069980389245</v>
      </c>
      <c r="U198" s="762"/>
      <c r="V198" s="763"/>
      <c r="W198" s="851">
        <v>0.69988330351670747</v>
      </c>
      <c r="X198" s="762"/>
      <c r="Y198" s="763"/>
      <c r="Z198" s="851">
        <v>0.69845113308776929</v>
      </c>
      <c r="AA198" s="762"/>
      <c r="AB198" s="763"/>
      <c r="AC198" s="851">
        <v>0.69283473838137533</v>
      </c>
      <c r="AD198" s="762"/>
      <c r="AE198" s="763"/>
      <c r="AF198" s="851">
        <v>0.69881240963591795</v>
      </c>
      <c r="AG198" s="762"/>
      <c r="AH198" s="763"/>
      <c r="AI198" s="851">
        <v>0.71351869539858681</v>
      </c>
      <c r="AJ198" s="762"/>
      <c r="AK198" s="763"/>
      <c r="AL198" s="851">
        <v>0.72254481998423725</v>
      </c>
      <c r="AM198" s="762"/>
      <c r="AN198" s="763"/>
      <c r="AO198" s="851">
        <v>0.71214134050998124</v>
      </c>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c r="A199" s="39" t="str">
        <f t="shared" si="2"/>
        <v>Service</v>
      </c>
      <c r="B199" s="47"/>
      <c r="C199" s="765"/>
      <c r="D199" s="766"/>
      <c r="E199" s="852"/>
      <c r="F199" s="765"/>
      <c r="G199" s="766"/>
      <c r="H199" s="852"/>
      <c r="I199" s="765"/>
      <c r="J199" s="766"/>
      <c r="K199" s="852"/>
      <c r="L199" s="765"/>
      <c r="M199" s="766"/>
      <c r="N199" s="852"/>
      <c r="O199" s="765"/>
      <c r="P199" s="766"/>
      <c r="Q199" s="852"/>
      <c r="R199" s="765"/>
      <c r="S199" s="766"/>
      <c r="T199" s="852"/>
      <c r="U199" s="765"/>
      <c r="V199" s="766"/>
      <c r="W199" s="852"/>
      <c r="X199" s="765"/>
      <c r="Y199" s="766"/>
      <c r="Z199" s="852"/>
      <c r="AA199" s="765"/>
      <c r="AB199" s="766"/>
      <c r="AC199" s="852"/>
      <c r="AD199" s="765"/>
      <c r="AE199" s="766"/>
      <c r="AF199" s="852"/>
      <c r="AG199" s="765"/>
      <c r="AH199" s="766"/>
      <c r="AI199" s="852"/>
      <c r="AJ199" s="765"/>
      <c r="AK199" s="766"/>
      <c r="AL199" s="852"/>
      <c r="AM199" s="765"/>
      <c r="AN199" s="766"/>
      <c r="AO199" s="852"/>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52" t="s">
        <v>110</v>
      </c>
      <c r="C200" s="747"/>
      <c r="D200" s="757"/>
      <c r="E200" s="748"/>
      <c r="F200" s="747"/>
      <c r="G200" s="757"/>
      <c r="H200" s="748"/>
      <c r="I200" s="747"/>
      <c r="J200" s="757"/>
      <c r="K200" s="748"/>
      <c r="L200" s="747"/>
      <c r="M200" s="757"/>
      <c r="N200" s="748"/>
      <c r="O200" s="747"/>
      <c r="P200" s="757"/>
      <c r="Q200" s="748"/>
      <c r="R200" s="747"/>
      <c r="S200" s="757"/>
      <c r="T200" s="748"/>
      <c r="U200" s="747"/>
      <c r="V200" s="757"/>
      <c r="W200" s="748"/>
      <c r="X200" s="747"/>
      <c r="Y200" s="757"/>
      <c r="Z200" s="748"/>
      <c r="AA200" s="747"/>
      <c r="AB200" s="757"/>
      <c r="AC200" s="748"/>
      <c r="AD200" s="747"/>
      <c r="AE200" s="757"/>
      <c r="AF200" s="748"/>
      <c r="AG200" s="747"/>
      <c r="AH200" s="757"/>
      <c r="AI200" s="748"/>
      <c r="AJ200" s="747"/>
      <c r="AK200" s="757"/>
      <c r="AL200" s="748"/>
      <c r="AM200" s="747"/>
      <c r="AN200" s="757"/>
      <c r="AO200" s="748"/>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54" t="s">
        <v>120</v>
      </c>
      <c r="C201" s="747"/>
      <c r="D201" s="757"/>
      <c r="E201" s="758">
        <v>199996.82499999998</v>
      </c>
      <c r="F201" s="747"/>
      <c r="G201" s="757"/>
      <c r="H201" s="771">
        <v>18635.594711538462</v>
      </c>
      <c r="I201" s="747"/>
      <c r="J201" s="757"/>
      <c r="K201" s="771">
        <v>15681.80576923077</v>
      </c>
      <c r="L201" s="747"/>
      <c r="M201" s="757"/>
      <c r="N201" s="771">
        <v>15681.80576923077</v>
      </c>
      <c r="O201" s="747"/>
      <c r="P201" s="757"/>
      <c r="Q201" s="771">
        <v>15681.80576923077</v>
      </c>
      <c r="R201" s="747"/>
      <c r="S201" s="757"/>
      <c r="T201" s="771">
        <v>18635.594711538462</v>
      </c>
      <c r="U201" s="747"/>
      <c r="V201" s="757"/>
      <c r="W201" s="771">
        <v>15681.80576923077</v>
      </c>
      <c r="X201" s="747"/>
      <c r="Y201" s="757"/>
      <c r="Z201" s="771">
        <v>15681.80576923077</v>
      </c>
      <c r="AA201" s="747"/>
      <c r="AB201" s="757"/>
      <c r="AC201" s="771">
        <v>18635.594711538462</v>
      </c>
      <c r="AD201" s="747"/>
      <c r="AE201" s="757"/>
      <c r="AF201" s="771">
        <v>15681.80576923077</v>
      </c>
      <c r="AG201" s="747"/>
      <c r="AH201" s="757"/>
      <c r="AI201" s="771">
        <v>18635.594711538462</v>
      </c>
      <c r="AJ201" s="747"/>
      <c r="AK201" s="757"/>
      <c r="AL201" s="771">
        <v>15681.80576923077</v>
      </c>
      <c r="AM201" s="747"/>
      <c r="AN201" s="757"/>
      <c r="AO201" s="771">
        <v>15681.80576923077</v>
      </c>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55" t="s">
        <v>121</v>
      </c>
      <c r="C202" s="747"/>
      <c r="D202" s="757"/>
      <c r="E202" s="758">
        <v>108536.38240000002</v>
      </c>
      <c r="F202" s="747"/>
      <c r="G202" s="757"/>
      <c r="H202" s="771">
        <v>10418.882923076924</v>
      </c>
      <c r="I202" s="747"/>
      <c r="J202" s="757"/>
      <c r="K202" s="771">
        <v>8357.6063384615391</v>
      </c>
      <c r="L202" s="747"/>
      <c r="M202" s="757"/>
      <c r="N202" s="771">
        <v>8357.6063384615391</v>
      </c>
      <c r="O202" s="747"/>
      <c r="P202" s="757"/>
      <c r="Q202" s="771">
        <v>8357.6063384615391</v>
      </c>
      <c r="R202" s="747"/>
      <c r="S202" s="757"/>
      <c r="T202" s="771">
        <v>10418.882923076924</v>
      </c>
      <c r="U202" s="747"/>
      <c r="V202" s="757"/>
      <c r="W202" s="771">
        <v>8357.6063384615391</v>
      </c>
      <c r="X202" s="747"/>
      <c r="Y202" s="757"/>
      <c r="Z202" s="771">
        <v>8357.6063384615391</v>
      </c>
      <c r="AA202" s="747"/>
      <c r="AB202" s="757"/>
      <c r="AC202" s="771">
        <v>10418.882923076924</v>
      </c>
      <c r="AD202" s="747"/>
      <c r="AE202" s="757"/>
      <c r="AF202" s="771">
        <v>8357.6063384615391</v>
      </c>
      <c r="AG202" s="747"/>
      <c r="AH202" s="757"/>
      <c r="AI202" s="771">
        <v>10418.882923076924</v>
      </c>
      <c r="AJ202" s="747"/>
      <c r="AK202" s="757"/>
      <c r="AL202" s="771">
        <v>8357.6063384615391</v>
      </c>
      <c r="AM202" s="747"/>
      <c r="AN202" s="757"/>
      <c r="AO202" s="771">
        <v>8357.6063384615391</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54" t="s">
        <v>122</v>
      </c>
      <c r="C203" s="780"/>
      <c r="D203" s="781"/>
      <c r="E203" s="782">
        <v>203681.09999999998</v>
      </c>
      <c r="F203" s="780"/>
      <c r="G203" s="781"/>
      <c r="H203" s="783">
        <v>19584.721153846156</v>
      </c>
      <c r="I203" s="780"/>
      <c r="J203" s="781"/>
      <c r="K203" s="783">
        <v>15667.776923076923</v>
      </c>
      <c r="L203" s="780"/>
      <c r="M203" s="781"/>
      <c r="N203" s="783">
        <v>15667.776923076923</v>
      </c>
      <c r="O203" s="780"/>
      <c r="P203" s="781"/>
      <c r="Q203" s="783">
        <v>15667.776923076923</v>
      </c>
      <c r="R203" s="780"/>
      <c r="S203" s="781"/>
      <c r="T203" s="783">
        <v>19584.721153846156</v>
      </c>
      <c r="U203" s="780"/>
      <c r="V203" s="781"/>
      <c r="W203" s="783">
        <v>15667.776923076923</v>
      </c>
      <c r="X203" s="780"/>
      <c r="Y203" s="781"/>
      <c r="Z203" s="783">
        <v>15667.776923076923</v>
      </c>
      <c r="AA203" s="780"/>
      <c r="AB203" s="781"/>
      <c r="AC203" s="783">
        <v>19584.721153846156</v>
      </c>
      <c r="AD203" s="780"/>
      <c r="AE203" s="781"/>
      <c r="AF203" s="783">
        <v>15667.776923076923</v>
      </c>
      <c r="AG203" s="780"/>
      <c r="AH203" s="781"/>
      <c r="AI203" s="783">
        <v>19584.721153846156</v>
      </c>
      <c r="AJ203" s="780"/>
      <c r="AK203" s="781"/>
      <c r="AL203" s="783">
        <v>15667.776923076923</v>
      </c>
      <c r="AM203" s="780"/>
      <c r="AN203" s="781"/>
      <c r="AO203" s="783">
        <v>15667.776923076923</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54" t="s">
        <v>123</v>
      </c>
      <c r="C204" s="747"/>
      <c r="D204" s="757"/>
      <c r="E204" s="758">
        <v>364410.51199999993</v>
      </c>
      <c r="F204" s="747"/>
      <c r="G204" s="757"/>
      <c r="H204" s="771">
        <v>27038.791267692308</v>
      </c>
      <c r="I204" s="747"/>
      <c r="J204" s="757"/>
      <c r="K204" s="771">
        <v>22603.078374153847</v>
      </c>
      <c r="L204" s="747"/>
      <c r="M204" s="757"/>
      <c r="N204" s="771">
        <v>24741.578166153842</v>
      </c>
      <c r="O204" s="747"/>
      <c r="P204" s="757"/>
      <c r="Q204" s="771">
        <v>34267.622694153848</v>
      </c>
      <c r="R204" s="747"/>
      <c r="S204" s="757"/>
      <c r="T204" s="771">
        <v>37148.063011692306</v>
      </c>
      <c r="U204" s="747"/>
      <c r="V204" s="757"/>
      <c r="W204" s="771">
        <v>26685.668886153846</v>
      </c>
      <c r="X204" s="747"/>
      <c r="Y204" s="757"/>
      <c r="Z204" s="771">
        <v>26685.668886153846</v>
      </c>
      <c r="AA204" s="747"/>
      <c r="AB204" s="757"/>
      <c r="AC204" s="771">
        <v>29954.927347692312</v>
      </c>
      <c r="AD204" s="747"/>
      <c r="AE204" s="757"/>
      <c r="AF204" s="771">
        <v>25713.623526153846</v>
      </c>
      <c r="AG204" s="747"/>
      <c r="AH204" s="757"/>
      <c r="AI204" s="771">
        <v>37731.290227692305</v>
      </c>
      <c r="AJ204" s="747"/>
      <c r="AK204" s="757"/>
      <c r="AL204" s="771">
        <v>44182.485366153844</v>
      </c>
      <c r="AM204" s="747"/>
      <c r="AN204" s="757"/>
      <c r="AO204" s="771">
        <v>27657.714246153846</v>
      </c>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59</v>
      </c>
      <c r="C205" s="747"/>
      <c r="D205" s="757"/>
      <c r="E205" s="758">
        <v>0</v>
      </c>
      <c r="F205" s="747"/>
      <c r="G205" s="757"/>
      <c r="H205" s="771">
        <v>0</v>
      </c>
      <c r="I205" s="747"/>
      <c r="J205" s="757"/>
      <c r="K205" s="771">
        <v>0</v>
      </c>
      <c r="L205" s="747"/>
      <c r="M205" s="757"/>
      <c r="N205" s="771">
        <v>0</v>
      </c>
      <c r="O205" s="747"/>
      <c r="P205" s="757"/>
      <c r="Q205" s="771">
        <v>0</v>
      </c>
      <c r="R205" s="747"/>
      <c r="S205" s="757"/>
      <c r="T205" s="771">
        <v>0</v>
      </c>
      <c r="U205" s="747"/>
      <c r="V205" s="757"/>
      <c r="W205" s="771">
        <v>0</v>
      </c>
      <c r="X205" s="747"/>
      <c r="Y205" s="757"/>
      <c r="Z205" s="771">
        <v>0</v>
      </c>
      <c r="AA205" s="747"/>
      <c r="AB205" s="757"/>
      <c r="AC205" s="771">
        <v>0</v>
      </c>
      <c r="AD205" s="747"/>
      <c r="AE205" s="757"/>
      <c r="AF205" s="771">
        <v>0</v>
      </c>
      <c r="AG205" s="747"/>
      <c r="AH205" s="757"/>
      <c r="AI205" s="771">
        <v>0</v>
      </c>
      <c r="AJ205" s="747"/>
      <c r="AK205" s="757"/>
      <c r="AL205" s="771">
        <v>0</v>
      </c>
      <c r="AM205" s="747"/>
      <c r="AN205" s="757"/>
      <c r="AO205" s="771">
        <v>0</v>
      </c>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59</v>
      </c>
      <c r="C206" s="747"/>
      <c r="D206" s="757"/>
      <c r="E206" s="758">
        <v>0</v>
      </c>
      <c r="F206" s="747"/>
      <c r="G206" s="757"/>
      <c r="H206" s="771">
        <v>0</v>
      </c>
      <c r="I206" s="747"/>
      <c r="J206" s="757"/>
      <c r="K206" s="771">
        <v>0</v>
      </c>
      <c r="L206" s="747"/>
      <c r="M206" s="757"/>
      <c r="N206" s="771">
        <v>0</v>
      </c>
      <c r="O206" s="747"/>
      <c r="P206" s="757"/>
      <c r="Q206" s="771">
        <v>0</v>
      </c>
      <c r="R206" s="747"/>
      <c r="S206" s="757"/>
      <c r="T206" s="771">
        <v>0</v>
      </c>
      <c r="U206" s="747"/>
      <c r="V206" s="757"/>
      <c r="W206" s="771">
        <v>0</v>
      </c>
      <c r="X206" s="747"/>
      <c r="Y206" s="757"/>
      <c r="Z206" s="771">
        <v>0</v>
      </c>
      <c r="AA206" s="747"/>
      <c r="AB206" s="757"/>
      <c r="AC206" s="771">
        <v>0</v>
      </c>
      <c r="AD206" s="747"/>
      <c r="AE206" s="757"/>
      <c r="AF206" s="771">
        <v>0</v>
      </c>
      <c r="AG206" s="747"/>
      <c r="AH206" s="757"/>
      <c r="AI206" s="771">
        <v>0</v>
      </c>
      <c r="AJ206" s="747"/>
      <c r="AK206" s="757"/>
      <c r="AL206" s="771">
        <v>0</v>
      </c>
      <c r="AM206" s="747"/>
      <c r="AN206" s="757"/>
      <c r="AO206" s="771">
        <v>0</v>
      </c>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44" t="s">
        <v>59</v>
      </c>
      <c r="C207" s="747"/>
      <c r="D207" s="757"/>
      <c r="E207" s="758">
        <v>0</v>
      </c>
      <c r="F207" s="747"/>
      <c r="G207" s="757"/>
      <c r="H207" s="771">
        <v>0</v>
      </c>
      <c r="I207" s="747"/>
      <c r="J207" s="757"/>
      <c r="K207" s="771">
        <v>0</v>
      </c>
      <c r="L207" s="747"/>
      <c r="M207" s="757"/>
      <c r="N207" s="771">
        <v>0</v>
      </c>
      <c r="O207" s="747"/>
      <c r="P207" s="757"/>
      <c r="Q207" s="771">
        <v>0</v>
      </c>
      <c r="R207" s="747"/>
      <c r="S207" s="757"/>
      <c r="T207" s="771">
        <v>0</v>
      </c>
      <c r="U207" s="747"/>
      <c r="V207" s="757"/>
      <c r="W207" s="771">
        <v>0</v>
      </c>
      <c r="X207" s="747"/>
      <c r="Y207" s="757"/>
      <c r="Z207" s="771">
        <v>0</v>
      </c>
      <c r="AA207" s="747"/>
      <c r="AB207" s="757"/>
      <c r="AC207" s="771">
        <v>0</v>
      </c>
      <c r="AD207" s="747"/>
      <c r="AE207" s="757"/>
      <c r="AF207" s="771">
        <v>0</v>
      </c>
      <c r="AG207" s="747"/>
      <c r="AH207" s="757"/>
      <c r="AI207" s="771">
        <v>0</v>
      </c>
      <c r="AJ207" s="747"/>
      <c r="AK207" s="757"/>
      <c r="AL207" s="771">
        <v>0</v>
      </c>
      <c r="AM207" s="747"/>
      <c r="AN207" s="757"/>
      <c r="AO207" s="771">
        <v>0</v>
      </c>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55" t="s">
        <v>124</v>
      </c>
      <c r="C208" s="747"/>
      <c r="D208" s="757"/>
      <c r="E208" s="758">
        <v>207134.68508650007</v>
      </c>
      <c r="F208" s="747"/>
      <c r="G208" s="757"/>
      <c r="H208" s="771">
        <v>15292.002898445113</v>
      </c>
      <c r="I208" s="747"/>
      <c r="J208" s="757"/>
      <c r="K208" s="771">
        <v>13106.342726929111</v>
      </c>
      <c r="L208" s="747"/>
      <c r="M208" s="757"/>
      <c r="N208" s="771">
        <v>14181.905178270679</v>
      </c>
      <c r="O208" s="747"/>
      <c r="P208" s="757"/>
      <c r="Q208" s="771">
        <v>18683.627921397998</v>
      </c>
      <c r="R208" s="747"/>
      <c r="S208" s="757"/>
      <c r="T208" s="771">
        <v>20385.092827274158</v>
      </c>
      <c r="U208" s="747"/>
      <c r="V208" s="757"/>
      <c r="W208" s="771">
        <v>15995.75438182015</v>
      </c>
      <c r="X208" s="747"/>
      <c r="Y208" s="757"/>
      <c r="Z208" s="771">
        <v>16264.186953694872</v>
      </c>
      <c r="AA208" s="747"/>
      <c r="AB208" s="757"/>
      <c r="AC208" s="771">
        <v>18234.194518629949</v>
      </c>
      <c r="AD208" s="747"/>
      <c r="AE208" s="757"/>
      <c r="AF208" s="771">
        <v>15446.301172214462</v>
      </c>
      <c r="AG208" s="747"/>
      <c r="AH208" s="757"/>
      <c r="AI208" s="771">
        <v>20781.05484589054</v>
      </c>
      <c r="AJ208" s="747"/>
      <c r="AK208" s="757"/>
      <c r="AL208" s="771">
        <v>23584.250848731794</v>
      </c>
      <c r="AM208" s="747"/>
      <c r="AN208" s="757"/>
      <c r="AO208" s="771">
        <v>15179.970813201213</v>
      </c>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54" t="s">
        <v>125</v>
      </c>
      <c r="C209" s="780"/>
      <c r="D209" s="781"/>
      <c r="E209" s="782">
        <v>251846.5774620001</v>
      </c>
      <c r="F209" s="780"/>
      <c r="G209" s="781"/>
      <c r="H209" s="783">
        <v>18592.919823660137</v>
      </c>
      <c r="I209" s="780"/>
      <c r="J209" s="781"/>
      <c r="K209" s="783">
        <v>15935.46516578165</v>
      </c>
      <c r="L209" s="780"/>
      <c r="M209" s="781"/>
      <c r="N209" s="783">
        <v>17243.197485474484</v>
      </c>
      <c r="O209" s="780"/>
      <c r="P209" s="781"/>
      <c r="Q209" s="783">
        <v>22716.657737030167</v>
      </c>
      <c r="R209" s="780"/>
      <c r="S209" s="781"/>
      <c r="T209" s="783">
        <v>24785.39920849193</v>
      </c>
      <c r="U209" s="780"/>
      <c r="V209" s="781"/>
      <c r="W209" s="783">
        <v>19448.582420186616</v>
      </c>
      <c r="X209" s="780"/>
      <c r="Y209" s="781"/>
      <c r="Z209" s="783">
        <v>19774.9585868713</v>
      </c>
      <c r="AA209" s="780"/>
      <c r="AB209" s="781"/>
      <c r="AC209" s="783">
        <v>22170.210075514828</v>
      </c>
      <c r="AD209" s="780"/>
      <c r="AE209" s="781"/>
      <c r="AF209" s="783">
        <v>18780.524773265162</v>
      </c>
      <c r="AG209" s="780"/>
      <c r="AH209" s="781"/>
      <c r="AI209" s="783">
        <v>25266.833204695107</v>
      </c>
      <c r="AJ209" s="780"/>
      <c r="AK209" s="781"/>
      <c r="AL209" s="783">
        <v>28675.12437995584</v>
      </c>
      <c r="AM209" s="780"/>
      <c r="AN209" s="781"/>
      <c r="AO209" s="783">
        <v>18456.704601072841</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54" t="s">
        <v>126</v>
      </c>
      <c r="C210" s="747"/>
      <c r="D210" s="757"/>
      <c r="E210" s="758">
        <v>129755.73664890001</v>
      </c>
      <c r="F210" s="747"/>
      <c r="G210" s="757"/>
      <c r="H210" s="771">
        <v>9579.39564827707</v>
      </c>
      <c r="I210" s="747"/>
      <c r="J210" s="757"/>
      <c r="K210" s="771">
        <v>8210.2287919353275</v>
      </c>
      <c r="L210" s="747"/>
      <c r="M210" s="757"/>
      <c r="N210" s="771">
        <v>8883.9952262118532</v>
      </c>
      <c r="O210" s="747"/>
      <c r="P210" s="757"/>
      <c r="Q210" s="771">
        <v>11704.01713842641</v>
      </c>
      <c r="R210" s="747"/>
      <c r="S210" s="757"/>
      <c r="T210" s="771">
        <v>12769.868722636058</v>
      </c>
      <c r="U210" s="747"/>
      <c r="V210" s="757"/>
      <c r="W210" s="771">
        <v>10020.247899096146</v>
      </c>
      <c r="X210" s="747"/>
      <c r="Y210" s="757"/>
      <c r="Z210" s="771">
        <v>10188.402576279343</v>
      </c>
      <c r="AA210" s="747"/>
      <c r="AB210" s="757"/>
      <c r="AC210" s="771">
        <v>11422.477799776116</v>
      </c>
      <c r="AD210" s="747"/>
      <c r="AE210" s="757"/>
      <c r="AF210" s="771">
        <v>9676.0529810083535</v>
      </c>
      <c r="AG210" s="747"/>
      <c r="AH210" s="757"/>
      <c r="AI210" s="771">
        <v>13017.911890245086</v>
      </c>
      <c r="AJ210" s="747"/>
      <c r="AK210" s="757"/>
      <c r="AL210" s="771">
        <v>14773.922778368549</v>
      </c>
      <c r="AM210" s="747"/>
      <c r="AN210" s="757"/>
      <c r="AO210" s="771">
        <v>9509.2151966397014</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54" t="s">
        <v>127</v>
      </c>
      <c r="C211" s="747"/>
      <c r="D211" s="757"/>
      <c r="E211" s="758">
        <v>56574.231169000021</v>
      </c>
      <c r="F211" s="747"/>
      <c r="G211" s="757"/>
      <c r="H211" s="771">
        <v>4176.6703951700301</v>
      </c>
      <c r="I211" s="747"/>
      <c r="J211" s="757"/>
      <c r="K211" s="771">
        <v>3579.7059430379068</v>
      </c>
      <c r="L211" s="747"/>
      <c r="M211" s="757"/>
      <c r="N211" s="771">
        <v>3873.4718989109342</v>
      </c>
      <c r="O211" s="747"/>
      <c r="P211" s="757"/>
      <c r="Q211" s="771">
        <v>5103.0173177386605</v>
      </c>
      <c r="R211" s="747"/>
      <c r="S211" s="757"/>
      <c r="T211" s="771">
        <v>5567.7346048061572</v>
      </c>
      <c r="U211" s="747"/>
      <c r="V211" s="757"/>
      <c r="W211" s="771">
        <v>4368.8844567085871</v>
      </c>
      <c r="X211" s="747"/>
      <c r="Y211" s="757"/>
      <c r="Z211" s="771">
        <v>4442.2008419783351</v>
      </c>
      <c r="AA211" s="747"/>
      <c r="AB211" s="757"/>
      <c r="AC211" s="771">
        <v>4980.2645821808665</v>
      </c>
      <c r="AD211" s="747"/>
      <c r="AE211" s="757"/>
      <c r="AF211" s="771">
        <v>4218.8135360233337</v>
      </c>
      <c r="AG211" s="747"/>
      <c r="AH211" s="757"/>
      <c r="AI211" s="771">
        <v>5675.8828213445522</v>
      </c>
      <c r="AJ211" s="747"/>
      <c r="AK211" s="757"/>
      <c r="AL211" s="771">
        <v>6441.5134476712383</v>
      </c>
      <c r="AM211" s="747"/>
      <c r="AN211" s="757"/>
      <c r="AO211" s="771">
        <v>4146.0713234294062</v>
      </c>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44" t="s">
        <v>59</v>
      </c>
      <c r="C212" s="776"/>
      <c r="D212" s="784"/>
      <c r="E212" s="774">
        <v>0</v>
      </c>
      <c r="F212" s="776"/>
      <c r="G212" s="784"/>
      <c r="H212" s="774"/>
      <c r="I212" s="776"/>
      <c r="J212" s="784"/>
      <c r="K212" s="774"/>
      <c r="L212" s="776"/>
      <c r="M212" s="784"/>
      <c r="N212" s="774"/>
      <c r="O212" s="776"/>
      <c r="P212" s="784"/>
      <c r="Q212" s="774"/>
      <c r="R212" s="776"/>
      <c r="S212" s="784"/>
      <c r="T212" s="774"/>
      <c r="U212" s="776"/>
      <c r="V212" s="784"/>
      <c r="W212" s="774"/>
      <c r="X212" s="776"/>
      <c r="Y212" s="784"/>
      <c r="Z212" s="774"/>
      <c r="AA212" s="776"/>
      <c r="AB212" s="784"/>
      <c r="AC212" s="774"/>
      <c r="AD212" s="776"/>
      <c r="AE212" s="784"/>
      <c r="AF212" s="774"/>
      <c r="AG212" s="776"/>
      <c r="AH212" s="784"/>
      <c r="AI212" s="774"/>
      <c r="AJ212" s="776"/>
      <c r="AK212" s="784"/>
      <c r="AL212" s="774"/>
      <c r="AM212" s="776"/>
      <c r="AN212" s="784"/>
      <c r="AO212" s="774"/>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53" t="s">
        <v>128</v>
      </c>
      <c r="C213" s="777" t="s">
        <v>175</v>
      </c>
      <c r="D213" s="778">
        <v>0.55787683311120495</v>
      </c>
      <c r="E213" s="779">
        <v>1521936.0497664001</v>
      </c>
      <c r="F213" s="777" t="s">
        <v>175</v>
      </c>
      <c r="G213" s="778">
        <v>0.77433853825004284</v>
      </c>
      <c r="H213" s="779">
        <v>123318.97882170622</v>
      </c>
      <c r="I213" s="777" t="s">
        <v>175</v>
      </c>
      <c r="J213" s="778">
        <v>0.70413284127404452</v>
      </c>
      <c r="K213" s="779">
        <v>103142.01003260708</v>
      </c>
      <c r="L213" s="777" t="s">
        <v>175</v>
      </c>
      <c r="M213" s="778">
        <v>0.61388407405033896</v>
      </c>
      <c r="N213" s="779">
        <v>108631.33698579101</v>
      </c>
      <c r="O213" s="777" t="s">
        <v>175</v>
      </c>
      <c r="P213" s="778">
        <v>0.46990729683782723</v>
      </c>
      <c r="Q213" s="779">
        <v>132182.13183951634</v>
      </c>
      <c r="R213" s="777" t="s">
        <v>175</v>
      </c>
      <c r="S213" s="778">
        <v>0.53235791776872299</v>
      </c>
      <c r="T213" s="779">
        <v>149295.35716336215</v>
      </c>
      <c r="U213" s="777" t="s">
        <v>175</v>
      </c>
      <c r="V213" s="778">
        <v>0.55782138141380144</v>
      </c>
      <c r="W213" s="779">
        <v>116226.32707473458</v>
      </c>
      <c r="X213" s="777" t="s">
        <v>175</v>
      </c>
      <c r="Y213" s="778">
        <v>0.5503839092775864</v>
      </c>
      <c r="Z213" s="779">
        <v>117062.60687574693</v>
      </c>
      <c r="AA213" s="777" t="s">
        <v>175</v>
      </c>
      <c r="AB213" s="778">
        <v>0.60523123757790875</v>
      </c>
      <c r="AC213" s="779">
        <v>135401.27311225561</v>
      </c>
      <c r="AD213" s="777" t="s">
        <v>175</v>
      </c>
      <c r="AE213" s="778">
        <v>0.58858015769931238</v>
      </c>
      <c r="AF213" s="779">
        <v>113542.50501943439</v>
      </c>
      <c r="AG213" s="777" t="s">
        <v>175</v>
      </c>
      <c r="AH213" s="778">
        <v>0.54518635396710236</v>
      </c>
      <c r="AI213" s="779">
        <v>151112.17177832912</v>
      </c>
      <c r="AJ213" s="777" t="s">
        <v>175</v>
      </c>
      <c r="AK213" s="778">
        <v>0.41614706409759455</v>
      </c>
      <c r="AL213" s="779">
        <v>157364.48585165048</v>
      </c>
      <c r="AM213" s="777" t="s">
        <v>175</v>
      </c>
      <c r="AN213" s="778">
        <v>0.60138203534635759</v>
      </c>
      <c r="AO213" s="779">
        <v>114656.86521126625</v>
      </c>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44" t="s">
        <v>129</v>
      </c>
      <c r="C214" s="747"/>
      <c r="D214" s="757"/>
      <c r="E214" s="758">
        <v>138023</v>
      </c>
      <c r="F214" s="747"/>
      <c r="G214" s="757"/>
      <c r="H214" s="771">
        <v>11228.568621345197</v>
      </c>
      <c r="I214" s="747"/>
      <c r="J214" s="757"/>
      <c r="K214" s="771">
        <v>9736.4003213985779</v>
      </c>
      <c r="L214" s="747"/>
      <c r="M214" s="757"/>
      <c r="N214" s="771">
        <v>10839.431623746961</v>
      </c>
      <c r="O214" s="747"/>
      <c r="P214" s="757"/>
      <c r="Q214" s="771">
        <v>14414.766996886956</v>
      </c>
      <c r="R214" s="747"/>
      <c r="S214" s="757"/>
      <c r="T214" s="771">
        <v>12567.820151081718</v>
      </c>
      <c r="U214" s="747"/>
      <c r="V214" s="757"/>
      <c r="W214" s="771">
        <v>9744.3257822776013</v>
      </c>
      <c r="X214" s="747"/>
      <c r="Y214" s="757"/>
      <c r="Z214" s="771">
        <v>9556.1841615752273</v>
      </c>
      <c r="AA214" s="747"/>
      <c r="AB214" s="757"/>
      <c r="AC214" s="771">
        <v>9545.5303275157585</v>
      </c>
      <c r="AD214" s="747"/>
      <c r="AE214" s="757"/>
      <c r="AF214" s="771">
        <v>10872.379567878703</v>
      </c>
      <c r="AG214" s="747"/>
      <c r="AH214" s="757"/>
      <c r="AI214" s="771">
        <v>12414.998632541719</v>
      </c>
      <c r="AJ214" s="747"/>
      <c r="AK214" s="757"/>
      <c r="AL214" s="771">
        <v>16629.592755232628</v>
      </c>
      <c r="AM214" s="747"/>
      <c r="AN214" s="757"/>
      <c r="AO214" s="771">
        <v>10473.001058518952</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44" t="s">
        <v>130</v>
      </c>
      <c r="C215" s="747"/>
      <c r="D215" s="757"/>
      <c r="E215" s="758">
        <v>41066.128839884514</v>
      </c>
      <c r="F215" s="747"/>
      <c r="G215" s="757"/>
      <c r="H215" s="771">
        <v>3422.1774033237093</v>
      </c>
      <c r="I215" s="747"/>
      <c r="J215" s="757"/>
      <c r="K215" s="771">
        <v>3422.1774033237093</v>
      </c>
      <c r="L215" s="747"/>
      <c r="M215" s="757"/>
      <c r="N215" s="771">
        <v>3422.1774033237093</v>
      </c>
      <c r="O215" s="747"/>
      <c r="P215" s="757"/>
      <c r="Q215" s="771">
        <v>3422.1774033237093</v>
      </c>
      <c r="R215" s="747"/>
      <c r="S215" s="757"/>
      <c r="T215" s="771">
        <v>3422.1774033237093</v>
      </c>
      <c r="U215" s="747"/>
      <c r="V215" s="757"/>
      <c r="W215" s="771">
        <v>3422.1774033237093</v>
      </c>
      <c r="X215" s="747"/>
      <c r="Y215" s="757"/>
      <c r="Z215" s="771">
        <v>3422.1774033237093</v>
      </c>
      <c r="AA215" s="747"/>
      <c r="AB215" s="757"/>
      <c r="AC215" s="771">
        <v>3422.1774033237093</v>
      </c>
      <c r="AD215" s="747"/>
      <c r="AE215" s="757"/>
      <c r="AF215" s="771">
        <v>3422.1774033237093</v>
      </c>
      <c r="AG215" s="747"/>
      <c r="AH215" s="757"/>
      <c r="AI215" s="771">
        <v>3422.1774033237093</v>
      </c>
      <c r="AJ215" s="747"/>
      <c r="AK215" s="757"/>
      <c r="AL215" s="771">
        <v>3422.1774033237093</v>
      </c>
      <c r="AM215" s="747"/>
      <c r="AN215" s="757"/>
      <c r="AO215" s="771">
        <v>3422.1774033237093</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43" t="s">
        <v>131</v>
      </c>
      <c r="C216" s="776"/>
      <c r="D216" s="784"/>
      <c r="E216" s="774">
        <v>157004.8722666667</v>
      </c>
      <c r="F216" s="776"/>
      <c r="G216" s="784"/>
      <c r="H216" s="775">
        <v>11083.739355555555</v>
      </c>
      <c r="I216" s="776"/>
      <c r="J216" s="784"/>
      <c r="K216" s="775">
        <v>11083.739355555555</v>
      </c>
      <c r="L216" s="776"/>
      <c r="M216" s="784"/>
      <c r="N216" s="775">
        <v>14083.739355555555</v>
      </c>
      <c r="O216" s="776"/>
      <c r="P216" s="784"/>
      <c r="Q216" s="775">
        <v>16083.739355555555</v>
      </c>
      <c r="R216" s="776"/>
      <c r="S216" s="784"/>
      <c r="T216" s="775">
        <v>16083.739355555555</v>
      </c>
      <c r="U216" s="776"/>
      <c r="V216" s="784"/>
      <c r="W216" s="775">
        <v>11083.739355555555</v>
      </c>
      <c r="X216" s="776"/>
      <c r="Y216" s="784"/>
      <c r="Z216" s="775">
        <v>11083.739355555555</v>
      </c>
      <c r="AA216" s="776"/>
      <c r="AB216" s="784"/>
      <c r="AC216" s="775">
        <v>11083.739355555555</v>
      </c>
      <c r="AD216" s="776"/>
      <c r="AE216" s="784"/>
      <c r="AF216" s="775">
        <v>11083.739355555555</v>
      </c>
      <c r="AG216" s="776"/>
      <c r="AH216" s="784"/>
      <c r="AI216" s="775">
        <v>14083.739355555555</v>
      </c>
      <c r="AJ216" s="776"/>
      <c r="AK216" s="784"/>
      <c r="AL216" s="775">
        <v>19083.739355555554</v>
      </c>
      <c r="AM216" s="776"/>
      <c r="AN216" s="784"/>
      <c r="AO216" s="775">
        <v>11083.739355555555</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44" t="s">
        <v>132</v>
      </c>
      <c r="C217" s="747"/>
      <c r="D217" s="757"/>
      <c r="E217" s="758">
        <v>57399.793648640007</v>
      </c>
      <c r="F217" s="747"/>
      <c r="G217" s="757"/>
      <c r="H217" s="771">
        <v>4783.316137386666</v>
      </c>
      <c r="I217" s="747"/>
      <c r="J217" s="757"/>
      <c r="K217" s="771">
        <v>4783.316137386666</v>
      </c>
      <c r="L217" s="747"/>
      <c r="M217" s="757"/>
      <c r="N217" s="771">
        <v>4783.316137386666</v>
      </c>
      <c r="O217" s="747"/>
      <c r="P217" s="757"/>
      <c r="Q217" s="771">
        <v>4783.316137386666</v>
      </c>
      <c r="R217" s="747"/>
      <c r="S217" s="757"/>
      <c r="T217" s="771">
        <v>4783.316137386666</v>
      </c>
      <c r="U217" s="747"/>
      <c r="V217" s="757"/>
      <c r="W217" s="771">
        <v>4783.316137386666</v>
      </c>
      <c r="X217" s="747"/>
      <c r="Y217" s="757"/>
      <c r="Z217" s="771">
        <v>4783.316137386666</v>
      </c>
      <c r="AA217" s="747"/>
      <c r="AB217" s="757"/>
      <c r="AC217" s="771">
        <v>4783.316137386666</v>
      </c>
      <c r="AD217" s="747"/>
      <c r="AE217" s="757"/>
      <c r="AF217" s="771">
        <v>4783.316137386666</v>
      </c>
      <c r="AG217" s="747"/>
      <c r="AH217" s="757"/>
      <c r="AI217" s="771">
        <v>4783.316137386666</v>
      </c>
      <c r="AJ217" s="747"/>
      <c r="AK217" s="757"/>
      <c r="AL217" s="771">
        <v>4783.316137386666</v>
      </c>
      <c r="AM217" s="747"/>
      <c r="AN217" s="757"/>
      <c r="AO217" s="771">
        <v>4783.316137386666</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44" t="s">
        <v>133</v>
      </c>
      <c r="C218" s="747"/>
      <c r="D218" s="757"/>
      <c r="E218" s="758">
        <v>12610.502167124281</v>
      </c>
      <c r="F218" s="747"/>
      <c r="G218" s="757"/>
      <c r="H218" s="771">
        <v>1050.8751805936904</v>
      </c>
      <c r="I218" s="747"/>
      <c r="J218" s="757"/>
      <c r="K218" s="771">
        <v>1050.8751805936904</v>
      </c>
      <c r="L218" s="747"/>
      <c r="M218" s="757"/>
      <c r="N218" s="771">
        <v>1050.8751805936904</v>
      </c>
      <c r="O218" s="747"/>
      <c r="P218" s="757"/>
      <c r="Q218" s="771">
        <v>1050.8751805936904</v>
      </c>
      <c r="R218" s="747"/>
      <c r="S218" s="757"/>
      <c r="T218" s="771">
        <v>1050.8751805936904</v>
      </c>
      <c r="U218" s="747"/>
      <c r="V218" s="757"/>
      <c r="W218" s="771">
        <v>1050.8751805936904</v>
      </c>
      <c r="X218" s="747"/>
      <c r="Y218" s="757"/>
      <c r="Z218" s="771">
        <v>1050.8751805936904</v>
      </c>
      <c r="AA218" s="747"/>
      <c r="AB218" s="757"/>
      <c r="AC218" s="771">
        <v>1050.8751805936904</v>
      </c>
      <c r="AD218" s="747"/>
      <c r="AE218" s="757"/>
      <c r="AF218" s="771">
        <v>1050.8751805936904</v>
      </c>
      <c r="AG218" s="747"/>
      <c r="AH218" s="757"/>
      <c r="AI218" s="771">
        <v>1050.8751805936904</v>
      </c>
      <c r="AJ218" s="747"/>
      <c r="AK218" s="757"/>
      <c r="AL218" s="771">
        <v>1050.8751805936904</v>
      </c>
      <c r="AM218" s="747"/>
      <c r="AN218" s="757"/>
      <c r="AO218" s="771">
        <v>1050.8751805936904</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43" t="s">
        <v>134</v>
      </c>
      <c r="C219" s="776"/>
      <c r="D219" s="784"/>
      <c r="E219" s="774">
        <v>153538.78146020445</v>
      </c>
      <c r="F219" s="776"/>
      <c r="G219" s="784"/>
      <c r="H219" s="775">
        <v>11128.231788350371</v>
      </c>
      <c r="I219" s="776"/>
      <c r="J219" s="784"/>
      <c r="K219" s="775">
        <v>11128.231788350371</v>
      </c>
      <c r="L219" s="776"/>
      <c r="M219" s="784"/>
      <c r="N219" s="775">
        <v>11128.231788350371</v>
      </c>
      <c r="O219" s="776"/>
      <c r="P219" s="784"/>
      <c r="Q219" s="775">
        <v>15128.231788350371</v>
      </c>
      <c r="R219" s="776"/>
      <c r="S219" s="784"/>
      <c r="T219" s="775">
        <v>15128.231788350371</v>
      </c>
      <c r="U219" s="776"/>
      <c r="V219" s="784"/>
      <c r="W219" s="775">
        <v>11128.231788350371</v>
      </c>
      <c r="X219" s="776"/>
      <c r="Y219" s="784"/>
      <c r="Z219" s="775">
        <v>11128.231788350371</v>
      </c>
      <c r="AA219" s="776"/>
      <c r="AB219" s="784"/>
      <c r="AC219" s="775">
        <v>15128.231788350371</v>
      </c>
      <c r="AD219" s="776"/>
      <c r="AE219" s="784"/>
      <c r="AF219" s="775">
        <v>11128.231788350371</v>
      </c>
      <c r="AG219" s="776"/>
      <c r="AH219" s="784"/>
      <c r="AI219" s="775">
        <v>15128.231788350371</v>
      </c>
      <c r="AJ219" s="776"/>
      <c r="AK219" s="784"/>
      <c r="AL219" s="775">
        <v>15128.231788350371</v>
      </c>
      <c r="AM219" s="776"/>
      <c r="AN219" s="784"/>
      <c r="AO219" s="775">
        <v>11128.231788350371</v>
      </c>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44" t="s">
        <v>490</v>
      </c>
      <c r="C220" s="747"/>
      <c r="D220" s="757"/>
      <c r="E220" s="758">
        <v>0</v>
      </c>
      <c r="F220" s="747"/>
      <c r="G220" s="757"/>
      <c r="H220" s="771">
        <v>0</v>
      </c>
      <c r="I220" s="747"/>
      <c r="J220" s="757"/>
      <c r="K220" s="771">
        <v>0</v>
      </c>
      <c r="L220" s="747"/>
      <c r="M220" s="757"/>
      <c r="N220" s="771">
        <v>0</v>
      </c>
      <c r="O220" s="747"/>
      <c r="P220" s="757"/>
      <c r="Q220" s="771">
        <v>0</v>
      </c>
      <c r="R220" s="747"/>
      <c r="S220" s="757"/>
      <c r="T220" s="771">
        <v>0</v>
      </c>
      <c r="U220" s="747"/>
      <c r="V220" s="757"/>
      <c r="W220" s="771">
        <v>0</v>
      </c>
      <c r="X220" s="747"/>
      <c r="Y220" s="757"/>
      <c r="Z220" s="771">
        <v>0</v>
      </c>
      <c r="AA220" s="747"/>
      <c r="AB220" s="757"/>
      <c r="AC220" s="771">
        <v>0</v>
      </c>
      <c r="AD220" s="747"/>
      <c r="AE220" s="757"/>
      <c r="AF220" s="771">
        <v>0</v>
      </c>
      <c r="AG220" s="747"/>
      <c r="AH220" s="757"/>
      <c r="AI220" s="771">
        <v>0</v>
      </c>
      <c r="AJ220" s="747"/>
      <c r="AK220" s="757"/>
      <c r="AL220" s="771">
        <v>0</v>
      </c>
      <c r="AM220" s="747"/>
      <c r="AN220" s="757"/>
      <c r="AO220" s="771">
        <v>0</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ref="A221:A236" si="3">+$C$171&amp;B221</f>
        <v>ServiceFournitures autres</v>
      </c>
      <c r="B221" s="44" t="s">
        <v>135</v>
      </c>
      <c r="C221" s="747"/>
      <c r="D221" s="757"/>
      <c r="E221" s="758">
        <v>57239.045066666695</v>
      </c>
      <c r="F221" s="747"/>
      <c r="G221" s="757"/>
      <c r="H221" s="771">
        <v>4769.9204222222234</v>
      </c>
      <c r="I221" s="747"/>
      <c r="J221" s="757"/>
      <c r="K221" s="771">
        <v>4769.9204222222234</v>
      </c>
      <c r="L221" s="747"/>
      <c r="M221" s="757"/>
      <c r="N221" s="771">
        <v>4769.9204222222234</v>
      </c>
      <c r="O221" s="747"/>
      <c r="P221" s="757"/>
      <c r="Q221" s="771">
        <v>4769.9204222222234</v>
      </c>
      <c r="R221" s="747"/>
      <c r="S221" s="757"/>
      <c r="T221" s="771">
        <v>4769.9204222222234</v>
      </c>
      <c r="U221" s="747"/>
      <c r="V221" s="757"/>
      <c r="W221" s="771">
        <v>4769.9204222222234</v>
      </c>
      <c r="X221" s="747"/>
      <c r="Y221" s="757"/>
      <c r="Z221" s="771">
        <v>4769.9204222222234</v>
      </c>
      <c r="AA221" s="747"/>
      <c r="AB221" s="757"/>
      <c r="AC221" s="771">
        <v>4769.9204222222234</v>
      </c>
      <c r="AD221" s="747"/>
      <c r="AE221" s="757"/>
      <c r="AF221" s="771">
        <v>4769.9204222222234</v>
      </c>
      <c r="AG221" s="747"/>
      <c r="AH221" s="757"/>
      <c r="AI221" s="771">
        <v>4769.9204222222234</v>
      </c>
      <c r="AJ221" s="747"/>
      <c r="AK221" s="757"/>
      <c r="AL221" s="771">
        <v>4769.9204222222234</v>
      </c>
      <c r="AM221" s="747"/>
      <c r="AN221" s="757"/>
      <c r="AO221" s="771">
        <v>4769.9204222222234</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3"/>
        <v>ServiceUniformes</v>
      </c>
      <c r="B222" s="44" t="s">
        <v>136</v>
      </c>
      <c r="C222" s="747"/>
      <c r="D222" s="757"/>
      <c r="E222" s="758">
        <v>14645.584881437009</v>
      </c>
      <c r="F222" s="747"/>
      <c r="G222" s="757"/>
      <c r="H222" s="771">
        <v>1220.4654067864171</v>
      </c>
      <c r="I222" s="747"/>
      <c r="J222" s="757"/>
      <c r="K222" s="771">
        <v>1220.4654067864171</v>
      </c>
      <c r="L222" s="747"/>
      <c r="M222" s="757"/>
      <c r="N222" s="771">
        <v>1220.4654067864171</v>
      </c>
      <c r="O222" s="747"/>
      <c r="P222" s="757"/>
      <c r="Q222" s="771">
        <v>1220.4654067864171</v>
      </c>
      <c r="R222" s="747"/>
      <c r="S222" s="757"/>
      <c r="T222" s="771">
        <v>1220.4654067864171</v>
      </c>
      <c r="U222" s="747"/>
      <c r="V222" s="757"/>
      <c r="W222" s="771">
        <v>1220.4654067864171</v>
      </c>
      <c r="X222" s="747"/>
      <c r="Y222" s="757"/>
      <c r="Z222" s="771">
        <v>1220.4654067864171</v>
      </c>
      <c r="AA222" s="747"/>
      <c r="AB222" s="757"/>
      <c r="AC222" s="771">
        <v>1220.4654067864171</v>
      </c>
      <c r="AD222" s="747"/>
      <c r="AE222" s="757"/>
      <c r="AF222" s="771">
        <v>1220.4654067864171</v>
      </c>
      <c r="AG222" s="747"/>
      <c r="AH222" s="757"/>
      <c r="AI222" s="771">
        <v>1220.4654067864171</v>
      </c>
      <c r="AJ222" s="747"/>
      <c r="AK222" s="757"/>
      <c r="AL222" s="771">
        <v>1220.4654067864171</v>
      </c>
      <c r="AM222" s="747"/>
      <c r="AN222" s="757"/>
      <c r="AO222" s="771">
        <v>1220.4654067864171</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3"/>
        <v>ServicePapeterie</v>
      </c>
      <c r="B223" s="44" t="s">
        <v>137</v>
      </c>
      <c r="C223" s="747"/>
      <c r="D223" s="757"/>
      <c r="E223" s="758">
        <v>9996.6497970220807</v>
      </c>
      <c r="F223" s="747"/>
      <c r="G223" s="757"/>
      <c r="H223" s="771">
        <v>833.0541497518401</v>
      </c>
      <c r="I223" s="747"/>
      <c r="J223" s="757"/>
      <c r="K223" s="771">
        <v>833.0541497518401</v>
      </c>
      <c r="L223" s="747"/>
      <c r="M223" s="757"/>
      <c r="N223" s="771">
        <v>833.0541497518401</v>
      </c>
      <c r="O223" s="747"/>
      <c r="P223" s="757"/>
      <c r="Q223" s="771">
        <v>833.0541497518401</v>
      </c>
      <c r="R223" s="747"/>
      <c r="S223" s="757"/>
      <c r="T223" s="771">
        <v>833.0541497518401</v>
      </c>
      <c r="U223" s="747"/>
      <c r="V223" s="757"/>
      <c r="W223" s="771">
        <v>833.0541497518401</v>
      </c>
      <c r="X223" s="747"/>
      <c r="Y223" s="757"/>
      <c r="Z223" s="771">
        <v>833.0541497518401</v>
      </c>
      <c r="AA223" s="747"/>
      <c r="AB223" s="757"/>
      <c r="AC223" s="771">
        <v>833.0541497518401</v>
      </c>
      <c r="AD223" s="747"/>
      <c r="AE223" s="757"/>
      <c r="AF223" s="771">
        <v>833.0541497518401</v>
      </c>
      <c r="AG223" s="747"/>
      <c r="AH223" s="757"/>
      <c r="AI223" s="771">
        <v>833.0541497518401</v>
      </c>
      <c r="AJ223" s="747"/>
      <c r="AK223" s="757"/>
      <c r="AL223" s="771">
        <v>833.0541497518401</v>
      </c>
      <c r="AM223" s="747"/>
      <c r="AN223" s="757"/>
      <c r="AO223" s="771">
        <v>833.0541497518401</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3"/>
        <v>ServiceTéléphone</v>
      </c>
      <c r="B224" s="44" t="s">
        <v>138</v>
      </c>
      <c r="C224" s="747"/>
      <c r="D224" s="757"/>
      <c r="E224" s="758">
        <v>2150.4540202618405</v>
      </c>
      <c r="F224" s="747"/>
      <c r="G224" s="757"/>
      <c r="H224" s="771">
        <v>179.20450168848672</v>
      </c>
      <c r="I224" s="747"/>
      <c r="J224" s="757"/>
      <c r="K224" s="771">
        <v>179.20450168848672</v>
      </c>
      <c r="L224" s="747"/>
      <c r="M224" s="757"/>
      <c r="N224" s="771">
        <v>179.20450168848672</v>
      </c>
      <c r="O224" s="747"/>
      <c r="P224" s="757"/>
      <c r="Q224" s="771">
        <v>179.20450168848672</v>
      </c>
      <c r="R224" s="747"/>
      <c r="S224" s="757"/>
      <c r="T224" s="771">
        <v>179.20450168848672</v>
      </c>
      <c r="U224" s="747"/>
      <c r="V224" s="757"/>
      <c r="W224" s="771">
        <v>179.20450168848672</v>
      </c>
      <c r="X224" s="747"/>
      <c r="Y224" s="757"/>
      <c r="Z224" s="771">
        <v>179.20450168848672</v>
      </c>
      <c r="AA224" s="747"/>
      <c r="AB224" s="757"/>
      <c r="AC224" s="771">
        <v>179.20450168848672</v>
      </c>
      <c r="AD224" s="747"/>
      <c r="AE224" s="757"/>
      <c r="AF224" s="771">
        <v>179.20450168848672</v>
      </c>
      <c r="AG224" s="747"/>
      <c r="AH224" s="757"/>
      <c r="AI224" s="771">
        <v>179.20450168848672</v>
      </c>
      <c r="AJ224" s="747"/>
      <c r="AK224" s="757"/>
      <c r="AL224" s="771">
        <v>179.20450168848672</v>
      </c>
      <c r="AM224" s="747"/>
      <c r="AN224" s="757"/>
      <c r="AO224" s="771">
        <v>179.20450168848672</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3"/>
        <v>ServiceFrais postaux</v>
      </c>
      <c r="B225" s="44" t="s">
        <v>139</v>
      </c>
      <c r="C225" s="747"/>
      <c r="D225" s="757"/>
      <c r="E225" s="758">
        <v>1113.4868553157601</v>
      </c>
      <c r="F225" s="747"/>
      <c r="G225" s="757"/>
      <c r="H225" s="771">
        <v>92.790571276313315</v>
      </c>
      <c r="I225" s="747"/>
      <c r="J225" s="757"/>
      <c r="K225" s="771">
        <v>92.790571276313315</v>
      </c>
      <c r="L225" s="747"/>
      <c r="M225" s="757"/>
      <c r="N225" s="771">
        <v>92.790571276313315</v>
      </c>
      <c r="O225" s="747"/>
      <c r="P225" s="757"/>
      <c r="Q225" s="771">
        <v>92.790571276313315</v>
      </c>
      <c r="R225" s="747"/>
      <c r="S225" s="757"/>
      <c r="T225" s="771">
        <v>92.790571276313315</v>
      </c>
      <c r="U225" s="747"/>
      <c r="V225" s="757"/>
      <c r="W225" s="771">
        <v>92.790571276313315</v>
      </c>
      <c r="X225" s="747"/>
      <c r="Y225" s="757"/>
      <c r="Z225" s="771">
        <v>92.790571276313315</v>
      </c>
      <c r="AA225" s="747"/>
      <c r="AB225" s="757"/>
      <c r="AC225" s="771">
        <v>92.790571276313315</v>
      </c>
      <c r="AD225" s="747"/>
      <c r="AE225" s="757"/>
      <c r="AF225" s="771">
        <v>92.790571276313315</v>
      </c>
      <c r="AG225" s="747"/>
      <c r="AH225" s="757"/>
      <c r="AI225" s="771">
        <v>92.790571276313315</v>
      </c>
      <c r="AJ225" s="747"/>
      <c r="AK225" s="757"/>
      <c r="AL225" s="771">
        <v>92.790571276313315</v>
      </c>
      <c r="AM225" s="747"/>
      <c r="AN225" s="757"/>
      <c r="AO225" s="771">
        <v>92.790571276313315</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3"/>
        <v>ServiceDivers</v>
      </c>
      <c r="B226" s="44" t="s">
        <v>140</v>
      </c>
      <c r="C226" s="747"/>
      <c r="D226" s="757"/>
      <c r="E226" s="758">
        <v>1829.4114225114397</v>
      </c>
      <c r="F226" s="747"/>
      <c r="G226" s="757"/>
      <c r="H226" s="771">
        <v>152.45095187595334</v>
      </c>
      <c r="I226" s="747"/>
      <c r="J226" s="757"/>
      <c r="K226" s="771">
        <v>152.45095187595334</v>
      </c>
      <c r="L226" s="747"/>
      <c r="M226" s="757"/>
      <c r="N226" s="771">
        <v>152.45095187595334</v>
      </c>
      <c r="O226" s="747"/>
      <c r="P226" s="757"/>
      <c r="Q226" s="771">
        <v>152.45095187595334</v>
      </c>
      <c r="R226" s="747"/>
      <c r="S226" s="757"/>
      <c r="T226" s="771">
        <v>152.45095187595334</v>
      </c>
      <c r="U226" s="747"/>
      <c r="V226" s="757"/>
      <c r="W226" s="771">
        <v>152.45095187595334</v>
      </c>
      <c r="X226" s="747"/>
      <c r="Y226" s="757"/>
      <c r="Z226" s="771">
        <v>152.45095187595334</v>
      </c>
      <c r="AA226" s="747"/>
      <c r="AB226" s="757"/>
      <c r="AC226" s="771">
        <v>152.45095187595334</v>
      </c>
      <c r="AD226" s="747"/>
      <c r="AE226" s="757"/>
      <c r="AF226" s="771">
        <v>152.45095187595334</v>
      </c>
      <c r="AG226" s="747"/>
      <c r="AH226" s="757"/>
      <c r="AI226" s="771">
        <v>152.45095187595334</v>
      </c>
      <c r="AJ226" s="747"/>
      <c r="AK226" s="757"/>
      <c r="AL226" s="771">
        <v>152.45095187595334</v>
      </c>
      <c r="AM226" s="747"/>
      <c r="AN226" s="757"/>
      <c r="AO226" s="771">
        <v>152.45095187595334</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3"/>
        <v>ServiceFormation</v>
      </c>
      <c r="B227" s="44" t="s">
        <v>141</v>
      </c>
      <c r="C227" s="747"/>
      <c r="D227" s="757"/>
      <c r="E227" s="758">
        <v>36798.160786229833</v>
      </c>
      <c r="F227" s="747"/>
      <c r="G227" s="757"/>
      <c r="H227" s="771">
        <v>3066.5133988524863</v>
      </c>
      <c r="I227" s="747"/>
      <c r="J227" s="757"/>
      <c r="K227" s="771">
        <v>3066.5133988524863</v>
      </c>
      <c r="L227" s="747"/>
      <c r="M227" s="757"/>
      <c r="N227" s="771">
        <v>3066.5133988524863</v>
      </c>
      <c r="O227" s="747"/>
      <c r="P227" s="757"/>
      <c r="Q227" s="771">
        <v>3066.5133988524863</v>
      </c>
      <c r="R227" s="747"/>
      <c r="S227" s="757"/>
      <c r="T227" s="771">
        <v>3066.5133988524863</v>
      </c>
      <c r="U227" s="747"/>
      <c r="V227" s="757"/>
      <c r="W227" s="771">
        <v>3066.5133988524863</v>
      </c>
      <c r="X227" s="747"/>
      <c r="Y227" s="757"/>
      <c r="Z227" s="771">
        <v>3066.5133988524863</v>
      </c>
      <c r="AA227" s="747"/>
      <c r="AB227" s="757"/>
      <c r="AC227" s="771">
        <v>3066.5133988524863</v>
      </c>
      <c r="AD227" s="747"/>
      <c r="AE227" s="757"/>
      <c r="AF227" s="771">
        <v>3066.5133988524863</v>
      </c>
      <c r="AG227" s="747"/>
      <c r="AH227" s="757"/>
      <c r="AI227" s="771">
        <v>3066.5133988524863</v>
      </c>
      <c r="AJ227" s="747"/>
      <c r="AK227" s="757"/>
      <c r="AL227" s="771">
        <v>3066.5133988524863</v>
      </c>
      <c r="AM227" s="747"/>
      <c r="AN227" s="757"/>
      <c r="AO227" s="771">
        <v>3066.5133988524863</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3"/>
        <v>ServiceFrais bancaires</v>
      </c>
      <c r="B228" s="44" t="s">
        <v>142</v>
      </c>
      <c r="C228" s="747"/>
      <c r="D228" s="757"/>
      <c r="E228" s="758">
        <v>22449.928263245911</v>
      </c>
      <c r="F228" s="747"/>
      <c r="G228" s="757"/>
      <c r="H228" s="771">
        <v>1464.7774009622808</v>
      </c>
      <c r="I228" s="747"/>
      <c r="J228" s="757"/>
      <c r="K228" s="771">
        <v>1412.3143300449135</v>
      </c>
      <c r="L228" s="747"/>
      <c r="M228" s="757"/>
      <c r="N228" s="771">
        <v>1494.2351851857379</v>
      </c>
      <c r="O228" s="747"/>
      <c r="P228" s="757"/>
      <c r="Q228" s="771">
        <v>1957.9497075888899</v>
      </c>
      <c r="R228" s="747"/>
      <c r="S228" s="757"/>
      <c r="T228" s="771">
        <v>2081.5147954694116</v>
      </c>
      <c r="U228" s="747"/>
      <c r="V228" s="757"/>
      <c r="W228" s="771">
        <v>1939.0455947668659</v>
      </c>
      <c r="X228" s="747"/>
      <c r="Y228" s="757"/>
      <c r="Z228" s="771">
        <v>1895.3289853790277</v>
      </c>
      <c r="AA228" s="747"/>
      <c r="AB228" s="757"/>
      <c r="AC228" s="771">
        <v>2049.8934037645467</v>
      </c>
      <c r="AD228" s="747"/>
      <c r="AE228" s="757"/>
      <c r="AF228" s="771">
        <v>1667.3948849465926</v>
      </c>
      <c r="AG228" s="747"/>
      <c r="AH228" s="757"/>
      <c r="AI228" s="771">
        <v>2251.29363296273</v>
      </c>
      <c r="AJ228" s="747"/>
      <c r="AK228" s="757"/>
      <c r="AL228" s="771">
        <v>2646.6733264660766</v>
      </c>
      <c r="AM228" s="747"/>
      <c r="AN228" s="757"/>
      <c r="AO228" s="771">
        <v>1589.5070157088385</v>
      </c>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3"/>
        <v>Service[...]</v>
      </c>
      <c r="B229" s="44" t="s">
        <v>59</v>
      </c>
      <c r="C229" s="747"/>
      <c r="D229" s="757"/>
      <c r="E229" s="758">
        <v>0</v>
      </c>
      <c r="F229" s="747"/>
      <c r="G229" s="757"/>
      <c r="H229" s="758"/>
      <c r="I229" s="747"/>
      <c r="J229" s="757"/>
      <c r="K229" s="758"/>
      <c r="L229" s="747"/>
      <c r="M229" s="757"/>
      <c r="N229" s="758"/>
      <c r="O229" s="747"/>
      <c r="P229" s="757"/>
      <c r="Q229" s="758"/>
      <c r="R229" s="747"/>
      <c r="S229" s="757"/>
      <c r="T229" s="758"/>
      <c r="U229" s="747"/>
      <c r="V229" s="757"/>
      <c r="W229" s="758"/>
      <c r="X229" s="747"/>
      <c r="Y229" s="757"/>
      <c r="Z229" s="758"/>
      <c r="AA229" s="747"/>
      <c r="AB229" s="757"/>
      <c r="AC229" s="758"/>
      <c r="AD229" s="747"/>
      <c r="AE229" s="757"/>
      <c r="AF229" s="758"/>
      <c r="AG229" s="747"/>
      <c r="AH229" s="757"/>
      <c r="AI229" s="758"/>
      <c r="AJ229" s="747"/>
      <c r="AK229" s="757"/>
      <c r="AL229" s="758"/>
      <c r="AM229" s="747"/>
      <c r="AN229" s="757"/>
      <c r="AO229" s="758"/>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3"/>
        <v>Service[...]</v>
      </c>
      <c r="B230" s="44" t="s">
        <v>59</v>
      </c>
      <c r="C230" s="747"/>
      <c r="D230" s="757"/>
      <c r="E230" s="758">
        <v>0</v>
      </c>
      <c r="F230" s="747"/>
      <c r="G230" s="757"/>
      <c r="H230" s="758"/>
      <c r="I230" s="747"/>
      <c r="J230" s="757"/>
      <c r="K230" s="758"/>
      <c r="L230" s="747"/>
      <c r="M230" s="757"/>
      <c r="N230" s="758"/>
      <c r="O230" s="747"/>
      <c r="P230" s="757"/>
      <c r="Q230" s="758"/>
      <c r="R230" s="747"/>
      <c r="S230" s="757"/>
      <c r="T230" s="758"/>
      <c r="U230" s="747"/>
      <c r="V230" s="757"/>
      <c r="W230" s="758"/>
      <c r="X230" s="747"/>
      <c r="Y230" s="757"/>
      <c r="Z230" s="758"/>
      <c r="AA230" s="747"/>
      <c r="AB230" s="757"/>
      <c r="AC230" s="758"/>
      <c r="AD230" s="747"/>
      <c r="AE230" s="757"/>
      <c r="AF230" s="758"/>
      <c r="AG230" s="747"/>
      <c r="AH230" s="757"/>
      <c r="AI230" s="758"/>
      <c r="AJ230" s="747"/>
      <c r="AK230" s="757"/>
      <c r="AL230" s="758"/>
      <c r="AM230" s="747"/>
      <c r="AN230" s="757"/>
      <c r="AO230" s="758"/>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3"/>
        <v>Service[...]</v>
      </c>
      <c r="B231" s="44" t="s">
        <v>59</v>
      </c>
      <c r="C231" s="747"/>
      <c r="D231" s="757"/>
      <c r="E231" s="758">
        <v>0</v>
      </c>
      <c r="F231" s="747"/>
      <c r="G231" s="757"/>
      <c r="H231" s="758"/>
      <c r="I231" s="747"/>
      <c r="J231" s="757"/>
      <c r="K231" s="758"/>
      <c r="L231" s="747"/>
      <c r="M231" s="757"/>
      <c r="N231" s="758"/>
      <c r="O231" s="747"/>
      <c r="P231" s="757"/>
      <c r="Q231" s="758"/>
      <c r="R231" s="747"/>
      <c r="S231" s="757"/>
      <c r="T231" s="758"/>
      <c r="U231" s="747"/>
      <c r="V231" s="757"/>
      <c r="W231" s="758"/>
      <c r="X231" s="747"/>
      <c r="Y231" s="757"/>
      <c r="Z231" s="758"/>
      <c r="AA231" s="747"/>
      <c r="AB231" s="757"/>
      <c r="AC231" s="758"/>
      <c r="AD231" s="747"/>
      <c r="AE231" s="757"/>
      <c r="AF231" s="758"/>
      <c r="AG231" s="747"/>
      <c r="AH231" s="757"/>
      <c r="AI231" s="758"/>
      <c r="AJ231" s="747"/>
      <c r="AK231" s="757"/>
      <c r="AL231" s="758"/>
      <c r="AM231" s="747"/>
      <c r="AN231" s="757"/>
      <c r="AO231" s="758"/>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3"/>
        <v>ServiceTOTAL SEMI-FIXES</v>
      </c>
      <c r="B232" s="53" t="s">
        <v>143</v>
      </c>
      <c r="C232" s="777" t="s">
        <v>175</v>
      </c>
      <c r="D232" s="778">
        <v>0.25874029127122722</v>
      </c>
      <c r="E232" s="779">
        <v>705865.79947521072</v>
      </c>
      <c r="F232" s="777" t="s">
        <v>175</v>
      </c>
      <c r="G232" s="778">
        <v>0.34206358709804729</v>
      </c>
      <c r="H232" s="779">
        <v>54476.085289971197</v>
      </c>
      <c r="I232" s="777" t="s">
        <v>175</v>
      </c>
      <c r="J232" s="778">
        <v>0.36135397234399858</v>
      </c>
      <c r="K232" s="779">
        <v>52931.453919107211</v>
      </c>
      <c r="L232" s="777" t="s">
        <v>175</v>
      </c>
      <c r="M232" s="778">
        <v>0.32276922138959563</v>
      </c>
      <c r="N232" s="779">
        <v>57116.406076596417</v>
      </c>
      <c r="O232" s="777" t="s">
        <v>175</v>
      </c>
      <c r="P232" s="778">
        <v>0.23873755359077806</v>
      </c>
      <c r="Q232" s="779">
        <v>67155.455972139564</v>
      </c>
      <c r="R232" s="777" t="s">
        <v>175</v>
      </c>
      <c r="S232" s="778">
        <v>0.23331792391810716</v>
      </c>
      <c r="T232" s="779">
        <v>65432.074214214845</v>
      </c>
      <c r="U232" s="777" t="s">
        <v>175</v>
      </c>
      <c r="V232" s="778">
        <v>0.25660743524551738</v>
      </c>
      <c r="W232" s="779">
        <v>53466.110644708184</v>
      </c>
      <c r="X232" s="777" t="s">
        <v>175</v>
      </c>
      <c r="Y232" s="778">
        <v>0.25028723290372462</v>
      </c>
      <c r="Z232" s="779">
        <v>53234.252414617971</v>
      </c>
      <c r="AA232" s="777" t="s">
        <v>175</v>
      </c>
      <c r="AB232" s="778">
        <v>0.25647511137511309</v>
      </c>
      <c r="AC232" s="779">
        <v>57378.162998944019</v>
      </c>
      <c r="AD232" s="777" t="s">
        <v>175</v>
      </c>
      <c r="AE232" s="778">
        <v>0.28159633862891992</v>
      </c>
      <c r="AF232" s="779">
        <v>54322.51372048902</v>
      </c>
      <c r="AG232" s="777" t="s">
        <v>175</v>
      </c>
      <c r="AH232" s="778">
        <v>0.22891303696604273</v>
      </c>
      <c r="AI232" s="779">
        <v>63449.031533168163</v>
      </c>
      <c r="AJ232" s="777" t="s">
        <v>175</v>
      </c>
      <c r="AK232" s="778">
        <v>0.19320299886906633</v>
      </c>
      <c r="AL232" s="779">
        <v>73059.005349362429</v>
      </c>
      <c r="AM232" s="777" t="s">
        <v>175</v>
      </c>
      <c r="AN232" s="778">
        <v>0.28242150507541469</v>
      </c>
      <c r="AO232" s="779">
        <v>53845.247341891511</v>
      </c>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3"/>
        <v>Service</v>
      </c>
      <c r="B233" s="43"/>
      <c r="C233" s="776"/>
      <c r="D233" s="784"/>
      <c r="E233" s="774"/>
      <c r="F233" s="776"/>
      <c r="G233" s="784"/>
      <c r="H233" s="774"/>
      <c r="I233" s="776"/>
      <c r="J233" s="784"/>
      <c r="K233" s="774"/>
      <c r="L233" s="776"/>
      <c r="M233" s="784"/>
      <c r="N233" s="774"/>
      <c r="O233" s="776"/>
      <c r="P233" s="784"/>
      <c r="Q233" s="774"/>
      <c r="R233" s="776"/>
      <c r="S233" s="784"/>
      <c r="T233" s="774"/>
      <c r="U233" s="776"/>
      <c r="V233" s="784"/>
      <c r="W233" s="774"/>
      <c r="X233" s="776"/>
      <c r="Y233" s="784"/>
      <c r="Z233" s="774"/>
      <c r="AA233" s="776"/>
      <c r="AB233" s="784"/>
      <c r="AC233" s="774"/>
      <c r="AD233" s="776"/>
      <c r="AE233" s="784"/>
      <c r="AF233" s="774"/>
      <c r="AG233" s="776"/>
      <c r="AH233" s="784"/>
      <c r="AI233" s="774"/>
      <c r="AJ233" s="776"/>
      <c r="AK233" s="784"/>
      <c r="AL233" s="774"/>
      <c r="AM233" s="776"/>
      <c r="AN233" s="784"/>
      <c r="AO233" s="774"/>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3"/>
        <v>ServiceTOTAL DES DÉPENSES</v>
      </c>
      <c r="B234" s="53" t="s">
        <v>144</v>
      </c>
      <c r="C234" s="777" t="s">
        <v>119</v>
      </c>
      <c r="D234" s="815">
        <v>0.81661712438243206</v>
      </c>
      <c r="E234" s="789">
        <v>2227801.8492416106</v>
      </c>
      <c r="F234" s="777" t="s">
        <v>119</v>
      </c>
      <c r="G234" s="815">
        <v>1.11640212534809</v>
      </c>
      <c r="H234" s="789">
        <v>177795.06411167741</v>
      </c>
      <c r="I234" s="777" t="s">
        <v>119</v>
      </c>
      <c r="J234" s="815">
        <v>1.0654868136180431</v>
      </c>
      <c r="K234" s="789">
        <v>156073.46395171428</v>
      </c>
      <c r="L234" s="777" t="s">
        <v>119</v>
      </c>
      <c r="M234" s="815">
        <v>0.93665329543993447</v>
      </c>
      <c r="N234" s="789">
        <v>165747.74306238742</v>
      </c>
      <c r="O234" s="777" t="s">
        <v>119</v>
      </c>
      <c r="P234" s="815">
        <v>0.70864485042860526</v>
      </c>
      <c r="Q234" s="789">
        <v>199337.58781165589</v>
      </c>
      <c r="R234" s="777" t="s">
        <v>119</v>
      </c>
      <c r="S234" s="815">
        <v>0.76567584168683012</v>
      </c>
      <c r="T234" s="789">
        <v>214727.43137757698</v>
      </c>
      <c r="U234" s="777" t="s">
        <v>119</v>
      </c>
      <c r="V234" s="815">
        <v>0.81442881665931888</v>
      </c>
      <c r="W234" s="789">
        <v>169692.43771944277</v>
      </c>
      <c r="X234" s="777" t="s">
        <v>119</v>
      </c>
      <c r="Y234" s="815">
        <v>0.80067114218131097</v>
      </c>
      <c r="Z234" s="789">
        <v>170296.8592903649</v>
      </c>
      <c r="AA234" s="777" t="s">
        <v>119</v>
      </c>
      <c r="AB234" s="815">
        <v>0.86170634895302189</v>
      </c>
      <c r="AC234" s="789">
        <v>192779.43611119964</v>
      </c>
      <c r="AD234" s="777" t="s">
        <v>119</v>
      </c>
      <c r="AE234" s="815">
        <v>0.87017649632823235</v>
      </c>
      <c r="AF234" s="789">
        <v>167865.01873992343</v>
      </c>
      <c r="AG234" s="777" t="s">
        <v>119</v>
      </c>
      <c r="AH234" s="815">
        <v>0.77409939093314506</v>
      </c>
      <c r="AI234" s="789">
        <v>214561.20331149729</v>
      </c>
      <c r="AJ234" s="777" t="s">
        <v>119</v>
      </c>
      <c r="AK234" s="815">
        <v>0.60935006296666094</v>
      </c>
      <c r="AL234" s="789">
        <v>230423.49120101292</v>
      </c>
      <c r="AM234" s="777" t="s">
        <v>119</v>
      </c>
      <c r="AN234" s="815">
        <v>0.88380354042177223</v>
      </c>
      <c r="AO234" s="789">
        <v>168502.11255315776</v>
      </c>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3"/>
        <v>Service</v>
      </c>
      <c r="B235" s="44"/>
      <c r="C235" s="747"/>
      <c r="D235" s="757"/>
      <c r="E235" s="758"/>
      <c r="F235" s="747"/>
      <c r="G235" s="757"/>
      <c r="H235" s="758"/>
      <c r="I235" s="747"/>
      <c r="J235" s="757"/>
      <c r="K235" s="758"/>
      <c r="L235" s="747"/>
      <c r="M235" s="757"/>
      <c r="N235" s="758"/>
      <c r="O235" s="747"/>
      <c r="P235" s="757"/>
      <c r="Q235" s="758"/>
      <c r="R235" s="747"/>
      <c r="S235" s="757"/>
      <c r="T235" s="758"/>
      <c r="U235" s="747"/>
      <c r="V235" s="757"/>
      <c r="W235" s="758"/>
      <c r="X235" s="747"/>
      <c r="Y235" s="757"/>
      <c r="Z235" s="758"/>
      <c r="AA235" s="747"/>
      <c r="AB235" s="757"/>
      <c r="AC235" s="758"/>
      <c r="AD235" s="747"/>
      <c r="AE235" s="757"/>
      <c r="AF235" s="758"/>
      <c r="AG235" s="747"/>
      <c r="AH235" s="757"/>
      <c r="AI235" s="758"/>
      <c r="AJ235" s="747"/>
      <c r="AK235" s="757"/>
      <c r="AL235" s="758"/>
      <c r="AM235" s="747"/>
      <c r="AN235" s="757"/>
      <c r="AO235" s="758"/>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c r="A236" s="39" t="str">
        <f t="shared" si="3"/>
        <v>ServicePROFIT DÉPARTEMENTAL</v>
      </c>
      <c r="B236" s="57" t="s">
        <v>151</v>
      </c>
      <c r="C236" s="816"/>
      <c r="D236" s="817"/>
      <c r="E236" s="798">
        <v>500284.27915838966</v>
      </c>
      <c r="F236" s="816"/>
      <c r="G236" s="817"/>
      <c r="H236" s="798">
        <v>-18537.875259370659</v>
      </c>
      <c r="I236" s="816"/>
      <c r="J236" s="817"/>
      <c r="K236" s="798">
        <v>-9592.5671851554362</v>
      </c>
      <c r="L236" s="816"/>
      <c r="M236" s="817"/>
      <c r="N236" s="798">
        <v>11209.66889497696</v>
      </c>
      <c r="O236" s="816"/>
      <c r="P236" s="817"/>
      <c r="Q236" s="798">
        <v>81956.473227652838</v>
      </c>
      <c r="R236" s="816"/>
      <c r="S236" s="817"/>
      <c r="T236" s="798">
        <v>65714.264294209512</v>
      </c>
      <c r="U236" s="816"/>
      <c r="V236" s="817"/>
      <c r="W236" s="798">
        <v>38665.167326384428</v>
      </c>
      <c r="X236" s="816"/>
      <c r="Y236" s="817"/>
      <c r="Z236" s="798">
        <v>42395.781069341465</v>
      </c>
      <c r="AA236" s="816"/>
      <c r="AB236" s="817"/>
      <c r="AC236" s="798">
        <v>30938.813551725267</v>
      </c>
      <c r="AD236" s="816"/>
      <c r="AE236" s="817"/>
      <c r="AF236" s="798">
        <v>25044.143307363585</v>
      </c>
      <c r="AG236" s="816"/>
      <c r="AH236" s="817"/>
      <c r="AI236" s="798">
        <v>62614.06103388936</v>
      </c>
      <c r="AJ236" s="816"/>
      <c r="AK236" s="817"/>
      <c r="AL236" s="798">
        <v>147722.84077634173</v>
      </c>
      <c r="AM236" s="816"/>
      <c r="AN236" s="817"/>
      <c r="AO236" s="798">
        <v>22153.508121030201</v>
      </c>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48"/>
      <c r="C237" s="757"/>
      <c r="D237" s="757"/>
      <c r="E237" s="770"/>
      <c r="F237" s="757"/>
      <c r="G237" s="757"/>
      <c r="H237" s="770"/>
      <c r="I237" s="757"/>
      <c r="J237" s="757"/>
      <c r="K237" s="770"/>
      <c r="L237" s="757"/>
      <c r="M237" s="757"/>
      <c r="N237" s="770"/>
      <c r="O237" s="757"/>
      <c r="P237" s="757"/>
      <c r="Q237" s="770"/>
      <c r="R237" s="757"/>
      <c r="S237" s="757"/>
      <c r="T237" s="770"/>
      <c r="U237" s="757"/>
      <c r="V237" s="757"/>
      <c r="W237" s="770"/>
      <c r="X237" s="757"/>
      <c r="Y237" s="757"/>
      <c r="Z237" s="770"/>
      <c r="AA237" s="757"/>
      <c r="AB237" s="757"/>
      <c r="AC237" s="770"/>
      <c r="AD237" s="757"/>
      <c r="AE237" s="757"/>
      <c r="AF237" s="770"/>
      <c r="AG237" s="757"/>
      <c r="AH237" s="757"/>
      <c r="AI237" s="770"/>
      <c r="AJ237" s="757"/>
      <c r="AK237" s="757"/>
      <c r="AL237" s="770"/>
      <c r="AM237" s="757"/>
      <c r="AN237" s="757"/>
      <c r="AO237" s="770"/>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0"/>
      <c r="C238" s="801"/>
      <c r="D238" s="801"/>
      <c r="E238" s="818"/>
      <c r="F238" s="801"/>
      <c r="G238" s="801"/>
      <c r="H238" s="818"/>
      <c r="I238" s="801"/>
      <c r="J238" s="801"/>
      <c r="K238" s="818"/>
      <c r="L238" s="801"/>
      <c r="M238" s="801"/>
      <c r="N238" s="818"/>
      <c r="O238" s="801"/>
      <c r="P238" s="801"/>
      <c r="Q238" s="818"/>
      <c r="R238" s="801"/>
      <c r="S238" s="801"/>
      <c r="T238" s="818"/>
      <c r="U238" s="801"/>
      <c r="V238" s="801"/>
      <c r="W238" s="818"/>
      <c r="X238" s="801"/>
      <c r="Y238" s="801"/>
      <c r="Z238" s="818"/>
      <c r="AA238" s="801"/>
      <c r="AB238" s="801"/>
      <c r="AC238" s="818"/>
      <c r="AD238" s="801"/>
      <c r="AE238" s="801"/>
      <c r="AF238" s="818"/>
      <c r="AG238" s="801"/>
      <c r="AH238" s="801"/>
      <c r="AI238" s="818"/>
      <c r="AJ238" s="801"/>
      <c r="AK238" s="801"/>
      <c r="AL238" s="818"/>
      <c r="AM238" s="801"/>
      <c r="AN238" s="801"/>
      <c r="AO238" s="818"/>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61" t="s">
        <v>3935</v>
      </c>
      <c r="C239" s="802" t="s">
        <v>176</v>
      </c>
      <c r="D239" s="802"/>
      <c r="E239" s="802"/>
      <c r="F239" s="802"/>
      <c r="G239" s="802"/>
      <c r="H239" s="802"/>
      <c r="I239" s="802"/>
      <c r="J239" s="802"/>
      <c r="K239" s="802"/>
      <c r="L239" s="802"/>
      <c r="M239" s="802"/>
      <c r="N239" s="802"/>
      <c r="O239" s="802"/>
      <c r="P239" s="802"/>
      <c r="Q239" s="802"/>
      <c r="R239" s="802"/>
      <c r="S239" s="802"/>
      <c r="T239" s="802"/>
      <c r="U239" s="802"/>
      <c r="V239" s="802"/>
      <c r="W239" s="802"/>
      <c r="X239" s="802"/>
      <c r="Y239" s="802"/>
      <c r="Z239" s="802"/>
      <c r="AA239" s="802"/>
      <c r="AB239" s="802"/>
      <c r="AC239" s="802"/>
      <c r="AD239" s="802"/>
      <c r="AE239" s="802"/>
      <c r="AF239" s="802"/>
      <c r="AG239" s="802"/>
      <c r="AH239" s="802"/>
      <c r="AI239" s="802"/>
      <c r="AJ239" s="802"/>
      <c r="AK239" s="802"/>
      <c r="AL239" s="802"/>
      <c r="AM239" s="802"/>
      <c r="AN239" s="802"/>
      <c r="AO239" s="802"/>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c r="A240" s="39"/>
      <c r="B240" s="62"/>
      <c r="C240" s="801"/>
      <c r="D240" s="801"/>
      <c r="E240" s="801"/>
      <c r="F240" s="801"/>
      <c r="G240" s="801"/>
      <c r="H240" s="801"/>
      <c r="I240" s="801"/>
      <c r="J240" s="801"/>
      <c r="K240" s="801"/>
      <c r="L240" s="801"/>
      <c r="M240" s="801"/>
      <c r="N240" s="801"/>
      <c r="O240" s="801"/>
      <c r="P240" s="801"/>
      <c r="Q240" s="801"/>
      <c r="R240" s="801"/>
      <c r="S240" s="801"/>
      <c r="T240" s="801"/>
      <c r="U240" s="801"/>
      <c r="V240" s="801"/>
      <c r="W240" s="801"/>
      <c r="X240" s="801"/>
      <c r="Y240" s="801"/>
      <c r="Z240" s="801"/>
      <c r="AA240" s="801"/>
      <c r="AB240" s="801"/>
      <c r="AC240" s="801"/>
      <c r="AD240" s="801"/>
      <c r="AE240" s="801"/>
      <c r="AF240" s="801"/>
      <c r="AG240" s="801"/>
      <c r="AH240" s="801"/>
      <c r="AI240" s="801"/>
      <c r="AJ240" s="801"/>
      <c r="AK240" s="801"/>
      <c r="AL240" s="801"/>
      <c r="AM240" s="801"/>
      <c r="AN240" s="801"/>
      <c r="AO240" s="801"/>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c r="A241" s="39"/>
      <c r="B241" s="40" t="s">
        <v>3</v>
      </c>
      <c r="C241" s="969">
        <v>2025</v>
      </c>
      <c r="D241" s="970"/>
      <c r="E241" s="971"/>
      <c r="F241" s="729" t="s">
        <v>8</v>
      </c>
      <c r="G241" s="730"/>
      <c r="H241" s="731"/>
      <c r="I241" s="729" t="s">
        <v>10</v>
      </c>
      <c r="J241" s="730"/>
      <c r="K241" s="731"/>
      <c r="L241" s="729" t="s">
        <v>11</v>
      </c>
      <c r="M241" s="730"/>
      <c r="N241" s="731"/>
      <c r="O241" s="729" t="s">
        <v>12</v>
      </c>
      <c r="P241" s="730"/>
      <c r="Q241" s="731"/>
      <c r="R241" s="729" t="s">
        <v>13</v>
      </c>
      <c r="S241" s="730"/>
      <c r="T241" s="731"/>
      <c r="U241" s="729" t="s">
        <v>14</v>
      </c>
      <c r="V241" s="730"/>
      <c r="W241" s="731"/>
      <c r="X241" s="729" t="s">
        <v>16</v>
      </c>
      <c r="Y241" s="730"/>
      <c r="Z241" s="731"/>
      <c r="AA241" s="729" t="s">
        <v>18</v>
      </c>
      <c r="AB241" s="730"/>
      <c r="AC241" s="731"/>
      <c r="AD241" s="729" t="s">
        <v>20</v>
      </c>
      <c r="AE241" s="730"/>
      <c r="AF241" s="731"/>
      <c r="AG241" s="729" t="s">
        <v>22</v>
      </c>
      <c r="AH241" s="730"/>
      <c r="AI241" s="731"/>
      <c r="AJ241" s="729" t="s">
        <v>23</v>
      </c>
      <c r="AK241" s="730"/>
      <c r="AL241" s="731"/>
      <c r="AM241" s="729" t="s">
        <v>6</v>
      </c>
      <c r="AN241" s="730"/>
      <c r="AO241" s="731"/>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76" si="4">+$C$239&amp;B242</f>
        <v>Carrosserie</v>
      </c>
      <c r="B242" s="44"/>
      <c r="C242" s="803" t="s">
        <v>162</v>
      </c>
      <c r="D242" s="768" t="s">
        <v>163</v>
      </c>
      <c r="E242" s="804" t="s">
        <v>95</v>
      </c>
      <c r="F242" s="803" t="s">
        <v>162</v>
      </c>
      <c r="G242" s="768" t="s">
        <v>163</v>
      </c>
      <c r="H242" s="804" t="s">
        <v>95</v>
      </c>
      <c r="I242" s="803" t="s">
        <v>162</v>
      </c>
      <c r="J242" s="768" t="s">
        <v>163</v>
      </c>
      <c r="K242" s="804" t="s">
        <v>95</v>
      </c>
      <c r="L242" s="803" t="s">
        <v>162</v>
      </c>
      <c r="M242" s="768" t="s">
        <v>163</v>
      </c>
      <c r="N242" s="804" t="s">
        <v>95</v>
      </c>
      <c r="O242" s="803" t="s">
        <v>162</v>
      </c>
      <c r="P242" s="768" t="s">
        <v>163</v>
      </c>
      <c r="Q242" s="804" t="s">
        <v>95</v>
      </c>
      <c r="R242" s="803" t="s">
        <v>162</v>
      </c>
      <c r="S242" s="768" t="s">
        <v>163</v>
      </c>
      <c r="T242" s="804" t="s">
        <v>95</v>
      </c>
      <c r="U242" s="803" t="s">
        <v>162</v>
      </c>
      <c r="V242" s="768" t="s">
        <v>163</v>
      </c>
      <c r="W242" s="804" t="s">
        <v>95</v>
      </c>
      <c r="X242" s="803" t="s">
        <v>162</v>
      </c>
      <c r="Y242" s="768" t="s">
        <v>163</v>
      </c>
      <c r="Z242" s="804" t="s">
        <v>95</v>
      </c>
      <c r="AA242" s="803" t="s">
        <v>162</v>
      </c>
      <c r="AB242" s="768" t="s">
        <v>163</v>
      </c>
      <c r="AC242" s="804" t="s">
        <v>95</v>
      </c>
      <c r="AD242" s="803" t="s">
        <v>162</v>
      </c>
      <c r="AE242" s="768" t="s">
        <v>163</v>
      </c>
      <c r="AF242" s="804" t="s">
        <v>95</v>
      </c>
      <c r="AG242" s="803" t="s">
        <v>162</v>
      </c>
      <c r="AH242" s="768" t="s">
        <v>163</v>
      </c>
      <c r="AI242" s="804" t="s">
        <v>95</v>
      </c>
      <c r="AJ242" s="803" t="s">
        <v>162</v>
      </c>
      <c r="AK242" s="768" t="s">
        <v>163</v>
      </c>
      <c r="AL242" s="804" t="s">
        <v>95</v>
      </c>
      <c r="AM242" s="803" t="s">
        <v>162</v>
      </c>
      <c r="AN242" s="768" t="s">
        <v>163</v>
      </c>
      <c r="AO242" s="804" t="s">
        <v>95</v>
      </c>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4"/>
        <v>Carrosserie</v>
      </c>
      <c r="B243" s="44"/>
      <c r="C243" s="803"/>
      <c r="D243" s="768"/>
      <c r="E243" s="804"/>
      <c r="F243" s="803"/>
      <c r="G243" s="768"/>
      <c r="H243" s="804"/>
      <c r="I243" s="803"/>
      <c r="J243" s="768"/>
      <c r="K243" s="804"/>
      <c r="L243" s="803"/>
      <c r="M243" s="768"/>
      <c r="N243" s="804"/>
      <c r="O243" s="803"/>
      <c r="P243" s="768"/>
      <c r="Q243" s="804"/>
      <c r="R243" s="803"/>
      <c r="S243" s="768"/>
      <c r="T243" s="804"/>
      <c r="U243" s="803"/>
      <c r="V243" s="768"/>
      <c r="W243" s="804"/>
      <c r="X243" s="803"/>
      <c r="Y243" s="768"/>
      <c r="Z243" s="804"/>
      <c r="AA243" s="803"/>
      <c r="AB243" s="768"/>
      <c r="AC243" s="804"/>
      <c r="AD243" s="803"/>
      <c r="AE243" s="768"/>
      <c r="AF243" s="804"/>
      <c r="AG243" s="803"/>
      <c r="AH243" s="768"/>
      <c r="AI243" s="804"/>
      <c r="AJ243" s="803"/>
      <c r="AK243" s="768"/>
      <c r="AL243" s="804"/>
      <c r="AM243" s="803"/>
      <c r="AN243" s="768"/>
      <c r="AO243" s="804"/>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4"/>
        <v>CarrosserieM/O Sous-traitement</v>
      </c>
      <c r="B244" s="44" t="s">
        <v>177</v>
      </c>
      <c r="C244" s="819">
        <v>0</v>
      </c>
      <c r="D244" s="770">
        <v>600000</v>
      </c>
      <c r="E244" s="758">
        <v>132000</v>
      </c>
      <c r="F244" s="820">
        <v>0</v>
      </c>
      <c r="G244" s="821">
        <v>24000</v>
      </c>
      <c r="H244" s="771">
        <v>5280</v>
      </c>
      <c r="I244" s="820">
        <v>0</v>
      </c>
      <c r="J244" s="821">
        <v>42000.000000000007</v>
      </c>
      <c r="K244" s="771">
        <v>9240.0000000000018</v>
      </c>
      <c r="L244" s="820">
        <v>0</v>
      </c>
      <c r="M244" s="821">
        <v>60000</v>
      </c>
      <c r="N244" s="771">
        <v>13200</v>
      </c>
      <c r="O244" s="820">
        <v>0</v>
      </c>
      <c r="P244" s="821">
        <v>60000</v>
      </c>
      <c r="Q244" s="771">
        <v>13200</v>
      </c>
      <c r="R244" s="820">
        <v>0</v>
      </c>
      <c r="S244" s="821">
        <v>60000</v>
      </c>
      <c r="T244" s="771">
        <v>13200</v>
      </c>
      <c r="U244" s="820">
        <v>0</v>
      </c>
      <c r="V244" s="821">
        <v>66000</v>
      </c>
      <c r="W244" s="771">
        <v>14520</v>
      </c>
      <c r="X244" s="820">
        <v>0</v>
      </c>
      <c r="Y244" s="821">
        <v>48000</v>
      </c>
      <c r="Z244" s="771">
        <v>10560</v>
      </c>
      <c r="AA244" s="820">
        <v>0</v>
      </c>
      <c r="AB244" s="821">
        <v>54000</v>
      </c>
      <c r="AC244" s="771">
        <v>11880</v>
      </c>
      <c r="AD244" s="820">
        <v>0</v>
      </c>
      <c r="AE244" s="821">
        <v>54000</v>
      </c>
      <c r="AF244" s="771">
        <v>11880</v>
      </c>
      <c r="AG244" s="820">
        <v>0</v>
      </c>
      <c r="AH244" s="821">
        <v>54000</v>
      </c>
      <c r="AI244" s="771">
        <v>11880</v>
      </c>
      <c r="AJ244" s="820">
        <v>0</v>
      </c>
      <c r="AK244" s="821">
        <v>48000</v>
      </c>
      <c r="AL244" s="771">
        <v>10560</v>
      </c>
      <c r="AM244" s="820">
        <v>0</v>
      </c>
      <c r="AN244" s="821">
        <v>30000</v>
      </c>
      <c r="AO244" s="771">
        <v>6600</v>
      </c>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4"/>
        <v>Carrosserie% profit / ventes</v>
      </c>
      <c r="B245" s="44" t="s">
        <v>165</v>
      </c>
      <c r="C245" s="819"/>
      <c r="D245" s="757"/>
      <c r="E245" s="822">
        <v>0.22</v>
      </c>
      <c r="F245" s="819"/>
      <c r="G245" s="757"/>
      <c r="H245" s="822">
        <v>0.22</v>
      </c>
      <c r="I245" s="819"/>
      <c r="J245" s="757"/>
      <c r="K245" s="822">
        <v>0.22</v>
      </c>
      <c r="L245" s="819"/>
      <c r="M245" s="757"/>
      <c r="N245" s="822">
        <v>0.22</v>
      </c>
      <c r="O245" s="819"/>
      <c r="P245" s="757"/>
      <c r="Q245" s="822">
        <v>0.22</v>
      </c>
      <c r="R245" s="819"/>
      <c r="S245" s="757"/>
      <c r="T245" s="822">
        <v>0.22</v>
      </c>
      <c r="U245" s="819"/>
      <c r="V245" s="757"/>
      <c r="W245" s="822">
        <v>0.22</v>
      </c>
      <c r="X245" s="819"/>
      <c r="Y245" s="757"/>
      <c r="Z245" s="822">
        <v>0.22</v>
      </c>
      <c r="AA245" s="819"/>
      <c r="AB245" s="757"/>
      <c r="AC245" s="822">
        <v>0.22</v>
      </c>
      <c r="AD245" s="819"/>
      <c r="AE245" s="757"/>
      <c r="AF245" s="822">
        <v>0.22</v>
      </c>
      <c r="AG245" s="819"/>
      <c r="AH245" s="757"/>
      <c r="AI245" s="822">
        <v>0.22</v>
      </c>
      <c r="AJ245" s="819"/>
      <c r="AK245" s="757"/>
      <c r="AL245" s="822">
        <v>0.22</v>
      </c>
      <c r="AM245" s="819"/>
      <c r="AN245" s="757"/>
      <c r="AO245" s="822">
        <v>0.22</v>
      </c>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4"/>
        <v>Carrosserie</v>
      </c>
      <c r="B246" s="44"/>
      <c r="C246" s="803"/>
      <c r="D246" s="768"/>
      <c r="E246" s="804"/>
      <c r="F246" s="803"/>
      <c r="G246" s="768"/>
      <c r="H246" s="804"/>
      <c r="I246" s="803"/>
      <c r="J246" s="768"/>
      <c r="K246" s="804"/>
      <c r="L246" s="803"/>
      <c r="M246" s="768"/>
      <c r="N246" s="804"/>
      <c r="O246" s="803"/>
      <c r="P246" s="768"/>
      <c r="Q246" s="804"/>
      <c r="R246" s="803"/>
      <c r="S246" s="768"/>
      <c r="T246" s="804"/>
      <c r="U246" s="803"/>
      <c r="V246" s="768"/>
      <c r="W246" s="804"/>
      <c r="X246" s="803"/>
      <c r="Y246" s="768"/>
      <c r="Z246" s="804"/>
      <c r="AA246" s="803"/>
      <c r="AB246" s="768"/>
      <c r="AC246" s="804"/>
      <c r="AD246" s="803"/>
      <c r="AE246" s="768"/>
      <c r="AF246" s="804"/>
      <c r="AG246" s="803"/>
      <c r="AH246" s="768"/>
      <c r="AI246" s="804"/>
      <c r="AJ246" s="803"/>
      <c r="AK246" s="768"/>
      <c r="AL246" s="804"/>
      <c r="AM246" s="803"/>
      <c r="AN246" s="768"/>
      <c r="AO246" s="804"/>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4"/>
        <v>CarrosserieM/O Carrosserie</v>
      </c>
      <c r="B247" s="42" t="s">
        <v>178</v>
      </c>
      <c r="C247" s="826">
        <v>0</v>
      </c>
      <c r="D247" s="827">
        <v>0</v>
      </c>
      <c r="E247" s="782">
        <v>0</v>
      </c>
      <c r="F247" s="828"/>
      <c r="G247" s="829"/>
      <c r="H247" s="783"/>
      <c r="I247" s="828"/>
      <c r="J247" s="829"/>
      <c r="K247" s="783"/>
      <c r="L247" s="828"/>
      <c r="M247" s="829"/>
      <c r="N247" s="783"/>
      <c r="O247" s="828"/>
      <c r="P247" s="829"/>
      <c r="Q247" s="783"/>
      <c r="R247" s="828"/>
      <c r="S247" s="829"/>
      <c r="T247" s="783"/>
      <c r="U247" s="828"/>
      <c r="V247" s="829"/>
      <c r="W247" s="783"/>
      <c r="X247" s="828"/>
      <c r="Y247" s="829"/>
      <c r="Z247" s="783"/>
      <c r="AA247" s="828"/>
      <c r="AB247" s="829"/>
      <c r="AC247" s="783"/>
      <c r="AD247" s="828"/>
      <c r="AE247" s="829"/>
      <c r="AF247" s="783"/>
      <c r="AG247" s="828"/>
      <c r="AH247" s="829"/>
      <c r="AI247" s="783"/>
      <c r="AJ247" s="828"/>
      <c r="AK247" s="829"/>
      <c r="AL247" s="783"/>
      <c r="AM247" s="828"/>
      <c r="AN247" s="829"/>
      <c r="AO247" s="783"/>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4"/>
        <v>Carrosserie% profit / ventes</v>
      </c>
      <c r="B248" s="44" t="s">
        <v>165</v>
      </c>
      <c r="C248" s="819"/>
      <c r="D248" s="757"/>
      <c r="E248" s="822">
        <v>0</v>
      </c>
      <c r="F248" s="819"/>
      <c r="G248" s="757"/>
      <c r="H248" s="822">
        <v>0</v>
      </c>
      <c r="I248" s="819"/>
      <c r="J248" s="757"/>
      <c r="K248" s="822">
        <v>0</v>
      </c>
      <c r="L248" s="819"/>
      <c r="M248" s="757"/>
      <c r="N248" s="822">
        <v>0</v>
      </c>
      <c r="O248" s="819"/>
      <c r="P248" s="757"/>
      <c r="Q248" s="822">
        <v>0</v>
      </c>
      <c r="R248" s="819"/>
      <c r="S248" s="757"/>
      <c r="T248" s="822">
        <v>0</v>
      </c>
      <c r="U248" s="819"/>
      <c r="V248" s="757"/>
      <c r="W248" s="822">
        <v>0</v>
      </c>
      <c r="X248" s="819"/>
      <c r="Y248" s="757"/>
      <c r="Z248" s="822">
        <v>0</v>
      </c>
      <c r="AA248" s="819"/>
      <c r="AB248" s="757"/>
      <c r="AC248" s="822">
        <v>0</v>
      </c>
      <c r="AD248" s="819"/>
      <c r="AE248" s="757"/>
      <c r="AF248" s="822">
        <v>0</v>
      </c>
      <c r="AG248" s="819"/>
      <c r="AH248" s="757"/>
      <c r="AI248" s="822">
        <v>0</v>
      </c>
      <c r="AJ248" s="819"/>
      <c r="AK248" s="757"/>
      <c r="AL248" s="822">
        <v>0</v>
      </c>
      <c r="AM248" s="819"/>
      <c r="AN248" s="757"/>
      <c r="AO248" s="822">
        <v>0</v>
      </c>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4"/>
        <v>Carrosserie</v>
      </c>
      <c r="B249" s="43"/>
      <c r="C249" s="823"/>
      <c r="D249" s="824"/>
      <c r="E249" s="825"/>
      <c r="F249" s="823"/>
      <c r="G249" s="824"/>
      <c r="H249" s="825"/>
      <c r="I249" s="823"/>
      <c r="J249" s="824"/>
      <c r="K249" s="825"/>
      <c r="L249" s="823"/>
      <c r="M249" s="824"/>
      <c r="N249" s="825"/>
      <c r="O249" s="823"/>
      <c r="P249" s="824"/>
      <c r="Q249" s="825"/>
      <c r="R249" s="823"/>
      <c r="S249" s="824"/>
      <c r="T249" s="825"/>
      <c r="U249" s="823"/>
      <c r="V249" s="824"/>
      <c r="W249" s="825"/>
      <c r="X249" s="823"/>
      <c r="Y249" s="824"/>
      <c r="Z249" s="825"/>
      <c r="AA249" s="823"/>
      <c r="AB249" s="824"/>
      <c r="AC249" s="825"/>
      <c r="AD249" s="823"/>
      <c r="AE249" s="824"/>
      <c r="AF249" s="825"/>
      <c r="AG249" s="823"/>
      <c r="AH249" s="824"/>
      <c r="AI249" s="825"/>
      <c r="AJ249" s="823"/>
      <c r="AK249" s="824"/>
      <c r="AL249" s="825"/>
      <c r="AM249" s="823"/>
      <c r="AN249" s="824"/>
      <c r="AO249" s="825"/>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4"/>
        <v>CarrosserieM/O Esthétique Carr.</v>
      </c>
      <c r="B250" s="42" t="s">
        <v>179</v>
      </c>
      <c r="C250" s="826">
        <v>0</v>
      </c>
      <c r="D250" s="827">
        <v>0</v>
      </c>
      <c r="E250" s="782">
        <v>0</v>
      </c>
      <c r="F250" s="828"/>
      <c r="G250" s="829"/>
      <c r="H250" s="783"/>
      <c r="I250" s="828"/>
      <c r="J250" s="829"/>
      <c r="K250" s="783"/>
      <c r="L250" s="828"/>
      <c r="M250" s="829"/>
      <c r="N250" s="783"/>
      <c r="O250" s="828"/>
      <c r="P250" s="829"/>
      <c r="Q250" s="783"/>
      <c r="R250" s="828"/>
      <c r="S250" s="829"/>
      <c r="T250" s="783"/>
      <c r="U250" s="828"/>
      <c r="V250" s="829"/>
      <c r="W250" s="783"/>
      <c r="X250" s="828"/>
      <c r="Y250" s="829"/>
      <c r="Z250" s="783"/>
      <c r="AA250" s="828"/>
      <c r="AB250" s="829"/>
      <c r="AC250" s="783"/>
      <c r="AD250" s="828"/>
      <c r="AE250" s="829"/>
      <c r="AF250" s="783"/>
      <c r="AG250" s="828"/>
      <c r="AH250" s="829"/>
      <c r="AI250" s="783"/>
      <c r="AJ250" s="828"/>
      <c r="AK250" s="829"/>
      <c r="AL250" s="783"/>
      <c r="AM250" s="828"/>
      <c r="AN250" s="829"/>
      <c r="AO250" s="783"/>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4"/>
        <v>Carrosserie% profit / ventes</v>
      </c>
      <c r="B251" s="44" t="s">
        <v>165</v>
      </c>
      <c r="C251" s="747"/>
      <c r="D251" s="757"/>
      <c r="E251" s="822">
        <v>0</v>
      </c>
      <c r="F251" s="747"/>
      <c r="G251" s="757"/>
      <c r="H251" s="822">
        <v>0</v>
      </c>
      <c r="I251" s="747"/>
      <c r="J251" s="757"/>
      <c r="K251" s="822">
        <v>0</v>
      </c>
      <c r="L251" s="747"/>
      <c r="M251" s="757"/>
      <c r="N251" s="822">
        <v>0</v>
      </c>
      <c r="O251" s="747"/>
      <c r="P251" s="757"/>
      <c r="Q251" s="822">
        <v>0</v>
      </c>
      <c r="R251" s="747"/>
      <c r="S251" s="757"/>
      <c r="T251" s="822">
        <v>0</v>
      </c>
      <c r="U251" s="747"/>
      <c r="V251" s="757"/>
      <c r="W251" s="822">
        <v>0</v>
      </c>
      <c r="X251" s="747"/>
      <c r="Y251" s="757"/>
      <c r="Z251" s="822">
        <v>0</v>
      </c>
      <c r="AA251" s="747"/>
      <c r="AB251" s="757"/>
      <c r="AC251" s="822">
        <v>0</v>
      </c>
      <c r="AD251" s="747"/>
      <c r="AE251" s="757"/>
      <c r="AF251" s="822">
        <v>0</v>
      </c>
      <c r="AG251" s="747"/>
      <c r="AH251" s="757"/>
      <c r="AI251" s="822">
        <v>0</v>
      </c>
      <c r="AJ251" s="747"/>
      <c r="AK251" s="757"/>
      <c r="AL251" s="822">
        <v>0</v>
      </c>
      <c r="AM251" s="747"/>
      <c r="AN251" s="757"/>
      <c r="AO251" s="822">
        <v>0</v>
      </c>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c r="A252" s="39" t="str">
        <f t="shared" si="4"/>
        <v>Carrosserie</v>
      </c>
      <c r="B252" s="44"/>
      <c r="C252" s="747"/>
      <c r="D252" s="757"/>
      <c r="E252" s="822"/>
      <c r="F252" s="747"/>
      <c r="G252" s="757"/>
      <c r="H252" s="822"/>
      <c r="I252" s="747"/>
      <c r="J252" s="757"/>
      <c r="K252" s="822"/>
      <c r="L252" s="747"/>
      <c r="M252" s="757"/>
      <c r="N252" s="822"/>
      <c r="O252" s="747"/>
      <c r="P252" s="757"/>
      <c r="Q252" s="822"/>
      <c r="R252" s="747"/>
      <c r="S252" s="757"/>
      <c r="T252" s="822"/>
      <c r="U252" s="747"/>
      <c r="V252" s="757"/>
      <c r="W252" s="822"/>
      <c r="X252" s="747"/>
      <c r="Y252" s="757"/>
      <c r="Z252" s="822"/>
      <c r="AA252" s="747"/>
      <c r="AB252" s="757"/>
      <c r="AC252" s="822"/>
      <c r="AD252" s="747"/>
      <c r="AE252" s="757"/>
      <c r="AF252" s="822"/>
      <c r="AG252" s="747"/>
      <c r="AH252" s="757"/>
      <c r="AI252" s="822"/>
      <c r="AJ252" s="747"/>
      <c r="AK252" s="757"/>
      <c r="AL252" s="822"/>
      <c r="AM252" s="747"/>
      <c r="AN252" s="757"/>
      <c r="AO252" s="822"/>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c r="A253" s="39" t="str">
        <f t="shared" si="4"/>
        <v>CarrosserieTotal Mécanique</v>
      </c>
      <c r="B253" s="49" t="s">
        <v>174</v>
      </c>
      <c r="C253" s="759"/>
      <c r="D253" s="850">
        <v>600000</v>
      </c>
      <c r="E253" s="761">
        <v>132000</v>
      </c>
      <c r="F253" s="759"/>
      <c r="G253" s="850">
        <v>24000</v>
      </c>
      <c r="H253" s="761">
        <v>5280</v>
      </c>
      <c r="I253" s="759"/>
      <c r="J253" s="850">
        <v>42000.000000000007</v>
      </c>
      <c r="K253" s="761">
        <v>9240.0000000000018</v>
      </c>
      <c r="L253" s="759"/>
      <c r="M253" s="850">
        <v>60000</v>
      </c>
      <c r="N253" s="761">
        <v>13200</v>
      </c>
      <c r="O253" s="759"/>
      <c r="P253" s="850">
        <v>60000</v>
      </c>
      <c r="Q253" s="761">
        <v>13200</v>
      </c>
      <c r="R253" s="759"/>
      <c r="S253" s="850">
        <v>60000</v>
      </c>
      <c r="T253" s="761">
        <v>13200</v>
      </c>
      <c r="U253" s="759"/>
      <c r="V253" s="850">
        <v>66000</v>
      </c>
      <c r="W253" s="761">
        <v>14520</v>
      </c>
      <c r="X253" s="759"/>
      <c r="Y253" s="850">
        <v>48000</v>
      </c>
      <c r="Z253" s="761">
        <v>10560</v>
      </c>
      <c r="AA253" s="759"/>
      <c r="AB253" s="850">
        <v>54000</v>
      </c>
      <c r="AC253" s="761">
        <v>11880</v>
      </c>
      <c r="AD253" s="759"/>
      <c r="AE253" s="850">
        <v>54000</v>
      </c>
      <c r="AF253" s="761">
        <v>11880</v>
      </c>
      <c r="AG253" s="759"/>
      <c r="AH253" s="850">
        <v>54000</v>
      </c>
      <c r="AI253" s="761">
        <v>11880</v>
      </c>
      <c r="AJ253" s="759"/>
      <c r="AK253" s="850">
        <v>48000</v>
      </c>
      <c r="AL253" s="761">
        <v>10560</v>
      </c>
      <c r="AM253" s="759"/>
      <c r="AN253" s="850">
        <v>30000</v>
      </c>
      <c r="AO253" s="761">
        <v>6600</v>
      </c>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c r="A254" s="39" t="str">
        <f t="shared" si="4"/>
        <v>Carrosserie</v>
      </c>
      <c r="B254" s="50"/>
      <c r="C254" s="762"/>
      <c r="D254" s="763"/>
      <c r="E254" s="851">
        <v>0.22</v>
      </c>
      <c r="F254" s="762"/>
      <c r="G254" s="763"/>
      <c r="H254" s="851">
        <v>0.22</v>
      </c>
      <c r="I254" s="762"/>
      <c r="J254" s="763"/>
      <c r="K254" s="851">
        <v>0.22</v>
      </c>
      <c r="L254" s="762"/>
      <c r="M254" s="763"/>
      <c r="N254" s="851">
        <v>0.22</v>
      </c>
      <c r="O254" s="762"/>
      <c r="P254" s="763"/>
      <c r="Q254" s="851">
        <v>0.22</v>
      </c>
      <c r="R254" s="762"/>
      <c r="S254" s="763"/>
      <c r="T254" s="851">
        <v>0.22</v>
      </c>
      <c r="U254" s="762"/>
      <c r="V254" s="763"/>
      <c r="W254" s="851">
        <v>0.22</v>
      </c>
      <c r="X254" s="762"/>
      <c r="Y254" s="763"/>
      <c r="Z254" s="851">
        <v>0.22</v>
      </c>
      <c r="AA254" s="762"/>
      <c r="AB254" s="763"/>
      <c r="AC254" s="851">
        <v>0.22</v>
      </c>
      <c r="AD254" s="762"/>
      <c r="AE254" s="763"/>
      <c r="AF254" s="851">
        <v>0.22</v>
      </c>
      <c r="AG254" s="762"/>
      <c r="AH254" s="763"/>
      <c r="AI254" s="851">
        <v>0.22</v>
      </c>
      <c r="AJ254" s="762"/>
      <c r="AK254" s="763"/>
      <c r="AL254" s="851">
        <v>0.22</v>
      </c>
      <c r="AM254" s="762"/>
      <c r="AN254" s="763"/>
      <c r="AO254" s="851">
        <v>0.22</v>
      </c>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c r="A255" s="39" t="str">
        <f t="shared" si="4"/>
        <v>Carrosserie</v>
      </c>
      <c r="B255" s="44"/>
      <c r="C255" s="747"/>
      <c r="D255" s="757"/>
      <c r="E255" s="748"/>
      <c r="F255" s="747"/>
      <c r="G255" s="757"/>
      <c r="H255" s="748"/>
      <c r="I255" s="747"/>
      <c r="J255" s="757"/>
      <c r="K255" s="748"/>
      <c r="L255" s="747"/>
      <c r="M255" s="757"/>
      <c r="N255" s="748"/>
      <c r="O255" s="747"/>
      <c r="P255" s="757"/>
      <c r="Q255" s="748"/>
      <c r="R255" s="747"/>
      <c r="S255" s="757"/>
      <c r="T255" s="748"/>
      <c r="U255" s="747"/>
      <c r="V255" s="757"/>
      <c r="W255" s="748"/>
      <c r="X255" s="747"/>
      <c r="Y255" s="757"/>
      <c r="Z255" s="748"/>
      <c r="AA255" s="747"/>
      <c r="AB255" s="757"/>
      <c r="AC255" s="748"/>
      <c r="AD255" s="747"/>
      <c r="AE255" s="757"/>
      <c r="AF255" s="748"/>
      <c r="AG255" s="747"/>
      <c r="AH255" s="757"/>
      <c r="AI255" s="748"/>
      <c r="AJ255" s="747"/>
      <c r="AK255" s="757"/>
      <c r="AL255" s="748"/>
      <c r="AM255" s="747"/>
      <c r="AN255" s="757"/>
      <c r="AO255" s="748"/>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4"/>
        <v>CarrosserieDEPENSES</v>
      </c>
      <c r="B256" s="52" t="s">
        <v>110</v>
      </c>
      <c r="C256" s="747"/>
      <c r="D256" s="757"/>
      <c r="E256" s="748"/>
      <c r="F256" s="747"/>
      <c r="G256" s="757"/>
      <c r="H256" s="748"/>
      <c r="I256" s="747"/>
      <c r="J256" s="757"/>
      <c r="K256" s="748"/>
      <c r="L256" s="747"/>
      <c r="M256" s="757"/>
      <c r="N256" s="748"/>
      <c r="O256" s="747"/>
      <c r="P256" s="757"/>
      <c r="Q256" s="748"/>
      <c r="R256" s="747"/>
      <c r="S256" s="757"/>
      <c r="T256" s="748"/>
      <c r="U256" s="747"/>
      <c r="V256" s="757"/>
      <c r="W256" s="748"/>
      <c r="X256" s="747"/>
      <c r="Y256" s="757"/>
      <c r="Z256" s="748"/>
      <c r="AA256" s="747"/>
      <c r="AB256" s="757"/>
      <c r="AC256" s="748"/>
      <c r="AD256" s="747"/>
      <c r="AE256" s="757"/>
      <c r="AF256" s="748"/>
      <c r="AG256" s="747"/>
      <c r="AH256" s="757"/>
      <c r="AI256" s="748"/>
      <c r="AJ256" s="747"/>
      <c r="AK256" s="757"/>
      <c r="AL256" s="748"/>
      <c r="AM256" s="747"/>
      <c r="AN256" s="757"/>
      <c r="AO256" s="748"/>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4"/>
        <v>CarrosserieSalaires cadres</v>
      </c>
      <c r="B257" s="54" t="s">
        <v>120</v>
      </c>
      <c r="C257" s="747"/>
      <c r="D257" s="757"/>
      <c r="E257" s="758">
        <v>3865.2249999999995</v>
      </c>
      <c r="F257" s="747"/>
      <c r="G257" s="757"/>
      <c r="H257" s="771">
        <v>371.65625000000006</v>
      </c>
      <c r="I257" s="747"/>
      <c r="J257" s="757"/>
      <c r="K257" s="771">
        <v>297.32500000000005</v>
      </c>
      <c r="L257" s="747"/>
      <c r="M257" s="757"/>
      <c r="N257" s="771">
        <v>297.32500000000005</v>
      </c>
      <c r="O257" s="747"/>
      <c r="P257" s="757"/>
      <c r="Q257" s="771">
        <v>297.32500000000005</v>
      </c>
      <c r="R257" s="747"/>
      <c r="S257" s="757"/>
      <c r="T257" s="771">
        <v>371.65625000000006</v>
      </c>
      <c r="U257" s="747"/>
      <c r="V257" s="757"/>
      <c r="W257" s="771">
        <v>297.32500000000005</v>
      </c>
      <c r="X257" s="747"/>
      <c r="Y257" s="757"/>
      <c r="Z257" s="771">
        <v>297.32500000000005</v>
      </c>
      <c r="AA257" s="747"/>
      <c r="AB257" s="757"/>
      <c r="AC257" s="771">
        <v>371.65625000000006</v>
      </c>
      <c r="AD257" s="747"/>
      <c r="AE257" s="757"/>
      <c r="AF257" s="771">
        <v>297.32500000000005</v>
      </c>
      <c r="AG257" s="747"/>
      <c r="AH257" s="757"/>
      <c r="AI257" s="771">
        <v>371.65625000000006</v>
      </c>
      <c r="AJ257" s="747"/>
      <c r="AK257" s="757"/>
      <c r="AL257" s="771">
        <v>297.32500000000005</v>
      </c>
      <c r="AM257" s="747"/>
      <c r="AN257" s="757"/>
      <c r="AO257" s="771">
        <v>297.32500000000005</v>
      </c>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4"/>
        <v>CarrosserieSalaires commis</v>
      </c>
      <c r="B258" s="55" t="s">
        <v>121</v>
      </c>
      <c r="C258" s="747"/>
      <c r="D258" s="757"/>
      <c r="E258" s="758">
        <v>62491.959999999992</v>
      </c>
      <c r="F258" s="747"/>
      <c r="G258" s="757"/>
      <c r="H258" s="771">
        <v>5927.3807692307682</v>
      </c>
      <c r="I258" s="747"/>
      <c r="J258" s="757"/>
      <c r="K258" s="771">
        <v>4847.8046153846153</v>
      </c>
      <c r="L258" s="747"/>
      <c r="M258" s="757"/>
      <c r="N258" s="771">
        <v>4847.8046153846153</v>
      </c>
      <c r="O258" s="747"/>
      <c r="P258" s="757"/>
      <c r="Q258" s="771">
        <v>4847.8046153846153</v>
      </c>
      <c r="R258" s="747"/>
      <c r="S258" s="757"/>
      <c r="T258" s="771">
        <v>5927.3807692307682</v>
      </c>
      <c r="U258" s="747"/>
      <c r="V258" s="757"/>
      <c r="W258" s="771">
        <v>4847.8046153846153</v>
      </c>
      <c r="X258" s="747"/>
      <c r="Y258" s="757"/>
      <c r="Z258" s="771">
        <v>4847.8046153846153</v>
      </c>
      <c r="AA258" s="747"/>
      <c r="AB258" s="757"/>
      <c r="AC258" s="771">
        <v>5927.3807692307682</v>
      </c>
      <c r="AD258" s="747"/>
      <c r="AE258" s="757"/>
      <c r="AF258" s="771">
        <v>4847.8046153846153</v>
      </c>
      <c r="AG258" s="747"/>
      <c r="AH258" s="757"/>
      <c r="AI258" s="771">
        <v>5927.3807692307682</v>
      </c>
      <c r="AJ258" s="747"/>
      <c r="AK258" s="757"/>
      <c r="AL258" s="771">
        <v>4847.8046153846153</v>
      </c>
      <c r="AM258" s="747"/>
      <c r="AN258" s="757"/>
      <c r="AO258" s="771">
        <v>4847.8046153846153</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4"/>
        <v>CarrosserieSalaires autres</v>
      </c>
      <c r="B259" s="54" t="s">
        <v>122</v>
      </c>
      <c r="C259" s="780"/>
      <c r="D259" s="781"/>
      <c r="E259" s="782">
        <v>227.90000000000006</v>
      </c>
      <c r="F259" s="780"/>
      <c r="G259" s="781"/>
      <c r="H259" s="783">
        <v>21.91346153846154</v>
      </c>
      <c r="I259" s="780"/>
      <c r="J259" s="781"/>
      <c r="K259" s="783">
        <v>17.530769230769231</v>
      </c>
      <c r="L259" s="780"/>
      <c r="M259" s="781"/>
      <c r="N259" s="783">
        <v>17.530769230769231</v>
      </c>
      <c r="O259" s="780"/>
      <c r="P259" s="781"/>
      <c r="Q259" s="783">
        <v>17.530769230769231</v>
      </c>
      <c r="R259" s="780"/>
      <c r="S259" s="781"/>
      <c r="T259" s="783">
        <v>21.91346153846154</v>
      </c>
      <c r="U259" s="780"/>
      <c r="V259" s="781"/>
      <c r="W259" s="783">
        <v>17.530769230769231</v>
      </c>
      <c r="X259" s="780"/>
      <c r="Y259" s="781"/>
      <c r="Z259" s="783">
        <v>17.530769230769231</v>
      </c>
      <c r="AA259" s="780"/>
      <c r="AB259" s="781"/>
      <c r="AC259" s="783">
        <v>21.91346153846154</v>
      </c>
      <c r="AD259" s="780"/>
      <c r="AE259" s="781"/>
      <c r="AF259" s="783">
        <v>17.530769230769231</v>
      </c>
      <c r="AG259" s="780"/>
      <c r="AH259" s="781"/>
      <c r="AI259" s="783">
        <v>21.91346153846154</v>
      </c>
      <c r="AJ259" s="780"/>
      <c r="AK259" s="781"/>
      <c r="AL259" s="783">
        <v>17.530769230769231</v>
      </c>
      <c r="AM259" s="780"/>
      <c r="AN259" s="781"/>
      <c r="AO259" s="783">
        <v>17.530769230769231</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4"/>
        <v>CarrosserieSalaires spécialistes</v>
      </c>
      <c r="B260" s="54" t="s">
        <v>123</v>
      </c>
      <c r="C260" s="747"/>
      <c r="D260" s="757"/>
      <c r="E260" s="758">
        <v>0</v>
      </c>
      <c r="F260" s="747"/>
      <c r="G260" s="757"/>
      <c r="H260" s="771">
        <v>0</v>
      </c>
      <c r="I260" s="747"/>
      <c r="J260" s="757"/>
      <c r="K260" s="771">
        <v>0</v>
      </c>
      <c r="L260" s="747"/>
      <c r="M260" s="757"/>
      <c r="N260" s="771">
        <v>0</v>
      </c>
      <c r="O260" s="747"/>
      <c r="P260" s="757"/>
      <c r="Q260" s="771">
        <v>0</v>
      </c>
      <c r="R260" s="747"/>
      <c r="S260" s="757"/>
      <c r="T260" s="771">
        <v>0</v>
      </c>
      <c r="U260" s="747"/>
      <c r="V260" s="757"/>
      <c r="W260" s="771">
        <v>0</v>
      </c>
      <c r="X260" s="747"/>
      <c r="Y260" s="757"/>
      <c r="Z260" s="771">
        <v>0</v>
      </c>
      <c r="AA260" s="747"/>
      <c r="AB260" s="757"/>
      <c r="AC260" s="771">
        <v>0</v>
      </c>
      <c r="AD260" s="747"/>
      <c r="AE260" s="757"/>
      <c r="AF260" s="771">
        <v>0</v>
      </c>
      <c r="AG260" s="747"/>
      <c r="AH260" s="757"/>
      <c r="AI260" s="771">
        <v>0</v>
      </c>
      <c r="AJ260" s="747"/>
      <c r="AK260" s="757"/>
      <c r="AL260" s="771">
        <v>0</v>
      </c>
      <c r="AM260" s="747"/>
      <c r="AN260" s="757"/>
      <c r="AO260" s="771">
        <v>0</v>
      </c>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4"/>
        <v>Carrosserie[...]</v>
      </c>
      <c r="B261" s="44" t="s">
        <v>59</v>
      </c>
      <c r="C261" s="747"/>
      <c r="D261" s="757"/>
      <c r="E261" s="758">
        <v>0</v>
      </c>
      <c r="F261" s="747"/>
      <c r="G261" s="757"/>
      <c r="H261" s="771">
        <v>0</v>
      </c>
      <c r="I261" s="747"/>
      <c r="J261" s="757"/>
      <c r="K261" s="771">
        <v>0</v>
      </c>
      <c r="L261" s="747"/>
      <c r="M261" s="757"/>
      <c r="N261" s="771">
        <v>0</v>
      </c>
      <c r="O261" s="747"/>
      <c r="P261" s="757"/>
      <c r="Q261" s="771">
        <v>0</v>
      </c>
      <c r="R261" s="747"/>
      <c r="S261" s="757"/>
      <c r="T261" s="771">
        <v>0</v>
      </c>
      <c r="U261" s="747"/>
      <c r="V261" s="757"/>
      <c r="W261" s="771">
        <v>0</v>
      </c>
      <c r="X261" s="747"/>
      <c r="Y261" s="757"/>
      <c r="Z261" s="771">
        <v>0</v>
      </c>
      <c r="AA261" s="747"/>
      <c r="AB261" s="757"/>
      <c r="AC261" s="771">
        <v>0</v>
      </c>
      <c r="AD261" s="747"/>
      <c r="AE261" s="757"/>
      <c r="AF261" s="771">
        <v>0</v>
      </c>
      <c r="AG261" s="747"/>
      <c r="AH261" s="757"/>
      <c r="AI261" s="771">
        <v>0</v>
      </c>
      <c r="AJ261" s="747"/>
      <c r="AK261" s="757"/>
      <c r="AL261" s="771">
        <v>0</v>
      </c>
      <c r="AM261" s="747"/>
      <c r="AN261" s="757"/>
      <c r="AO261" s="771">
        <v>0</v>
      </c>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4"/>
        <v>Carrosserie[...]</v>
      </c>
      <c r="B262" s="44" t="s">
        <v>59</v>
      </c>
      <c r="C262" s="747"/>
      <c r="D262" s="757"/>
      <c r="E262" s="758">
        <v>0</v>
      </c>
      <c r="F262" s="747"/>
      <c r="G262" s="757"/>
      <c r="H262" s="771">
        <v>0</v>
      </c>
      <c r="I262" s="747"/>
      <c r="J262" s="757"/>
      <c r="K262" s="771">
        <v>0</v>
      </c>
      <c r="L262" s="747"/>
      <c r="M262" s="757"/>
      <c r="N262" s="771">
        <v>0</v>
      </c>
      <c r="O262" s="747"/>
      <c r="P262" s="757"/>
      <c r="Q262" s="771">
        <v>0</v>
      </c>
      <c r="R262" s="747"/>
      <c r="S262" s="757"/>
      <c r="T262" s="771">
        <v>0</v>
      </c>
      <c r="U262" s="747"/>
      <c r="V262" s="757"/>
      <c r="W262" s="771">
        <v>0</v>
      </c>
      <c r="X262" s="747"/>
      <c r="Y262" s="757"/>
      <c r="Z262" s="771">
        <v>0</v>
      </c>
      <c r="AA262" s="747"/>
      <c r="AB262" s="757"/>
      <c r="AC262" s="771">
        <v>0</v>
      </c>
      <c r="AD262" s="747"/>
      <c r="AE262" s="757"/>
      <c r="AF262" s="771">
        <v>0</v>
      </c>
      <c r="AG262" s="747"/>
      <c r="AH262" s="757"/>
      <c r="AI262" s="771">
        <v>0</v>
      </c>
      <c r="AJ262" s="747"/>
      <c r="AK262" s="757"/>
      <c r="AL262" s="771">
        <v>0</v>
      </c>
      <c r="AM262" s="747"/>
      <c r="AN262" s="757"/>
      <c r="AO262" s="771">
        <v>0</v>
      </c>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4"/>
        <v>Carrosserie[...]</v>
      </c>
      <c r="B263" s="44" t="s">
        <v>59</v>
      </c>
      <c r="C263" s="747"/>
      <c r="D263" s="757"/>
      <c r="E263" s="758">
        <v>0</v>
      </c>
      <c r="F263" s="747"/>
      <c r="G263" s="757"/>
      <c r="H263" s="771">
        <v>0</v>
      </c>
      <c r="I263" s="747"/>
      <c r="J263" s="757"/>
      <c r="K263" s="771">
        <v>0</v>
      </c>
      <c r="L263" s="747"/>
      <c r="M263" s="757"/>
      <c r="N263" s="771">
        <v>0</v>
      </c>
      <c r="O263" s="747"/>
      <c r="P263" s="757"/>
      <c r="Q263" s="771">
        <v>0</v>
      </c>
      <c r="R263" s="747"/>
      <c r="S263" s="757"/>
      <c r="T263" s="771">
        <v>0</v>
      </c>
      <c r="U263" s="747"/>
      <c r="V263" s="757"/>
      <c r="W263" s="771">
        <v>0</v>
      </c>
      <c r="X263" s="747"/>
      <c r="Y263" s="757"/>
      <c r="Z263" s="771">
        <v>0</v>
      </c>
      <c r="AA263" s="747"/>
      <c r="AB263" s="757"/>
      <c r="AC263" s="771">
        <v>0</v>
      </c>
      <c r="AD263" s="747"/>
      <c r="AE263" s="757"/>
      <c r="AF263" s="771">
        <v>0</v>
      </c>
      <c r="AG263" s="747"/>
      <c r="AH263" s="757"/>
      <c r="AI263" s="771">
        <v>0</v>
      </c>
      <c r="AJ263" s="747"/>
      <c r="AK263" s="757"/>
      <c r="AL263" s="771">
        <v>0</v>
      </c>
      <c r="AM263" s="747"/>
      <c r="AN263" s="757"/>
      <c r="AO263" s="771">
        <v>0</v>
      </c>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4"/>
        <v>CarrosserieSalaires en absences</v>
      </c>
      <c r="B264" s="55" t="s">
        <v>124</v>
      </c>
      <c r="C264" s="747"/>
      <c r="D264" s="757"/>
      <c r="E264" s="758">
        <v>7997.5033974999978</v>
      </c>
      <c r="F264" s="747"/>
      <c r="G264" s="757"/>
      <c r="H264" s="771">
        <v>759.74482668269218</v>
      </c>
      <c r="I264" s="747"/>
      <c r="J264" s="757"/>
      <c r="K264" s="771">
        <v>619.8155113461537</v>
      </c>
      <c r="L264" s="747"/>
      <c r="M264" s="757"/>
      <c r="N264" s="771">
        <v>619.8155113461537</v>
      </c>
      <c r="O264" s="747"/>
      <c r="P264" s="757"/>
      <c r="Q264" s="771">
        <v>619.8155113461537</v>
      </c>
      <c r="R264" s="747"/>
      <c r="S264" s="757"/>
      <c r="T264" s="771">
        <v>759.74482668269218</v>
      </c>
      <c r="U264" s="747"/>
      <c r="V264" s="757"/>
      <c r="W264" s="771">
        <v>619.8155113461537</v>
      </c>
      <c r="X264" s="747"/>
      <c r="Y264" s="757"/>
      <c r="Z264" s="771">
        <v>619.8155113461537</v>
      </c>
      <c r="AA264" s="747"/>
      <c r="AB264" s="757"/>
      <c r="AC264" s="771">
        <v>759.74482668269218</v>
      </c>
      <c r="AD264" s="747"/>
      <c r="AE264" s="757"/>
      <c r="AF264" s="771">
        <v>619.8155113461537</v>
      </c>
      <c r="AG264" s="747"/>
      <c r="AH264" s="757"/>
      <c r="AI264" s="771">
        <v>759.74482668269218</v>
      </c>
      <c r="AJ264" s="747"/>
      <c r="AK264" s="757"/>
      <c r="AL264" s="771">
        <v>619.8155113461537</v>
      </c>
      <c r="AM264" s="747"/>
      <c r="AN264" s="757"/>
      <c r="AO264" s="771">
        <v>619.8155113461537</v>
      </c>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4"/>
        <v>CarrosserieDéduction à la source</v>
      </c>
      <c r="B265" s="54" t="s">
        <v>125</v>
      </c>
      <c r="C265" s="780"/>
      <c r="D265" s="781"/>
      <c r="E265" s="782">
        <v>9723.8367300000009</v>
      </c>
      <c r="F265" s="780"/>
      <c r="G265" s="781"/>
      <c r="H265" s="783">
        <v>923.7426086538461</v>
      </c>
      <c r="I265" s="780"/>
      <c r="J265" s="781"/>
      <c r="K265" s="783">
        <v>753.60828692307689</v>
      </c>
      <c r="L265" s="780"/>
      <c r="M265" s="781"/>
      <c r="N265" s="783">
        <v>753.60828692307689</v>
      </c>
      <c r="O265" s="780"/>
      <c r="P265" s="781"/>
      <c r="Q265" s="783">
        <v>753.60828692307689</v>
      </c>
      <c r="R265" s="780"/>
      <c r="S265" s="781"/>
      <c r="T265" s="783">
        <v>923.7426086538461</v>
      </c>
      <c r="U265" s="780"/>
      <c r="V265" s="781"/>
      <c r="W265" s="783">
        <v>753.60828692307689</v>
      </c>
      <c r="X265" s="780"/>
      <c r="Y265" s="781"/>
      <c r="Z265" s="783">
        <v>753.60828692307689</v>
      </c>
      <c r="AA265" s="780"/>
      <c r="AB265" s="781"/>
      <c r="AC265" s="783">
        <v>923.7426086538461</v>
      </c>
      <c r="AD265" s="780"/>
      <c r="AE265" s="781"/>
      <c r="AF265" s="783">
        <v>753.60828692307689</v>
      </c>
      <c r="AG265" s="780"/>
      <c r="AH265" s="781"/>
      <c r="AI265" s="783">
        <v>923.7426086538461</v>
      </c>
      <c r="AJ265" s="780"/>
      <c r="AK265" s="781"/>
      <c r="AL265" s="783">
        <v>753.60828692307689</v>
      </c>
      <c r="AM265" s="780"/>
      <c r="AN265" s="781"/>
      <c r="AO265" s="783">
        <v>753.60828692307689</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4"/>
        <v>CarrosserieBénéfices marginaux</v>
      </c>
      <c r="B266" s="54" t="s">
        <v>126</v>
      </c>
      <c r="C266" s="747"/>
      <c r="D266" s="757"/>
      <c r="E266" s="758">
        <v>5009.8897934999986</v>
      </c>
      <c r="F266" s="747"/>
      <c r="G266" s="757"/>
      <c r="H266" s="771">
        <v>475.92825706730758</v>
      </c>
      <c r="I266" s="747"/>
      <c r="J266" s="757"/>
      <c r="K266" s="771">
        <v>388.27209565384607</v>
      </c>
      <c r="L266" s="747"/>
      <c r="M266" s="757"/>
      <c r="N266" s="771">
        <v>388.27209565384607</v>
      </c>
      <c r="O266" s="747"/>
      <c r="P266" s="757"/>
      <c r="Q266" s="771">
        <v>388.27209565384607</v>
      </c>
      <c r="R266" s="747"/>
      <c r="S266" s="757"/>
      <c r="T266" s="771">
        <v>475.92825706730758</v>
      </c>
      <c r="U266" s="747"/>
      <c r="V266" s="757"/>
      <c r="W266" s="771">
        <v>388.27209565384607</v>
      </c>
      <c r="X266" s="747"/>
      <c r="Y266" s="757"/>
      <c r="Z266" s="771">
        <v>388.27209565384607</v>
      </c>
      <c r="AA266" s="747"/>
      <c r="AB266" s="757"/>
      <c r="AC266" s="771">
        <v>475.92825706730758</v>
      </c>
      <c r="AD266" s="747"/>
      <c r="AE266" s="757"/>
      <c r="AF266" s="771">
        <v>388.27209565384607</v>
      </c>
      <c r="AG266" s="747"/>
      <c r="AH266" s="757"/>
      <c r="AI266" s="771">
        <v>475.92825706730758</v>
      </c>
      <c r="AJ266" s="747"/>
      <c r="AK266" s="757"/>
      <c r="AL266" s="771">
        <v>388.27209565384607</v>
      </c>
      <c r="AM266" s="747"/>
      <c r="AN266" s="757"/>
      <c r="AO266" s="771">
        <v>388.27209565384607</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4"/>
        <v>CarrosserieCsst</v>
      </c>
      <c r="B267" s="54" t="s">
        <v>127</v>
      </c>
      <c r="C267" s="747"/>
      <c r="D267" s="757"/>
      <c r="E267" s="758">
        <v>2184.3401349999995</v>
      </c>
      <c r="F267" s="747"/>
      <c r="G267" s="757"/>
      <c r="H267" s="771">
        <v>207.50739759615382</v>
      </c>
      <c r="I267" s="747"/>
      <c r="J267" s="757"/>
      <c r="K267" s="771">
        <v>169.28881807692304</v>
      </c>
      <c r="L267" s="747"/>
      <c r="M267" s="757"/>
      <c r="N267" s="771">
        <v>169.28881807692304</v>
      </c>
      <c r="O267" s="747"/>
      <c r="P267" s="757"/>
      <c r="Q267" s="771">
        <v>169.28881807692304</v>
      </c>
      <c r="R267" s="747"/>
      <c r="S267" s="757"/>
      <c r="T267" s="771">
        <v>207.50739759615382</v>
      </c>
      <c r="U267" s="747"/>
      <c r="V267" s="757"/>
      <c r="W267" s="771">
        <v>169.28881807692304</v>
      </c>
      <c r="X267" s="747"/>
      <c r="Y267" s="757"/>
      <c r="Z267" s="771">
        <v>169.28881807692304</v>
      </c>
      <c r="AA267" s="747"/>
      <c r="AB267" s="757"/>
      <c r="AC267" s="771">
        <v>207.50739759615382</v>
      </c>
      <c r="AD267" s="747"/>
      <c r="AE267" s="757"/>
      <c r="AF267" s="771">
        <v>169.28881807692304</v>
      </c>
      <c r="AG267" s="747"/>
      <c r="AH267" s="757"/>
      <c r="AI267" s="771">
        <v>207.50739759615382</v>
      </c>
      <c r="AJ267" s="747"/>
      <c r="AK267" s="757"/>
      <c r="AL267" s="771">
        <v>169.28881807692304</v>
      </c>
      <c r="AM267" s="747"/>
      <c r="AN267" s="757"/>
      <c r="AO267" s="771">
        <v>169.28881807692304</v>
      </c>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4"/>
        <v>Carrosserie[...]</v>
      </c>
      <c r="B268" s="44" t="s">
        <v>59</v>
      </c>
      <c r="C268" s="776"/>
      <c r="D268" s="784"/>
      <c r="E268" s="774">
        <v>0</v>
      </c>
      <c r="F268" s="776"/>
      <c r="G268" s="784"/>
      <c r="H268" s="774"/>
      <c r="I268" s="776"/>
      <c r="J268" s="784"/>
      <c r="K268" s="774"/>
      <c r="L268" s="776"/>
      <c r="M268" s="784"/>
      <c r="N268" s="774"/>
      <c r="O268" s="776"/>
      <c r="P268" s="784"/>
      <c r="Q268" s="774"/>
      <c r="R268" s="776"/>
      <c r="S268" s="784"/>
      <c r="T268" s="774"/>
      <c r="U268" s="776"/>
      <c r="V268" s="784"/>
      <c r="W268" s="774"/>
      <c r="X268" s="776"/>
      <c r="Y268" s="784"/>
      <c r="Z268" s="774"/>
      <c r="AA268" s="776"/>
      <c r="AB268" s="784"/>
      <c r="AC268" s="774"/>
      <c r="AD268" s="776"/>
      <c r="AE268" s="784"/>
      <c r="AF268" s="774"/>
      <c r="AG268" s="776"/>
      <c r="AH268" s="784"/>
      <c r="AI268" s="774"/>
      <c r="AJ268" s="776"/>
      <c r="AK268" s="784"/>
      <c r="AL268" s="774"/>
      <c r="AM268" s="776"/>
      <c r="AN268" s="784"/>
      <c r="AO268" s="774"/>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4"/>
        <v>CarrosserieTOTAL PERSONNEL</v>
      </c>
      <c r="B269" s="53" t="s">
        <v>128</v>
      </c>
      <c r="C269" s="777" t="s">
        <v>119</v>
      </c>
      <c r="D269" s="778">
        <v>0</v>
      </c>
      <c r="E269" s="779">
        <v>91500.655055999989</v>
      </c>
      <c r="F269" s="777" t="s">
        <v>119</v>
      </c>
      <c r="G269" s="778">
        <v>0</v>
      </c>
      <c r="H269" s="779">
        <v>8687.8735707692285</v>
      </c>
      <c r="I269" s="777" t="s">
        <v>119</v>
      </c>
      <c r="J269" s="778">
        <v>0</v>
      </c>
      <c r="K269" s="779">
        <v>7093.6450966153834</v>
      </c>
      <c r="L269" s="777" t="s">
        <v>119</v>
      </c>
      <c r="M269" s="778">
        <v>0</v>
      </c>
      <c r="N269" s="779">
        <v>7093.6450966153834</v>
      </c>
      <c r="O269" s="777" t="s">
        <v>119</v>
      </c>
      <c r="P269" s="778">
        <v>0</v>
      </c>
      <c r="Q269" s="779">
        <v>7093.6450966153834</v>
      </c>
      <c r="R269" s="777" t="s">
        <v>119</v>
      </c>
      <c r="S269" s="778">
        <v>0</v>
      </c>
      <c r="T269" s="779">
        <v>8687.8735707692285</v>
      </c>
      <c r="U269" s="777" t="s">
        <v>119</v>
      </c>
      <c r="V269" s="778">
        <v>0</v>
      </c>
      <c r="W269" s="779">
        <v>7093.6450966153834</v>
      </c>
      <c r="X269" s="777" t="s">
        <v>119</v>
      </c>
      <c r="Y269" s="778">
        <v>0</v>
      </c>
      <c r="Z269" s="779">
        <v>7093.6450966153834</v>
      </c>
      <c r="AA269" s="777" t="s">
        <v>119</v>
      </c>
      <c r="AB269" s="778">
        <v>0</v>
      </c>
      <c r="AC269" s="779">
        <v>8687.8735707692285</v>
      </c>
      <c r="AD269" s="777" t="s">
        <v>119</v>
      </c>
      <c r="AE269" s="778">
        <v>0</v>
      </c>
      <c r="AF269" s="779">
        <v>7093.6450966153834</v>
      </c>
      <c r="AG269" s="777" t="s">
        <v>119</v>
      </c>
      <c r="AH269" s="778">
        <v>0</v>
      </c>
      <c r="AI269" s="779">
        <v>8687.8735707692285</v>
      </c>
      <c r="AJ269" s="777" t="s">
        <v>119</v>
      </c>
      <c r="AK269" s="778">
        <v>0</v>
      </c>
      <c r="AL269" s="779">
        <v>7093.6450966153834</v>
      </c>
      <c r="AM269" s="777" t="s">
        <v>119</v>
      </c>
      <c r="AN269" s="778">
        <v>0</v>
      </c>
      <c r="AO269" s="779">
        <v>7093.6450966153834</v>
      </c>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4"/>
        <v>CarrosseriePublicité 2</v>
      </c>
      <c r="B270" s="63" t="s">
        <v>129</v>
      </c>
      <c r="C270" s="747"/>
      <c r="D270" s="757"/>
      <c r="E270" s="758">
        <v>580</v>
      </c>
      <c r="F270" s="747"/>
      <c r="G270" s="757"/>
      <c r="H270" s="771">
        <v>48.333333333333336</v>
      </c>
      <c r="I270" s="747"/>
      <c r="J270" s="757"/>
      <c r="K270" s="771">
        <v>48.333333333333336</v>
      </c>
      <c r="L270" s="747"/>
      <c r="M270" s="757"/>
      <c r="N270" s="771">
        <v>48.333333333333336</v>
      </c>
      <c r="O270" s="747"/>
      <c r="P270" s="757"/>
      <c r="Q270" s="771">
        <v>48.333333333333336</v>
      </c>
      <c r="R270" s="747"/>
      <c r="S270" s="757"/>
      <c r="T270" s="771">
        <v>48.333333333333336</v>
      </c>
      <c r="U270" s="747"/>
      <c r="V270" s="757"/>
      <c r="W270" s="771">
        <v>48.333333333333336</v>
      </c>
      <c r="X270" s="747"/>
      <c r="Y270" s="757"/>
      <c r="Z270" s="771">
        <v>48.333333333333336</v>
      </c>
      <c r="AA270" s="747"/>
      <c r="AB270" s="757"/>
      <c r="AC270" s="771">
        <v>48.333333333333336</v>
      </c>
      <c r="AD270" s="747"/>
      <c r="AE270" s="757"/>
      <c r="AF270" s="771">
        <v>48.333333333333336</v>
      </c>
      <c r="AG270" s="747"/>
      <c r="AH270" s="757"/>
      <c r="AI270" s="771">
        <v>48.333333333333336</v>
      </c>
      <c r="AJ270" s="747"/>
      <c r="AK270" s="757"/>
      <c r="AL270" s="771">
        <v>48.333333333333336</v>
      </c>
      <c r="AM270" s="747"/>
      <c r="AN270" s="757"/>
      <c r="AO270" s="771">
        <v>48.333333333333336</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4"/>
        <v>CarrosserieService gratuit 2</v>
      </c>
      <c r="B271" s="54" t="s">
        <v>130</v>
      </c>
      <c r="C271" s="747"/>
      <c r="D271" s="757"/>
      <c r="E271" s="758">
        <v>6740.1357753668517</v>
      </c>
      <c r="F271" s="747"/>
      <c r="G271" s="757"/>
      <c r="H271" s="771">
        <v>561.67798128057109</v>
      </c>
      <c r="I271" s="747"/>
      <c r="J271" s="757"/>
      <c r="K271" s="771">
        <v>561.67798128057109</v>
      </c>
      <c r="L271" s="747"/>
      <c r="M271" s="757"/>
      <c r="N271" s="771">
        <v>561.67798128057109</v>
      </c>
      <c r="O271" s="747"/>
      <c r="P271" s="757"/>
      <c r="Q271" s="771">
        <v>561.67798128057109</v>
      </c>
      <c r="R271" s="747"/>
      <c r="S271" s="757"/>
      <c r="T271" s="771">
        <v>561.67798128057109</v>
      </c>
      <c r="U271" s="747"/>
      <c r="V271" s="757"/>
      <c r="W271" s="771">
        <v>561.67798128057109</v>
      </c>
      <c r="X271" s="747"/>
      <c r="Y271" s="757"/>
      <c r="Z271" s="771">
        <v>561.67798128057109</v>
      </c>
      <c r="AA271" s="747"/>
      <c r="AB271" s="757"/>
      <c r="AC271" s="771">
        <v>561.67798128057109</v>
      </c>
      <c r="AD271" s="747"/>
      <c r="AE271" s="757"/>
      <c r="AF271" s="771">
        <v>561.67798128057109</v>
      </c>
      <c r="AG271" s="747"/>
      <c r="AH271" s="757"/>
      <c r="AI271" s="771">
        <v>561.67798128057109</v>
      </c>
      <c r="AJ271" s="747"/>
      <c r="AK271" s="757"/>
      <c r="AL271" s="771">
        <v>561.67798128057109</v>
      </c>
      <c r="AM271" s="747"/>
      <c r="AN271" s="757"/>
      <c r="AO271" s="771">
        <v>561.67798128057109</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4"/>
        <v>CarrosserieFrais véhicules de cie</v>
      </c>
      <c r="B272" s="55" t="s">
        <v>131</v>
      </c>
      <c r="C272" s="776"/>
      <c r="D272" s="784"/>
      <c r="E272" s="774">
        <v>1494.0432000000001</v>
      </c>
      <c r="F272" s="776"/>
      <c r="G272" s="784"/>
      <c r="H272" s="775">
        <v>124.50360000000001</v>
      </c>
      <c r="I272" s="776"/>
      <c r="J272" s="784"/>
      <c r="K272" s="775">
        <v>124.50360000000001</v>
      </c>
      <c r="L272" s="776"/>
      <c r="M272" s="784"/>
      <c r="N272" s="775">
        <v>124.50360000000001</v>
      </c>
      <c r="O272" s="776"/>
      <c r="P272" s="784"/>
      <c r="Q272" s="775">
        <v>124.50360000000001</v>
      </c>
      <c r="R272" s="776"/>
      <c r="S272" s="784"/>
      <c r="T272" s="775">
        <v>124.50360000000001</v>
      </c>
      <c r="U272" s="776"/>
      <c r="V272" s="784"/>
      <c r="W272" s="775">
        <v>124.50360000000001</v>
      </c>
      <c r="X272" s="776"/>
      <c r="Y272" s="784"/>
      <c r="Z272" s="775">
        <v>124.50360000000001</v>
      </c>
      <c r="AA272" s="776"/>
      <c r="AB272" s="784"/>
      <c r="AC272" s="775">
        <v>124.50360000000001</v>
      </c>
      <c r="AD272" s="776"/>
      <c r="AE272" s="784"/>
      <c r="AF272" s="775">
        <v>124.50360000000001</v>
      </c>
      <c r="AG272" s="776"/>
      <c r="AH272" s="784"/>
      <c r="AI272" s="775">
        <v>124.50360000000001</v>
      </c>
      <c r="AJ272" s="776"/>
      <c r="AK272" s="784"/>
      <c r="AL272" s="775">
        <v>124.50360000000001</v>
      </c>
      <c r="AM272" s="776"/>
      <c r="AN272" s="784"/>
      <c r="AO272" s="775">
        <v>124.50360000000001</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4"/>
        <v>CarrosserieInformatique</v>
      </c>
      <c r="B273" s="54" t="s">
        <v>132</v>
      </c>
      <c r="C273" s="747"/>
      <c r="D273" s="757"/>
      <c r="E273" s="758">
        <v>17405.122634853331</v>
      </c>
      <c r="F273" s="747"/>
      <c r="G273" s="757"/>
      <c r="H273" s="771">
        <v>1450.4268862377776</v>
      </c>
      <c r="I273" s="747"/>
      <c r="J273" s="757"/>
      <c r="K273" s="771">
        <v>1450.4268862377776</v>
      </c>
      <c r="L273" s="747"/>
      <c r="M273" s="757"/>
      <c r="N273" s="771">
        <v>1450.4268862377776</v>
      </c>
      <c r="O273" s="747"/>
      <c r="P273" s="757"/>
      <c r="Q273" s="771">
        <v>1450.4268862377776</v>
      </c>
      <c r="R273" s="747"/>
      <c r="S273" s="757"/>
      <c r="T273" s="771">
        <v>1450.4268862377776</v>
      </c>
      <c r="U273" s="747"/>
      <c r="V273" s="757"/>
      <c r="W273" s="771">
        <v>1450.4268862377776</v>
      </c>
      <c r="X273" s="747"/>
      <c r="Y273" s="757"/>
      <c r="Z273" s="771">
        <v>1450.4268862377776</v>
      </c>
      <c r="AA273" s="747"/>
      <c r="AB273" s="757"/>
      <c r="AC273" s="771">
        <v>1450.4268862377776</v>
      </c>
      <c r="AD273" s="747"/>
      <c r="AE273" s="757"/>
      <c r="AF273" s="771">
        <v>1450.4268862377776</v>
      </c>
      <c r="AG273" s="747"/>
      <c r="AH273" s="757"/>
      <c r="AI273" s="771">
        <v>1450.4268862377776</v>
      </c>
      <c r="AJ273" s="747"/>
      <c r="AK273" s="757"/>
      <c r="AL273" s="771">
        <v>1450.4268862377776</v>
      </c>
      <c r="AM273" s="747"/>
      <c r="AN273" s="757"/>
      <c r="AO273" s="771">
        <v>1450.4268862377776</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4"/>
        <v>CarrosserieFrais de déplacement</v>
      </c>
      <c r="B274" s="54" t="s">
        <v>133</v>
      </c>
      <c r="C274" s="747"/>
      <c r="D274" s="757"/>
      <c r="E274" s="758">
        <v>2568.4588605429835</v>
      </c>
      <c r="F274" s="747"/>
      <c r="G274" s="757"/>
      <c r="H274" s="771">
        <v>214.03823837858201</v>
      </c>
      <c r="I274" s="747"/>
      <c r="J274" s="757"/>
      <c r="K274" s="771">
        <v>214.03823837858201</v>
      </c>
      <c r="L274" s="747"/>
      <c r="M274" s="757"/>
      <c r="N274" s="771">
        <v>214.03823837858201</v>
      </c>
      <c r="O274" s="747"/>
      <c r="P274" s="757"/>
      <c r="Q274" s="771">
        <v>214.03823837858201</v>
      </c>
      <c r="R274" s="747"/>
      <c r="S274" s="757"/>
      <c r="T274" s="771">
        <v>214.03823837858201</v>
      </c>
      <c r="U274" s="747"/>
      <c r="V274" s="757"/>
      <c r="W274" s="771">
        <v>214.03823837858201</v>
      </c>
      <c r="X274" s="747"/>
      <c r="Y274" s="757"/>
      <c r="Z274" s="771">
        <v>214.03823837858201</v>
      </c>
      <c r="AA274" s="747"/>
      <c r="AB274" s="757"/>
      <c r="AC274" s="771">
        <v>214.03823837858201</v>
      </c>
      <c r="AD274" s="747"/>
      <c r="AE274" s="757"/>
      <c r="AF274" s="771">
        <v>214.03823837858201</v>
      </c>
      <c r="AG274" s="747"/>
      <c r="AH274" s="757"/>
      <c r="AI274" s="771">
        <v>214.03823837858201</v>
      </c>
      <c r="AJ274" s="747"/>
      <c r="AK274" s="757"/>
      <c r="AL274" s="771">
        <v>214.03823837858201</v>
      </c>
      <c r="AM274" s="747"/>
      <c r="AN274" s="757"/>
      <c r="AO274" s="771">
        <v>214.03823837858201</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4"/>
        <v>CarrosserieServices extérieurs</v>
      </c>
      <c r="B275" s="54" t="s">
        <v>134</v>
      </c>
      <c r="C275" s="776"/>
      <c r="D275" s="784"/>
      <c r="E275" s="774">
        <v>8245.7609322297685</v>
      </c>
      <c r="F275" s="776"/>
      <c r="G275" s="784"/>
      <c r="H275" s="775">
        <v>687.14674435248071</v>
      </c>
      <c r="I275" s="776"/>
      <c r="J275" s="784"/>
      <c r="K275" s="775">
        <v>687.14674435248071</v>
      </c>
      <c r="L275" s="776"/>
      <c r="M275" s="784"/>
      <c r="N275" s="775">
        <v>687.14674435248071</v>
      </c>
      <c r="O275" s="776"/>
      <c r="P275" s="784"/>
      <c r="Q275" s="775">
        <v>687.14674435248071</v>
      </c>
      <c r="R275" s="776"/>
      <c r="S275" s="784"/>
      <c r="T275" s="775">
        <v>687.14674435248071</v>
      </c>
      <c r="U275" s="776"/>
      <c r="V275" s="784"/>
      <c r="W275" s="775">
        <v>687.14674435248071</v>
      </c>
      <c r="X275" s="776"/>
      <c r="Y275" s="784"/>
      <c r="Z275" s="775">
        <v>687.14674435248071</v>
      </c>
      <c r="AA275" s="776"/>
      <c r="AB275" s="784"/>
      <c r="AC275" s="775">
        <v>687.14674435248071</v>
      </c>
      <c r="AD275" s="776"/>
      <c r="AE275" s="784"/>
      <c r="AF275" s="775">
        <v>687.14674435248071</v>
      </c>
      <c r="AG275" s="776"/>
      <c r="AH275" s="784"/>
      <c r="AI275" s="775">
        <v>687.14674435248071</v>
      </c>
      <c r="AJ275" s="776"/>
      <c r="AK275" s="784"/>
      <c r="AL275" s="775">
        <v>687.14674435248071</v>
      </c>
      <c r="AM275" s="776"/>
      <c r="AN275" s="784"/>
      <c r="AO275" s="775">
        <v>687.14674435248071</v>
      </c>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4"/>
        <v>CarrosserieFournitures d'atelier</v>
      </c>
      <c r="B276" s="54" t="s">
        <v>490</v>
      </c>
      <c r="C276" s="747"/>
      <c r="D276" s="757"/>
      <c r="E276" s="758">
        <v>0</v>
      </c>
      <c r="F276" s="747"/>
      <c r="G276" s="757"/>
      <c r="H276" s="771">
        <v>0</v>
      </c>
      <c r="I276" s="747"/>
      <c r="J276" s="757"/>
      <c r="K276" s="771">
        <v>0</v>
      </c>
      <c r="L276" s="747"/>
      <c r="M276" s="757"/>
      <c r="N276" s="771">
        <v>0</v>
      </c>
      <c r="O276" s="747"/>
      <c r="P276" s="757"/>
      <c r="Q276" s="771">
        <v>0</v>
      </c>
      <c r="R276" s="747"/>
      <c r="S276" s="757"/>
      <c r="T276" s="771">
        <v>0</v>
      </c>
      <c r="U276" s="747"/>
      <c r="V276" s="757"/>
      <c r="W276" s="771">
        <v>0</v>
      </c>
      <c r="X276" s="747"/>
      <c r="Y276" s="757"/>
      <c r="Z276" s="771">
        <v>0</v>
      </c>
      <c r="AA276" s="747"/>
      <c r="AB276" s="757"/>
      <c r="AC276" s="771">
        <v>0</v>
      </c>
      <c r="AD276" s="747"/>
      <c r="AE276" s="757"/>
      <c r="AF276" s="771">
        <v>0</v>
      </c>
      <c r="AG276" s="747"/>
      <c r="AH276" s="757"/>
      <c r="AI276" s="771">
        <v>0</v>
      </c>
      <c r="AJ276" s="747"/>
      <c r="AK276" s="757"/>
      <c r="AL276" s="771">
        <v>0</v>
      </c>
      <c r="AM276" s="747"/>
      <c r="AN276" s="757"/>
      <c r="AO276" s="771">
        <v>0</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ref="A277:A292" si="5">+$C$239&amp;B277</f>
        <v>CarrosserieFournitures autres</v>
      </c>
      <c r="B277" s="63" t="s">
        <v>135</v>
      </c>
      <c r="C277" s="747"/>
      <c r="D277" s="757"/>
      <c r="E277" s="758">
        <v>551.41839999999991</v>
      </c>
      <c r="F277" s="747"/>
      <c r="G277" s="757"/>
      <c r="H277" s="771">
        <v>45.951533333333337</v>
      </c>
      <c r="I277" s="747"/>
      <c r="J277" s="757"/>
      <c r="K277" s="771">
        <v>45.951533333333337</v>
      </c>
      <c r="L277" s="747"/>
      <c r="M277" s="757"/>
      <c r="N277" s="771">
        <v>45.951533333333337</v>
      </c>
      <c r="O277" s="747"/>
      <c r="P277" s="757"/>
      <c r="Q277" s="771">
        <v>45.951533333333337</v>
      </c>
      <c r="R277" s="747"/>
      <c r="S277" s="757"/>
      <c r="T277" s="771">
        <v>45.951533333333337</v>
      </c>
      <c r="U277" s="747"/>
      <c r="V277" s="757"/>
      <c r="W277" s="771">
        <v>45.951533333333337</v>
      </c>
      <c r="X277" s="747"/>
      <c r="Y277" s="757"/>
      <c r="Z277" s="771">
        <v>45.951533333333337</v>
      </c>
      <c r="AA277" s="747"/>
      <c r="AB277" s="757"/>
      <c r="AC277" s="771">
        <v>45.951533333333337</v>
      </c>
      <c r="AD277" s="747"/>
      <c r="AE277" s="757"/>
      <c r="AF277" s="771">
        <v>45.951533333333337</v>
      </c>
      <c r="AG277" s="747"/>
      <c r="AH277" s="757"/>
      <c r="AI277" s="771">
        <v>45.951533333333337</v>
      </c>
      <c r="AJ277" s="747"/>
      <c r="AK277" s="757"/>
      <c r="AL277" s="771">
        <v>45.951533333333337</v>
      </c>
      <c r="AM277" s="747"/>
      <c r="AN277" s="757"/>
      <c r="AO277" s="771">
        <v>45.951533333333337</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5"/>
        <v>CarrosserieUniformes</v>
      </c>
      <c r="B278" s="54" t="s">
        <v>136</v>
      </c>
      <c r="C278" s="747"/>
      <c r="D278" s="757"/>
      <c r="E278" s="758">
        <v>340</v>
      </c>
      <c r="F278" s="747"/>
      <c r="G278" s="757"/>
      <c r="H278" s="771">
        <v>28.333333333333332</v>
      </c>
      <c r="I278" s="747"/>
      <c r="J278" s="757"/>
      <c r="K278" s="771">
        <v>28.333333333333332</v>
      </c>
      <c r="L278" s="747"/>
      <c r="M278" s="757"/>
      <c r="N278" s="771">
        <v>28.333333333333332</v>
      </c>
      <c r="O278" s="747"/>
      <c r="P278" s="757"/>
      <c r="Q278" s="771">
        <v>28.333333333333332</v>
      </c>
      <c r="R278" s="747"/>
      <c r="S278" s="757"/>
      <c r="T278" s="771">
        <v>28.333333333333332</v>
      </c>
      <c r="U278" s="747"/>
      <c r="V278" s="757"/>
      <c r="W278" s="771">
        <v>28.333333333333332</v>
      </c>
      <c r="X278" s="747"/>
      <c r="Y278" s="757"/>
      <c r="Z278" s="771">
        <v>28.333333333333332</v>
      </c>
      <c r="AA278" s="747"/>
      <c r="AB278" s="757"/>
      <c r="AC278" s="771">
        <v>28.333333333333332</v>
      </c>
      <c r="AD278" s="747"/>
      <c r="AE278" s="757"/>
      <c r="AF278" s="771">
        <v>28.333333333333332</v>
      </c>
      <c r="AG278" s="747"/>
      <c r="AH278" s="757"/>
      <c r="AI278" s="771">
        <v>28.333333333333332</v>
      </c>
      <c r="AJ278" s="747"/>
      <c r="AK278" s="757"/>
      <c r="AL278" s="771">
        <v>28.333333333333332</v>
      </c>
      <c r="AM278" s="747"/>
      <c r="AN278" s="757"/>
      <c r="AO278" s="771">
        <v>28.333333333333332</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5"/>
        <v>CarrosseriePapeterie</v>
      </c>
      <c r="B279" s="54" t="s">
        <v>137</v>
      </c>
      <c r="C279" s="747"/>
      <c r="D279" s="757"/>
      <c r="E279" s="758">
        <v>1754.8427646314394</v>
      </c>
      <c r="F279" s="747"/>
      <c r="G279" s="757"/>
      <c r="H279" s="771">
        <v>146.23689705261995</v>
      </c>
      <c r="I279" s="747"/>
      <c r="J279" s="757"/>
      <c r="K279" s="771">
        <v>146.23689705261995</v>
      </c>
      <c r="L279" s="747"/>
      <c r="M279" s="757"/>
      <c r="N279" s="771">
        <v>146.23689705261995</v>
      </c>
      <c r="O279" s="747"/>
      <c r="P279" s="757"/>
      <c r="Q279" s="771">
        <v>146.23689705261995</v>
      </c>
      <c r="R279" s="747"/>
      <c r="S279" s="757"/>
      <c r="T279" s="771">
        <v>146.23689705261995</v>
      </c>
      <c r="U279" s="747"/>
      <c r="V279" s="757"/>
      <c r="W279" s="771">
        <v>146.23689705261995</v>
      </c>
      <c r="X279" s="747"/>
      <c r="Y279" s="757"/>
      <c r="Z279" s="771">
        <v>146.23689705261995</v>
      </c>
      <c r="AA279" s="747"/>
      <c r="AB279" s="757"/>
      <c r="AC279" s="771">
        <v>146.23689705261995</v>
      </c>
      <c r="AD279" s="747"/>
      <c r="AE279" s="757"/>
      <c r="AF279" s="771">
        <v>146.23689705261995</v>
      </c>
      <c r="AG279" s="747"/>
      <c r="AH279" s="757"/>
      <c r="AI279" s="771">
        <v>146.23689705261995</v>
      </c>
      <c r="AJ279" s="747"/>
      <c r="AK279" s="757"/>
      <c r="AL279" s="771">
        <v>146.23689705261995</v>
      </c>
      <c r="AM279" s="747"/>
      <c r="AN279" s="757"/>
      <c r="AO279" s="771">
        <v>146.23689705261995</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5"/>
        <v>CarrosserieTéléphone</v>
      </c>
      <c r="B280" s="54" t="s">
        <v>138</v>
      </c>
      <c r="C280" s="747"/>
      <c r="D280" s="757"/>
      <c r="E280" s="758">
        <v>388.42770390970333</v>
      </c>
      <c r="F280" s="747"/>
      <c r="G280" s="757"/>
      <c r="H280" s="771">
        <v>32.368975325808613</v>
      </c>
      <c r="I280" s="747"/>
      <c r="J280" s="757"/>
      <c r="K280" s="771">
        <v>32.368975325808613</v>
      </c>
      <c r="L280" s="747"/>
      <c r="M280" s="757"/>
      <c r="N280" s="771">
        <v>32.368975325808613</v>
      </c>
      <c r="O280" s="747"/>
      <c r="P280" s="757"/>
      <c r="Q280" s="771">
        <v>32.368975325808613</v>
      </c>
      <c r="R280" s="747"/>
      <c r="S280" s="757"/>
      <c r="T280" s="771">
        <v>32.368975325808613</v>
      </c>
      <c r="U280" s="747"/>
      <c r="V280" s="757"/>
      <c r="W280" s="771">
        <v>32.368975325808613</v>
      </c>
      <c r="X280" s="747"/>
      <c r="Y280" s="757"/>
      <c r="Z280" s="771">
        <v>32.368975325808613</v>
      </c>
      <c r="AA280" s="747"/>
      <c r="AB280" s="757"/>
      <c r="AC280" s="771">
        <v>32.368975325808613</v>
      </c>
      <c r="AD280" s="747"/>
      <c r="AE280" s="757"/>
      <c r="AF280" s="771">
        <v>32.368975325808613</v>
      </c>
      <c r="AG280" s="747"/>
      <c r="AH280" s="757"/>
      <c r="AI280" s="771">
        <v>32.368975325808613</v>
      </c>
      <c r="AJ280" s="747"/>
      <c r="AK280" s="757"/>
      <c r="AL280" s="771">
        <v>32.368975325808613</v>
      </c>
      <c r="AM280" s="747"/>
      <c r="AN280" s="757"/>
      <c r="AO280" s="771">
        <v>32.368975325808613</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5"/>
        <v>CarrosserieFrais postaux</v>
      </c>
      <c r="B281" s="54" t="s">
        <v>139</v>
      </c>
      <c r="C281" s="747"/>
      <c r="D281" s="757"/>
      <c r="E281" s="758">
        <v>269.90518596709677</v>
      </c>
      <c r="F281" s="747"/>
      <c r="G281" s="757"/>
      <c r="H281" s="771">
        <v>22.492098830591392</v>
      </c>
      <c r="I281" s="747"/>
      <c r="J281" s="757"/>
      <c r="K281" s="771">
        <v>22.492098830591392</v>
      </c>
      <c r="L281" s="747"/>
      <c r="M281" s="757"/>
      <c r="N281" s="771">
        <v>22.492098830591392</v>
      </c>
      <c r="O281" s="747"/>
      <c r="P281" s="757"/>
      <c r="Q281" s="771">
        <v>22.492098830591392</v>
      </c>
      <c r="R281" s="747"/>
      <c r="S281" s="757"/>
      <c r="T281" s="771">
        <v>22.492098830591392</v>
      </c>
      <c r="U281" s="747"/>
      <c r="V281" s="757"/>
      <c r="W281" s="771">
        <v>22.492098830591392</v>
      </c>
      <c r="X281" s="747"/>
      <c r="Y281" s="757"/>
      <c r="Z281" s="771">
        <v>22.492098830591392</v>
      </c>
      <c r="AA281" s="747"/>
      <c r="AB281" s="757"/>
      <c r="AC281" s="771">
        <v>22.492098830591392</v>
      </c>
      <c r="AD281" s="747"/>
      <c r="AE281" s="757"/>
      <c r="AF281" s="771">
        <v>22.492098830591392</v>
      </c>
      <c r="AG281" s="747"/>
      <c r="AH281" s="757"/>
      <c r="AI281" s="771">
        <v>22.492098830591392</v>
      </c>
      <c r="AJ281" s="747"/>
      <c r="AK281" s="757"/>
      <c r="AL281" s="771">
        <v>22.492098830591392</v>
      </c>
      <c r="AM281" s="747"/>
      <c r="AN281" s="757"/>
      <c r="AO281" s="771">
        <v>22.492098830591392</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5"/>
        <v>CarrosserieDivers</v>
      </c>
      <c r="B282" s="54" t="s">
        <v>140</v>
      </c>
      <c r="C282" s="747"/>
      <c r="D282" s="757"/>
      <c r="E282" s="758">
        <v>1234.8608100658366</v>
      </c>
      <c r="F282" s="747"/>
      <c r="G282" s="757"/>
      <c r="H282" s="771">
        <v>102.90506750548639</v>
      </c>
      <c r="I282" s="747"/>
      <c r="J282" s="757"/>
      <c r="K282" s="771">
        <v>102.90506750548639</v>
      </c>
      <c r="L282" s="747"/>
      <c r="M282" s="757"/>
      <c r="N282" s="771">
        <v>102.90506750548639</v>
      </c>
      <c r="O282" s="747"/>
      <c r="P282" s="757"/>
      <c r="Q282" s="771">
        <v>102.90506750548639</v>
      </c>
      <c r="R282" s="747"/>
      <c r="S282" s="757"/>
      <c r="T282" s="771">
        <v>102.90506750548639</v>
      </c>
      <c r="U282" s="747"/>
      <c r="V282" s="757"/>
      <c r="W282" s="771">
        <v>102.90506750548639</v>
      </c>
      <c r="X282" s="747"/>
      <c r="Y282" s="757"/>
      <c r="Z282" s="771">
        <v>102.90506750548639</v>
      </c>
      <c r="AA282" s="747"/>
      <c r="AB282" s="757"/>
      <c r="AC282" s="771">
        <v>102.90506750548639</v>
      </c>
      <c r="AD282" s="747"/>
      <c r="AE282" s="757"/>
      <c r="AF282" s="771">
        <v>102.90506750548639</v>
      </c>
      <c r="AG282" s="747"/>
      <c r="AH282" s="757"/>
      <c r="AI282" s="771">
        <v>102.90506750548639</v>
      </c>
      <c r="AJ282" s="747"/>
      <c r="AK282" s="757"/>
      <c r="AL282" s="771">
        <v>102.90506750548639</v>
      </c>
      <c r="AM282" s="747"/>
      <c r="AN282" s="757"/>
      <c r="AO282" s="771">
        <v>102.90506750548639</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5"/>
        <v>CarrosserieFormation</v>
      </c>
      <c r="B283" s="54" t="s">
        <v>141</v>
      </c>
      <c r="C283" s="747"/>
      <c r="D283" s="757"/>
      <c r="E283" s="758">
        <v>2105.9844214437908</v>
      </c>
      <c r="F283" s="747"/>
      <c r="G283" s="757"/>
      <c r="H283" s="771">
        <v>175.49870178698256</v>
      </c>
      <c r="I283" s="747"/>
      <c r="J283" s="757"/>
      <c r="K283" s="771">
        <v>175.49870178698256</v>
      </c>
      <c r="L283" s="747"/>
      <c r="M283" s="757"/>
      <c r="N283" s="771">
        <v>175.49870178698256</v>
      </c>
      <c r="O283" s="747"/>
      <c r="P283" s="757"/>
      <c r="Q283" s="771">
        <v>175.49870178698256</v>
      </c>
      <c r="R283" s="747"/>
      <c r="S283" s="757"/>
      <c r="T283" s="771">
        <v>175.49870178698256</v>
      </c>
      <c r="U283" s="747"/>
      <c r="V283" s="757"/>
      <c r="W283" s="771">
        <v>175.49870178698256</v>
      </c>
      <c r="X283" s="747"/>
      <c r="Y283" s="757"/>
      <c r="Z283" s="771">
        <v>175.49870178698256</v>
      </c>
      <c r="AA283" s="747"/>
      <c r="AB283" s="757"/>
      <c r="AC283" s="771">
        <v>175.49870178698256</v>
      </c>
      <c r="AD283" s="747"/>
      <c r="AE283" s="757"/>
      <c r="AF283" s="771">
        <v>175.49870178698256</v>
      </c>
      <c r="AG283" s="747"/>
      <c r="AH283" s="757"/>
      <c r="AI283" s="771">
        <v>175.49870178698256</v>
      </c>
      <c r="AJ283" s="747"/>
      <c r="AK283" s="757"/>
      <c r="AL283" s="771">
        <v>175.49870178698256</v>
      </c>
      <c r="AM283" s="747"/>
      <c r="AN283" s="757"/>
      <c r="AO283" s="771">
        <v>175.49870178698256</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5"/>
        <v>CarrosserieFrais bancaires</v>
      </c>
      <c r="B284" s="54" t="s">
        <v>142</v>
      </c>
      <c r="C284" s="747"/>
      <c r="D284" s="757"/>
      <c r="E284" s="758">
        <v>2448.0878784962492</v>
      </c>
      <c r="F284" s="747"/>
      <c r="G284" s="757"/>
      <c r="H284" s="771">
        <v>159.72896474068884</v>
      </c>
      <c r="I284" s="747"/>
      <c r="J284" s="757"/>
      <c r="K284" s="771">
        <v>154.00804632725394</v>
      </c>
      <c r="L284" s="747"/>
      <c r="M284" s="757"/>
      <c r="N284" s="771">
        <v>162.94123533858055</v>
      </c>
      <c r="O284" s="747"/>
      <c r="P284" s="757"/>
      <c r="Q284" s="771">
        <v>213.50771769284086</v>
      </c>
      <c r="R284" s="747"/>
      <c r="S284" s="757"/>
      <c r="T284" s="771">
        <v>226.98206782432285</v>
      </c>
      <c r="U284" s="747"/>
      <c r="V284" s="757"/>
      <c r="W284" s="771">
        <v>211.44628885838492</v>
      </c>
      <c r="X284" s="747"/>
      <c r="Y284" s="757"/>
      <c r="Z284" s="771">
        <v>206.67914215411085</v>
      </c>
      <c r="AA284" s="747"/>
      <c r="AB284" s="757"/>
      <c r="AC284" s="771">
        <v>223.53386323203486</v>
      </c>
      <c r="AD284" s="747"/>
      <c r="AE284" s="757"/>
      <c r="AF284" s="771">
        <v>181.82370823817581</v>
      </c>
      <c r="AG284" s="747"/>
      <c r="AH284" s="757"/>
      <c r="AI284" s="771">
        <v>245.49586925918246</v>
      </c>
      <c r="AJ284" s="747"/>
      <c r="AK284" s="757"/>
      <c r="AL284" s="771">
        <v>288.61067228747322</v>
      </c>
      <c r="AM284" s="747"/>
      <c r="AN284" s="757"/>
      <c r="AO284" s="771">
        <v>173.33030254320019</v>
      </c>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5"/>
        <v>Carrosserie[...]</v>
      </c>
      <c r="B285" s="54" t="s">
        <v>59</v>
      </c>
      <c r="C285" s="747"/>
      <c r="D285" s="757"/>
      <c r="E285" s="758">
        <v>0</v>
      </c>
      <c r="F285" s="747"/>
      <c r="G285" s="757"/>
      <c r="H285" s="758"/>
      <c r="I285" s="747"/>
      <c r="J285" s="757"/>
      <c r="K285" s="758"/>
      <c r="L285" s="747"/>
      <c r="M285" s="757"/>
      <c r="N285" s="758"/>
      <c r="O285" s="747"/>
      <c r="P285" s="757"/>
      <c r="Q285" s="758"/>
      <c r="R285" s="747"/>
      <c r="S285" s="757"/>
      <c r="T285" s="758"/>
      <c r="U285" s="747"/>
      <c r="V285" s="757"/>
      <c r="W285" s="758"/>
      <c r="X285" s="747"/>
      <c r="Y285" s="757"/>
      <c r="Z285" s="758"/>
      <c r="AA285" s="747"/>
      <c r="AB285" s="757"/>
      <c r="AC285" s="758"/>
      <c r="AD285" s="747"/>
      <c r="AE285" s="757"/>
      <c r="AF285" s="758"/>
      <c r="AG285" s="747"/>
      <c r="AH285" s="757"/>
      <c r="AI285" s="758"/>
      <c r="AJ285" s="747"/>
      <c r="AK285" s="757"/>
      <c r="AL285" s="758"/>
      <c r="AM285" s="747"/>
      <c r="AN285" s="757"/>
      <c r="AO285" s="758"/>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5"/>
        <v>Carrosserie[...]</v>
      </c>
      <c r="B286" s="54" t="s">
        <v>59</v>
      </c>
      <c r="C286" s="747"/>
      <c r="D286" s="757"/>
      <c r="E286" s="758">
        <v>0</v>
      </c>
      <c r="F286" s="747"/>
      <c r="G286" s="757"/>
      <c r="H286" s="758"/>
      <c r="I286" s="747"/>
      <c r="J286" s="757"/>
      <c r="K286" s="758"/>
      <c r="L286" s="747"/>
      <c r="M286" s="757"/>
      <c r="N286" s="758"/>
      <c r="O286" s="747"/>
      <c r="P286" s="757"/>
      <c r="Q286" s="758"/>
      <c r="R286" s="747"/>
      <c r="S286" s="757"/>
      <c r="T286" s="758"/>
      <c r="U286" s="747"/>
      <c r="V286" s="757"/>
      <c r="W286" s="758"/>
      <c r="X286" s="747"/>
      <c r="Y286" s="757"/>
      <c r="Z286" s="758"/>
      <c r="AA286" s="747"/>
      <c r="AB286" s="757"/>
      <c r="AC286" s="758"/>
      <c r="AD286" s="747"/>
      <c r="AE286" s="757"/>
      <c r="AF286" s="758"/>
      <c r="AG286" s="747"/>
      <c r="AH286" s="757"/>
      <c r="AI286" s="758"/>
      <c r="AJ286" s="747"/>
      <c r="AK286" s="757"/>
      <c r="AL286" s="758"/>
      <c r="AM286" s="747"/>
      <c r="AN286" s="757"/>
      <c r="AO286" s="758"/>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5"/>
        <v>Carrosserie[...]</v>
      </c>
      <c r="B287" s="54" t="s">
        <v>59</v>
      </c>
      <c r="C287" s="747"/>
      <c r="D287" s="757"/>
      <c r="E287" s="758">
        <v>0</v>
      </c>
      <c r="F287" s="747"/>
      <c r="G287" s="757"/>
      <c r="H287" s="758"/>
      <c r="I287" s="747"/>
      <c r="J287" s="757"/>
      <c r="K287" s="758"/>
      <c r="L287" s="747"/>
      <c r="M287" s="757"/>
      <c r="N287" s="758"/>
      <c r="O287" s="747"/>
      <c r="P287" s="757"/>
      <c r="Q287" s="758"/>
      <c r="R287" s="747"/>
      <c r="S287" s="757"/>
      <c r="T287" s="758"/>
      <c r="U287" s="747"/>
      <c r="V287" s="757"/>
      <c r="W287" s="758"/>
      <c r="X287" s="747"/>
      <c r="Y287" s="757"/>
      <c r="Z287" s="758"/>
      <c r="AA287" s="747"/>
      <c r="AB287" s="757"/>
      <c r="AC287" s="758"/>
      <c r="AD287" s="747"/>
      <c r="AE287" s="757"/>
      <c r="AF287" s="758"/>
      <c r="AG287" s="747"/>
      <c r="AH287" s="757"/>
      <c r="AI287" s="758"/>
      <c r="AJ287" s="747"/>
      <c r="AK287" s="757"/>
      <c r="AL287" s="758"/>
      <c r="AM287" s="747"/>
      <c r="AN287" s="757"/>
      <c r="AO287" s="758"/>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5"/>
        <v>CarrosserieTOTAL SEMI-FIXES</v>
      </c>
      <c r="B288" s="64" t="s">
        <v>143</v>
      </c>
      <c r="C288" s="790" t="s">
        <v>119</v>
      </c>
      <c r="D288" s="791">
        <v>0</v>
      </c>
      <c r="E288" s="792">
        <v>46127.048567507052</v>
      </c>
      <c r="F288" s="790" t="s">
        <v>119</v>
      </c>
      <c r="G288" s="791">
        <v>0</v>
      </c>
      <c r="H288" s="792">
        <v>3799.6423554915891</v>
      </c>
      <c r="I288" s="790" t="s">
        <v>119</v>
      </c>
      <c r="J288" s="791">
        <v>0</v>
      </c>
      <c r="K288" s="792">
        <v>3793.9214370781542</v>
      </c>
      <c r="L288" s="790" t="s">
        <v>119</v>
      </c>
      <c r="M288" s="791">
        <v>0</v>
      </c>
      <c r="N288" s="792">
        <v>3802.8546260894809</v>
      </c>
      <c r="O288" s="790" t="s">
        <v>119</v>
      </c>
      <c r="P288" s="791">
        <v>0</v>
      </c>
      <c r="Q288" s="792">
        <v>3853.4211084437411</v>
      </c>
      <c r="R288" s="790" t="s">
        <v>119</v>
      </c>
      <c r="S288" s="791">
        <v>0</v>
      </c>
      <c r="T288" s="792">
        <v>3866.8954585752231</v>
      </c>
      <c r="U288" s="790" t="s">
        <v>119</v>
      </c>
      <c r="V288" s="791">
        <v>0</v>
      </c>
      <c r="W288" s="792">
        <v>3851.3596796092852</v>
      </c>
      <c r="X288" s="790" t="s">
        <v>119</v>
      </c>
      <c r="Y288" s="791">
        <v>0</v>
      </c>
      <c r="Z288" s="792">
        <v>3846.592532905011</v>
      </c>
      <c r="AA288" s="790" t="s">
        <v>119</v>
      </c>
      <c r="AB288" s="791">
        <v>0</v>
      </c>
      <c r="AC288" s="792">
        <v>3863.4472539829353</v>
      </c>
      <c r="AD288" s="790" t="s">
        <v>119</v>
      </c>
      <c r="AE288" s="791">
        <v>0</v>
      </c>
      <c r="AF288" s="792">
        <v>3821.737098989076</v>
      </c>
      <c r="AG288" s="790" t="s">
        <v>119</v>
      </c>
      <c r="AH288" s="791">
        <v>0</v>
      </c>
      <c r="AI288" s="792">
        <v>3885.409260010083</v>
      </c>
      <c r="AJ288" s="790" t="s">
        <v>119</v>
      </c>
      <c r="AK288" s="791">
        <v>0</v>
      </c>
      <c r="AL288" s="792">
        <v>3928.5240630383737</v>
      </c>
      <c r="AM288" s="790" t="s">
        <v>119</v>
      </c>
      <c r="AN288" s="791">
        <v>0</v>
      </c>
      <c r="AO288" s="792">
        <v>3813.2436932941005</v>
      </c>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5"/>
        <v>Carrosserie</v>
      </c>
      <c r="B289" s="43"/>
      <c r="C289" s="776"/>
      <c r="D289" s="784"/>
      <c r="E289" s="774"/>
      <c r="F289" s="776"/>
      <c r="G289" s="784"/>
      <c r="H289" s="774"/>
      <c r="I289" s="776"/>
      <c r="J289" s="784"/>
      <c r="K289" s="774"/>
      <c r="L289" s="776"/>
      <c r="M289" s="784"/>
      <c r="N289" s="774"/>
      <c r="O289" s="776"/>
      <c r="P289" s="784"/>
      <c r="Q289" s="774"/>
      <c r="R289" s="776"/>
      <c r="S289" s="784"/>
      <c r="T289" s="774"/>
      <c r="U289" s="776"/>
      <c r="V289" s="784"/>
      <c r="W289" s="774"/>
      <c r="X289" s="776"/>
      <c r="Y289" s="784"/>
      <c r="Z289" s="774"/>
      <c r="AA289" s="776"/>
      <c r="AB289" s="784"/>
      <c r="AC289" s="774"/>
      <c r="AD289" s="776"/>
      <c r="AE289" s="784"/>
      <c r="AF289" s="774"/>
      <c r="AG289" s="776"/>
      <c r="AH289" s="784"/>
      <c r="AI289" s="774"/>
      <c r="AJ289" s="776"/>
      <c r="AK289" s="784"/>
      <c r="AL289" s="774"/>
      <c r="AM289" s="776"/>
      <c r="AN289" s="784"/>
      <c r="AO289" s="774"/>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5"/>
        <v>CarrosserieTOTAL DES DÉPENSES</v>
      </c>
      <c r="B290" s="53" t="s">
        <v>144</v>
      </c>
      <c r="C290" s="777" t="s">
        <v>119</v>
      </c>
      <c r="D290" s="815">
        <v>0</v>
      </c>
      <c r="E290" s="789">
        <v>137627.70362350706</v>
      </c>
      <c r="F290" s="777" t="s">
        <v>119</v>
      </c>
      <c r="G290" s="815">
        <v>0</v>
      </c>
      <c r="H290" s="789">
        <v>12487.515926260818</v>
      </c>
      <c r="I290" s="777" t="s">
        <v>119</v>
      </c>
      <c r="J290" s="815">
        <v>0</v>
      </c>
      <c r="K290" s="789">
        <v>10887.566533693538</v>
      </c>
      <c r="L290" s="777" t="s">
        <v>119</v>
      </c>
      <c r="M290" s="815">
        <v>0</v>
      </c>
      <c r="N290" s="789">
        <v>10896.499722704864</v>
      </c>
      <c r="O290" s="777" t="s">
        <v>119</v>
      </c>
      <c r="P290" s="815">
        <v>0</v>
      </c>
      <c r="Q290" s="789">
        <v>10947.066205059124</v>
      </c>
      <c r="R290" s="777" t="s">
        <v>119</v>
      </c>
      <c r="S290" s="815">
        <v>0</v>
      </c>
      <c r="T290" s="789">
        <v>12554.769029344452</v>
      </c>
      <c r="U290" s="777" t="s">
        <v>119</v>
      </c>
      <c r="V290" s="815">
        <v>0</v>
      </c>
      <c r="W290" s="789">
        <v>10945.004776224669</v>
      </c>
      <c r="X290" s="777" t="s">
        <v>119</v>
      </c>
      <c r="Y290" s="815">
        <v>0</v>
      </c>
      <c r="Z290" s="789">
        <v>10940.237629520394</v>
      </c>
      <c r="AA290" s="777" t="s">
        <v>119</v>
      </c>
      <c r="AB290" s="815">
        <v>0</v>
      </c>
      <c r="AC290" s="789">
        <v>12551.320824752163</v>
      </c>
      <c r="AD290" s="777" t="s">
        <v>119</v>
      </c>
      <c r="AE290" s="815">
        <v>0</v>
      </c>
      <c r="AF290" s="789">
        <v>10915.382195604459</v>
      </c>
      <c r="AG290" s="777" t="s">
        <v>119</v>
      </c>
      <c r="AH290" s="815">
        <v>0</v>
      </c>
      <c r="AI290" s="789">
        <v>12573.282830779312</v>
      </c>
      <c r="AJ290" s="777" t="s">
        <v>119</v>
      </c>
      <c r="AK290" s="815">
        <v>0</v>
      </c>
      <c r="AL290" s="789">
        <v>11022.169159653757</v>
      </c>
      <c r="AM290" s="777" t="s">
        <v>119</v>
      </c>
      <c r="AN290" s="815">
        <v>0</v>
      </c>
      <c r="AO290" s="789">
        <v>10906.888789909484</v>
      </c>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5"/>
        <v>Carrosserie</v>
      </c>
      <c r="B291" s="44"/>
      <c r="C291" s="747"/>
      <c r="D291" s="757"/>
      <c r="E291" s="758"/>
      <c r="F291" s="747"/>
      <c r="G291" s="757"/>
      <c r="H291" s="758"/>
      <c r="I291" s="747"/>
      <c r="J291" s="757"/>
      <c r="K291" s="758"/>
      <c r="L291" s="747"/>
      <c r="M291" s="757"/>
      <c r="N291" s="758"/>
      <c r="O291" s="747"/>
      <c r="P291" s="757"/>
      <c r="Q291" s="758"/>
      <c r="R291" s="747"/>
      <c r="S291" s="757"/>
      <c r="T291" s="758"/>
      <c r="U291" s="747"/>
      <c r="V291" s="757"/>
      <c r="W291" s="758"/>
      <c r="X291" s="747"/>
      <c r="Y291" s="757"/>
      <c r="Z291" s="758"/>
      <c r="AA291" s="747"/>
      <c r="AB291" s="757"/>
      <c r="AC291" s="758"/>
      <c r="AD291" s="747"/>
      <c r="AE291" s="757"/>
      <c r="AF291" s="758"/>
      <c r="AG291" s="747"/>
      <c r="AH291" s="757"/>
      <c r="AI291" s="758"/>
      <c r="AJ291" s="747"/>
      <c r="AK291" s="757"/>
      <c r="AL291" s="758"/>
      <c r="AM291" s="747"/>
      <c r="AN291" s="757"/>
      <c r="AO291" s="758"/>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c r="A292" s="39" t="str">
        <f t="shared" si="5"/>
        <v>CarrosseriePROFIT DÉPARTEMENTAL</v>
      </c>
      <c r="B292" s="57" t="s">
        <v>151</v>
      </c>
      <c r="C292" s="816"/>
      <c r="D292" s="817"/>
      <c r="E292" s="798">
        <v>-5627.7036235070555</v>
      </c>
      <c r="F292" s="816"/>
      <c r="G292" s="817"/>
      <c r="H292" s="798">
        <v>-7207.5159262608177</v>
      </c>
      <c r="I292" s="816"/>
      <c r="J292" s="817"/>
      <c r="K292" s="798">
        <v>-1647.5665336935363</v>
      </c>
      <c r="L292" s="816"/>
      <c r="M292" s="817"/>
      <c r="N292" s="798">
        <v>2303.5002772951357</v>
      </c>
      <c r="O292" s="816"/>
      <c r="P292" s="817"/>
      <c r="Q292" s="798">
        <v>2252.9337949408764</v>
      </c>
      <c r="R292" s="816"/>
      <c r="S292" s="817"/>
      <c r="T292" s="798">
        <v>645.23097065554794</v>
      </c>
      <c r="U292" s="816"/>
      <c r="V292" s="817"/>
      <c r="W292" s="798">
        <v>3574.9952237753314</v>
      </c>
      <c r="X292" s="816"/>
      <c r="Y292" s="817"/>
      <c r="Z292" s="798">
        <v>-380.23762952039397</v>
      </c>
      <c r="AA292" s="816"/>
      <c r="AB292" s="817"/>
      <c r="AC292" s="798">
        <v>-671.32082475216339</v>
      </c>
      <c r="AD292" s="816"/>
      <c r="AE292" s="817"/>
      <c r="AF292" s="798">
        <v>964.61780439554059</v>
      </c>
      <c r="AG292" s="816"/>
      <c r="AH292" s="817"/>
      <c r="AI292" s="798">
        <v>-693.28283077931155</v>
      </c>
      <c r="AJ292" s="816"/>
      <c r="AK292" s="817"/>
      <c r="AL292" s="798">
        <v>-462.16915965375665</v>
      </c>
      <c r="AM292" s="816"/>
      <c r="AN292" s="817"/>
      <c r="AO292" s="798">
        <v>-4306.8887899094843</v>
      </c>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48"/>
      <c r="C293" s="757"/>
      <c r="D293" s="757"/>
      <c r="E293" s="770"/>
      <c r="F293" s="757"/>
      <c r="G293" s="757"/>
      <c r="H293" s="770"/>
      <c r="I293" s="757"/>
      <c r="J293" s="757"/>
      <c r="K293" s="770"/>
      <c r="L293" s="757"/>
      <c r="M293" s="757"/>
      <c r="N293" s="770"/>
      <c r="O293" s="757"/>
      <c r="P293" s="757"/>
      <c r="Q293" s="770"/>
      <c r="R293" s="757"/>
      <c r="S293" s="757"/>
      <c r="T293" s="770"/>
      <c r="U293" s="757"/>
      <c r="V293" s="757"/>
      <c r="W293" s="770"/>
      <c r="X293" s="757"/>
      <c r="Y293" s="757"/>
      <c r="Z293" s="770"/>
      <c r="AA293" s="757"/>
      <c r="AB293" s="757"/>
      <c r="AC293" s="770"/>
      <c r="AD293" s="757"/>
      <c r="AE293" s="757"/>
      <c r="AF293" s="770"/>
      <c r="AG293" s="757"/>
      <c r="AH293" s="757"/>
      <c r="AI293" s="770"/>
      <c r="AJ293" s="757"/>
      <c r="AK293" s="757"/>
      <c r="AL293" s="770"/>
      <c r="AM293" s="757"/>
      <c r="AN293" s="757"/>
      <c r="AO293" s="770"/>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1" t="s">
        <v>3935</v>
      </c>
      <c r="C294" s="802" t="s">
        <v>180</v>
      </c>
      <c r="D294" s="802"/>
      <c r="E294" s="802"/>
      <c r="F294" s="802"/>
      <c r="G294" s="802"/>
      <c r="H294" s="802"/>
      <c r="I294" s="802"/>
      <c r="J294" s="802"/>
      <c r="K294" s="802"/>
      <c r="L294" s="802"/>
      <c r="M294" s="802"/>
      <c r="N294" s="802"/>
      <c r="O294" s="802"/>
      <c r="P294" s="802"/>
      <c r="Q294" s="802"/>
      <c r="R294" s="802"/>
      <c r="S294" s="802"/>
      <c r="T294" s="802"/>
      <c r="U294" s="802"/>
      <c r="V294" s="802"/>
      <c r="W294" s="802"/>
      <c r="X294" s="802"/>
      <c r="Y294" s="802"/>
      <c r="Z294" s="802"/>
      <c r="AA294" s="802"/>
      <c r="AB294" s="802"/>
      <c r="AC294" s="802"/>
      <c r="AD294" s="802"/>
      <c r="AE294" s="802"/>
      <c r="AF294" s="802"/>
      <c r="AG294" s="802"/>
      <c r="AH294" s="802"/>
      <c r="AI294" s="802"/>
      <c r="AJ294" s="802"/>
      <c r="AK294" s="802"/>
      <c r="AL294" s="802"/>
      <c r="AM294" s="802"/>
      <c r="AN294" s="802"/>
      <c r="AO294" s="802"/>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c r="A295" s="39"/>
      <c r="B295" s="62"/>
      <c r="C295" s="801"/>
      <c r="D295" s="801"/>
      <c r="E295" s="801"/>
      <c r="F295" s="801"/>
      <c r="G295" s="801"/>
      <c r="H295" s="801"/>
      <c r="I295" s="801"/>
      <c r="J295" s="801"/>
      <c r="K295" s="801"/>
      <c r="L295" s="801"/>
      <c r="M295" s="801"/>
      <c r="N295" s="801"/>
      <c r="O295" s="801"/>
      <c r="P295" s="801"/>
      <c r="Q295" s="801"/>
      <c r="R295" s="801"/>
      <c r="S295" s="801"/>
      <c r="T295" s="801"/>
      <c r="U295" s="801"/>
      <c r="V295" s="801"/>
      <c r="W295" s="801"/>
      <c r="X295" s="801"/>
      <c r="Y295" s="801"/>
      <c r="Z295" s="801"/>
      <c r="AA295" s="801"/>
      <c r="AB295" s="801"/>
      <c r="AC295" s="801"/>
      <c r="AD295" s="801"/>
      <c r="AE295" s="801"/>
      <c r="AF295" s="801"/>
      <c r="AG295" s="801"/>
      <c r="AH295" s="801"/>
      <c r="AI295" s="801"/>
      <c r="AJ295" s="801"/>
      <c r="AK295" s="801"/>
      <c r="AL295" s="801"/>
      <c r="AM295" s="801"/>
      <c r="AN295" s="801"/>
      <c r="AO295" s="801"/>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c r="A296" s="39"/>
      <c r="B296" s="40" t="s">
        <v>3</v>
      </c>
      <c r="C296" s="969">
        <v>2025</v>
      </c>
      <c r="D296" s="970"/>
      <c r="E296" s="971"/>
      <c r="F296" s="729" t="s">
        <v>8</v>
      </c>
      <c r="G296" s="730"/>
      <c r="H296" s="731"/>
      <c r="I296" s="729" t="s">
        <v>10</v>
      </c>
      <c r="J296" s="730"/>
      <c r="K296" s="731"/>
      <c r="L296" s="729" t="s">
        <v>11</v>
      </c>
      <c r="M296" s="730"/>
      <c r="N296" s="731"/>
      <c r="O296" s="729" t="s">
        <v>12</v>
      </c>
      <c r="P296" s="730"/>
      <c r="Q296" s="731"/>
      <c r="R296" s="729" t="s">
        <v>13</v>
      </c>
      <c r="S296" s="730"/>
      <c r="T296" s="731"/>
      <c r="U296" s="729" t="s">
        <v>14</v>
      </c>
      <c r="V296" s="730"/>
      <c r="W296" s="731"/>
      <c r="X296" s="729" t="s">
        <v>16</v>
      </c>
      <c r="Y296" s="730"/>
      <c r="Z296" s="731"/>
      <c r="AA296" s="729" t="s">
        <v>18</v>
      </c>
      <c r="AB296" s="730"/>
      <c r="AC296" s="731"/>
      <c r="AD296" s="729" t="s">
        <v>20</v>
      </c>
      <c r="AE296" s="730"/>
      <c r="AF296" s="731"/>
      <c r="AG296" s="729" t="s">
        <v>22</v>
      </c>
      <c r="AH296" s="730"/>
      <c r="AI296" s="731"/>
      <c r="AJ296" s="729" t="s">
        <v>23</v>
      </c>
      <c r="AK296" s="730"/>
      <c r="AL296" s="731"/>
      <c r="AM296" s="729" t="s">
        <v>6</v>
      </c>
      <c r="AN296" s="730"/>
      <c r="AO296" s="731"/>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40" si="6">+$C$294&amp;B297</f>
        <v>Pièces</v>
      </c>
      <c r="B297" s="44"/>
      <c r="C297" s="803" t="s">
        <v>163</v>
      </c>
      <c r="D297" s="768" t="s">
        <v>181</v>
      </c>
      <c r="E297" s="804" t="s">
        <v>95</v>
      </c>
      <c r="F297" s="803" t="s">
        <v>163</v>
      </c>
      <c r="G297" s="768" t="s">
        <v>181</v>
      </c>
      <c r="H297" s="804" t="s">
        <v>95</v>
      </c>
      <c r="I297" s="803" t="s">
        <v>163</v>
      </c>
      <c r="J297" s="768" t="s">
        <v>181</v>
      </c>
      <c r="K297" s="804" t="s">
        <v>95</v>
      </c>
      <c r="L297" s="803" t="s">
        <v>163</v>
      </c>
      <c r="M297" s="768" t="s">
        <v>181</v>
      </c>
      <c r="N297" s="804" t="s">
        <v>95</v>
      </c>
      <c r="O297" s="803" t="s">
        <v>163</v>
      </c>
      <c r="P297" s="768" t="s">
        <v>181</v>
      </c>
      <c r="Q297" s="804" t="s">
        <v>95</v>
      </c>
      <c r="R297" s="803" t="s">
        <v>163</v>
      </c>
      <c r="S297" s="768" t="s">
        <v>181</v>
      </c>
      <c r="T297" s="804" t="s">
        <v>95</v>
      </c>
      <c r="U297" s="803" t="s">
        <v>163</v>
      </c>
      <c r="V297" s="768" t="s">
        <v>181</v>
      </c>
      <c r="W297" s="804" t="s">
        <v>95</v>
      </c>
      <c r="X297" s="803" t="s">
        <v>163</v>
      </c>
      <c r="Y297" s="768" t="s">
        <v>181</v>
      </c>
      <c r="Z297" s="804" t="s">
        <v>95</v>
      </c>
      <c r="AA297" s="803" t="s">
        <v>163</v>
      </c>
      <c r="AB297" s="768" t="s">
        <v>181</v>
      </c>
      <c r="AC297" s="804" t="s">
        <v>95</v>
      </c>
      <c r="AD297" s="803" t="s">
        <v>163</v>
      </c>
      <c r="AE297" s="768" t="s">
        <v>181</v>
      </c>
      <c r="AF297" s="804" t="s">
        <v>95</v>
      </c>
      <c r="AG297" s="803" t="s">
        <v>163</v>
      </c>
      <c r="AH297" s="768" t="s">
        <v>181</v>
      </c>
      <c r="AI297" s="804" t="s">
        <v>95</v>
      </c>
      <c r="AJ297" s="803" t="s">
        <v>163</v>
      </c>
      <c r="AK297" s="768" t="s">
        <v>181</v>
      </c>
      <c r="AL297" s="804" t="s">
        <v>95</v>
      </c>
      <c r="AM297" s="803" t="s">
        <v>163</v>
      </c>
      <c r="AN297" s="768" t="s">
        <v>181</v>
      </c>
      <c r="AO297" s="804" t="s">
        <v>95</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6"/>
        <v>PiècesPièces Ro Clients</v>
      </c>
      <c r="B298" s="44" t="s">
        <v>182</v>
      </c>
      <c r="C298" s="819">
        <v>1158559.112</v>
      </c>
      <c r="D298" s="813">
        <v>0.35699999999999998</v>
      </c>
      <c r="E298" s="758">
        <v>413605.602984</v>
      </c>
      <c r="F298" s="820">
        <v>63720.75116</v>
      </c>
      <c r="G298" s="813">
        <v>0.35699999999999998</v>
      </c>
      <c r="H298" s="771">
        <v>22748.308164120001</v>
      </c>
      <c r="I298" s="820">
        <v>56769.396487999998</v>
      </c>
      <c r="J298" s="813">
        <v>0.35699999999999998</v>
      </c>
      <c r="K298" s="771">
        <v>20266.674546216</v>
      </c>
      <c r="L298" s="820">
        <v>69513.546719999998</v>
      </c>
      <c r="M298" s="813">
        <v>0.35699999999999998</v>
      </c>
      <c r="N298" s="771">
        <v>24816.336179039998</v>
      </c>
      <c r="O298" s="820">
        <v>126282.943208</v>
      </c>
      <c r="P298" s="813">
        <v>0.35699999999999998</v>
      </c>
      <c r="Q298" s="771">
        <v>45083.010725255997</v>
      </c>
      <c r="R298" s="820">
        <v>123965.82498399999</v>
      </c>
      <c r="S298" s="813">
        <v>0.35699999999999998</v>
      </c>
      <c r="T298" s="771">
        <v>44255.799519287997</v>
      </c>
      <c r="U298" s="820">
        <v>81099.13784000001</v>
      </c>
      <c r="V298" s="813">
        <v>0.35699999999999998</v>
      </c>
      <c r="W298" s="771">
        <v>28952.392208880003</v>
      </c>
      <c r="X298" s="820">
        <v>81099.13784000001</v>
      </c>
      <c r="Y298" s="813">
        <v>0.35699999999999998</v>
      </c>
      <c r="Z298" s="771">
        <v>28952.392208880003</v>
      </c>
      <c r="AA298" s="820">
        <v>81099.13784000001</v>
      </c>
      <c r="AB298" s="813">
        <v>0.35699999999999998</v>
      </c>
      <c r="AC298" s="771">
        <v>28952.392208880003</v>
      </c>
      <c r="AD298" s="820">
        <v>75306.342279999997</v>
      </c>
      <c r="AE298" s="813">
        <v>0.35699999999999998</v>
      </c>
      <c r="AF298" s="771">
        <v>26884.364193959998</v>
      </c>
      <c r="AG298" s="820">
        <v>127441.50232</v>
      </c>
      <c r="AH298" s="813">
        <v>0.35699999999999998</v>
      </c>
      <c r="AI298" s="771">
        <v>45496.616328240001</v>
      </c>
      <c r="AJ298" s="820">
        <v>185369.45791999999</v>
      </c>
      <c r="AK298" s="813">
        <v>0.35699999999999998</v>
      </c>
      <c r="AL298" s="771">
        <v>66176.896477439994</v>
      </c>
      <c r="AM298" s="820">
        <v>86891.933399999994</v>
      </c>
      <c r="AN298" s="813">
        <v>0.35699999999999998</v>
      </c>
      <c r="AO298" s="771">
        <v>31020.420223799996</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6"/>
        <v>PiècesPièces Ro Carrosserie</v>
      </c>
      <c r="B299" s="44" t="s">
        <v>183</v>
      </c>
      <c r="C299" s="819">
        <v>360000</v>
      </c>
      <c r="D299" s="813">
        <v>0.248</v>
      </c>
      <c r="E299" s="758">
        <v>89280</v>
      </c>
      <c r="F299" s="820">
        <v>14400</v>
      </c>
      <c r="G299" s="813">
        <v>0.248</v>
      </c>
      <c r="H299" s="771">
        <v>3571.2</v>
      </c>
      <c r="I299" s="820">
        <v>25200.000000000004</v>
      </c>
      <c r="J299" s="813">
        <v>0.24800000000000003</v>
      </c>
      <c r="K299" s="771">
        <v>6249.6000000000013</v>
      </c>
      <c r="L299" s="820">
        <v>36000</v>
      </c>
      <c r="M299" s="813">
        <v>0.248</v>
      </c>
      <c r="N299" s="771">
        <v>8928</v>
      </c>
      <c r="O299" s="820">
        <v>36000</v>
      </c>
      <c r="P299" s="813">
        <v>0.248</v>
      </c>
      <c r="Q299" s="771">
        <v>8928</v>
      </c>
      <c r="R299" s="820">
        <v>36000</v>
      </c>
      <c r="S299" s="813">
        <v>0.248</v>
      </c>
      <c r="T299" s="771">
        <v>8928</v>
      </c>
      <c r="U299" s="820">
        <v>39600</v>
      </c>
      <c r="V299" s="813">
        <v>0.24799999999999997</v>
      </c>
      <c r="W299" s="771">
        <v>9820.7999999999993</v>
      </c>
      <c r="X299" s="820">
        <v>28800</v>
      </c>
      <c r="Y299" s="813">
        <v>0.248</v>
      </c>
      <c r="Z299" s="771">
        <v>7142.4</v>
      </c>
      <c r="AA299" s="820">
        <v>32400</v>
      </c>
      <c r="AB299" s="813">
        <v>0.248</v>
      </c>
      <c r="AC299" s="771">
        <v>8035.2</v>
      </c>
      <c r="AD299" s="820">
        <v>32400</v>
      </c>
      <c r="AE299" s="813">
        <v>0.248</v>
      </c>
      <c r="AF299" s="771">
        <v>8035.2</v>
      </c>
      <c r="AG299" s="820">
        <v>32400</v>
      </c>
      <c r="AH299" s="813">
        <v>0.248</v>
      </c>
      <c r="AI299" s="771">
        <v>8035.2</v>
      </c>
      <c r="AJ299" s="820">
        <v>28800</v>
      </c>
      <c r="AK299" s="813">
        <v>0.248</v>
      </c>
      <c r="AL299" s="771">
        <v>7142.4</v>
      </c>
      <c r="AM299" s="820">
        <v>18000</v>
      </c>
      <c r="AN299" s="813">
        <v>0.248</v>
      </c>
      <c r="AO299" s="771">
        <v>4464</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6"/>
        <v>PiècesP/A Garantie</v>
      </c>
      <c r="B300" s="44" t="s">
        <v>184</v>
      </c>
      <c r="C300" s="819">
        <v>558232.5</v>
      </c>
      <c r="D300" s="813">
        <v>0.23700000000000002</v>
      </c>
      <c r="E300" s="758">
        <v>132301.10250000001</v>
      </c>
      <c r="F300" s="820">
        <v>44658.6</v>
      </c>
      <c r="G300" s="813">
        <v>0.23699999999999996</v>
      </c>
      <c r="H300" s="771">
        <v>10584.088199999998</v>
      </c>
      <c r="I300" s="820">
        <v>32377.485000000001</v>
      </c>
      <c r="J300" s="813">
        <v>0.23699999999999999</v>
      </c>
      <c r="K300" s="771">
        <v>7673.4639449999995</v>
      </c>
      <c r="L300" s="820">
        <v>24562.23</v>
      </c>
      <c r="M300" s="813">
        <v>0.23699999999999999</v>
      </c>
      <c r="N300" s="771">
        <v>5821.2485099999994</v>
      </c>
      <c r="O300" s="820">
        <v>33493.949999999997</v>
      </c>
      <c r="P300" s="813">
        <v>0.23699999999999999</v>
      </c>
      <c r="Q300" s="771">
        <v>7938.0661499999987</v>
      </c>
      <c r="R300" s="820">
        <v>50240.924999999996</v>
      </c>
      <c r="S300" s="813">
        <v>0.23699999999999999</v>
      </c>
      <c r="T300" s="771">
        <v>11907.099224999998</v>
      </c>
      <c r="U300" s="820">
        <v>51915.622499999998</v>
      </c>
      <c r="V300" s="813">
        <v>0.23699999999999999</v>
      </c>
      <c r="W300" s="771">
        <v>12304.002532499999</v>
      </c>
      <c r="X300" s="820">
        <v>60847.342499999999</v>
      </c>
      <c r="Y300" s="813">
        <v>0.23700000000000002</v>
      </c>
      <c r="Z300" s="771">
        <v>14420.8201725</v>
      </c>
      <c r="AA300" s="820">
        <v>61405.574999999997</v>
      </c>
      <c r="AB300" s="813">
        <v>0.23699999999999996</v>
      </c>
      <c r="AC300" s="771">
        <v>14553.121274999998</v>
      </c>
      <c r="AD300" s="820">
        <v>58614.412499999999</v>
      </c>
      <c r="AE300" s="813">
        <v>0.23699999999999999</v>
      </c>
      <c r="AF300" s="771">
        <v>13891.6157625</v>
      </c>
      <c r="AG300" s="820">
        <v>60847.342499999999</v>
      </c>
      <c r="AH300" s="813">
        <v>0.23700000000000002</v>
      </c>
      <c r="AI300" s="771">
        <v>14420.8201725</v>
      </c>
      <c r="AJ300" s="820">
        <v>46333.297500000001</v>
      </c>
      <c r="AK300" s="813">
        <v>0.23699999999999999</v>
      </c>
      <c r="AL300" s="771">
        <v>10980.991507499999</v>
      </c>
      <c r="AM300" s="820">
        <v>32935.717499999999</v>
      </c>
      <c r="AN300" s="813">
        <v>0.23699999999999999</v>
      </c>
      <c r="AO300" s="771">
        <v>7805.7650474999991</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6"/>
        <v>PiècesVentes Internes</v>
      </c>
      <c r="B301" s="44" t="s">
        <v>185</v>
      </c>
      <c r="C301" s="819">
        <v>726102.29999999993</v>
      </c>
      <c r="D301" s="813">
        <v>0.29399999999999998</v>
      </c>
      <c r="E301" s="758">
        <v>213474.07619999998</v>
      </c>
      <c r="F301" s="820">
        <v>47196.6495</v>
      </c>
      <c r="G301" s="813">
        <v>0.29399999999999998</v>
      </c>
      <c r="H301" s="771">
        <v>13875.814952999999</v>
      </c>
      <c r="I301" s="820">
        <v>49374.956399999995</v>
      </c>
      <c r="J301" s="813">
        <v>0.29399999999999998</v>
      </c>
      <c r="K301" s="771">
        <v>14516.237181599998</v>
      </c>
      <c r="L301" s="820">
        <v>54457.672499999993</v>
      </c>
      <c r="M301" s="813">
        <v>0.29399999999999998</v>
      </c>
      <c r="N301" s="771">
        <v>16010.555714999997</v>
      </c>
      <c r="O301" s="820">
        <v>54457.672499999993</v>
      </c>
      <c r="P301" s="813">
        <v>0.29399999999999998</v>
      </c>
      <c r="Q301" s="771">
        <v>16010.555714999997</v>
      </c>
      <c r="R301" s="820">
        <v>55909.877099999991</v>
      </c>
      <c r="S301" s="813">
        <v>0.29399999999999998</v>
      </c>
      <c r="T301" s="771">
        <v>16437.503867399995</v>
      </c>
      <c r="U301" s="820">
        <v>65349.206999999995</v>
      </c>
      <c r="V301" s="813">
        <v>0.29399999999999998</v>
      </c>
      <c r="W301" s="771">
        <v>19212.666857999997</v>
      </c>
      <c r="X301" s="820">
        <v>65349.206999999995</v>
      </c>
      <c r="Y301" s="813">
        <v>0.29399999999999998</v>
      </c>
      <c r="Z301" s="771">
        <v>19212.666857999997</v>
      </c>
      <c r="AA301" s="820">
        <v>79871.252999999997</v>
      </c>
      <c r="AB301" s="813">
        <v>0.29399999999999998</v>
      </c>
      <c r="AC301" s="771">
        <v>23482.148381999999</v>
      </c>
      <c r="AD301" s="820">
        <v>58088.183999999994</v>
      </c>
      <c r="AE301" s="813">
        <v>0.29399999999999993</v>
      </c>
      <c r="AF301" s="771">
        <v>17077.926095999996</v>
      </c>
      <c r="AG301" s="820">
        <v>65349.206999999995</v>
      </c>
      <c r="AH301" s="813">
        <v>0.29399999999999998</v>
      </c>
      <c r="AI301" s="771">
        <v>19212.666857999997</v>
      </c>
      <c r="AJ301" s="820">
        <v>79871.252999999997</v>
      </c>
      <c r="AK301" s="813">
        <v>0.29399999999999998</v>
      </c>
      <c r="AL301" s="771">
        <v>23482.148381999999</v>
      </c>
      <c r="AM301" s="820">
        <v>50827.161</v>
      </c>
      <c r="AN301" s="813">
        <v>0.29399999999999998</v>
      </c>
      <c r="AO301" s="771">
        <v>14943.185334</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6"/>
        <v>PiècesVentes Détails</v>
      </c>
      <c r="B302" s="44" t="s">
        <v>186</v>
      </c>
      <c r="C302" s="819">
        <v>242014</v>
      </c>
      <c r="D302" s="813">
        <v>0.27699999999999997</v>
      </c>
      <c r="E302" s="758">
        <v>67037.877999999997</v>
      </c>
      <c r="F302" s="820">
        <v>14762.853999999999</v>
      </c>
      <c r="G302" s="813">
        <v>0.27700000000000002</v>
      </c>
      <c r="H302" s="771">
        <v>4089.3105580000001</v>
      </c>
      <c r="I302" s="820">
        <v>16940.980000000003</v>
      </c>
      <c r="J302" s="813">
        <v>0.27700000000000002</v>
      </c>
      <c r="K302" s="771">
        <v>4692.651460000001</v>
      </c>
      <c r="L302" s="820">
        <v>14520.84</v>
      </c>
      <c r="M302" s="813">
        <v>0.27700000000000002</v>
      </c>
      <c r="N302" s="771">
        <v>4022.2726800000005</v>
      </c>
      <c r="O302" s="820">
        <v>23233.344000000001</v>
      </c>
      <c r="P302" s="813">
        <v>0.27700000000000002</v>
      </c>
      <c r="Q302" s="771">
        <v>6435.6362880000006</v>
      </c>
      <c r="R302" s="820">
        <v>22507.302</v>
      </c>
      <c r="S302" s="813">
        <v>0.27700000000000002</v>
      </c>
      <c r="T302" s="771">
        <v>6234.5226540000003</v>
      </c>
      <c r="U302" s="820">
        <v>19119.106</v>
      </c>
      <c r="V302" s="813">
        <v>0.27700000000000002</v>
      </c>
      <c r="W302" s="771">
        <v>5295.992362</v>
      </c>
      <c r="X302" s="820">
        <v>17909.036</v>
      </c>
      <c r="Y302" s="813">
        <v>0.27700000000000002</v>
      </c>
      <c r="Z302" s="771">
        <v>4960.8029720000004</v>
      </c>
      <c r="AA302" s="820">
        <v>23233.344000000001</v>
      </c>
      <c r="AB302" s="813">
        <v>0.27700000000000002</v>
      </c>
      <c r="AC302" s="771">
        <v>6435.6362880000006</v>
      </c>
      <c r="AD302" s="820">
        <v>21055.217999999997</v>
      </c>
      <c r="AE302" s="813">
        <v>0.27700000000000002</v>
      </c>
      <c r="AF302" s="771">
        <v>5832.2953859999998</v>
      </c>
      <c r="AG302" s="820">
        <v>21055.217999999997</v>
      </c>
      <c r="AH302" s="813">
        <v>0.27700000000000002</v>
      </c>
      <c r="AI302" s="771">
        <v>5832.2953859999998</v>
      </c>
      <c r="AJ302" s="820">
        <v>34123.973999999995</v>
      </c>
      <c r="AK302" s="813">
        <v>0.27700000000000002</v>
      </c>
      <c r="AL302" s="771">
        <v>9452.3407979999993</v>
      </c>
      <c r="AM302" s="820">
        <v>13552.784</v>
      </c>
      <c r="AN302" s="813">
        <v>0.27700000000000002</v>
      </c>
      <c r="AO302" s="771">
        <v>3754.1211680000001</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6"/>
        <v>PiècesVentes de Gros</v>
      </c>
      <c r="B303" s="44" t="s">
        <v>187</v>
      </c>
      <c r="C303" s="819">
        <v>1997966.9999999998</v>
      </c>
      <c r="D303" s="813">
        <v>0.13500000000000004</v>
      </c>
      <c r="E303" s="758">
        <v>269725.54500000004</v>
      </c>
      <c r="F303" s="820">
        <v>181814.997</v>
      </c>
      <c r="G303" s="813">
        <v>0.13500000000000001</v>
      </c>
      <c r="H303" s="771">
        <v>24545.024595000003</v>
      </c>
      <c r="I303" s="820">
        <v>149847.52499999999</v>
      </c>
      <c r="J303" s="813">
        <v>0.13500000000000001</v>
      </c>
      <c r="K303" s="771">
        <v>20229.415874999999</v>
      </c>
      <c r="L303" s="820">
        <v>133863.78900000002</v>
      </c>
      <c r="M303" s="813">
        <v>0.13500000000000001</v>
      </c>
      <c r="N303" s="771">
        <v>18071.611515000004</v>
      </c>
      <c r="O303" s="820">
        <v>181814.997</v>
      </c>
      <c r="P303" s="813">
        <v>0.13500000000000001</v>
      </c>
      <c r="Q303" s="771">
        <v>24545.024595000003</v>
      </c>
      <c r="R303" s="820">
        <v>153843.459</v>
      </c>
      <c r="S303" s="813">
        <v>0.13500000000000001</v>
      </c>
      <c r="T303" s="771">
        <v>20768.866965000001</v>
      </c>
      <c r="U303" s="820">
        <v>141855.65699999998</v>
      </c>
      <c r="V303" s="813">
        <v>0.13500000000000001</v>
      </c>
      <c r="W303" s="771">
        <v>19150.513694999998</v>
      </c>
      <c r="X303" s="820">
        <v>153843.459</v>
      </c>
      <c r="Y303" s="813">
        <v>0.13500000000000001</v>
      </c>
      <c r="Z303" s="771">
        <v>20768.866965000001</v>
      </c>
      <c r="AA303" s="820">
        <v>165831.261</v>
      </c>
      <c r="AB303" s="813">
        <v>0.13500000000000001</v>
      </c>
      <c r="AC303" s="771">
        <v>22387.220235000001</v>
      </c>
      <c r="AD303" s="820">
        <v>169827.19500000001</v>
      </c>
      <c r="AE303" s="813">
        <v>0.13500000000000001</v>
      </c>
      <c r="AF303" s="771">
        <v>22926.671325000003</v>
      </c>
      <c r="AG303" s="820">
        <v>219776.37</v>
      </c>
      <c r="AH303" s="813">
        <v>0.13500000000000001</v>
      </c>
      <c r="AI303" s="771">
        <v>29669.809950000003</v>
      </c>
      <c r="AJ303" s="820">
        <v>165831.261</v>
      </c>
      <c r="AK303" s="813">
        <v>0.13500000000000001</v>
      </c>
      <c r="AL303" s="771">
        <v>22387.220235000001</v>
      </c>
      <c r="AM303" s="820">
        <v>179817.03</v>
      </c>
      <c r="AN303" s="813">
        <v>0.13500000000000001</v>
      </c>
      <c r="AO303" s="771">
        <v>24275.299050000001</v>
      </c>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6"/>
        <v>Pièces[...]</v>
      </c>
      <c r="B304" s="44" t="s">
        <v>59</v>
      </c>
      <c r="C304" s="819">
        <v>0</v>
      </c>
      <c r="D304" s="813">
        <v>0</v>
      </c>
      <c r="E304" s="758">
        <v>0</v>
      </c>
      <c r="F304" s="820">
        <v>0</v>
      </c>
      <c r="G304" s="813">
        <v>0</v>
      </c>
      <c r="H304" s="771">
        <v>0</v>
      </c>
      <c r="I304" s="820">
        <v>0</v>
      </c>
      <c r="J304" s="813">
        <v>0</v>
      </c>
      <c r="K304" s="771">
        <v>0</v>
      </c>
      <c r="L304" s="820">
        <v>0</v>
      </c>
      <c r="M304" s="813">
        <v>0</v>
      </c>
      <c r="N304" s="771">
        <v>0</v>
      </c>
      <c r="O304" s="820">
        <v>0</v>
      </c>
      <c r="P304" s="813">
        <v>0</v>
      </c>
      <c r="Q304" s="771">
        <v>0</v>
      </c>
      <c r="R304" s="820">
        <v>0</v>
      </c>
      <c r="S304" s="813">
        <v>0</v>
      </c>
      <c r="T304" s="771">
        <v>0</v>
      </c>
      <c r="U304" s="820">
        <v>0</v>
      </c>
      <c r="V304" s="813">
        <v>0</v>
      </c>
      <c r="W304" s="771">
        <v>0</v>
      </c>
      <c r="X304" s="820">
        <v>0</v>
      </c>
      <c r="Y304" s="813">
        <v>0</v>
      </c>
      <c r="Z304" s="771">
        <v>0</v>
      </c>
      <c r="AA304" s="820">
        <v>0</v>
      </c>
      <c r="AB304" s="813">
        <v>0</v>
      </c>
      <c r="AC304" s="771">
        <v>0</v>
      </c>
      <c r="AD304" s="820">
        <v>0</v>
      </c>
      <c r="AE304" s="813">
        <v>0</v>
      </c>
      <c r="AF304" s="771">
        <v>0</v>
      </c>
      <c r="AG304" s="820">
        <v>0</v>
      </c>
      <c r="AH304" s="813">
        <v>0</v>
      </c>
      <c r="AI304" s="771">
        <v>0</v>
      </c>
      <c r="AJ304" s="820">
        <v>0</v>
      </c>
      <c r="AK304" s="813">
        <v>0</v>
      </c>
      <c r="AL304" s="771">
        <v>0</v>
      </c>
      <c r="AM304" s="820">
        <v>0</v>
      </c>
      <c r="AN304" s="813">
        <v>0</v>
      </c>
      <c r="AO304" s="771">
        <v>0</v>
      </c>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6"/>
        <v>PiècesEscomptes</v>
      </c>
      <c r="B305" s="44" t="s">
        <v>188</v>
      </c>
      <c r="C305" s="819">
        <v>0</v>
      </c>
      <c r="D305" s="813">
        <v>0</v>
      </c>
      <c r="E305" s="758">
        <v>129290.05033304002</v>
      </c>
      <c r="F305" s="820">
        <v>0</v>
      </c>
      <c r="G305" s="813">
        <v>0</v>
      </c>
      <c r="H305" s="771">
        <v>9397.7674953066689</v>
      </c>
      <c r="I305" s="820">
        <v>0</v>
      </c>
      <c r="J305" s="813">
        <v>0</v>
      </c>
      <c r="K305" s="771">
        <v>8473.6781326650998</v>
      </c>
      <c r="L305" s="820">
        <v>0</v>
      </c>
      <c r="M305" s="813">
        <v>0</v>
      </c>
      <c r="N305" s="771">
        <v>8535.4080442126105</v>
      </c>
      <c r="O305" s="820">
        <v>0</v>
      </c>
      <c r="P305" s="813">
        <v>0</v>
      </c>
      <c r="Q305" s="771">
        <v>11672.617495226517</v>
      </c>
      <c r="R305" s="820">
        <v>0</v>
      </c>
      <c r="S305" s="813">
        <v>0</v>
      </c>
      <c r="T305" s="771">
        <v>11344.051136382641</v>
      </c>
      <c r="U305" s="820">
        <v>0</v>
      </c>
      <c r="V305" s="813">
        <v>0</v>
      </c>
      <c r="W305" s="771">
        <v>10228.056302312993</v>
      </c>
      <c r="X305" s="820">
        <v>0</v>
      </c>
      <c r="Y305" s="813">
        <v>0</v>
      </c>
      <c r="Z305" s="771">
        <v>10456.478287315782</v>
      </c>
      <c r="AA305" s="820">
        <v>0</v>
      </c>
      <c r="AB305" s="813">
        <v>0</v>
      </c>
      <c r="AC305" s="771">
        <v>11379.257020077523</v>
      </c>
      <c r="AD305" s="820">
        <v>0</v>
      </c>
      <c r="AE305" s="813">
        <v>0</v>
      </c>
      <c r="AF305" s="771">
        <v>10647.307480648535</v>
      </c>
      <c r="AG305" s="820">
        <v>0</v>
      </c>
      <c r="AH305" s="813">
        <v>0</v>
      </c>
      <c r="AI305" s="771">
        <v>13507.969846561695</v>
      </c>
      <c r="AJ305" s="820">
        <v>0</v>
      </c>
      <c r="AK305" s="813">
        <v>0</v>
      </c>
      <c r="AL305" s="771">
        <v>13853.049361178608</v>
      </c>
      <c r="AM305" s="820">
        <v>0</v>
      </c>
      <c r="AN305" s="813">
        <v>0</v>
      </c>
      <c r="AO305" s="771">
        <v>9794.4097311513451</v>
      </c>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6"/>
        <v>PiècesRectif. Inventaire</v>
      </c>
      <c r="B306" s="43" t="s">
        <v>189</v>
      </c>
      <c r="C306" s="819">
        <v>0</v>
      </c>
      <c r="D306" s="813">
        <v>0</v>
      </c>
      <c r="E306" s="758">
        <v>0</v>
      </c>
      <c r="F306" s="820">
        <v>0</v>
      </c>
      <c r="G306" s="813">
        <v>0</v>
      </c>
      <c r="H306" s="771">
        <v>0</v>
      </c>
      <c r="I306" s="820">
        <v>0</v>
      </c>
      <c r="J306" s="813">
        <v>0</v>
      </c>
      <c r="K306" s="771">
        <v>0</v>
      </c>
      <c r="L306" s="820">
        <v>0</v>
      </c>
      <c r="M306" s="813">
        <v>0</v>
      </c>
      <c r="N306" s="771">
        <v>0</v>
      </c>
      <c r="O306" s="820">
        <v>0</v>
      </c>
      <c r="P306" s="813">
        <v>0</v>
      </c>
      <c r="Q306" s="771">
        <v>0</v>
      </c>
      <c r="R306" s="820">
        <v>0</v>
      </c>
      <c r="S306" s="813">
        <v>0</v>
      </c>
      <c r="T306" s="771">
        <v>0</v>
      </c>
      <c r="U306" s="820">
        <v>0</v>
      </c>
      <c r="V306" s="813">
        <v>0</v>
      </c>
      <c r="W306" s="771">
        <v>0</v>
      </c>
      <c r="X306" s="820">
        <v>0</v>
      </c>
      <c r="Y306" s="813">
        <v>0</v>
      </c>
      <c r="Z306" s="771">
        <v>0</v>
      </c>
      <c r="AA306" s="820">
        <v>0</v>
      </c>
      <c r="AB306" s="813">
        <v>0</v>
      </c>
      <c r="AC306" s="771">
        <v>0</v>
      </c>
      <c r="AD306" s="820">
        <v>0</v>
      </c>
      <c r="AE306" s="813">
        <v>0</v>
      </c>
      <c r="AF306" s="771">
        <v>0</v>
      </c>
      <c r="AG306" s="820">
        <v>0</v>
      </c>
      <c r="AH306" s="813">
        <v>0</v>
      </c>
      <c r="AI306" s="771">
        <v>0</v>
      </c>
      <c r="AJ306" s="820">
        <v>0</v>
      </c>
      <c r="AK306" s="813">
        <v>0</v>
      </c>
      <c r="AL306" s="771">
        <v>0</v>
      </c>
      <c r="AM306" s="820">
        <v>0</v>
      </c>
      <c r="AN306" s="813">
        <v>0</v>
      </c>
      <c r="AO306" s="771">
        <v>0</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6"/>
        <v>PiècesSous-total Pièces</v>
      </c>
      <c r="B307" s="47" t="s">
        <v>190</v>
      </c>
      <c r="C307" s="853">
        <v>5042874.9119999995</v>
      </c>
      <c r="D307" s="854">
        <v>0.26070729057517422</v>
      </c>
      <c r="E307" s="855">
        <v>1314714.2550170401</v>
      </c>
      <c r="F307" s="853">
        <v>366553.85165999999</v>
      </c>
      <c r="G307" s="854">
        <v>0.2422877663492799</v>
      </c>
      <c r="H307" s="855">
        <v>88811.513965426682</v>
      </c>
      <c r="I307" s="853">
        <v>330510.34288800001</v>
      </c>
      <c r="J307" s="854">
        <v>0.24840893154228125</v>
      </c>
      <c r="K307" s="855">
        <v>82101.721140481095</v>
      </c>
      <c r="L307" s="853">
        <v>332918.07822000002</v>
      </c>
      <c r="M307" s="854">
        <v>0.25893887500541812</v>
      </c>
      <c r="N307" s="855">
        <v>86205.4326432526</v>
      </c>
      <c r="O307" s="853">
        <v>455282.90670799999</v>
      </c>
      <c r="P307" s="854">
        <v>0.26491860158026698</v>
      </c>
      <c r="Q307" s="855">
        <v>120612.91096848251</v>
      </c>
      <c r="R307" s="853">
        <v>442467.38808399998</v>
      </c>
      <c r="S307" s="854">
        <v>0.27092582774555318</v>
      </c>
      <c r="T307" s="855">
        <v>119875.84336707061</v>
      </c>
      <c r="U307" s="853">
        <v>398938.73034000001</v>
      </c>
      <c r="V307" s="854">
        <v>0.26310913425035443</v>
      </c>
      <c r="W307" s="855">
        <v>104964.42395869301</v>
      </c>
      <c r="X307" s="853">
        <v>407848.18234</v>
      </c>
      <c r="Y307" s="854">
        <v>0.25969081646023107</v>
      </c>
      <c r="Z307" s="855">
        <v>105914.42746369579</v>
      </c>
      <c r="AA307" s="853">
        <v>443840.57084</v>
      </c>
      <c r="AB307" s="854">
        <v>0.25960892937499158</v>
      </c>
      <c r="AC307" s="855">
        <v>115224.97540895751</v>
      </c>
      <c r="AD307" s="853">
        <v>415291.35177999997</v>
      </c>
      <c r="AE307" s="854">
        <v>0.25354580535519705</v>
      </c>
      <c r="AF307" s="855">
        <v>105295.38024410853</v>
      </c>
      <c r="AG307" s="853">
        <v>526869.63981999992</v>
      </c>
      <c r="AH307" s="854">
        <v>0.25846123642239993</v>
      </c>
      <c r="AI307" s="855">
        <v>136175.3785413017</v>
      </c>
      <c r="AJ307" s="853">
        <v>540329.24341999996</v>
      </c>
      <c r="AK307" s="854">
        <v>0.28403986759943295</v>
      </c>
      <c r="AL307" s="855">
        <v>153475.04676111857</v>
      </c>
      <c r="AM307" s="853">
        <v>382024.62589999998</v>
      </c>
      <c r="AN307" s="854">
        <v>0.25144243078087741</v>
      </c>
      <c r="AO307" s="855">
        <v>96057.200554451338</v>
      </c>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6"/>
        <v>Pièces</v>
      </c>
      <c r="B308" s="44"/>
      <c r="C308" s="747"/>
      <c r="D308" s="757"/>
      <c r="E308" s="748"/>
      <c r="F308" s="747"/>
      <c r="G308" s="757"/>
      <c r="H308" s="748"/>
      <c r="I308" s="747"/>
      <c r="J308" s="757"/>
      <c r="K308" s="748"/>
      <c r="L308" s="747"/>
      <c r="M308" s="757"/>
      <c r="N308" s="748"/>
      <c r="O308" s="747"/>
      <c r="P308" s="757"/>
      <c r="Q308" s="748"/>
      <c r="R308" s="747"/>
      <c r="S308" s="757"/>
      <c r="T308" s="748"/>
      <c r="U308" s="747"/>
      <c r="V308" s="757"/>
      <c r="W308" s="748"/>
      <c r="X308" s="747"/>
      <c r="Y308" s="757"/>
      <c r="Z308" s="748"/>
      <c r="AA308" s="747"/>
      <c r="AB308" s="757"/>
      <c r="AC308" s="748"/>
      <c r="AD308" s="747"/>
      <c r="AE308" s="757"/>
      <c r="AF308" s="748"/>
      <c r="AG308" s="747"/>
      <c r="AH308" s="757"/>
      <c r="AI308" s="748"/>
      <c r="AJ308" s="747"/>
      <c r="AK308" s="757"/>
      <c r="AL308" s="748"/>
      <c r="AM308" s="747"/>
      <c r="AN308" s="757"/>
      <c r="AO308" s="748"/>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6"/>
        <v>Pièces</v>
      </c>
      <c r="B309" s="43"/>
      <c r="C309" s="776"/>
      <c r="D309" s="784"/>
      <c r="E309" s="856"/>
      <c r="F309" s="776"/>
      <c r="G309" s="784"/>
      <c r="H309" s="856"/>
      <c r="I309" s="776"/>
      <c r="J309" s="784"/>
      <c r="K309" s="856"/>
      <c r="L309" s="776"/>
      <c r="M309" s="784"/>
      <c r="N309" s="856"/>
      <c r="O309" s="776"/>
      <c r="P309" s="784"/>
      <c r="Q309" s="856"/>
      <c r="R309" s="776"/>
      <c r="S309" s="784"/>
      <c r="T309" s="856"/>
      <c r="U309" s="776"/>
      <c r="V309" s="784"/>
      <c r="W309" s="856"/>
      <c r="X309" s="776"/>
      <c r="Y309" s="784"/>
      <c r="Z309" s="856"/>
      <c r="AA309" s="776"/>
      <c r="AB309" s="784"/>
      <c r="AC309" s="856"/>
      <c r="AD309" s="776"/>
      <c r="AE309" s="784"/>
      <c r="AF309" s="856"/>
      <c r="AG309" s="776"/>
      <c r="AH309" s="784"/>
      <c r="AI309" s="856"/>
      <c r="AJ309" s="776"/>
      <c r="AK309" s="784"/>
      <c r="AL309" s="856"/>
      <c r="AM309" s="776"/>
      <c r="AN309" s="784"/>
      <c r="AO309" s="856"/>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6"/>
        <v>PiècesVentes Pneus</v>
      </c>
      <c r="B310" s="44" t="s">
        <v>191</v>
      </c>
      <c r="C310" s="819">
        <v>575371</v>
      </c>
      <c r="D310" s="813">
        <v>0.17100000000000001</v>
      </c>
      <c r="E310" s="758">
        <v>98388.441000000006</v>
      </c>
      <c r="F310" s="820">
        <v>51783.39</v>
      </c>
      <c r="G310" s="813">
        <v>0.17099999999999999</v>
      </c>
      <c r="H310" s="771">
        <v>8854.9596899999997</v>
      </c>
      <c r="I310" s="820">
        <v>51783.39</v>
      </c>
      <c r="J310" s="813">
        <v>0.17099999999999999</v>
      </c>
      <c r="K310" s="771">
        <v>8854.9596899999997</v>
      </c>
      <c r="L310" s="820">
        <v>28768.550000000003</v>
      </c>
      <c r="M310" s="813">
        <v>0.17100000000000001</v>
      </c>
      <c r="N310" s="771">
        <v>4919.422050000001</v>
      </c>
      <c r="O310" s="820">
        <v>28768.550000000003</v>
      </c>
      <c r="P310" s="813">
        <v>0.17100000000000001</v>
      </c>
      <c r="Q310" s="771">
        <v>4919.422050000001</v>
      </c>
      <c r="R310" s="820">
        <v>28768.550000000003</v>
      </c>
      <c r="S310" s="813">
        <v>0.17100000000000001</v>
      </c>
      <c r="T310" s="771">
        <v>4919.422050000001</v>
      </c>
      <c r="U310" s="820">
        <v>23014.84</v>
      </c>
      <c r="V310" s="813">
        <v>0.17100000000000001</v>
      </c>
      <c r="W310" s="771">
        <v>3935.5376400000005</v>
      </c>
      <c r="X310" s="820">
        <v>23014.84</v>
      </c>
      <c r="Y310" s="813">
        <v>0.17100000000000001</v>
      </c>
      <c r="Z310" s="771">
        <v>3935.5376400000005</v>
      </c>
      <c r="AA310" s="820">
        <v>28768.550000000003</v>
      </c>
      <c r="AB310" s="813">
        <v>0.17100000000000001</v>
      </c>
      <c r="AC310" s="771">
        <v>4919.422050000001</v>
      </c>
      <c r="AD310" s="820">
        <v>34522.26</v>
      </c>
      <c r="AE310" s="813">
        <v>0.17100000000000001</v>
      </c>
      <c r="AF310" s="771">
        <v>5903.3064600000007</v>
      </c>
      <c r="AG310" s="820">
        <v>80551.94</v>
      </c>
      <c r="AH310" s="813">
        <v>0.17100000000000001</v>
      </c>
      <c r="AI310" s="771">
        <v>13774.381740000001</v>
      </c>
      <c r="AJ310" s="820">
        <v>138089.04</v>
      </c>
      <c r="AK310" s="813">
        <v>0.17100000000000001</v>
      </c>
      <c r="AL310" s="771">
        <v>23613.225840000003</v>
      </c>
      <c r="AM310" s="820">
        <v>57537.100000000006</v>
      </c>
      <c r="AN310" s="813">
        <v>0.17100000000000001</v>
      </c>
      <c r="AO310" s="771">
        <v>9838.8441000000021</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6"/>
        <v>PiècesHuiles et Graisse</v>
      </c>
      <c r="B311" s="43" t="s">
        <v>192</v>
      </c>
      <c r="C311" s="819">
        <v>276829</v>
      </c>
      <c r="D311" s="813">
        <v>0.25599999999999995</v>
      </c>
      <c r="E311" s="758">
        <v>70868.223999999987</v>
      </c>
      <c r="F311" s="820">
        <v>34776.986694943385</v>
      </c>
      <c r="G311" s="813">
        <v>0.25600000000000001</v>
      </c>
      <c r="H311" s="771">
        <v>8902.9085939055076</v>
      </c>
      <c r="I311" s="820">
        <v>19582.513486755135</v>
      </c>
      <c r="J311" s="813">
        <v>0.25600000000000001</v>
      </c>
      <c r="K311" s="771">
        <v>5013.1234526093149</v>
      </c>
      <c r="L311" s="820">
        <v>15028.469555091777</v>
      </c>
      <c r="M311" s="813">
        <v>0.25600000000000001</v>
      </c>
      <c r="N311" s="771">
        <v>3847.2882061034948</v>
      </c>
      <c r="O311" s="820">
        <v>15664.764983377116</v>
      </c>
      <c r="P311" s="813">
        <v>0.25600000000000001</v>
      </c>
      <c r="Q311" s="771">
        <v>4010.1798357445418</v>
      </c>
      <c r="R311" s="820">
        <v>24789.98267957495</v>
      </c>
      <c r="S311" s="813">
        <v>0.25600000000000001</v>
      </c>
      <c r="T311" s="771">
        <v>6346.2355659711875</v>
      </c>
      <c r="U311" s="820">
        <v>36687.118785826395</v>
      </c>
      <c r="V311" s="813">
        <v>0.25600000000000001</v>
      </c>
      <c r="W311" s="771">
        <v>9391.9024091715564</v>
      </c>
      <c r="X311" s="820">
        <v>19997.678345249682</v>
      </c>
      <c r="Y311" s="813">
        <v>0.25600000000000001</v>
      </c>
      <c r="Z311" s="771">
        <v>5119.4056563839185</v>
      </c>
      <c r="AA311" s="820">
        <v>17871.087457177095</v>
      </c>
      <c r="AB311" s="813">
        <v>0.25600000000000001</v>
      </c>
      <c r="AC311" s="771">
        <v>4574.998389037336</v>
      </c>
      <c r="AD311" s="820">
        <v>25072.157744688273</v>
      </c>
      <c r="AE311" s="813">
        <v>0.25600000000000001</v>
      </c>
      <c r="AF311" s="771">
        <v>6418.4723826401978</v>
      </c>
      <c r="AG311" s="820">
        <v>25352.464100761106</v>
      </c>
      <c r="AH311" s="813">
        <v>0.25600000000000001</v>
      </c>
      <c r="AI311" s="771">
        <v>6490.2308097948435</v>
      </c>
      <c r="AJ311" s="820">
        <v>18945.283703949553</v>
      </c>
      <c r="AK311" s="813">
        <v>0.25600000000000001</v>
      </c>
      <c r="AL311" s="771">
        <v>4849.9926282110855</v>
      </c>
      <c r="AM311" s="820">
        <v>23060.492462605547</v>
      </c>
      <c r="AN311" s="813">
        <v>0.25600000000000001</v>
      </c>
      <c r="AO311" s="771">
        <v>5903.4860704270204</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6"/>
        <v>PiècesSous-total Pièces et Acc.</v>
      </c>
      <c r="B312" s="47" t="s">
        <v>193</v>
      </c>
      <c r="C312" s="853">
        <v>5895074.9119999995</v>
      </c>
      <c r="D312" s="854">
        <v>0.25173062974929677</v>
      </c>
      <c r="E312" s="855">
        <v>1483970.9200170401</v>
      </c>
      <c r="F312" s="853">
        <v>453114.22835494339</v>
      </c>
      <c r="G312" s="854">
        <v>0.23519319319598131</v>
      </c>
      <c r="H312" s="855">
        <v>106569.38224933219</v>
      </c>
      <c r="I312" s="853">
        <v>401876.24637475517</v>
      </c>
      <c r="J312" s="854">
        <v>0.23880437111875791</v>
      </c>
      <c r="K312" s="855">
        <v>95969.804283090416</v>
      </c>
      <c r="L312" s="853">
        <v>376715.09777509177</v>
      </c>
      <c r="M312" s="854">
        <v>0.25210601714735842</v>
      </c>
      <c r="N312" s="855">
        <v>94972.142899356084</v>
      </c>
      <c r="O312" s="853">
        <v>499716.22169137711</v>
      </c>
      <c r="P312" s="854">
        <v>0.25923215463321908</v>
      </c>
      <c r="Q312" s="855">
        <v>129542.51285422705</v>
      </c>
      <c r="R312" s="853">
        <v>496025.92076357489</v>
      </c>
      <c r="S312" s="854">
        <v>0.26438437084329086</v>
      </c>
      <c r="T312" s="855">
        <v>131141.5009830418</v>
      </c>
      <c r="U312" s="853">
        <v>458640.68912582641</v>
      </c>
      <c r="V312" s="854">
        <v>0.25791838101702225</v>
      </c>
      <c r="W312" s="855">
        <v>118291.86400786455</v>
      </c>
      <c r="X312" s="853">
        <v>450860.7006852497</v>
      </c>
      <c r="Y312" s="854">
        <v>0.25499976064744873</v>
      </c>
      <c r="Z312" s="855">
        <v>114969.37076007971</v>
      </c>
      <c r="AA312" s="853">
        <v>490480.2082971771</v>
      </c>
      <c r="AB312" s="854">
        <v>0.25428018039910105</v>
      </c>
      <c r="AC312" s="855">
        <v>124719.39584799485</v>
      </c>
      <c r="AD312" s="853">
        <v>474885.76952468825</v>
      </c>
      <c r="AE312" s="854">
        <v>0.24767463384820185</v>
      </c>
      <c r="AF312" s="855">
        <v>117617.15908674874</v>
      </c>
      <c r="AG312" s="853">
        <v>632774.04392076097</v>
      </c>
      <c r="AH312" s="854">
        <v>0.24722883720351643</v>
      </c>
      <c r="AI312" s="855">
        <v>156439.99109109657</v>
      </c>
      <c r="AJ312" s="853">
        <v>697363.56712394953</v>
      </c>
      <c r="AK312" s="854">
        <v>0.26089442266058605</v>
      </c>
      <c r="AL312" s="855">
        <v>181938.26522932967</v>
      </c>
      <c r="AM312" s="853">
        <v>462622.21836260549</v>
      </c>
      <c r="AN312" s="854">
        <v>0.24166485371277469</v>
      </c>
      <c r="AO312" s="855">
        <v>111799.53072487836</v>
      </c>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6"/>
        <v>Pièces</v>
      </c>
      <c r="B313" s="44"/>
      <c r="C313" s="747"/>
      <c r="D313" s="757"/>
      <c r="E313" s="748"/>
      <c r="F313" s="747"/>
      <c r="G313" s="757"/>
      <c r="H313" s="748"/>
      <c r="I313" s="747"/>
      <c r="J313" s="757"/>
      <c r="K313" s="748"/>
      <c r="L313" s="747"/>
      <c r="M313" s="757"/>
      <c r="N313" s="748"/>
      <c r="O313" s="747"/>
      <c r="P313" s="757"/>
      <c r="Q313" s="748"/>
      <c r="R313" s="747"/>
      <c r="S313" s="757"/>
      <c r="T313" s="748"/>
      <c r="U313" s="747"/>
      <c r="V313" s="757"/>
      <c r="W313" s="748"/>
      <c r="X313" s="747"/>
      <c r="Y313" s="757"/>
      <c r="Z313" s="748"/>
      <c r="AA313" s="747"/>
      <c r="AB313" s="757"/>
      <c r="AC313" s="748"/>
      <c r="AD313" s="747"/>
      <c r="AE313" s="757"/>
      <c r="AF313" s="748"/>
      <c r="AG313" s="747"/>
      <c r="AH313" s="757"/>
      <c r="AI313" s="748"/>
      <c r="AJ313" s="747"/>
      <c r="AK313" s="757"/>
      <c r="AL313" s="748"/>
      <c r="AM313" s="747"/>
      <c r="AN313" s="757"/>
      <c r="AO313" s="748"/>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6"/>
        <v>PiècesPièces recond. MCPA</v>
      </c>
      <c r="B314" s="44" t="s">
        <v>3860</v>
      </c>
      <c r="C314" s="819">
        <v>0</v>
      </c>
      <c r="D314" s="813">
        <v>0</v>
      </c>
      <c r="E314" s="758">
        <v>0</v>
      </c>
      <c r="F314" s="747">
        <v>0</v>
      </c>
      <c r="G314" s="857">
        <v>0</v>
      </c>
      <c r="H314" s="748">
        <v>0</v>
      </c>
      <c r="I314" s="747">
        <v>0</v>
      </c>
      <c r="J314" s="857">
        <v>0</v>
      </c>
      <c r="K314" s="748">
        <v>0</v>
      </c>
      <c r="L314" s="747">
        <v>0</v>
      </c>
      <c r="M314" s="857">
        <v>0</v>
      </c>
      <c r="N314" s="748">
        <v>0</v>
      </c>
      <c r="O314" s="747">
        <v>0</v>
      </c>
      <c r="P314" s="857">
        <v>0</v>
      </c>
      <c r="Q314" s="748">
        <v>0</v>
      </c>
      <c r="R314" s="747">
        <v>0</v>
      </c>
      <c r="S314" s="857">
        <v>0</v>
      </c>
      <c r="T314" s="748">
        <v>0</v>
      </c>
      <c r="U314" s="747">
        <v>0</v>
      </c>
      <c r="V314" s="857">
        <v>0</v>
      </c>
      <c r="W314" s="748">
        <v>0</v>
      </c>
      <c r="X314" s="747">
        <v>0</v>
      </c>
      <c r="Y314" s="857">
        <v>0</v>
      </c>
      <c r="Z314" s="748">
        <v>0</v>
      </c>
      <c r="AA314" s="747">
        <v>0</v>
      </c>
      <c r="AB314" s="857">
        <v>0</v>
      </c>
      <c r="AC314" s="748">
        <v>0</v>
      </c>
      <c r="AD314" s="747">
        <v>0</v>
      </c>
      <c r="AE314" s="857">
        <v>0</v>
      </c>
      <c r="AF314" s="748">
        <v>0</v>
      </c>
      <c r="AG314" s="747">
        <v>0</v>
      </c>
      <c r="AH314" s="857">
        <v>0</v>
      </c>
      <c r="AI314" s="748">
        <v>0</v>
      </c>
      <c r="AJ314" s="747">
        <v>0</v>
      </c>
      <c r="AK314" s="857">
        <v>0</v>
      </c>
      <c r="AL314" s="748">
        <v>0</v>
      </c>
      <c r="AM314" s="747">
        <v>0</v>
      </c>
      <c r="AN314" s="857">
        <v>0</v>
      </c>
      <c r="AO314" s="748">
        <v>0</v>
      </c>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6"/>
        <v>PiècesAutostock</v>
      </c>
      <c r="B315" s="43" t="s">
        <v>194</v>
      </c>
      <c r="C315" s="858">
        <v>0</v>
      </c>
      <c r="D315" s="859">
        <v>0</v>
      </c>
      <c r="E315" s="787">
        <v>0</v>
      </c>
      <c r="F315" s="860">
        <v>0</v>
      </c>
      <c r="G315" s="859">
        <v>0</v>
      </c>
      <c r="H315" s="788">
        <v>0</v>
      </c>
      <c r="I315" s="860">
        <v>0</v>
      </c>
      <c r="J315" s="859">
        <v>0</v>
      </c>
      <c r="K315" s="788">
        <v>0</v>
      </c>
      <c r="L315" s="860">
        <v>0</v>
      </c>
      <c r="M315" s="859">
        <v>0</v>
      </c>
      <c r="N315" s="788">
        <v>0</v>
      </c>
      <c r="O315" s="860">
        <v>0</v>
      </c>
      <c r="P315" s="859">
        <v>0</v>
      </c>
      <c r="Q315" s="788">
        <v>0</v>
      </c>
      <c r="R315" s="860">
        <v>0</v>
      </c>
      <c r="S315" s="859">
        <v>0</v>
      </c>
      <c r="T315" s="788">
        <v>0</v>
      </c>
      <c r="U315" s="860">
        <v>0</v>
      </c>
      <c r="V315" s="859">
        <v>0</v>
      </c>
      <c r="W315" s="788">
        <v>0</v>
      </c>
      <c r="X315" s="860">
        <v>0</v>
      </c>
      <c r="Y315" s="859">
        <v>0</v>
      </c>
      <c r="Z315" s="788">
        <v>0</v>
      </c>
      <c r="AA315" s="860">
        <v>0</v>
      </c>
      <c r="AB315" s="859">
        <v>0</v>
      </c>
      <c r="AC315" s="788">
        <v>0</v>
      </c>
      <c r="AD315" s="860">
        <v>0</v>
      </c>
      <c r="AE315" s="859">
        <v>0</v>
      </c>
      <c r="AF315" s="788">
        <v>0</v>
      </c>
      <c r="AG315" s="860">
        <v>0</v>
      </c>
      <c r="AH315" s="859">
        <v>0</v>
      </c>
      <c r="AI315" s="788">
        <v>0</v>
      </c>
      <c r="AJ315" s="860">
        <v>0</v>
      </c>
      <c r="AK315" s="859">
        <v>0</v>
      </c>
      <c r="AL315" s="788">
        <v>0</v>
      </c>
      <c r="AM315" s="860">
        <v>0</v>
      </c>
      <c r="AN315" s="859">
        <v>0</v>
      </c>
      <c r="AO315" s="788">
        <v>0</v>
      </c>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c r="A316" s="39" t="str">
        <f t="shared" si="6"/>
        <v>Pièces</v>
      </c>
      <c r="B316" s="44"/>
      <c r="C316" s="819"/>
      <c r="D316" s="813"/>
      <c r="E316" s="758"/>
      <c r="F316" s="819"/>
      <c r="G316" s="813"/>
      <c r="H316" s="758"/>
      <c r="I316" s="819"/>
      <c r="J316" s="813"/>
      <c r="K316" s="758"/>
      <c r="L316" s="819"/>
      <c r="M316" s="813"/>
      <c r="N316" s="758"/>
      <c r="O316" s="819"/>
      <c r="P316" s="813"/>
      <c r="Q316" s="758"/>
      <c r="R316" s="819"/>
      <c r="S316" s="813"/>
      <c r="T316" s="758"/>
      <c r="U316" s="819"/>
      <c r="V316" s="813"/>
      <c r="W316" s="758"/>
      <c r="X316" s="819"/>
      <c r="Y316" s="813"/>
      <c r="Z316" s="758"/>
      <c r="AA316" s="819"/>
      <c r="AB316" s="813"/>
      <c r="AC316" s="758"/>
      <c r="AD316" s="819"/>
      <c r="AE316" s="813"/>
      <c r="AF316" s="758"/>
      <c r="AG316" s="819"/>
      <c r="AH316" s="813"/>
      <c r="AI316" s="758"/>
      <c r="AJ316" s="819"/>
      <c r="AK316" s="813"/>
      <c r="AL316" s="758"/>
      <c r="AM316" s="819"/>
      <c r="AN316" s="813"/>
      <c r="AO316" s="758"/>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c r="A317" s="39" t="str">
        <f t="shared" si="6"/>
        <v>PiècesTotal Dépt. Pièces</v>
      </c>
      <c r="B317" s="49" t="s">
        <v>195</v>
      </c>
      <c r="C317" s="759">
        <v>5895074.9119999995</v>
      </c>
      <c r="D317" s="861">
        <v>0.25173062974929677</v>
      </c>
      <c r="E317" s="761">
        <v>1483970.9200170401</v>
      </c>
      <c r="F317" s="759">
        <v>453114.22835494339</v>
      </c>
      <c r="G317" s="861">
        <v>0.23519319319598131</v>
      </c>
      <c r="H317" s="761">
        <v>106569.38224933219</v>
      </c>
      <c r="I317" s="759">
        <v>401876.24637475517</v>
      </c>
      <c r="J317" s="861">
        <v>0.23880437111875791</v>
      </c>
      <c r="K317" s="761">
        <v>95969.804283090416</v>
      </c>
      <c r="L317" s="759">
        <v>376715.09777509177</v>
      </c>
      <c r="M317" s="861">
        <v>0.25210601714735842</v>
      </c>
      <c r="N317" s="761">
        <v>94972.142899356084</v>
      </c>
      <c r="O317" s="759">
        <v>499716.22169137711</v>
      </c>
      <c r="P317" s="861">
        <v>0.25923215463321908</v>
      </c>
      <c r="Q317" s="761">
        <v>129542.51285422705</v>
      </c>
      <c r="R317" s="759">
        <v>496025.92076357489</v>
      </c>
      <c r="S317" s="861">
        <v>0.26438437084329086</v>
      </c>
      <c r="T317" s="761">
        <v>131141.5009830418</v>
      </c>
      <c r="U317" s="759">
        <v>458640.68912582641</v>
      </c>
      <c r="V317" s="861">
        <v>0.25791838101702225</v>
      </c>
      <c r="W317" s="761">
        <v>118291.86400786455</v>
      </c>
      <c r="X317" s="759">
        <v>450860.7006852497</v>
      </c>
      <c r="Y317" s="861">
        <v>0.25499976064744873</v>
      </c>
      <c r="Z317" s="761">
        <v>114969.37076007971</v>
      </c>
      <c r="AA317" s="759">
        <v>490480.2082971771</v>
      </c>
      <c r="AB317" s="861">
        <v>0.25428018039910105</v>
      </c>
      <c r="AC317" s="761">
        <v>124719.39584799485</v>
      </c>
      <c r="AD317" s="759">
        <v>474885.76952468825</v>
      </c>
      <c r="AE317" s="861">
        <v>0.24767463384820185</v>
      </c>
      <c r="AF317" s="761">
        <v>117617.15908674874</v>
      </c>
      <c r="AG317" s="759">
        <v>632774.04392076097</v>
      </c>
      <c r="AH317" s="861">
        <v>0.24722883720351643</v>
      </c>
      <c r="AI317" s="761">
        <v>156439.99109109657</v>
      </c>
      <c r="AJ317" s="759">
        <v>697363.56712394953</v>
      </c>
      <c r="AK317" s="861">
        <v>0.26089442266058605</v>
      </c>
      <c r="AL317" s="761">
        <v>181938.26522932967</v>
      </c>
      <c r="AM317" s="759">
        <v>462622.21836260549</v>
      </c>
      <c r="AN317" s="861">
        <v>0.24166485371277469</v>
      </c>
      <c r="AO317" s="761">
        <v>111799.53072487836</v>
      </c>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c r="A318" s="39" t="str">
        <f t="shared" si="6"/>
        <v>Pièces</v>
      </c>
      <c r="B318" s="65"/>
      <c r="C318" s="862"/>
      <c r="D318" s="863"/>
      <c r="E318" s="864"/>
      <c r="F318" s="862"/>
      <c r="G318" s="863"/>
      <c r="H318" s="864"/>
      <c r="I318" s="862"/>
      <c r="J318" s="863"/>
      <c r="K318" s="864"/>
      <c r="L318" s="862"/>
      <c r="M318" s="863"/>
      <c r="N318" s="864"/>
      <c r="O318" s="862"/>
      <c r="P318" s="863"/>
      <c r="Q318" s="864"/>
      <c r="R318" s="862"/>
      <c r="S318" s="863"/>
      <c r="T318" s="864"/>
      <c r="U318" s="862"/>
      <c r="V318" s="863"/>
      <c r="W318" s="864"/>
      <c r="X318" s="862"/>
      <c r="Y318" s="863"/>
      <c r="Z318" s="864"/>
      <c r="AA318" s="862"/>
      <c r="AB318" s="863"/>
      <c r="AC318" s="864"/>
      <c r="AD318" s="862"/>
      <c r="AE318" s="863"/>
      <c r="AF318" s="864"/>
      <c r="AG318" s="862"/>
      <c r="AH318" s="863"/>
      <c r="AI318" s="864"/>
      <c r="AJ318" s="862"/>
      <c r="AK318" s="863"/>
      <c r="AL318" s="864"/>
      <c r="AM318" s="862"/>
      <c r="AN318" s="863"/>
      <c r="AO318" s="864"/>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c r="A319" s="39" t="str">
        <f t="shared" si="6"/>
        <v>Pièces</v>
      </c>
      <c r="B319" s="47"/>
      <c r="C319" s="865"/>
      <c r="D319" s="866"/>
      <c r="E319" s="795"/>
      <c r="F319" s="865"/>
      <c r="G319" s="866"/>
      <c r="H319" s="795"/>
      <c r="I319" s="865"/>
      <c r="J319" s="866"/>
      <c r="K319" s="795"/>
      <c r="L319" s="865"/>
      <c r="M319" s="866"/>
      <c r="N319" s="795"/>
      <c r="O319" s="865"/>
      <c r="P319" s="866"/>
      <c r="Q319" s="795"/>
      <c r="R319" s="865"/>
      <c r="S319" s="866"/>
      <c r="T319" s="795"/>
      <c r="U319" s="865"/>
      <c r="V319" s="866"/>
      <c r="W319" s="795"/>
      <c r="X319" s="865"/>
      <c r="Y319" s="866"/>
      <c r="Z319" s="795"/>
      <c r="AA319" s="865"/>
      <c r="AB319" s="866"/>
      <c r="AC319" s="795"/>
      <c r="AD319" s="865"/>
      <c r="AE319" s="866"/>
      <c r="AF319" s="795"/>
      <c r="AG319" s="865"/>
      <c r="AH319" s="866"/>
      <c r="AI319" s="795"/>
      <c r="AJ319" s="865"/>
      <c r="AK319" s="866"/>
      <c r="AL319" s="795"/>
      <c r="AM319" s="865"/>
      <c r="AN319" s="866"/>
      <c r="AO319" s="795"/>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6"/>
        <v>PiècesDEPENSES</v>
      </c>
      <c r="B320" s="52" t="s">
        <v>110</v>
      </c>
      <c r="C320" s="747"/>
      <c r="D320" s="757"/>
      <c r="E320" s="748"/>
      <c r="F320" s="747"/>
      <c r="G320" s="757"/>
      <c r="H320" s="748"/>
      <c r="I320" s="747"/>
      <c r="J320" s="757"/>
      <c r="K320" s="748"/>
      <c r="L320" s="747"/>
      <c r="M320" s="757"/>
      <c r="N320" s="748"/>
      <c r="O320" s="747"/>
      <c r="P320" s="757"/>
      <c r="Q320" s="748"/>
      <c r="R320" s="747"/>
      <c r="S320" s="757"/>
      <c r="T320" s="748"/>
      <c r="U320" s="747"/>
      <c r="V320" s="757"/>
      <c r="W320" s="748"/>
      <c r="X320" s="747"/>
      <c r="Y320" s="757"/>
      <c r="Z320" s="748"/>
      <c r="AA320" s="747"/>
      <c r="AB320" s="757"/>
      <c r="AC320" s="748"/>
      <c r="AD320" s="747"/>
      <c r="AE320" s="757"/>
      <c r="AF320" s="748"/>
      <c r="AG320" s="747"/>
      <c r="AH320" s="757"/>
      <c r="AI320" s="748"/>
      <c r="AJ320" s="747"/>
      <c r="AK320" s="757"/>
      <c r="AL320" s="748"/>
      <c r="AM320" s="747"/>
      <c r="AN320" s="757"/>
      <c r="AO320" s="748"/>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6"/>
        <v>PiècesSalaires cadres</v>
      </c>
      <c r="B321" s="54" t="s">
        <v>120</v>
      </c>
      <c r="C321" s="747"/>
      <c r="D321" s="757"/>
      <c r="E321" s="758">
        <v>88255</v>
      </c>
      <c r="F321" s="747"/>
      <c r="G321" s="757"/>
      <c r="H321" s="771">
        <v>8192.0423076923089</v>
      </c>
      <c r="I321" s="747"/>
      <c r="J321" s="757"/>
      <c r="K321" s="771">
        <v>6935.8538461538465</v>
      </c>
      <c r="L321" s="747"/>
      <c r="M321" s="757"/>
      <c r="N321" s="771">
        <v>6935.8538461538465</v>
      </c>
      <c r="O321" s="747"/>
      <c r="P321" s="757"/>
      <c r="Q321" s="771">
        <v>6935.8538461538465</v>
      </c>
      <c r="R321" s="747"/>
      <c r="S321" s="757"/>
      <c r="T321" s="771">
        <v>8192.0423076923089</v>
      </c>
      <c r="U321" s="747"/>
      <c r="V321" s="757"/>
      <c r="W321" s="771">
        <v>6935.8538461538465</v>
      </c>
      <c r="X321" s="747"/>
      <c r="Y321" s="757"/>
      <c r="Z321" s="771">
        <v>6935.8538461538465</v>
      </c>
      <c r="AA321" s="747"/>
      <c r="AB321" s="757"/>
      <c r="AC321" s="771">
        <v>8192.0423076923089</v>
      </c>
      <c r="AD321" s="747"/>
      <c r="AE321" s="757"/>
      <c r="AF321" s="771">
        <v>6935.8538461538465</v>
      </c>
      <c r="AG321" s="747"/>
      <c r="AH321" s="757"/>
      <c r="AI321" s="771">
        <v>8192.0423076923089</v>
      </c>
      <c r="AJ321" s="747"/>
      <c r="AK321" s="757"/>
      <c r="AL321" s="771">
        <v>6935.8538461538465</v>
      </c>
      <c r="AM321" s="747"/>
      <c r="AN321" s="757"/>
      <c r="AO321" s="771">
        <v>6935.8538461538465</v>
      </c>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6"/>
        <v>PiècesSalaires commis</v>
      </c>
      <c r="B322" s="55" t="s">
        <v>121</v>
      </c>
      <c r="C322" s="747"/>
      <c r="D322" s="757"/>
      <c r="E322" s="758">
        <v>341351.51360000006</v>
      </c>
      <c r="F322" s="747"/>
      <c r="G322" s="757"/>
      <c r="H322" s="771">
        <v>32608.030153846154</v>
      </c>
      <c r="I322" s="747"/>
      <c r="J322" s="757"/>
      <c r="K322" s="771">
        <v>26364.924123076926</v>
      </c>
      <c r="L322" s="747"/>
      <c r="M322" s="757"/>
      <c r="N322" s="771">
        <v>26364.924123076926</v>
      </c>
      <c r="O322" s="747"/>
      <c r="P322" s="757"/>
      <c r="Q322" s="771">
        <v>26364.924123076926</v>
      </c>
      <c r="R322" s="747"/>
      <c r="S322" s="757"/>
      <c r="T322" s="771">
        <v>32608.030153846154</v>
      </c>
      <c r="U322" s="747"/>
      <c r="V322" s="757"/>
      <c r="W322" s="771">
        <v>26364.924123076926</v>
      </c>
      <c r="X322" s="747"/>
      <c r="Y322" s="757"/>
      <c r="Z322" s="771">
        <v>26364.924123076926</v>
      </c>
      <c r="AA322" s="747"/>
      <c r="AB322" s="757"/>
      <c r="AC322" s="771">
        <v>32608.030153846154</v>
      </c>
      <c r="AD322" s="747"/>
      <c r="AE322" s="757"/>
      <c r="AF322" s="771">
        <v>26364.924123076926</v>
      </c>
      <c r="AG322" s="747"/>
      <c r="AH322" s="757"/>
      <c r="AI322" s="771">
        <v>32608.030153846154</v>
      </c>
      <c r="AJ322" s="747"/>
      <c r="AK322" s="757"/>
      <c r="AL322" s="771">
        <v>26364.924123076926</v>
      </c>
      <c r="AM322" s="747"/>
      <c r="AN322" s="757"/>
      <c r="AO322" s="771">
        <v>26364.924123076926</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6"/>
        <v>PiècesSalaires autres</v>
      </c>
      <c r="B323" s="54" t="s">
        <v>122</v>
      </c>
      <c r="C323" s="780"/>
      <c r="D323" s="781"/>
      <c r="E323" s="782">
        <v>1823.2000000000005</v>
      </c>
      <c r="F323" s="780"/>
      <c r="G323" s="781"/>
      <c r="H323" s="783">
        <v>175.30769230769232</v>
      </c>
      <c r="I323" s="780"/>
      <c r="J323" s="781"/>
      <c r="K323" s="783">
        <v>140.24615384615385</v>
      </c>
      <c r="L323" s="780"/>
      <c r="M323" s="781"/>
      <c r="N323" s="783">
        <v>140.24615384615385</v>
      </c>
      <c r="O323" s="780"/>
      <c r="P323" s="781"/>
      <c r="Q323" s="783">
        <v>140.24615384615385</v>
      </c>
      <c r="R323" s="780"/>
      <c r="S323" s="781"/>
      <c r="T323" s="783">
        <v>175.30769230769232</v>
      </c>
      <c r="U323" s="780"/>
      <c r="V323" s="781"/>
      <c r="W323" s="783">
        <v>140.24615384615385</v>
      </c>
      <c r="X323" s="780"/>
      <c r="Y323" s="781"/>
      <c r="Z323" s="783">
        <v>140.24615384615385</v>
      </c>
      <c r="AA323" s="780"/>
      <c r="AB323" s="781"/>
      <c r="AC323" s="783">
        <v>175.30769230769232</v>
      </c>
      <c r="AD323" s="780"/>
      <c r="AE323" s="781"/>
      <c r="AF323" s="783">
        <v>140.24615384615385</v>
      </c>
      <c r="AG323" s="780"/>
      <c r="AH323" s="781"/>
      <c r="AI323" s="783">
        <v>175.30769230769232</v>
      </c>
      <c r="AJ323" s="780"/>
      <c r="AK323" s="781"/>
      <c r="AL323" s="783">
        <v>140.24615384615385</v>
      </c>
      <c r="AM323" s="780"/>
      <c r="AN323" s="781"/>
      <c r="AO323" s="783">
        <v>140.24615384615385</v>
      </c>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6"/>
        <v>PiècesSalaires spécialistes</v>
      </c>
      <c r="B324" s="54" t="s">
        <v>123</v>
      </c>
      <c r="C324" s="747"/>
      <c r="D324" s="757"/>
      <c r="E324" s="758">
        <v>0</v>
      </c>
      <c r="F324" s="747"/>
      <c r="G324" s="757"/>
      <c r="H324" s="771">
        <v>0</v>
      </c>
      <c r="I324" s="747"/>
      <c r="J324" s="757"/>
      <c r="K324" s="771">
        <v>0</v>
      </c>
      <c r="L324" s="747"/>
      <c r="M324" s="757"/>
      <c r="N324" s="771">
        <v>0</v>
      </c>
      <c r="O324" s="747"/>
      <c r="P324" s="757"/>
      <c r="Q324" s="771">
        <v>0</v>
      </c>
      <c r="R324" s="747"/>
      <c r="S324" s="757"/>
      <c r="T324" s="771">
        <v>0</v>
      </c>
      <c r="U324" s="747"/>
      <c r="V324" s="757"/>
      <c r="W324" s="771">
        <v>0</v>
      </c>
      <c r="X324" s="747"/>
      <c r="Y324" s="757"/>
      <c r="Z324" s="771">
        <v>0</v>
      </c>
      <c r="AA324" s="747"/>
      <c r="AB324" s="757"/>
      <c r="AC324" s="771">
        <v>0</v>
      </c>
      <c r="AD324" s="747"/>
      <c r="AE324" s="757"/>
      <c r="AF324" s="771">
        <v>0</v>
      </c>
      <c r="AG324" s="747"/>
      <c r="AH324" s="757"/>
      <c r="AI324" s="771">
        <v>0</v>
      </c>
      <c r="AJ324" s="747"/>
      <c r="AK324" s="757"/>
      <c r="AL324" s="771">
        <v>0</v>
      </c>
      <c r="AM324" s="747"/>
      <c r="AN324" s="757"/>
      <c r="AO324" s="771">
        <v>0</v>
      </c>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6"/>
        <v>Pièces[...]</v>
      </c>
      <c r="B325" s="44" t="s">
        <v>59</v>
      </c>
      <c r="C325" s="747"/>
      <c r="D325" s="757"/>
      <c r="E325" s="758">
        <v>0</v>
      </c>
      <c r="F325" s="747"/>
      <c r="G325" s="757"/>
      <c r="H325" s="771">
        <v>0</v>
      </c>
      <c r="I325" s="747"/>
      <c r="J325" s="757"/>
      <c r="K325" s="771">
        <v>0</v>
      </c>
      <c r="L325" s="747"/>
      <c r="M325" s="757"/>
      <c r="N325" s="771">
        <v>0</v>
      </c>
      <c r="O325" s="747"/>
      <c r="P325" s="757"/>
      <c r="Q325" s="771">
        <v>0</v>
      </c>
      <c r="R325" s="747"/>
      <c r="S325" s="757"/>
      <c r="T325" s="771">
        <v>0</v>
      </c>
      <c r="U325" s="747"/>
      <c r="V325" s="757"/>
      <c r="W325" s="771">
        <v>0</v>
      </c>
      <c r="X325" s="747"/>
      <c r="Y325" s="757"/>
      <c r="Z325" s="771">
        <v>0</v>
      </c>
      <c r="AA325" s="747"/>
      <c r="AB325" s="757"/>
      <c r="AC325" s="771">
        <v>0</v>
      </c>
      <c r="AD325" s="747"/>
      <c r="AE325" s="757"/>
      <c r="AF325" s="771">
        <v>0</v>
      </c>
      <c r="AG325" s="747"/>
      <c r="AH325" s="757"/>
      <c r="AI325" s="771">
        <v>0</v>
      </c>
      <c r="AJ325" s="747"/>
      <c r="AK325" s="757"/>
      <c r="AL325" s="771">
        <v>0</v>
      </c>
      <c r="AM325" s="747"/>
      <c r="AN325" s="757"/>
      <c r="AO325" s="771">
        <v>0</v>
      </c>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6"/>
        <v>Pièces[...]</v>
      </c>
      <c r="B326" s="44" t="s">
        <v>59</v>
      </c>
      <c r="C326" s="747"/>
      <c r="D326" s="757"/>
      <c r="E326" s="758">
        <v>0</v>
      </c>
      <c r="F326" s="747"/>
      <c r="G326" s="757"/>
      <c r="H326" s="771">
        <v>0</v>
      </c>
      <c r="I326" s="747"/>
      <c r="J326" s="757"/>
      <c r="K326" s="771">
        <v>0</v>
      </c>
      <c r="L326" s="747"/>
      <c r="M326" s="757"/>
      <c r="N326" s="771">
        <v>0</v>
      </c>
      <c r="O326" s="747"/>
      <c r="P326" s="757"/>
      <c r="Q326" s="771">
        <v>0</v>
      </c>
      <c r="R326" s="747"/>
      <c r="S326" s="757"/>
      <c r="T326" s="771">
        <v>0</v>
      </c>
      <c r="U326" s="747"/>
      <c r="V326" s="757"/>
      <c r="W326" s="771">
        <v>0</v>
      </c>
      <c r="X326" s="747"/>
      <c r="Y326" s="757"/>
      <c r="Z326" s="771">
        <v>0</v>
      </c>
      <c r="AA326" s="747"/>
      <c r="AB326" s="757"/>
      <c r="AC326" s="771">
        <v>0</v>
      </c>
      <c r="AD326" s="747"/>
      <c r="AE326" s="757"/>
      <c r="AF326" s="771">
        <v>0</v>
      </c>
      <c r="AG326" s="747"/>
      <c r="AH326" s="757"/>
      <c r="AI326" s="771">
        <v>0</v>
      </c>
      <c r="AJ326" s="747"/>
      <c r="AK326" s="757"/>
      <c r="AL326" s="771">
        <v>0</v>
      </c>
      <c r="AM326" s="747"/>
      <c r="AN326" s="757"/>
      <c r="AO326" s="771">
        <v>0</v>
      </c>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6"/>
        <v>Pièces[...]</v>
      </c>
      <c r="B327" s="44" t="s">
        <v>59</v>
      </c>
      <c r="C327" s="747"/>
      <c r="D327" s="757"/>
      <c r="E327" s="758">
        <v>0</v>
      </c>
      <c r="F327" s="747"/>
      <c r="G327" s="757"/>
      <c r="H327" s="771">
        <v>0</v>
      </c>
      <c r="I327" s="747"/>
      <c r="J327" s="757"/>
      <c r="K327" s="771">
        <v>0</v>
      </c>
      <c r="L327" s="747"/>
      <c r="M327" s="757"/>
      <c r="N327" s="771">
        <v>0</v>
      </c>
      <c r="O327" s="747"/>
      <c r="P327" s="757"/>
      <c r="Q327" s="771">
        <v>0</v>
      </c>
      <c r="R327" s="747"/>
      <c r="S327" s="757"/>
      <c r="T327" s="771">
        <v>0</v>
      </c>
      <c r="U327" s="747"/>
      <c r="V327" s="757"/>
      <c r="W327" s="771">
        <v>0</v>
      </c>
      <c r="X327" s="747"/>
      <c r="Y327" s="757"/>
      <c r="Z327" s="771">
        <v>0</v>
      </c>
      <c r="AA327" s="747"/>
      <c r="AB327" s="757"/>
      <c r="AC327" s="771">
        <v>0</v>
      </c>
      <c r="AD327" s="747"/>
      <c r="AE327" s="757"/>
      <c r="AF327" s="771">
        <v>0</v>
      </c>
      <c r="AG327" s="747"/>
      <c r="AH327" s="757"/>
      <c r="AI327" s="771">
        <v>0</v>
      </c>
      <c r="AJ327" s="747"/>
      <c r="AK327" s="757"/>
      <c r="AL327" s="771">
        <v>0</v>
      </c>
      <c r="AM327" s="747"/>
      <c r="AN327" s="757"/>
      <c r="AO327" s="771">
        <v>0</v>
      </c>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6"/>
        <v>PiècesSalaires en absences</v>
      </c>
      <c r="B328" s="55" t="s">
        <v>124</v>
      </c>
      <c r="C328" s="747"/>
      <c r="D328" s="757"/>
      <c r="E328" s="758">
        <v>53192.196493600008</v>
      </c>
      <c r="F328" s="747"/>
      <c r="G328" s="757"/>
      <c r="H328" s="771">
        <v>5047.9207243846158</v>
      </c>
      <c r="I328" s="747"/>
      <c r="J328" s="757"/>
      <c r="K328" s="771">
        <v>4125.0641995076921</v>
      </c>
      <c r="L328" s="747"/>
      <c r="M328" s="757"/>
      <c r="N328" s="771">
        <v>4125.0641995076921</v>
      </c>
      <c r="O328" s="747"/>
      <c r="P328" s="757"/>
      <c r="Q328" s="771">
        <v>4125.0641995076921</v>
      </c>
      <c r="R328" s="747"/>
      <c r="S328" s="757"/>
      <c r="T328" s="771">
        <v>5047.9207243846158</v>
      </c>
      <c r="U328" s="747"/>
      <c r="V328" s="757"/>
      <c r="W328" s="771">
        <v>4125.0641995076921</v>
      </c>
      <c r="X328" s="747"/>
      <c r="Y328" s="757"/>
      <c r="Z328" s="771">
        <v>4125.0641995076921</v>
      </c>
      <c r="AA328" s="747"/>
      <c r="AB328" s="757"/>
      <c r="AC328" s="771">
        <v>5047.9207243846158</v>
      </c>
      <c r="AD328" s="747"/>
      <c r="AE328" s="757"/>
      <c r="AF328" s="771">
        <v>4125.0641995076921</v>
      </c>
      <c r="AG328" s="747"/>
      <c r="AH328" s="757"/>
      <c r="AI328" s="771">
        <v>5047.9207243846158</v>
      </c>
      <c r="AJ328" s="747"/>
      <c r="AK328" s="757"/>
      <c r="AL328" s="771">
        <v>4125.0641995076921</v>
      </c>
      <c r="AM328" s="747"/>
      <c r="AN328" s="757"/>
      <c r="AO328" s="771">
        <v>4125.0641995076921</v>
      </c>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6"/>
        <v>PiècesDéduction à la source</v>
      </c>
      <c r="B329" s="54" t="s">
        <v>125</v>
      </c>
      <c r="C329" s="780"/>
      <c r="D329" s="781"/>
      <c r="E329" s="782">
        <v>64674.212476800007</v>
      </c>
      <c r="F329" s="780"/>
      <c r="G329" s="781"/>
      <c r="H329" s="783">
        <v>6137.5599996923083</v>
      </c>
      <c r="I329" s="780"/>
      <c r="J329" s="781"/>
      <c r="K329" s="783">
        <v>5015.4965597538467</v>
      </c>
      <c r="L329" s="780"/>
      <c r="M329" s="781"/>
      <c r="N329" s="783">
        <v>5015.4965597538467</v>
      </c>
      <c r="O329" s="780"/>
      <c r="P329" s="781"/>
      <c r="Q329" s="783">
        <v>5015.4965597538467</v>
      </c>
      <c r="R329" s="780"/>
      <c r="S329" s="781"/>
      <c r="T329" s="783">
        <v>6137.5599996923083</v>
      </c>
      <c r="U329" s="780"/>
      <c r="V329" s="781"/>
      <c r="W329" s="783">
        <v>5015.4965597538467</v>
      </c>
      <c r="X329" s="780"/>
      <c r="Y329" s="781"/>
      <c r="Z329" s="783">
        <v>5015.4965597538467</v>
      </c>
      <c r="AA329" s="780"/>
      <c r="AB329" s="781"/>
      <c r="AC329" s="783">
        <v>6137.5599996923083</v>
      </c>
      <c r="AD329" s="780"/>
      <c r="AE329" s="781"/>
      <c r="AF329" s="783">
        <v>5015.4965597538467</v>
      </c>
      <c r="AG329" s="780"/>
      <c r="AH329" s="781"/>
      <c r="AI329" s="783">
        <v>6137.5599996923083</v>
      </c>
      <c r="AJ329" s="780"/>
      <c r="AK329" s="781"/>
      <c r="AL329" s="783">
        <v>5015.4965597538467</v>
      </c>
      <c r="AM329" s="780"/>
      <c r="AN329" s="781"/>
      <c r="AO329" s="783">
        <v>5015.4965597538467</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6"/>
        <v>PiècesBénéfices marginaux</v>
      </c>
      <c r="B330" s="54" t="s">
        <v>126</v>
      </c>
      <c r="C330" s="747"/>
      <c r="D330" s="757"/>
      <c r="E330" s="758">
        <v>33321.279036959997</v>
      </c>
      <c r="F330" s="747"/>
      <c r="G330" s="757"/>
      <c r="H330" s="771">
        <v>3162.1776520153844</v>
      </c>
      <c r="I330" s="747"/>
      <c r="J330" s="757"/>
      <c r="K330" s="771">
        <v>2584.0710536123074</v>
      </c>
      <c r="L330" s="747"/>
      <c r="M330" s="757"/>
      <c r="N330" s="771">
        <v>2584.0710536123074</v>
      </c>
      <c r="O330" s="747"/>
      <c r="P330" s="757"/>
      <c r="Q330" s="771">
        <v>2584.0710536123074</v>
      </c>
      <c r="R330" s="747"/>
      <c r="S330" s="757"/>
      <c r="T330" s="771">
        <v>3162.1776520153844</v>
      </c>
      <c r="U330" s="747"/>
      <c r="V330" s="757"/>
      <c r="W330" s="771">
        <v>2584.0710536123074</v>
      </c>
      <c r="X330" s="747"/>
      <c r="Y330" s="757"/>
      <c r="Z330" s="771">
        <v>2584.0710536123074</v>
      </c>
      <c r="AA330" s="747"/>
      <c r="AB330" s="757"/>
      <c r="AC330" s="771">
        <v>3162.1776520153844</v>
      </c>
      <c r="AD330" s="747"/>
      <c r="AE330" s="757"/>
      <c r="AF330" s="771">
        <v>2584.0710536123074</v>
      </c>
      <c r="AG330" s="747"/>
      <c r="AH330" s="757"/>
      <c r="AI330" s="771">
        <v>3162.1776520153844</v>
      </c>
      <c r="AJ330" s="747"/>
      <c r="AK330" s="757"/>
      <c r="AL330" s="771">
        <v>2584.0710536123074</v>
      </c>
      <c r="AM330" s="747"/>
      <c r="AN330" s="757"/>
      <c r="AO330" s="771">
        <v>2584.0710536123074</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6"/>
        <v>PiècesCsst</v>
      </c>
      <c r="B331" s="54" t="s">
        <v>127</v>
      </c>
      <c r="C331" s="747"/>
      <c r="D331" s="757"/>
      <c r="E331" s="758">
        <v>14528.265121599996</v>
      </c>
      <c r="F331" s="747"/>
      <c r="G331" s="757"/>
      <c r="H331" s="771">
        <v>1378.7272463076922</v>
      </c>
      <c r="I331" s="747"/>
      <c r="J331" s="757"/>
      <c r="K331" s="771">
        <v>1126.6695170461537</v>
      </c>
      <c r="L331" s="747"/>
      <c r="M331" s="757"/>
      <c r="N331" s="771">
        <v>1126.6695170461537</v>
      </c>
      <c r="O331" s="747"/>
      <c r="P331" s="757"/>
      <c r="Q331" s="771">
        <v>1126.6695170461537</v>
      </c>
      <c r="R331" s="747"/>
      <c r="S331" s="757"/>
      <c r="T331" s="771">
        <v>1378.7272463076922</v>
      </c>
      <c r="U331" s="747"/>
      <c r="V331" s="757"/>
      <c r="W331" s="771">
        <v>1126.6695170461537</v>
      </c>
      <c r="X331" s="747"/>
      <c r="Y331" s="757"/>
      <c r="Z331" s="771">
        <v>1126.6695170461537</v>
      </c>
      <c r="AA331" s="747"/>
      <c r="AB331" s="757"/>
      <c r="AC331" s="771">
        <v>1378.7272463076922</v>
      </c>
      <c r="AD331" s="747"/>
      <c r="AE331" s="757"/>
      <c r="AF331" s="771">
        <v>1126.6695170461537</v>
      </c>
      <c r="AG331" s="747"/>
      <c r="AH331" s="757"/>
      <c r="AI331" s="771">
        <v>1378.7272463076922</v>
      </c>
      <c r="AJ331" s="747"/>
      <c r="AK331" s="757"/>
      <c r="AL331" s="771">
        <v>1126.6695170461537</v>
      </c>
      <c r="AM331" s="747"/>
      <c r="AN331" s="757"/>
      <c r="AO331" s="771">
        <v>1126.6695170461537</v>
      </c>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6"/>
        <v>Pièces[...]</v>
      </c>
      <c r="B332" s="44" t="s">
        <v>59</v>
      </c>
      <c r="C332" s="776"/>
      <c r="D332" s="784"/>
      <c r="E332" s="774">
        <v>0</v>
      </c>
      <c r="F332" s="776"/>
      <c r="G332" s="784"/>
      <c r="H332" s="774">
        <v>0</v>
      </c>
      <c r="I332" s="776"/>
      <c r="J332" s="784"/>
      <c r="K332" s="774">
        <v>0</v>
      </c>
      <c r="L332" s="776"/>
      <c r="M332" s="784"/>
      <c r="N332" s="774">
        <v>0</v>
      </c>
      <c r="O332" s="776"/>
      <c r="P332" s="784"/>
      <c r="Q332" s="774">
        <v>0</v>
      </c>
      <c r="R332" s="776"/>
      <c r="S332" s="784"/>
      <c r="T332" s="774">
        <v>0</v>
      </c>
      <c r="U332" s="776"/>
      <c r="V332" s="784"/>
      <c r="W332" s="774">
        <v>0</v>
      </c>
      <c r="X332" s="776"/>
      <c r="Y332" s="784"/>
      <c r="Z332" s="774">
        <v>0</v>
      </c>
      <c r="AA332" s="776"/>
      <c r="AB332" s="784"/>
      <c r="AC332" s="774">
        <v>0</v>
      </c>
      <c r="AD332" s="776"/>
      <c r="AE332" s="784"/>
      <c r="AF332" s="774">
        <v>0</v>
      </c>
      <c r="AG332" s="776"/>
      <c r="AH332" s="784"/>
      <c r="AI332" s="774">
        <v>0</v>
      </c>
      <c r="AJ332" s="776"/>
      <c r="AK332" s="784"/>
      <c r="AL332" s="774">
        <v>0</v>
      </c>
      <c r="AM332" s="776"/>
      <c r="AN332" s="784"/>
      <c r="AO332" s="774">
        <v>0</v>
      </c>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6"/>
        <v>PiècesTOTAL PERSONNEL</v>
      </c>
      <c r="B333" s="53" t="s">
        <v>128</v>
      </c>
      <c r="C333" s="777" t="s">
        <v>119</v>
      </c>
      <c r="D333" s="778">
        <v>0.40239714853853281</v>
      </c>
      <c r="E333" s="779">
        <v>597145.66672896012</v>
      </c>
      <c r="F333" s="777" t="s">
        <v>119</v>
      </c>
      <c r="G333" s="778">
        <v>0.53206431884521399</v>
      </c>
      <c r="H333" s="779">
        <v>56701.765776246168</v>
      </c>
      <c r="I333" s="777" t="s">
        <v>119</v>
      </c>
      <c r="J333" s="778">
        <v>0.48236344544836685</v>
      </c>
      <c r="K333" s="779">
        <v>46292.325452996927</v>
      </c>
      <c r="L333" s="777" t="s">
        <v>119</v>
      </c>
      <c r="M333" s="778">
        <v>0.48743056689848357</v>
      </c>
      <c r="N333" s="779">
        <v>46292.325452996927</v>
      </c>
      <c r="O333" s="777" t="s">
        <v>119</v>
      </c>
      <c r="P333" s="778">
        <v>0.35735238133823477</v>
      </c>
      <c r="Q333" s="779">
        <v>46292.325452996927</v>
      </c>
      <c r="R333" s="777" t="s">
        <v>119</v>
      </c>
      <c r="S333" s="778">
        <v>0.43237087688647396</v>
      </c>
      <c r="T333" s="779">
        <v>56701.765776246168</v>
      </c>
      <c r="U333" s="777" t="s">
        <v>119</v>
      </c>
      <c r="V333" s="778">
        <v>0.39133989341751529</v>
      </c>
      <c r="W333" s="779">
        <v>46292.325452996927</v>
      </c>
      <c r="X333" s="777" t="s">
        <v>119</v>
      </c>
      <c r="Y333" s="778">
        <v>0.40264920253934972</v>
      </c>
      <c r="Z333" s="779">
        <v>46292.325452996927</v>
      </c>
      <c r="AA333" s="777" t="s">
        <v>119</v>
      </c>
      <c r="AB333" s="778">
        <v>0.45463470529758648</v>
      </c>
      <c r="AC333" s="779">
        <v>56701.765776246168</v>
      </c>
      <c r="AD333" s="777" t="s">
        <v>119</v>
      </c>
      <c r="AE333" s="778">
        <v>0.39358479504554217</v>
      </c>
      <c r="AF333" s="779">
        <v>46292.325452996927</v>
      </c>
      <c r="AG333" s="777" t="s">
        <v>119</v>
      </c>
      <c r="AH333" s="778">
        <v>0.36245058172643441</v>
      </c>
      <c r="AI333" s="779">
        <v>56701.765776246168</v>
      </c>
      <c r="AJ333" s="777" t="s">
        <v>119</v>
      </c>
      <c r="AK333" s="778">
        <v>0.25443974303397004</v>
      </c>
      <c r="AL333" s="779">
        <v>46292.325452996927</v>
      </c>
      <c r="AM333" s="777" t="s">
        <v>119</v>
      </c>
      <c r="AN333" s="778">
        <v>0.41406547194652632</v>
      </c>
      <c r="AO333" s="779">
        <v>46292.325452996927</v>
      </c>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6"/>
        <v>PiècesPublicité 2</v>
      </c>
      <c r="B334" s="63" t="s">
        <v>129</v>
      </c>
      <c r="C334" s="747"/>
      <c r="D334" s="757"/>
      <c r="E334" s="758">
        <v>54824.000000000007</v>
      </c>
      <c r="F334" s="747"/>
      <c r="G334" s="757"/>
      <c r="H334" s="771">
        <v>4290.4720568014109</v>
      </c>
      <c r="I334" s="747"/>
      <c r="J334" s="757"/>
      <c r="K334" s="771">
        <v>2771.8470468118267</v>
      </c>
      <c r="L334" s="747"/>
      <c r="M334" s="757"/>
      <c r="N334" s="771">
        <v>3894.4355126085893</v>
      </c>
      <c r="O334" s="747"/>
      <c r="P334" s="757"/>
      <c r="Q334" s="771">
        <v>7533.1629382917936</v>
      </c>
      <c r="R334" s="747"/>
      <c r="S334" s="757"/>
      <c r="T334" s="771">
        <v>5653.4690242329343</v>
      </c>
      <c r="U334" s="747"/>
      <c r="V334" s="757"/>
      <c r="W334" s="771">
        <v>2779.9130291189213</v>
      </c>
      <c r="X334" s="747"/>
      <c r="Y334" s="757"/>
      <c r="Z334" s="771">
        <v>2588.4355861060794</v>
      </c>
      <c r="AA334" s="747"/>
      <c r="AB334" s="757"/>
      <c r="AC334" s="771">
        <v>2577.5928555269834</v>
      </c>
      <c r="AD334" s="747"/>
      <c r="AE334" s="757"/>
      <c r="AF334" s="771">
        <v>3927.9676362892696</v>
      </c>
      <c r="AG334" s="747"/>
      <c r="AH334" s="757"/>
      <c r="AI334" s="771">
        <v>5497.9379221932159</v>
      </c>
      <c r="AJ334" s="747"/>
      <c r="AK334" s="757"/>
      <c r="AL334" s="771">
        <v>9787.2583975729049</v>
      </c>
      <c r="AM334" s="747"/>
      <c r="AN334" s="757"/>
      <c r="AO334" s="771">
        <v>3521.5079944460713</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6"/>
        <v>PiècesService gratuit 2</v>
      </c>
      <c r="B335" s="54" t="s">
        <v>130</v>
      </c>
      <c r="C335" s="747"/>
      <c r="D335" s="757"/>
      <c r="E335" s="758">
        <v>6738.3093384171261</v>
      </c>
      <c r="F335" s="747"/>
      <c r="G335" s="757"/>
      <c r="H335" s="771">
        <v>561.52577820142733</v>
      </c>
      <c r="I335" s="747"/>
      <c r="J335" s="757"/>
      <c r="K335" s="771">
        <v>561.52577820142733</v>
      </c>
      <c r="L335" s="747"/>
      <c r="M335" s="757"/>
      <c r="N335" s="771">
        <v>561.52577820142733</v>
      </c>
      <c r="O335" s="747"/>
      <c r="P335" s="757"/>
      <c r="Q335" s="771">
        <v>561.52577820142733</v>
      </c>
      <c r="R335" s="747"/>
      <c r="S335" s="757"/>
      <c r="T335" s="771">
        <v>561.52577820142733</v>
      </c>
      <c r="U335" s="747"/>
      <c r="V335" s="757"/>
      <c r="W335" s="771">
        <v>561.52577820142733</v>
      </c>
      <c r="X335" s="747"/>
      <c r="Y335" s="757"/>
      <c r="Z335" s="771">
        <v>561.52577820142733</v>
      </c>
      <c r="AA335" s="747"/>
      <c r="AB335" s="757"/>
      <c r="AC335" s="771">
        <v>561.52577820142733</v>
      </c>
      <c r="AD335" s="747"/>
      <c r="AE335" s="757"/>
      <c r="AF335" s="771">
        <v>561.52577820142733</v>
      </c>
      <c r="AG335" s="747"/>
      <c r="AH335" s="757"/>
      <c r="AI335" s="771">
        <v>561.52577820142733</v>
      </c>
      <c r="AJ335" s="747"/>
      <c r="AK335" s="757"/>
      <c r="AL335" s="771">
        <v>561.52577820142733</v>
      </c>
      <c r="AM335" s="747"/>
      <c r="AN335" s="757"/>
      <c r="AO335" s="771">
        <v>561.52577820142733</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6"/>
        <v>PiècesFrais véhicules de cie</v>
      </c>
      <c r="B336" s="55" t="s">
        <v>131</v>
      </c>
      <c r="C336" s="776"/>
      <c r="D336" s="784"/>
      <c r="E336" s="774">
        <v>15171.845866666668</v>
      </c>
      <c r="F336" s="776"/>
      <c r="G336" s="784"/>
      <c r="H336" s="775">
        <v>1264.3204888888893</v>
      </c>
      <c r="I336" s="776"/>
      <c r="J336" s="784"/>
      <c r="K336" s="775">
        <v>1264.3204888888893</v>
      </c>
      <c r="L336" s="776"/>
      <c r="M336" s="784"/>
      <c r="N336" s="775">
        <v>1264.3204888888893</v>
      </c>
      <c r="O336" s="776"/>
      <c r="P336" s="784"/>
      <c r="Q336" s="775">
        <v>1264.3204888888893</v>
      </c>
      <c r="R336" s="776"/>
      <c r="S336" s="784"/>
      <c r="T336" s="775">
        <v>1264.3204888888893</v>
      </c>
      <c r="U336" s="776"/>
      <c r="V336" s="784"/>
      <c r="W336" s="775">
        <v>1264.3204888888893</v>
      </c>
      <c r="X336" s="776"/>
      <c r="Y336" s="784"/>
      <c r="Z336" s="775">
        <v>1264.3204888888893</v>
      </c>
      <c r="AA336" s="776"/>
      <c r="AB336" s="784"/>
      <c r="AC336" s="775">
        <v>1264.3204888888893</v>
      </c>
      <c r="AD336" s="776"/>
      <c r="AE336" s="784"/>
      <c r="AF336" s="775">
        <v>1264.3204888888893</v>
      </c>
      <c r="AG336" s="776"/>
      <c r="AH336" s="784"/>
      <c r="AI336" s="775">
        <v>1264.3204888888893</v>
      </c>
      <c r="AJ336" s="776"/>
      <c r="AK336" s="784"/>
      <c r="AL336" s="775">
        <v>1264.3204888888893</v>
      </c>
      <c r="AM336" s="776"/>
      <c r="AN336" s="784"/>
      <c r="AO336" s="775">
        <v>1264.3204888888893</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6"/>
        <v>PiècesInformatique</v>
      </c>
      <c r="B337" s="54" t="s">
        <v>132</v>
      </c>
      <c r="C337" s="747"/>
      <c r="D337" s="757"/>
      <c r="E337" s="758">
        <v>53395.880867333348</v>
      </c>
      <c r="F337" s="747"/>
      <c r="G337" s="757"/>
      <c r="H337" s="771">
        <v>4449.6567389444454</v>
      </c>
      <c r="I337" s="747"/>
      <c r="J337" s="757"/>
      <c r="K337" s="771">
        <v>4449.6567389444454</v>
      </c>
      <c r="L337" s="747"/>
      <c r="M337" s="757"/>
      <c r="N337" s="771">
        <v>4449.6567389444454</v>
      </c>
      <c r="O337" s="747"/>
      <c r="P337" s="757"/>
      <c r="Q337" s="771">
        <v>4449.6567389444454</v>
      </c>
      <c r="R337" s="747"/>
      <c r="S337" s="757"/>
      <c r="T337" s="771">
        <v>4449.6567389444454</v>
      </c>
      <c r="U337" s="747"/>
      <c r="V337" s="757"/>
      <c r="W337" s="771">
        <v>4449.6567389444454</v>
      </c>
      <c r="X337" s="747"/>
      <c r="Y337" s="757"/>
      <c r="Z337" s="771">
        <v>4449.6567389444454</v>
      </c>
      <c r="AA337" s="747"/>
      <c r="AB337" s="757"/>
      <c r="AC337" s="771">
        <v>4449.6567389444454</v>
      </c>
      <c r="AD337" s="747"/>
      <c r="AE337" s="757"/>
      <c r="AF337" s="771">
        <v>4449.6567389444454</v>
      </c>
      <c r="AG337" s="747"/>
      <c r="AH337" s="757"/>
      <c r="AI337" s="771">
        <v>4449.6567389444454</v>
      </c>
      <c r="AJ337" s="747"/>
      <c r="AK337" s="757"/>
      <c r="AL337" s="771">
        <v>4449.6567389444454</v>
      </c>
      <c r="AM337" s="747"/>
      <c r="AN337" s="757"/>
      <c r="AO337" s="771">
        <v>4449.6567389444454</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6"/>
        <v>PiècesFrais de déplacement</v>
      </c>
      <c r="B338" s="54" t="s">
        <v>133</v>
      </c>
      <c r="C338" s="747"/>
      <c r="D338" s="757"/>
      <c r="E338" s="758">
        <v>9819.3176265217098</v>
      </c>
      <c r="F338" s="747"/>
      <c r="G338" s="757"/>
      <c r="H338" s="771">
        <v>818.27646887680896</v>
      </c>
      <c r="I338" s="747"/>
      <c r="J338" s="757"/>
      <c r="K338" s="771">
        <v>818.27646887680896</v>
      </c>
      <c r="L338" s="747"/>
      <c r="M338" s="757"/>
      <c r="N338" s="771">
        <v>818.27646887680896</v>
      </c>
      <c r="O338" s="747"/>
      <c r="P338" s="757"/>
      <c r="Q338" s="771">
        <v>818.27646887680896</v>
      </c>
      <c r="R338" s="747"/>
      <c r="S338" s="757"/>
      <c r="T338" s="771">
        <v>818.27646887680896</v>
      </c>
      <c r="U338" s="747"/>
      <c r="V338" s="757"/>
      <c r="W338" s="771">
        <v>818.27646887680896</v>
      </c>
      <c r="X338" s="747"/>
      <c r="Y338" s="757"/>
      <c r="Z338" s="771">
        <v>818.27646887680896</v>
      </c>
      <c r="AA338" s="747"/>
      <c r="AB338" s="757"/>
      <c r="AC338" s="771">
        <v>818.27646887680896</v>
      </c>
      <c r="AD338" s="747"/>
      <c r="AE338" s="757"/>
      <c r="AF338" s="771">
        <v>818.27646887680896</v>
      </c>
      <c r="AG338" s="747"/>
      <c r="AH338" s="757"/>
      <c r="AI338" s="771">
        <v>818.27646887680896</v>
      </c>
      <c r="AJ338" s="747"/>
      <c r="AK338" s="757"/>
      <c r="AL338" s="771">
        <v>818.27646887680896</v>
      </c>
      <c r="AM338" s="747"/>
      <c r="AN338" s="757"/>
      <c r="AO338" s="771">
        <v>818.27646887680896</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6"/>
        <v>PiècesServices extérieurs</v>
      </c>
      <c r="B339" s="54" t="s">
        <v>134</v>
      </c>
      <c r="C339" s="776"/>
      <c r="D339" s="784"/>
      <c r="E339" s="774">
        <v>149857.03052718291</v>
      </c>
      <c r="F339" s="776"/>
      <c r="G339" s="784"/>
      <c r="H339" s="775">
        <v>12488.085877265243</v>
      </c>
      <c r="I339" s="776"/>
      <c r="J339" s="784"/>
      <c r="K339" s="775">
        <v>12488.085877265243</v>
      </c>
      <c r="L339" s="776"/>
      <c r="M339" s="784"/>
      <c r="N339" s="775">
        <v>12488.085877265243</v>
      </c>
      <c r="O339" s="776"/>
      <c r="P339" s="784"/>
      <c r="Q339" s="775">
        <v>12488.085877265243</v>
      </c>
      <c r="R339" s="776"/>
      <c r="S339" s="784"/>
      <c r="T339" s="775">
        <v>12488.085877265243</v>
      </c>
      <c r="U339" s="776"/>
      <c r="V339" s="784"/>
      <c r="W339" s="775">
        <v>12488.085877265243</v>
      </c>
      <c r="X339" s="776"/>
      <c r="Y339" s="784"/>
      <c r="Z339" s="775">
        <v>12488.085877265243</v>
      </c>
      <c r="AA339" s="776"/>
      <c r="AB339" s="784"/>
      <c r="AC339" s="775">
        <v>12488.085877265243</v>
      </c>
      <c r="AD339" s="776"/>
      <c r="AE339" s="784"/>
      <c r="AF339" s="775">
        <v>12488.085877265243</v>
      </c>
      <c r="AG339" s="776"/>
      <c r="AH339" s="784"/>
      <c r="AI339" s="775">
        <v>12488.085877265243</v>
      </c>
      <c r="AJ339" s="776"/>
      <c r="AK339" s="784"/>
      <c r="AL339" s="775">
        <v>12488.085877265243</v>
      </c>
      <c r="AM339" s="776"/>
      <c r="AN339" s="784"/>
      <c r="AO339" s="775">
        <v>12488.085877265243</v>
      </c>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6"/>
        <v>PiècesFournitures d'atelier</v>
      </c>
      <c r="B340" s="54" t="s">
        <v>490</v>
      </c>
      <c r="C340" s="747"/>
      <c r="D340" s="757"/>
      <c r="E340" s="758">
        <v>0</v>
      </c>
      <c r="F340" s="747"/>
      <c r="G340" s="757"/>
      <c r="H340" s="771">
        <v>0</v>
      </c>
      <c r="I340" s="747"/>
      <c r="J340" s="757"/>
      <c r="K340" s="771">
        <v>0</v>
      </c>
      <c r="L340" s="747"/>
      <c r="M340" s="757"/>
      <c r="N340" s="771">
        <v>0</v>
      </c>
      <c r="O340" s="747"/>
      <c r="P340" s="757"/>
      <c r="Q340" s="771">
        <v>0</v>
      </c>
      <c r="R340" s="747"/>
      <c r="S340" s="757"/>
      <c r="T340" s="771">
        <v>0</v>
      </c>
      <c r="U340" s="747"/>
      <c r="V340" s="757"/>
      <c r="W340" s="771">
        <v>0</v>
      </c>
      <c r="X340" s="747"/>
      <c r="Y340" s="757"/>
      <c r="Z340" s="771">
        <v>0</v>
      </c>
      <c r="AA340" s="747"/>
      <c r="AB340" s="757"/>
      <c r="AC340" s="771">
        <v>0</v>
      </c>
      <c r="AD340" s="747"/>
      <c r="AE340" s="757"/>
      <c r="AF340" s="771">
        <v>0</v>
      </c>
      <c r="AG340" s="747"/>
      <c r="AH340" s="757"/>
      <c r="AI340" s="771">
        <v>0</v>
      </c>
      <c r="AJ340" s="747"/>
      <c r="AK340" s="757"/>
      <c r="AL340" s="771">
        <v>0</v>
      </c>
      <c r="AM340" s="747"/>
      <c r="AN340" s="757"/>
      <c r="AO340" s="771">
        <v>0</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ref="A341:A356" si="7">+$C$294&amp;B341</f>
        <v>PiècesFournitures autres</v>
      </c>
      <c r="B341" s="63" t="s">
        <v>135</v>
      </c>
      <c r="C341" s="747"/>
      <c r="D341" s="757"/>
      <c r="E341" s="758">
        <v>3068.1039999999994</v>
      </c>
      <c r="F341" s="747"/>
      <c r="G341" s="757"/>
      <c r="H341" s="771">
        <v>255.67533333333333</v>
      </c>
      <c r="I341" s="747"/>
      <c r="J341" s="757"/>
      <c r="K341" s="771">
        <v>255.67533333333333</v>
      </c>
      <c r="L341" s="747"/>
      <c r="M341" s="757"/>
      <c r="N341" s="771">
        <v>255.67533333333333</v>
      </c>
      <c r="O341" s="747"/>
      <c r="P341" s="757"/>
      <c r="Q341" s="771">
        <v>255.67533333333333</v>
      </c>
      <c r="R341" s="747"/>
      <c r="S341" s="757"/>
      <c r="T341" s="771">
        <v>255.67533333333333</v>
      </c>
      <c r="U341" s="747"/>
      <c r="V341" s="757"/>
      <c r="W341" s="771">
        <v>255.67533333333333</v>
      </c>
      <c r="X341" s="747"/>
      <c r="Y341" s="757"/>
      <c r="Z341" s="771">
        <v>255.67533333333333</v>
      </c>
      <c r="AA341" s="747"/>
      <c r="AB341" s="757"/>
      <c r="AC341" s="771">
        <v>255.67533333333333</v>
      </c>
      <c r="AD341" s="747"/>
      <c r="AE341" s="757"/>
      <c r="AF341" s="771">
        <v>255.67533333333333</v>
      </c>
      <c r="AG341" s="747"/>
      <c r="AH341" s="757"/>
      <c r="AI341" s="771">
        <v>255.67533333333333</v>
      </c>
      <c r="AJ341" s="747"/>
      <c r="AK341" s="757"/>
      <c r="AL341" s="771">
        <v>255.67533333333333</v>
      </c>
      <c r="AM341" s="747"/>
      <c r="AN341" s="757"/>
      <c r="AO341" s="771">
        <v>255.67533333333333</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7"/>
        <v>PiècesUniformes</v>
      </c>
      <c r="B342" s="54" t="s">
        <v>136</v>
      </c>
      <c r="C342" s="747"/>
      <c r="D342" s="757"/>
      <c r="E342" s="758">
        <v>340</v>
      </c>
      <c r="F342" s="747"/>
      <c r="G342" s="757"/>
      <c r="H342" s="771">
        <v>28.333333333333332</v>
      </c>
      <c r="I342" s="747"/>
      <c r="J342" s="757"/>
      <c r="K342" s="771">
        <v>28.333333333333332</v>
      </c>
      <c r="L342" s="747"/>
      <c r="M342" s="757"/>
      <c r="N342" s="771">
        <v>28.333333333333332</v>
      </c>
      <c r="O342" s="747"/>
      <c r="P342" s="757"/>
      <c r="Q342" s="771">
        <v>28.333333333333332</v>
      </c>
      <c r="R342" s="747"/>
      <c r="S342" s="757"/>
      <c r="T342" s="771">
        <v>28.333333333333332</v>
      </c>
      <c r="U342" s="747"/>
      <c r="V342" s="757"/>
      <c r="W342" s="771">
        <v>28.333333333333332</v>
      </c>
      <c r="X342" s="747"/>
      <c r="Y342" s="757"/>
      <c r="Z342" s="771">
        <v>28.333333333333332</v>
      </c>
      <c r="AA342" s="747"/>
      <c r="AB342" s="757"/>
      <c r="AC342" s="771">
        <v>28.333333333333332</v>
      </c>
      <c r="AD342" s="747"/>
      <c r="AE342" s="757"/>
      <c r="AF342" s="771">
        <v>28.333333333333332</v>
      </c>
      <c r="AG342" s="747"/>
      <c r="AH342" s="757"/>
      <c r="AI342" s="771">
        <v>28.333333333333332</v>
      </c>
      <c r="AJ342" s="747"/>
      <c r="AK342" s="757"/>
      <c r="AL342" s="771">
        <v>28.333333333333332</v>
      </c>
      <c r="AM342" s="747"/>
      <c r="AN342" s="757"/>
      <c r="AO342" s="771">
        <v>28.333333333333332</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7"/>
        <v>PiècesPapeterie</v>
      </c>
      <c r="B343" s="54" t="s">
        <v>137</v>
      </c>
      <c r="C343" s="747"/>
      <c r="D343" s="757"/>
      <c r="E343" s="758">
        <v>8596.9085593979999</v>
      </c>
      <c r="F343" s="747"/>
      <c r="G343" s="757"/>
      <c r="H343" s="771">
        <v>716.40904661649995</v>
      </c>
      <c r="I343" s="747"/>
      <c r="J343" s="757"/>
      <c r="K343" s="771">
        <v>716.40904661649995</v>
      </c>
      <c r="L343" s="747"/>
      <c r="M343" s="757"/>
      <c r="N343" s="771">
        <v>716.40904661649995</v>
      </c>
      <c r="O343" s="747"/>
      <c r="P343" s="757"/>
      <c r="Q343" s="771">
        <v>716.40904661649995</v>
      </c>
      <c r="R343" s="747"/>
      <c r="S343" s="757"/>
      <c r="T343" s="771">
        <v>716.40904661649995</v>
      </c>
      <c r="U343" s="747"/>
      <c r="V343" s="757"/>
      <c r="W343" s="771">
        <v>716.40904661649995</v>
      </c>
      <c r="X343" s="747"/>
      <c r="Y343" s="757"/>
      <c r="Z343" s="771">
        <v>716.40904661649995</v>
      </c>
      <c r="AA343" s="747"/>
      <c r="AB343" s="757"/>
      <c r="AC343" s="771">
        <v>716.40904661649995</v>
      </c>
      <c r="AD343" s="747"/>
      <c r="AE343" s="757"/>
      <c r="AF343" s="771">
        <v>716.40904661649995</v>
      </c>
      <c r="AG343" s="747"/>
      <c r="AH343" s="757"/>
      <c r="AI343" s="771">
        <v>716.40904661649995</v>
      </c>
      <c r="AJ343" s="747"/>
      <c r="AK343" s="757"/>
      <c r="AL343" s="771">
        <v>716.40904661649995</v>
      </c>
      <c r="AM343" s="747"/>
      <c r="AN343" s="757"/>
      <c r="AO343" s="771">
        <v>716.40904661649995</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7"/>
        <v>PiècesTéléphone</v>
      </c>
      <c r="B344" s="54" t="s">
        <v>138</v>
      </c>
      <c r="C344" s="747"/>
      <c r="D344" s="757"/>
      <c r="E344" s="758">
        <v>1386.4889231060836</v>
      </c>
      <c r="F344" s="747"/>
      <c r="G344" s="757"/>
      <c r="H344" s="771">
        <v>115.54074359217363</v>
      </c>
      <c r="I344" s="747"/>
      <c r="J344" s="757"/>
      <c r="K344" s="771">
        <v>115.54074359217363</v>
      </c>
      <c r="L344" s="747"/>
      <c r="M344" s="757"/>
      <c r="N344" s="771">
        <v>115.54074359217363</v>
      </c>
      <c r="O344" s="747"/>
      <c r="P344" s="757"/>
      <c r="Q344" s="771">
        <v>115.54074359217363</v>
      </c>
      <c r="R344" s="747"/>
      <c r="S344" s="757"/>
      <c r="T344" s="771">
        <v>115.54074359217363</v>
      </c>
      <c r="U344" s="747"/>
      <c r="V344" s="757"/>
      <c r="W344" s="771">
        <v>115.54074359217363</v>
      </c>
      <c r="X344" s="747"/>
      <c r="Y344" s="757"/>
      <c r="Z344" s="771">
        <v>115.54074359217363</v>
      </c>
      <c r="AA344" s="747"/>
      <c r="AB344" s="757"/>
      <c r="AC344" s="771">
        <v>115.54074359217363</v>
      </c>
      <c r="AD344" s="747"/>
      <c r="AE344" s="757"/>
      <c r="AF344" s="771">
        <v>115.54074359217363</v>
      </c>
      <c r="AG344" s="747"/>
      <c r="AH344" s="757"/>
      <c r="AI344" s="771">
        <v>115.54074359217363</v>
      </c>
      <c r="AJ344" s="747"/>
      <c r="AK344" s="757"/>
      <c r="AL344" s="771">
        <v>115.54074359217363</v>
      </c>
      <c r="AM344" s="747"/>
      <c r="AN344" s="757"/>
      <c r="AO344" s="771">
        <v>115.54074359217363</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7"/>
        <v>PiècesFrais postaux</v>
      </c>
      <c r="B345" s="54" t="s">
        <v>139</v>
      </c>
      <c r="C345" s="747"/>
      <c r="D345" s="757"/>
      <c r="E345" s="758">
        <v>-373.32416954608357</v>
      </c>
      <c r="F345" s="747"/>
      <c r="G345" s="757"/>
      <c r="H345" s="771">
        <v>-31.110347462173621</v>
      </c>
      <c r="I345" s="747"/>
      <c r="J345" s="757"/>
      <c r="K345" s="771">
        <v>-31.110347462173621</v>
      </c>
      <c r="L345" s="747"/>
      <c r="M345" s="757"/>
      <c r="N345" s="771">
        <v>-31.110347462173621</v>
      </c>
      <c r="O345" s="747"/>
      <c r="P345" s="757"/>
      <c r="Q345" s="771">
        <v>-31.110347462173621</v>
      </c>
      <c r="R345" s="747"/>
      <c r="S345" s="757"/>
      <c r="T345" s="771">
        <v>-31.110347462173621</v>
      </c>
      <c r="U345" s="747"/>
      <c r="V345" s="757"/>
      <c r="W345" s="771">
        <v>-31.110347462173621</v>
      </c>
      <c r="X345" s="747"/>
      <c r="Y345" s="757"/>
      <c r="Z345" s="771">
        <v>-31.110347462173621</v>
      </c>
      <c r="AA345" s="747"/>
      <c r="AB345" s="757"/>
      <c r="AC345" s="771">
        <v>-31.110347462173621</v>
      </c>
      <c r="AD345" s="747"/>
      <c r="AE345" s="757"/>
      <c r="AF345" s="771">
        <v>-31.110347462173621</v>
      </c>
      <c r="AG345" s="747"/>
      <c r="AH345" s="757"/>
      <c r="AI345" s="771">
        <v>-31.110347462173621</v>
      </c>
      <c r="AJ345" s="747"/>
      <c r="AK345" s="757"/>
      <c r="AL345" s="771">
        <v>-31.110347462173621</v>
      </c>
      <c r="AM345" s="747"/>
      <c r="AN345" s="757"/>
      <c r="AO345" s="771">
        <v>-31.110347462173621</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7"/>
        <v>PiècesDivers</v>
      </c>
      <c r="B346" s="54" t="s">
        <v>140</v>
      </c>
      <c r="C346" s="747"/>
      <c r="D346" s="757"/>
      <c r="E346" s="758">
        <v>1878.134119949417</v>
      </c>
      <c r="F346" s="747"/>
      <c r="G346" s="757"/>
      <c r="H346" s="771">
        <v>156.51117666245145</v>
      </c>
      <c r="I346" s="747"/>
      <c r="J346" s="757"/>
      <c r="K346" s="771">
        <v>156.51117666245145</v>
      </c>
      <c r="L346" s="747"/>
      <c r="M346" s="757"/>
      <c r="N346" s="771">
        <v>156.51117666245145</v>
      </c>
      <c r="O346" s="747"/>
      <c r="P346" s="757"/>
      <c r="Q346" s="771">
        <v>156.51117666245145</v>
      </c>
      <c r="R346" s="747"/>
      <c r="S346" s="757"/>
      <c r="T346" s="771">
        <v>156.51117666245145</v>
      </c>
      <c r="U346" s="747"/>
      <c r="V346" s="757"/>
      <c r="W346" s="771">
        <v>156.51117666245145</v>
      </c>
      <c r="X346" s="747"/>
      <c r="Y346" s="757"/>
      <c r="Z346" s="771">
        <v>156.51117666245145</v>
      </c>
      <c r="AA346" s="747"/>
      <c r="AB346" s="757"/>
      <c r="AC346" s="771">
        <v>156.51117666245145</v>
      </c>
      <c r="AD346" s="747"/>
      <c r="AE346" s="757"/>
      <c r="AF346" s="771">
        <v>156.51117666245145</v>
      </c>
      <c r="AG346" s="747"/>
      <c r="AH346" s="757"/>
      <c r="AI346" s="771">
        <v>156.51117666245145</v>
      </c>
      <c r="AJ346" s="747"/>
      <c r="AK346" s="757"/>
      <c r="AL346" s="771">
        <v>156.51117666245145</v>
      </c>
      <c r="AM346" s="747"/>
      <c r="AN346" s="757"/>
      <c r="AO346" s="771">
        <v>156.51117666245145</v>
      </c>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7"/>
        <v>PiècesFormation</v>
      </c>
      <c r="B347" s="54" t="s">
        <v>141</v>
      </c>
      <c r="C347" s="747"/>
      <c r="D347" s="757"/>
      <c r="E347" s="758">
        <v>4547.4518545717601</v>
      </c>
      <c r="F347" s="747"/>
      <c r="G347" s="757"/>
      <c r="H347" s="771">
        <v>378.95432121431327</v>
      </c>
      <c r="I347" s="747"/>
      <c r="J347" s="757"/>
      <c r="K347" s="771">
        <v>378.95432121431327</v>
      </c>
      <c r="L347" s="747"/>
      <c r="M347" s="757"/>
      <c r="N347" s="771">
        <v>378.95432121431327</v>
      </c>
      <c r="O347" s="747"/>
      <c r="P347" s="757"/>
      <c r="Q347" s="771">
        <v>378.95432121431327</v>
      </c>
      <c r="R347" s="747"/>
      <c r="S347" s="757"/>
      <c r="T347" s="771">
        <v>378.95432121431327</v>
      </c>
      <c r="U347" s="747"/>
      <c r="V347" s="757"/>
      <c r="W347" s="771">
        <v>378.95432121431327</v>
      </c>
      <c r="X347" s="747"/>
      <c r="Y347" s="757"/>
      <c r="Z347" s="771">
        <v>378.95432121431327</v>
      </c>
      <c r="AA347" s="747"/>
      <c r="AB347" s="757"/>
      <c r="AC347" s="771">
        <v>378.95432121431327</v>
      </c>
      <c r="AD347" s="747"/>
      <c r="AE347" s="757"/>
      <c r="AF347" s="771">
        <v>378.95432121431327</v>
      </c>
      <c r="AG347" s="747"/>
      <c r="AH347" s="757"/>
      <c r="AI347" s="771">
        <v>378.95432121431327</v>
      </c>
      <c r="AJ347" s="747"/>
      <c r="AK347" s="757"/>
      <c r="AL347" s="771">
        <v>378.95432121431327</v>
      </c>
      <c r="AM347" s="747"/>
      <c r="AN347" s="757"/>
      <c r="AO347" s="771">
        <v>378.95432121431327</v>
      </c>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7"/>
        <v>PiècesFrais bancaires</v>
      </c>
      <c r="B348" s="54" t="s">
        <v>142</v>
      </c>
      <c r="C348" s="747"/>
      <c r="D348" s="757"/>
      <c r="E348" s="758">
        <v>18920.901463836952</v>
      </c>
      <c r="F348" s="747"/>
      <c r="G348" s="757"/>
      <c r="H348" s="771">
        <v>1234.521043679066</v>
      </c>
      <c r="I348" s="747"/>
      <c r="J348" s="757"/>
      <c r="K348" s="771">
        <v>1190.304929325466</v>
      </c>
      <c r="L348" s="747"/>
      <c r="M348" s="757"/>
      <c r="N348" s="771">
        <v>1259.3481979621156</v>
      </c>
      <c r="O348" s="747"/>
      <c r="P348" s="757"/>
      <c r="Q348" s="771">
        <v>1650.1689027259927</v>
      </c>
      <c r="R348" s="747"/>
      <c r="S348" s="757"/>
      <c r="T348" s="771">
        <v>1754.3101197821436</v>
      </c>
      <c r="U348" s="747"/>
      <c r="V348" s="757"/>
      <c r="W348" s="771">
        <v>1634.2364306141619</v>
      </c>
      <c r="X348" s="747"/>
      <c r="Y348" s="757"/>
      <c r="Z348" s="771">
        <v>1597.3918737469346</v>
      </c>
      <c r="AA348" s="747"/>
      <c r="AB348" s="757"/>
      <c r="AC348" s="771">
        <v>1727.6594672908991</v>
      </c>
      <c r="AD348" s="747"/>
      <c r="AE348" s="757"/>
      <c r="AF348" s="771">
        <v>1405.2879790725349</v>
      </c>
      <c r="AG348" s="747"/>
      <c r="AH348" s="757"/>
      <c r="AI348" s="771">
        <v>1897.4004948242332</v>
      </c>
      <c r="AJ348" s="747"/>
      <c r="AK348" s="757"/>
      <c r="AL348" s="771">
        <v>2230.6282955484949</v>
      </c>
      <c r="AM348" s="747"/>
      <c r="AN348" s="757"/>
      <c r="AO348" s="771">
        <v>1339.6437292649105</v>
      </c>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7"/>
        <v>Pièces[...]</v>
      </c>
      <c r="B349" s="54" t="s">
        <v>59</v>
      </c>
      <c r="C349" s="747"/>
      <c r="D349" s="757"/>
      <c r="E349" s="758">
        <v>0</v>
      </c>
      <c r="F349" s="747"/>
      <c r="G349" s="757"/>
      <c r="H349" s="758"/>
      <c r="I349" s="747"/>
      <c r="J349" s="757"/>
      <c r="K349" s="758"/>
      <c r="L349" s="747"/>
      <c r="M349" s="757"/>
      <c r="N349" s="758"/>
      <c r="O349" s="747"/>
      <c r="P349" s="757"/>
      <c r="Q349" s="758"/>
      <c r="R349" s="747"/>
      <c r="S349" s="757"/>
      <c r="T349" s="758"/>
      <c r="U349" s="747"/>
      <c r="V349" s="757"/>
      <c r="W349" s="758"/>
      <c r="X349" s="747"/>
      <c r="Y349" s="757"/>
      <c r="Z349" s="758"/>
      <c r="AA349" s="747"/>
      <c r="AB349" s="757"/>
      <c r="AC349" s="758"/>
      <c r="AD349" s="747"/>
      <c r="AE349" s="757"/>
      <c r="AF349" s="758"/>
      <c r="AG349" s="747"/>
      <c r="AH349" s="757"/>
      <c r="AI349" s="758"/>
      <c r="AJ349" s="747"/>
      <c r="AK349" s="757"/>
      <c r="AL349" s="758"/>
      <c r="AM349" s="747"/>
      <c r="AN349" s="757"/>
      <c r="AO349" s="758"/>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7"/>
        <v>Pièces[...]</v>
      </c>
      <c r="B350" s="54" t="s">
        <v>59</v>
      </c>
      <c r="C350" s="747"/>
      <c r="D350" s="757"/>
      <c r="E350" s="758">
        <v>0</v>
      </c>
      <c r="F350" s="747"/>
      <c r="G350" s="757"/>
      <c r="H350" s="758"/>
      <c r="I350" s="747"/>
      <c r="J350" s="757"/>
      <c r="K350" s="758"/>
      <c r="L350" s="747"/>
      <c r="M350" s="757"/>
      <c r="N350" s="758"/>
      <c r="O350" s="747"/>
      <c r="P350" s="757"/>
      <c r="Q350" s="758"/>
      <c r="R350" s="747"/>
      <c r="S350" s="757"/>
      <c r="T350" s="758"/>
      <c r="U350" s="747"/>
      <c r="V350" s="757"/>
      <c r="W350" s="758"/>
      <c r="X350" s="747"/>
      <c r="Y350" s="757"/>
      <c r="Z350" s="758"/>
      <c r="AA350" s="747"/>
      <c r="AB350" s="757"/>
      <c r="AC350" s="758"/>
      <c r="AD350" s="747"/>
      <c r="AE350" s="757"/>
      <c r="AF350" s="758"/>
      <c r="AG350" s="747"/>
      <c r="AH350" s="757"/>
      <c r="AI350" s="758"/>
      <c r="AJ350" s="747"/>
      <c r="AK350" s="757"/>
      <c r="AL350" s="758"/>
      <c r="AM350" s="747"/>
      <c r="AN350" s="757"/>
      <c r="AO350" s="758"/>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7"/>
        <v>Pièces[...]</v>
      </c>
      <c r="B351" s="54" t="s">
        <v>59</v>
      </c>
      <c r="C351" s="747"/>
      <c r="D351" s="757"/>
      <c r="E351" s="758">
        <v>0</v>
      </c>
      <c r="F351" s="747"/>
      <c r="G351" s="757"/>
      <c r="H351" s="758"/>
      <c r="I351" s="747"/>
      <c r="J351" s="757"/>
      <c r="K351" s="758"/>
      <c r="L351" s="747"/>
      <c r="M351" s="757"/>
      <c r="N351" s="758"/>
      <c r="O351" s="747"/>
      <c r="P351" s="757"/>
      <c r="Q351" s="758"/>
      <c r="R351" s="747"/>
      <c r="S351" s="757"/>
      <c r="T351" s="758"/>
      <c r="U351" s="747"/>
      <c r="V351" s="757"/>
      <c r="W351" s="758"/>
      <c r="X351" s="747"/>
      <c r="Y351" s="757"/>
      <c r="Z351" s="758"/>
      <c r="AA351" s="747"/>
      <c r="AB351" s="757"/>
      <c r="AC351" s="758"/>
      <c r="AD351" s="747"/>
      <c r="AE351" s="757"/>
      <c r="AF351" s="758"/>
      <c r="AG351" s="747"/>
      <c r="AH351" s="757"/>
      <c r="AI351" s="758"/>
      <c r="AJ351" s="747"/>
      <c r="AK351" s="757"/>
      <c r="AL351" s="758"/>
      <c r="AM351" s="747"/>
      <c r="AN351" s="757"/>
      <c r="AO351" s="758"/>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7"/>
        <v>PiècesTOTAL SEMI-FIXES</v>
      </c>
      <c r="B352" s="53" t="s">
        <v>143</v>
      </c>
      <c r="C352" s="777" t="s">
        <v>119</v>
      </c>
      <c r="D352" s="778">
        <v>0.22114385433756997</v>
      </c>
      <c r="E352" s="779">
        <v>328171.04897743801</v>
      </c>
      <c r="F352" s="777" t="s">
        <v>119</v>
      </c>
      <c r="G352" s="778">
        <v>0.25079597437672768</v>
      </c>
      <c r="H352" s="779">
        <v>26727.172059947217</v>
      </c>
      <c r="I352" s="777" t="s">
        <v>119</v>
      </c>
      <c r="J352" s="778">
        <v>0.26221092273330721</v>
      </c>
      <c r="K352" s="779">
        <v>25164.330935604034</v>
      </c>
      <c r="L352" s="777" t="s">
        <v>119</v>
      </c>
      <c r="M352" s="778">
        <v>0.27751256174105077</v>
      </c>
      <c r="N352" s="779">
        <v>26355.96267003745</v>
      </c>
      <c r="O352" s="777" t="s">
        <v>119</v>
      </c>
      <c r="P352" s="778">
        <v>0.23456014655727001</v>
      </c>
      <c r="Q352" s="779">
        <v>30385.510800484532</v>
      </c>
      <c r="R352" s="777" t="s">
        <v>119</v>
      </c>
      <c r="S352" s="778">
        <v>0.21816097794382755</v>
      </c>
      <c r="T352" s="779">
        <v>28609.958103481822</v>
      </c>
      <c r="U352" s="777" t="s">
        <v>119</v>
      </c>
      <c r="V352" s="778">
        <v>0.21655190434311475</v>
      </c>
      <c r="W352" s="779">
        <v>25616.328419199825</v>
      </c>
      <c r="X352" s="777" t="s">
        <v>119</v>
      </c>
      <c r="Y352" s="778">
        <v>0.22082408776768847</v>
      </c>
      <c r="Z352" s="779">
        <v>25388.006419319758</v>
      </c>
      <c r="AA352" s="777" t="s">
        <v>119</v>
      </c>
      <c r="AB352" s="778">
        <v>0.20451856031577079</v>
      </c>
      <c r="AC352" s="779">
        <v>25507.431282284626</v>
      </c>
      <c r="AD352" s="777" t="s">
        <v>119</v>
      </c>
      <c r="AE352" s="778">
        <v>0.22560853178962853</v>
      </c>
      <c r="AF352" s="779">
        <v>26535.434574828549</v>
      </c>
      <c r="AG352" s="777" t="s">
        <v>119</v>
      </c>
      <c r="AH352" s="778">
        <v>0.1828018346014324</v>
      </c>
      <c r="AI352" s="779">
        <v>28597.517376484193</v>
      </c>
      <c r="AJ352" s="777" t="s">
        <v>119</v>
      </c>
      <c r="AK352" s="778">
        <v>0.18258976807718205</v>
      </c>
      <c r="AL352" s="779">
        <v>33220.065652588142</v>
      </c>
      <c r="AM352" s="777" t="s">
        <v>119</v>
      </c>
      <c r="AN352" s="778">
        <v>0.2331255821396569</v>
      </c>
      <c r="AO352" s="779">
        <v>26063.330683177726</v>
      </c>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7"/>
        <v>Pièces</v>
      </c>
      <c r="B353" s="43"/>
      <c r="C353" s="776"/>
      <c r="D353" s="784"/>
      <c r="E353" s="774"/>
      <c r="F353" s="776"/>
      <c r="G353" s="784"/>
      <c r="H353" s="774"/>
      <c r="I353" s="776"/>
      <c r="J353" s="784"/>
      <c r="K353" s="774"/>
      <c r="L353" s="776"/>
      <c r="M353" s="784"/>
      <c r="N353" s="774"/>
      <c r="O353" s="776"/>
      <c r="P353" s="784"/>
      <c r="Q353" s="774"/>
      <c r="R353" s="776"/>
      <c r="S353" s="784"/>
      <c r="T353" s="774"/>
      <c r="U353" s="776"/>
      <c r="V353" s="784"/>
      <c r="W353" s="774"/>
      <c r="X353" s="776"/>
      <c r="Y353" s="784"/>
      <c r="Z353" s="774"/>
      <c r="AA353" s="776"/>
      <c r="AB353" s="784"/>
      <c r="AC353" s="774"/>
      <c r="AD353" s="776"/>
      <c r="AE353" s="784"/>
      <c r="AF353" s="774"/>
      <c r="AG353" s="776"/>
      <c r="AH353" s="784"/>
      <c r="AI353" s="774"/>
      <c r="AJ353" s="776"/>
      <c r="AK353" s="784"/>
      <c r="AL353" s="774"/>
      <c r="AM353" s="776"/>
      <c r="AN353" s="784"/>
      <c r="AO353" s="774"/>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7"/>
        <v>PiècesTOTAL DES DÉPENSES</v>
      </c>
      <c r="B354" s="53" t="s">
        <v>144</v>
      </c>
      <c r="C354" s="777" t="s">
        <v>119</v>
      </c>
      <c r="D354" s="815">
        <v>0.62354100287610281</v>
      </c>
      <c r="E354" s="789">
        <v>925316.71570639813</v>
      </c>
      <c r="F354" s="777" t="s">
        <v>119</v>
      </c>
      <c r="G354" s="815">
        <v>0.78286029322194173</v>
      </c>
      <c r="H354" s="789">
        <v>83428.937836193392</v>
      </c>
      <c r="I354" s="777" t="s">
        <v>119</v>
      </c>
      <c r="J354" s="815">
        <v>0.74457436818167411</v>
      </c>
      <c r="K354" s="789">
        <v>71456.656388600968</v>
      </c>
      <c r="L354" s="777" t="s">
        <v>119</v>
      </c>
      <c r="M354" s="815">
        <v>0.76494312863953429</v>
      </c>
      <c r="N354" s="789">
        <v>72648.288123034377</v>
      </c>
      <c r="O354" s="777" t="s">
        <v>119</v>
      </c>
      <c r="P354" s="815">
        <v>0.59191252789550475</v>
      </c>
      <c r="Q354" s="789">
        <v>76677.836253481451</v>
      </c>
      <c r="R354" s="777" t="s">
        <v>119</v>
      </c>
      <c r="S354" s="815">
        <v>0.65053185483030151</v>
      </c>
      <c r="T354" s="789">
        <v>85311.723879727986</v>
      </c>
      <c r="U354" s="777" t="s">
        <v>119</v>
      </c>
      <c r="V354" s="815">
        <v>0.60789179776063007</v>
      </c>
      <c r="W354" s="789">
        <v>71908.653872196752</v>
      </c>
      <c r="X354" s="777" t="s">
        <v>119</v>
      </c>
      <c r="Y354" s="815">
        <v>0.62347329030703824</v>
      </c>
      <c r="Z354" s="789">
        <v>71680.331872316689</v>
      </c>
      <c r="AA354" s="777" t="s">
        <v>119</v>
      </c>
      <c r="AB354" s="815">
        <v>0.65915326561335719</v>
      </c>
      <c r="AC354" s="789">
        <v>82209.197058530786</v>
      </c>
      <c r="AD354" s="777" t="s">
        <v>119</v>
      </c>
      <c r="AE354" s="815">
        <v>0.6191933268351707</v>
      </c>
      <c r="AF354" s="789">
        <v>72827.760027825483</v>
      </c>
      <c r="AG354" s="777" t="s">
        <v>119</v>
      </c>
      <c r="AH354" s="815">
        <v>0.54525241632786681</v>
      </c>
      <c r="AI354" s="789">
        <v>85299.283152730364</v>
      </c>
      <c r="AJ354" s="777" t="s">
        <v>119</v>
      </c>
      <c r="AK354" s="815">
        <v>0.43702951111115207</v>
      </c>
      <c r="AL354" s="789">
        <v>79512.391105585062</v>
      </c>
      <c r="AM354" s="777" t="s">
        <v>119</v>
      </c>
      <c r="AN354" s="815">
        <v>0.64719105408618327</v>
      </c>
      <c r="AO354" s="789">
        <v>72355.656136174657</v>
      </c>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7"/>
        <v>Pièces</v>
      </c>
      <c r="B355" s="44"/>
      <c r="C355" s="747"/>
      <c r="D355" s="757"/>
      <c r="E355" s="758"/>
      <c r="F355" s="747"/>
      <c r="G355" s="757"/>
      <c r="H355" s="758"/>
      <c r="I355" s="747"/>
      <c r="J355" s="757"/>
      <c r="K355" s="758"/>
      <c r="L355" s="747"/>
      <c r="M355" s="757"/>
      <c r="N355" s="758"/>
      <c r="O355" s="747"/>
      <c r="P355" s="757"/>
      <c r="Q355" s="758"/>
      <c r="R355" s="747"/>
      <c r="S355" s="757"/>
      <c r="T355" s="758"/>
      <c r="U355" s="747"/>
      <c r="V355" s="757"/>
      <c r="W355" s="758"/>
      <c r="X355" s="747"/>
      <c r="Y355" s="757"/>
      <c r="Z355" s="758"/>
      <c r="AA355" s="747"/>
      <c r="AB355" s="757"/>
      <c r="AC355" s="758"/>
      <c r="AD355" s="747"/>
      <c r="AE355" s="757"/>
      <c r="AF355" s="758"/>
      <c r="AG355" s="747"/>
      <c r="AH355" s="757"/>
      <c r="AI355" s="758"/>
      <c r="AJ355" s="747"/>
      <c r="AK355" s="757"/>
      <c r="AL355" s="758"/>
      <c r="AM355" s="747"/>
      <c r="AN355" s="757"/>
      <c r="AO355" s="758"/>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c r="A356" s="39" t="str">
        <f t="shared" si="7"/>
        <v>PiècesPROFIT DÉPARTEMENTAL</v>
      </c>
      <c r="B356" s="57" t="s">
        <v>151</v>
      </c>
      <c r="C356" s="816"/>
      <c r="D356" s="817"/>
      <c r="E356" s="798">
        <v>558654.20431064197</v>
      </c>
      <c r="F356" s="816"/>
      <c r="G356" s="817"/>
      <c r="H356" s="798">
        <v>23140.444413138801</v>
      </c>
      <c r="I356" s="816"/>
      <c r="J356" s="817"/>
      <c r="K356" s="798">
        <v>24513.147894489448</v>
      </c>
      <c r="L356" s="816"/>
      <c r="M356" s="817"/>
      <c r="N356" s="798">
        <v>22323.854776321707</v>
      </c>
      <c r="O356" s="816"/>
      <c r="P356" s="817"/>
      <c r="Q356" s="798">
        <v>52864.676600745603</v>
      </c>
      <c r="R356" s="816"/>
      <c r="S356" s="817"/>
      <c r="T356" s="798">
        <v>45829.777103313812</v>
      </c>
      <c r="U356" s="816"/>
      <c r="V356" s="817"/>
      <c r="W356" s="798">
        <v>46383.210135667803</v>
      </c>
      <c r="X356" s="816"/>
      <c r="Y356" s="817"/>
      <c r="Z356" s="798">
        <v>43289.038887763018</v>
      </c>
      <c r="AA356" s="816"/>
      <c r="AB356" s="817"/>
      <c r="AC356" s="798">
        <v>42510.198789464062</v>
      </c>
      <c r="AD356" s="816"/>
      <c r="AE356" s="817"/>
      <c r="AF356" s="798">
        <v>44789.399058923256</v>
      </c>
      <c r="AG356" s="816"/>
      <c r="AH356" s="817"/>
      <c r="AI356" s="798">
        <v>71140.707938366206</v>
      </c>
      <c r="AJ356" s="816"/>
      <c r="AK356" s="817"/>
      <c r="AL356" s="798">
        <v>102425.87412374461</v>
      </c>
      <c r="AM356" s="816"/>
      <c r="AN356" s="817"/>
      <c r="AO356" s="798">
        <v>39443.874588703708</v>
      </c>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810"/>
      <c r="D357" s="810"/>
      <c r="E357" s="867"/>
      <c r="F357" s="810"/>
      <c r="G357" s="810"/>
      <c r="H357" s="867"/>
      <c r="I357" s="810"/>
      <c r="J357" s="810"/>
      <c r="K357" s="867"/>
      <c r="L357" s="810"/>
      <c r="M357" s="810"/>
      <c r="N357" s="867"/>
      <c r="O357" s="810"/>
      <c r="P357" s="810"/>
      <c r="Q357" s="867"/>
      <c r="R357" s="810"/>
      <c r="S357" s="810"/>
      <c r="T357" s="867"/>
      <c r="U357" s="810"/>
      <c r="V357" s="810"/>
      <c r="W357" s="867"/>
      <c r="X357" s="810"/>
      <c r="Y357" s="810"/>
      <c r="Z357" s="867"/>
      <c r="AA357" s="810"/>
      <c r="AB357" s="810"/>
      <c r="AC357" s="867"/>
      <c r="AD357" s="810"/>
      <c r="AE357" s="810"/>
      <c r="AF357" s="867"/>
      <c r="AG357" s="810"/>
      <c r="AH357" s="810"/>
      <c r="AI357" s="867"/>
      <c r="AJ357" s="810"/>
      <c r="AK357" s="810"/>
      <c r="AL357" s="867"/>
      <c r="AM357" s="810"/>
      <c r="AN357" s="810"/>
      <c r="AO357" s="867"/>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51"/>
      <c r="C358" s="810"/>
      <c r="D358" s="810"/>
      <c r="E358" s="867"/>
      <c r="F358" s="810"/>
      <c r="G358" s="810"/>
      <c r="H358" s="867"/>
      <c r="I358" s="810"/>
      <c r="J358" s="810"/>
      <c r="K358" s="867"/>
      <c r="L358" s="810"/>
      <c r="M358" s="810"/>
      <c r="N358" s="867"/>
      <c r="O358" s="810"/>
      <c r="P358" s="810"/>
      <c r="Q358" s="867"/>
      <c r="R358" s="810"/>
      <c r="S358" s="810"/>
      <c r="T358" s="867"/>
      <c r="U358" s="810"/>
      <c r="V358" s="810"/>
      <c r="W358" s="867"/>
      <c r="X358" s="810"/>
      <c r="Y358" s="810"/>
      <c r="Z358" s="867"/>
      <c r="AA358" s="810"/>
      <c r="AB358" s="810"/>
      <c r="AC358" s="867"/>
      <c r="AD358" s="810"/>
      <c r="AE358" s="810"/>
      <c r="AF358" s="867"/>
      <c r="AG358" s="810"/>
      <c r="AH358" s="810"/>
      <c r="AI358" s="867"/>
      <c r="AJ358" s="810"/>
      <c r="AK358" s="810"/>
      <c r="AL358" s="867"/>
      <c r="AM358" s="810"/>
      <c r="AN358" s="810"/>
      <c r="AO358" s="867"/>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1" t="s">
        <v>3935</v>
      </c>
      <c r="C359" s="802" t="s">
        <v>196</v>
      </c>
      <c r="D359" s="802"/>
      <c r="E359" s="802"/>
      <c r="F359" s="802"/>
      <c r="G359" s="802"/>
      <c r="H359" s="802"/>
      <c r="I359" s="802"/>
      <c r="J359" s="802"/>
      <c r="K359" s="802"/>
      <c r="L359" s="802"/>
      <c r="M359" s="802"/>
      <c r="N359" s="802"/>
      <c r="O359" s="802"/>
      <c r="P359" s="802"/>
      <c r="Q359" s="802"/>
      <c r="R359" s="802"/>
      <c r="S359" s="802"/>
      <c r="T359" s="802"/>
      <c r="U359" s="802"/>
      <c r="V359" s="802"/>
      <c r="W359" s="802"/>
      <c r="X359" s="802"/>
      <c r="Y359" s="802"/>
      <c r="Z359" s="802"/>
      <c r="AA359" s="802"/>
      <c r="AB359" s="802"/>
      <c r="AC359" s="802"/>
      <c r="AD359" s="802"/>
      <c r="AE359" s="802"/>
      <c r="AF359" s="802"/>
      <c r="AG359" s="802"/>
      <c r="AH359" s="802"/>
      <c r="AI359" s="802"/>
      <c r="AJ359" s="802"/>
      <c r="AK359" s="802"/>
      <c r="AL359" s="802"/>
      <c r="AM359" s="802"/>
      <c r="AN359" s="802"/>
      <c r="AO359" s="802"/>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c r="A360" s="39"/>
      <c r="B360" s="62"/>
      <c r="C360" s="801"/>
      <c r="D360" s="801"/>
      <c r="E360" s="801"/>
      <c r="F360" s="801"/>
      <c r="G360" s="801"/>
      <c r="H360" s="801"/>
      <c r="I360" s="801"/>
      <c r="J360" s="801"/>
      <c r="K360" s="801"/>
      <c r="L360" s="801"/>
      <c r="M360" s="801"/>
      <c r="N360" s="801"/>
      <c r="O360" s="801"/>
      <c r="P360" s="801"/>
      <c r="Q360" s="801"/>
      <c r="R360" s="801"/>
      <c r="S360" s="801"/>
      <c r="T360" s="801"/>
      <c r="U360" s="801"/>
      <c r="V360" s="801"/>
      <c r="W360" s="801"/>
      <c r="X360" s="801"/>
      <c r="Y360" s="801"/>
      <c r="Z360" s="801"/>
      <c r="AA360" s="801"/>
      <c r="AB360" s="801"/>
      <c r="AC360" s="801"/>
      <c r="AD360" s="801"/>
      <c r="AE360" s="801"/>
      <c r="AF360" s="801"/>
      <c r="AG360" s="801"/>
      <c r="AH360" s="801"/>
      <c r="AI360" s="801"/>
      <c r="AJ360" s="801"/>
      <c r="AK360" s="801"/>
      <c r="AL360" s="801"/>
      <c r="AM360" s="801"/>
      <c r="AN360" s="801"/>
      <c r="AO360" s="801"/>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c r="A361" s="39"/>
      <c r="B361" s="40" t="s">
        <v>3</v>
      </c>
      <c r="C361" s="969">
        <v>2025</v>
      </c>
      <c r="D361" s="970"/>
      <c r="E361" s="971"/>
      <c r="F361" s="729" t="s">
        <v>8</v>
      </c>
      <c r="G361" s="730"/>
      <c r="H361" s="731"/>
      <c r="I361" s="729" t="s">
        <v>10</v>
      </c>
      <c r="J361" s="730"/>
      <c r="K361" s="731"/>
      <c r="L361" s="729" t="s">
        <v>11</v>
      </c>
      <c r="M361" s="730"/>
      <c r="N361" s="731"/>
      <c r="O361" s="729" t="s">
        <v>12</v>
      </c>
      <c r="P361" s="730"/>
      <c r="Q361" s="731"/>
      <c r="R361" s="729" t="s">
        <v>13</v>
      </c>
      <c r="S361" s="730"/>
      <c r="T361" s="731"/>
      <c r="U361" s="729" t="s">
        <v>14</v>
      </c>
      <c r="V361" s="730"/>
      <c r="W361" s="731"/>
      <c r="X361" s="729" t="s">
        <v>16</v>
      </c>
      <c r="Y361" s="730"/>
      <c r="Z361" s="731"/>
      <c r="AA361" s="729" t="s">
        <v>18</v>
      </c>
      <c r="AB361" s="730"/>
      <c r="AC361" s="731"/>
      <c r="AD361" s="729" t="s">
        <v>20</v>
      </c>
      <c r="AE361" s="730"/>
      <c r="AF361" s="731"/>
      <c r="AG361" s="729" t="s">
        <v>22</v>
      </c>
      <c r="AH361" s="730"/>
      <c r="AI361" s="731"/>
      <c r="AJ361" s="729" t="s">
        <v>23</v>
      </c>
      <c r="AK361" s="730"/>
      <c r="AL361" s="731"/>
      <c r="AM361" s="729" t="s">
        <v>6</v>
      </c>
      <c r="AN361" s="730"/>
      <c r="AO361" s="731"/>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c r="A362" s="39"/>
      <c r="B362" s="44"/>
      <c r="C362" s="803" t="s">
        <v>163</v>
      </c>
      <c r="D362" s="768" t="s">
        <v>181</v>
      </c>
      <c r="E362" s="804" t="s">
        <v>95</v>
      </c>
      <c r="F362" s="803" t="s">
        <v>163</v>
      </c>
      <c r="G362" s="768" t="s">
        <v>181</v>
      </c>
      <c r="H362" s="804" t="s">
        <v>95</v>
      </c>
      <c r="I362" s="803" t="s">
        <v>163</v>
      </c>
      <c r="J362" s="768" t="s">
        <v>181</v>
      </c>
      <c r="K362" s="804" t="s">
        <v>95</v>
      </c>
      <c r="L362" s="803" t="s">
        <v>163</v>
      </c>
      <c r="M362" s="768" t="s">
        <v>181</v>
      </c>
      <c r="N362" s="804" t="s">
        <v>95</v>
      </c>
      <c r="O362" s="803" t="s">
        <v>163</v>
      </c>
      <c r="P362" s="768" t="s">
        <v>181</v>
      </c>
      <c r="Q362" s="804" t="s">
        <v>95</v>
      </c>
      <c r="R362" s="803" t="s">
        <v>163</v>
      </c>
      <c r="S362" s="768" t="s">
        <v>181</v>
      </c>
      <c r="T362" s="804" t="s">
        <v>95</v>
      </c>
      <c r="U362" s="803" t="s">
        <v>163</v>
      </c>
      <c r="V362" s="768" t="s">
        <v>181</v>
      </c>
      <c r="W362" s="804" t="s">
        <v>95</v>
      </c>
      <c r="X362" s="803" t="s">
        <v>163</v>
      </c>
      <c r="Y362" s="768" t="s">
        <v>181</v>
      </c>
      <c r="Z362" s="804" t="s">
        <v>95</v>
      </c>
      <c r="AA362" s="803" t="s">
        <v>163</v>
      </c>
      <c r="AB362" s="768" t="s">
        <v>181</v>
      </c>
      <c r="AC362" s="804" t="s">
        <v>95</v>
      </c>
      <c r="AD362" s="803" t="s">
        <v>163</v>
      </c>
      <c r="AE362" s="768" t="s">
        <v>181</v>
      </c>
      <c r="AF362" s="804" t="s">
        <v>95</v>
      </c>
      <c r="AG362" s="803" t="s">
        <v>163</v>
      </c>
      <c r="AH362" s="768" t="s">
        <v>181</v>
      </c>
      <c r="AI362" s="804" t="s">
        <v>95</v>
      </c>
      <c r="AJ362" s="803" t="s">
        <v>163</v>
      </c>
      <c r="AK362" s="768" t="s">
        <v>181</v>
      </c>
      <c r="AL362" s="804" t="s">
        <v>95</v>
      </c>
      <c r="AM362" s="803" t="s">
        <v>163</v>
      </c>
      <c r="AN362" s="768" t="s">
        <v>181</v>
      </c>
      <c r="AO362" s="804" t="s">
        <v>95</v>
      </c>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c r="A363" s="39" t="str">
        <f t="shared" ref="A363:A402" si="8">+$C$359&amp;B363</f>
        <v>BoutiqueBoutique</v>
      </c>
      <c r="B363" s="49" t="s">
        <v>196</v>
      </c>
      <c r="C363" s="759">
        <v>0</v>
      </c>
      <c r="D363" s="861">
        <v>0</v>
      </c>
      <c r="E363" s="761">
        <v>0</v>
      </c>
      <c r="F363" s="759">
        <v>0</v>
      </c>
      <c r="G363" s="861">
        <v>0</v>
      </c>
      <c r="H363" s="761">
        <v>0</v>
      </c>
      <c r="I363" s="759">
        <v>0</v>
      </c>
      <c r="J363" s="861">
        <v>0</v>
      </c>
      <c r="K363" s="761">
        <v>0</v>
      </c>
      <c r="L363" s="759">
        <v>0</v>
      </c>
      <c r="M363" s="861">
        <v>0</v>
      </c>
      <c r="N363" s="761">
        <v>0</v>
      </c>
      <c r="O363" s="759">
        <v>0</v>
      </c>
      <c r="P363" s="861">
        <v>0</v>
      </c>
      <c r="Q363" s="761">
        <v>0</v>
      </c>
      <c r="R363" s="759">
        <v>0</v>
      </c>
      <c r="S363" s="861">
        <v>0</v>
      </c>
      <c r="T363" s="761">
        <v>0</v>
      </c>
      <c r="U363" s="759">
        <v>0</v>
      </c>
      <c r="V363" s="861">
        <v>0</v>
      </c>
      <c r="W363" s="761">
        <v>0</v>
      </c>
      <c r="X363" s="759">
        <v>0</v>
      </c>
      <c r="Y363" s="861">
        <v>0</v>
      </c>
      <c r="Z363" s="761">
        <v>0</v>
      </c>
      <c r="AA363" s="759">
        <v>0</v>
      </c>
      <c r="AB363" s="861">
        <v>0</v>
      </c>
      <c r="AC363" s="761">
        <v>0</v>
      </c>
      <c r="AD363" s="759">
        <v>0</v>
      </c>
      <c r="AE363" s="861">
        <v>0</v>
      </c>
      <c r="AF363" s="761">
        <v>0</v>
      </c>
      <c r="AG363" s="759">
        <v>0</v>
      </c>
      <c r="AH363" s="861">
        <v>0</v>
      </c>
      <c r="AI363" s="761">
        <v>0</v>
      </c>
      <c r="AJ363" s="759">
        <v>0</v>
      </c>
      <c r="AK363" s="861">
        <v>0</v>
      </c>
      <c r="AL363" s="761">
        <v>0</v>
      </c>
      <c r="AM363" s="759">
        <v>0</v>
      </c>
      <c r="AN363" s="861">
        <v>0</v>
      </c>
      <c r="AO363" s="761">
        <v>0</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c r="A364" s="39" t="str">
        <f t="shared" si="8"/>
        <v>Boutique</v>
      </c>
      <c r="B364" s="65"/>
      <c r="C364" s="862"/>
      <c r="D364" s="863"/>
      <c r="E364" s="864"/>
      <c r="F364" s="862"/>
      <c r="G364" s="863"/>
      <c r="H364" s="864"/>
      <c r="I364" s="862"/>
      <c r="J364" s="863"/>
      <c r="K364" s="864"/>
      <c r="L364" s="862"/>
      <c r="M364" s="863"/>
      <c r="N364" s="864"/>
      <c r="O364" s="862"/>
      <c r="P364" s="863"/>
      <c r="Q364" s="864"/>
      <c r="R364" s="862"/>
      <c r="S364" s="863"/>
      <c r="T364" s="864"/>
      <c r="U364" s="862"/>
      <c r="V364" s="863"/>
      <c r="W364" s="864"/>
      <c r="X364" s="862"/>
      <c r="Y364" s="863"/>
      <c r="Z364" s="864"/>
      <c r="AA364" s="862"/>
      <c r="AB364" s="863"/>
      <c r="AC364" s="864"/>
      <c r="AD364" s="862"/>
      <c r="AE364" s="863"/>
      <c r="AF364" s="864"/>
      <c r="AG364" s="862"/>
      <c r="AH364" s="863"/>
      <c r="AI364" s="864"/>
      <c r="AJ364" s="862"/>
      <c r="AK364" s="863"/>
      <c r="AL364" s="864"/>
      <c r="AM364" s="862"/>
      <c r="AN364" s="863"/>
      <c r="AO364" s="864"/>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c r="A365" s="39" t="str">
        <f t="shared" si="8"/>
        <v>BoutiqueTotal Dépt. Boutique</v>
      </c>
      <c r="B365" s="47" t="s">
        <v>197</v>
      </c>
      <c r="C365" s="865">
        <v>0</v>
      </c>
      <c r="D365" s="866">
        <v>0</v>
      </c>
      <c r="E365" s="795">
        <v>0</v>
      </c>
      <c r="F365" s="865">
        <v>0</v>
      </c>
      <c r="G365" s="866">
        <v>0</v>
      </c>
      <c r="H365" s="795">
        <v>0</v>
      </c>
      <c r="I365" s="865">
        <v>0</v>
      </c>
      <c r="J365" s="866">
        <v>0</v>
      </c>
      <c r="K365" s="795">
        <v>0</v>
      </c>
      <c r="L365" s="865">
        <v>0</v>
      </c>
      <c r="M365" s="866">
        <v>0</v>
      </c>
      <c r="N365" s="795">
        <v>0</v>
      </c>
      <c r="O365" s="865">
        <v>0</v>
      </c>
      <c r="P365" s="866">
        <v>0</v>
      </c>
      <c r="Q365" s="795">
        <v>0</v>
      </c>
      <c r="R365" s="865">
        <v>0</v>
      </c>
      <c r="S365" s="866">
        <v>0</v>
      </c>
      <c r="T365" s="795">
        <v>0</v>
      </c>
      <c r="U365" s="865">
        <v>0</v>
      </c>
      <c r="V365" s="866">
        <v>0</v>
      </c>
      <c r="W365" s="795">
        <v>0</v>
      </c>
      <c r="X365" s="865">
        <v>0</v>
      </c>
      <c r="Y365" s="866">
        <v>0</v>
      </c>
      <c r="Z365" s="795">
        <v>0</v>
      </c>
      <c r="AA365" s="865">
        <v>0</v>
      </c>
      <c r="AB365" s="866">
        <v>0</v>
      </c>
      <c r="AC365" s="795">
        <v>0</v>
      </c>
      <c r="AD365" s="865">
        <v>0</v>
      </c>
      <c r="AE365" s="866">
        <v>0</v>
      </c>
      <c r="AF365" s="795">
        <v>0</v>
      </c>
      <c r="AG365" s="865">
        <v>0</v>
      </c>
      <c r="AH365" s="866">
        <v>0</v>
      </c>
      <c r="AI365" s="795">
        <v>0</v>
      </c>
      <c r="AJ365" s="865">
        <v>0</v>
      </c>
      <c r="AK365" s="866">
        <v>0</v>
      </c>
      <c r="AL365" s="795">
        <v>0</v>
      </c>
      <c r="AM365" s="865">
        <v>0</v>
      </c>
      <c r="AN365" s="866">
        <v>0</v>
      </c>
      <c r="AO365" s="795">
        <v>0</v>
      </c>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8"/>
        <v>Boutique</v>
      </c>
      <c r="B366" s="52"/>
      <c r="C366" s="747"/>
      <c r="D366" s="757"/>
      <c r="E366" s="748"/>
      <c r="F366" s="747"/>
      <c r="G366" s="757"/>
      <c r="H366" s="748"/>
      <c r="I366" s="747"/>
      <c r="J366" s="757"/>
      <c r="K366" s="748"/>
      <c r="L366" s="747"/>
      <c r="M366" s="757"/>
      <c r="N366" s="748"/>
      <c r="O366" s="747"/>
      <c r="P366" s="757"/>
      <c r="Q366" s="748"/>
      <c r="R366" s="747"/>
      <c r="S366" s="757"/>
      <c r="T366" s="748"/>
      <c r="U366" s="747"/>
      <c r="V366" s="757"/>
      <c r="W366" s="748"/>
      <c r="X366" s="747"/>
      <c r="Y366" s="757"/>
      <c r="Z366" s="748"/>
      <c r="AA366" s="747"/>
      <c r="AB366" s="757"/>
      <c r="AC366" s="748"/>
      <c r="AD366" s="747"/>
      <c r="AE366" s="757"/>
      <c r="AF366" s="748"/>
      <c r="AG366" s="747"/>
      <c r="AH366" s="757"/>
      <c r="AI366" s="748"/>
      <c r="AJ366" s="747"/>
      <c r="AK366" s="757"/>
      <c r="AL366" s="748"/>
      <c r="AM366" s="747"/>
      <c r="AN366" s="757"/>
      <c r="AO366" s="748"/>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8"/>
        <v>BoutiqueDEPENSES</v>
      </c>
      <c r="B367" s="52" t="s">
        <v>110</v>
      </c>
      <c r="C367" s="747"/>
      <c r="D367" s="757"/>
      <c r="E367" s="748"/>
      <c r="F367" s="747"/>
      <c r="G367" s="757"/>
      <c r="H367" s="748"/>
      <c r="I367" s="747"/>
      <c r="J367" s="757"/>
      <c r="K367" s="748"/>
      <c r="L367" s="747"/>
      <c r="M367" s="757"/>
      <c r="N367" s="748"/>
      <c r="O367" s="747"/>
      <c r="P367" s="757"/>
      <c r="Q367" s="748"/>
      <c r="R367" s="747"/>
      <c r="S367" s="757"/>
      <c r="T367" s="748"/>
      <c r="U367" s="747"/>
      <c r="V367" s="757"/>
      <c r="W367" s="748"/>
      <c r="X367" s="747"/>
      <c r="Y367" s="757"/>
      <c r="Z367" s="748"/>
      <c r="AA367" s="747"/>
      <c r="AB367" s="757"/>
      <c r="AC367" s="748"/>
      <c r="AD367" s="747"/>
      <c r="AE367" s="757"/>
      <c r="AF367" s="748"/>
      <c r="AG367" s="747"/>
      <c r="AH367" s="757"/>
      <c r="AI367" s="748"/>
      <c r="AJ367" s="747"/>
      <c r="AK367" s="757"/>
      <c r="AL367" s="748"/>
      <c r="AM367" s="747"/>
      <c r="AN367" s="757"/>
      <c r="AO367" s="748"/>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8"/>
        <v>BoutiqueSalaires cadres</v>
      </c>
      <c r="B368" s="54" t="s">
        <v>120</v>
      </c>
      <c r="C368" s="747"/>
      <c r="D368" s="757"/>
      <c r="E368" s="758">
        <v>0</v>
      </c>
      <c r="F368" s="747"/>
      <c r="G368" s="757"/>
      <c r="H368" s="771">
        <v>0</v>
      </c>
      <c r="I368" s="747"/>
      <c r="J368" s="757"/>
      <c r="K368" s="771">
        <v>0</v>
      </c>
      <c r="L368" s="747"/>
      <c r="M368" s="757"/>
      <c r="N368" s="771">
        <v>0</v>
      </c>
      <c r="O368" s="747"/>
      <c r="P368" s="757"/>
      <c r="Q368" s="771">
        <v>0</v>
      </c>
      <c r="R368" s="747"/>
      <c r="S368" s="757"/>
      <c r="T368" s="771">
        <v>0</v>
      </c>
      <c r="U368" s="747"/>
      <c r="V368" s="757"/>
      <c r="W368" s="771">
        <v>0</v>
      </c>
      <c r="X368" s="747"/>
      <c r="Y368" s="757"/>
      <c r="Z368" s="771">
        <v>0</v>
      </c>
      <c r="AA368" s="747"/>
      <c r="AB368" s="757"/>
      <c r="AC368" s="771">
        <v>0</v>
      </c>
      <c r="AD368" s="747"/>
      <c r="AE368" s="757"/>
      <c r="AF368" s="771">
        <v>0</v>
      </c>
      <c r="AG368" s="747"/>
      <c r="AH368" s="757"/>
      <c r="AI368" s="771">
        <v>0</v>
      </c>
      <c r="AJ368" s="747"/>
      <c r="AK368" s="757"/>
      <c r="AL368" s="771">
        <v>0</v>
      </c>
      <c r="AM368" s="747"/>
      <c r="AN368" s="757"/>
      <c r="AO368" s="771">
        <v>0</v>
      </c>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8"/>
        <v>BoutiqueSalaires commis</v>
      </c>
      <c r="B369" s="55" t="s">
        <v>121</v>
      </c>
      <c r="C369" s="747"/>
      <c r="D369" s="757"/>
      <c r="E369" s="758">
        <v>0</v>
      </c>
      <c r="F369" s="747"/>
      <c r="G369" s="757"/>
      <c r="H369" s="771">
        <v>0</v>
      </c>
      <c r="I369" s="747"/>
      <c r="J369" s="757"/>
      <c r="K369" s="771">
        <v>0</v>
      </c>
      <c r="L369" s="747"/>
      <c r="M369" s="757"/>
      <c r="N369" s="771">
        <v>0</v>
      </c>
      <c r="O369" s="747"/>
      <c r="P369" s="757"/>
      <c r="Q369" s="771">
        <v>0</v>
      </c>
      <c r="R369" s="747"/>
      <c r="S369" s="757"/>
      <c r="T369" s="771">
        <v>0</v>
      </c>
      <c r="U369" s="747"/>
      <c r="V369" s="757"/>
      <c r="W369" s="771">
        <v>0</v>
      </c>
      <c r="X369" s="747"/>
      <c r="Y369" s="757"/>
      <c r="Z369" s="771">
        <v>0</v>
      </c>
      <c r="AA369" s="747"/>
      <c r="AB369" s="757"/>
      <c r="AC369" s="771">
        <v>0</v>
      </c>
      <c r="AD369" s="747"/>
      <c r="AE369" s="757"/>
      <c r="AF369" s="771">
        <v>0</v>
      </c>
      <c r="AG369" s="747"/>
      <c r="AH369" s="757"/>
      <c r="AI369" s="771">
        <v>0</v>
      </c>
      <c r="AJ369" s="747"/>
      <c r="AK369" s="757"/>
      <c r="AL369" s="771">
        <v>0</v>
      </c>
      <c r="AM369" s="747"/>
      <c r="AN369" s="757"/>
      <c r="AO369" s="771">
        <v>0</v>
      </c>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8"/>
        <v>BoutiqueSalaires autres</v>
      </c>
      <c r="B370" s="54" t="s">
        <v>122</v>
      </c>
      <c r="C370" s="780"/>
      <c r="D370" s="781"/>
      <c r="E370" s="782">
        <v>0</v>
      </c>
      <c r="F370" s="780"/>
      <c r="G370" s="781"/>
      <c r="H370" s="783">
        <v>0</v>
      </c>
      <c r="I370" s="780"/>
      <c r="J370" s="781"/>
      <c r="K370" s="783">
        <v>0</v>
      </c>
      <c r="L370" s="780"/>
      <c r="M370" s="781"/>
      <c r="N370" s="783">
        <v>0</v>
      </c>
      <c r="O370" s="780"/>
      <c r="P370" s="781"/>
      <c r="Q370" s="783">
        <v>0</v>
      </c>
      <c r="R370" s="780"/>
      <c r="S370" s="781"/>
      <c r="T370" s="783">
        <v>0</v>
      </c>
      <c r="U370" s="780"/>
      <c r="V370" s="781"/>
      <c r="W370" s="783">
        <v>0</v>
      </c>
      <c r="X370" s="780"/>
      <c r="Y370" s="781"/>
      <c r="Z370" s="783">
        <v>0</v>
      </c>
      <c r="AA370" s="780"/>
      <c r="AB370" s="781"/>
      <c r="AC370" s="783">
        <v>0</v>
      </c>
      <c r="AD370" s="780"/>
      <c r="AE370" s="781"/>
      <c r="AF370" s="783">
        <v>0</v>
      </c>
      <c r="AG370" s="780"/>
      <c r="AH370" s="781"/>
      <c r="AI370" s="783">
        <v>0</v>
      </c>
      <c r="AJ370" s="780"/>
      <c r="AK370" s="781"/>
      <c r="AL370" s="783">
        <v>0</v>
      </c>
      <c r="AM370" s="780"/>
      <c r="AN370" s="781"/>
      <c r="AO370" s="783">
        <v>0</v>
      </c>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8"/>
        <v>BoutiqueSalaires spécialistes</v>
      </c>
      <c r="B371" s="54" t="s">
        <v>123</v>
      </c>
      <c r="C371" s="747"/>
      <c r="D371" s="757"/>
      <c r="E371" s="758">
        <v>0</v>
      </c>
      <c r="F371" s="747"/>
      <c r="G371" s="757"/>
      <c r="H371" s="771">
        <v>0</v>
      </c>
      <c r="I371" s="747"/>
      <c r="J371" s="757"/>
      <c r="K371" s="771">
        <v>0</v>
      </c>
      <c r="L371" s="747"/>
      <c r="M371" s="757"/>
      <c r="N371" s="771">
        <v>0</v>
      </c>
      <c r="O371" s="747"/>
      <c r="P371" s="757"/>
      <c r="Q371" s="771">
        <v>0</v>
      </c>
      <c r="R371" s="747"/>
      <c r="S371" s="757"/>
      <c r="T371" s="771">
        <v>0</v>
      </c>
      <c r="U371" s="747"/>
      <c r="V371" s="757"/>
      <c r="W371" s="771">
        <v>0</v>
      </c>
      <c r="X371" s="747"/>
      <c r="Y371" s="757"/>
      <c r="Z371" s="771">
        <v>0</v>
      </c>
      <c r="AA371" s="747"/>
      <c r="AB371" s="757"/>
      <c r="AC371" s="771">
        <v>0</v>
      </c>
      <c r="AD371" s="747"/>
      <c r="AE371" s="757"/>
      <c r="AF371" s="771">
        <v>0</v>
      </c>
      <c r="AG371" s="747"/>
      <c r="AH371" s="757"/>
      <c r="AI371" s="771">
        <v>0</v>
      </c>
      <c r="AJ371" s="747"/>
      <c r="AK371" s="757"/>
      <c r="AL371" s="771">
        <v>0</v>
      </c>
      <c r="AM371" s="747"/>
      <c r="AN371" s="757"/>
      <c r="AO371" s="771">
        <v>0</v>
      </c>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8"/>
        <v>Boutique[...]</v>
      </c>
      <c r="B372" s="44" t="s">
        <v>59</v>
      </c>
      <c r="C372" s="747"/>
      <c r="D372" s="757"/>
      <c r="E372" s="758">
        <v>0</v>
      </c>
      <c r="F372" s="747"/>
      <c r="G372" s="757"/>
      <c r="H372" s="771">
        <v>0</v>
      </c>
      <c r="I372" s="747"/>
      <c r="J372" s="757"/>
      <c r="K372" s="771">
        <v>0</v>
      </c>
      <c r="L372" s="747"/>
      <c r="M372" s="757"/>
      <c r="N372" s="771">
        <v>0</v>
      </c>
      <c r="O372" s="747"/>
      <c r="P372" s="757"/>
      <c r="Q372" s="771">
        <v>0</v>
      </c>
      <c r="R372" s="747"/>
      <c r="S372" s="757"/>
      <c r="T372" s="771">
        <v>0</v>
      </c>
      <c r="U372" s="747"/>
      <c r="V372" s="757"/>
      <c r="W372" s="771">
        <v>0</v>
      </c>
      <c r="X372" s="747"/>
      <c r="Y372" s="757"/>
      <c r="Z372" s="771">
        <v>0</v>
      </c>
      <c r="AA372" s="747"/>
      <c r="AB372" s="757"/>
      <c r="AC372" s="771">
        <v>0</v>
      </c>
      <c r="AD372" s="747"/>
      <c r="AE372" s="757"/>
      <c r="AF372" s="771">
        <v>0</v>
      </c>
      <c r="AG372" s="747"/>
      <c r="AH372" s="757"/>
      <c r="AI372" s="771">
        <v>0</v>
      </c>
      <c r="AJ372" s="747"/>
      <c r="AK372" s="757"/>
      <c r="AL372" s="771">
        <v>0</v>
      </c>
      <c r="AM372" s="747"/>
      <c r="AN372" s="757"/>
      <c r="AO372" s="771">
        <v>0</v>
      </c>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8"/>
        <v>Boutique[...]</v>
      </c>
      <c r="B373" s="44" t="s">
        <v>59</v>
      </c>
      <c r="C373" s="747"/>
      <c r="D373" s="757"/>
      <c r="E373" s="758">
        <v>0</v>
      </c>
      <c r="F373" s="747"/>
      <c r="G373" s="757"/>
      <c r="H373" s="771">
        <v>0</v>
      </c>
      <c r="I373" s="747"/>
      <c r="J373" s="757"/>
      <c r="K373" s="771">
        <v>0</v>
      </c>
      <c r="L373" s="747"/>
      <c r="M373" s="757"/>
      <c r="N373" s="771">
        <v>0</v>
      </c>
      <c r="O373" s="747"/>
      <c r="P373" s="757"/>
      <c r="Q373" s="771">
        <v>0</v>
      </c>
      <c r="R373" s="747"/>
      <c r="S373" s="757"/>
      <c r="T373" s="771">
        <v>0</v>
      </c>
      <c r="U373" s="747"/>
      <c r="V373" s="757"/>
      <c r="W373" s="771">
        <v>0</v>
      </c>
      <c r="X373" s="747"/>
      <c r="Y373" s="757"/>
      <c r="Z373" s="771">
        <v>0</v>
      </c>
      <c r="AA373" s="747"/>
      <c r="AB373" s="757"/>
      <c r="AC373" s="771">
        <v>0</v>
      </c>
      <c r="AD373" s="747"/>
      <c r="AE373" s="757"/>
      <c r="AF373" s="771">
        <v>0</v>
      </c>
      <c r="AG373" s="747"/>
      <c r="AH373" s="757"/>
      <c r="AI373" s="771">
        <v>0</v>
      </c>
      <c r="AJ373" s="747"/>
      <c r="AK373" s="757"/>
      <c r="AL373" s="771">
        <v>0</v>
      </c>
      <c r="AM373" s="747"/>
      <c r="AN373" s="757"/>
      <c r="AO373" s="771">
        <v>0</v>
      </c>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8"/>
        <v>Boutique[...]</v>
      </c>
      <c r="B374" s="44" t="s">
        <v>59</v>
      </c>
      <c r="C374" s="747"/>
      <c r="D374" s="757"/>
      <c r="E374" s="758">
        <v>0</v>
      </c>
      <c r="F374" s="747"/>
      <c r="G374" s="757"/>
      <c r="H374" s="771">
        <v>0</v>
      </c>
      <c r="I374" s="747"/>
      <c r="J374" s="757"/>
      <c r="K374" s="771">
        <v>0</v>
      </c>
      <c r="L374" s="747"/>
      <c r="M374" s="757"/>
      <c r="N374" s="771">
        <v>0</v>
      </c>
      <c r="O374" s="747"/>
      <c r="P374" s="757"/>
      <c r="Q374" s="771">
        <v>0</v>
      </c>
      <c r="R374" s="747"/>
      <c r="S374" s="757"/>
      <c r="T374" s="771">
        <v>0</v>
      </c>
      <c r="U374" s="747"/>
      <c r="V374" s="757"/>
      <c r="W374" s="771">
        <v>0</v>
      </c>
      <c r="X374" s="747"/>
      <c r="Y374" s="757"/>
      <c r="Z374" s="771">
        <v>0</v>
      </c>
      <c r="AA374" s="747"/>
      <c r="AB374" s="757"/>
      <c r="AC374" s="771">
        <v>0</v>
      </c>
      <c r="AD374" s="747"/>
      <c r="AE374" s="757"/>
      <c r="AF374" s="771">
        <v>0</v>
      </c>
      <c r="AG374" s="747"/>
      <c r="AH374" s="757"/>
      <c r="AI374" s="771">
        <v>0</v>
      </c>
      <c r="AJ374" s="747"/>
      <c r="AK374" s="757"/>
      <c r="AL374" s="771">
        <v>0</v>
      </c>
      <c r="AM374" s="747"/>
      <c r="AN374" s="757"/>
      <c r="AO374" s="771">
        <v>0</v>
      </c>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8"/>
        <v>BoutiqueSalaires en absences</v>
      </c>
      <c r="B375" s="55" t="s">
        <v>124</v>
      </c>
      <c r="C375" s="747"/>
      <c r="D375" s="757"/>
      <c r="E375" s="758">
        <v>0</v>
      </c>
      <c r="F375" s="747"/>
      <c r="G375" s="757"/>
      <c r="H375" s="771">
        <v>0</v>
      </c>
      <c r="I375" s="747"/>
      <c r="J375" s="757"/>
      <c r="K375" s="771">
        <v>0</v>
      </c>
      <c r="L375" s="747"/>
      <c r="M375" s="757"/>
      <c r="N375" s="771">
        <v>0</v>
      </c>
      <c r="O375" s="747"/>
      <c r="P375" s="757"/>
      <c r="Q375" s="771">
        <v>0</v>
      </c>
      <c r="R375" s="747"/>
      <c r="S375" s="757"/>
      <c r="T375" s="771">
        <v>0</v>
      </c>
      <c r="U375" s="747"/>
      <c r="V375" s="757"/>
      <c r="W375" s="771">
        <v>0</v>
      </c>
      <c r="X375" s="747"/>
      <c r="Y375" s="757"/>
      <c r="Z375" s="771">
        <v>0</v>
      </c>
      <c r="AA375" s="747"/>
      <c r="AB375" s="757"/>
      <c r="AC375" s="771">
        <v>0</v>
      </c>
      <c r="AD375" s="747"/>
      <c r="AE375" s="757"/>
      <c r="AF375" s="771">
        <v>0</v>
      </c>
      <c r="AG375" s="747"/>
      <c r="AH375" s="757"/>
      <c r="AI375" s="771">
        <v>0</v>
      </c>
      <c r="AJ375" s="747"/>
      <c r="AK375" s="757"/>
      <c r="AL375" s="771">
        <v>0</v>
      </c>
      <c r="AM375" s="747"/>
      <c r="AN375" s="757"/>
      <c r="AO375" s="771">
        <v>0</v>
      </c>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8"/>
        <v>BoutiqueDéduction à la source</v>
      </c>
      <c r="B376" s="54" t="s">
        <v>125</v>
      </c>
      <c r="C376" s="780"/>
      <c r="D376" s="781"/>
      <c r="E376" s="782">
        <v>0</v>
      </c>
      <c r="F376" s="780"/>
      <c r="G376" s="781"/>
      <c r="H376" s="783">
        <v>0</v>
      </c>
      <c r="I376" s="780"/>
      <c r="J376" s="781"/>
      <c r="K376" s="783">
        <v>0</v>
      </c>
      <c r="L376" s="780"/>
      <c r="M376" s="781"/>
      <c r="N376" s="783">
        <v>0</v>
      </c>
      <c r="O376" s="780"/>
      <c r="P376" s="781"/>
      <c r="Q376" s="783">
        <v>0</v>
      </c>
      <c r="R376" s="780"/>
      <c r="S376" s="781"/>
      <c r="T376" s="783">
        <v>0</v>
      </c>
      <c r="U376" s="780"/>
      <c r="V376" s="781"/>
      <c r="W376" s="783">
        <v>0</v>
      </c>
      <c r="X376" s="780"/>
      <c r="Y376" s="781"/>
      <c r="Z376" s="783">
        <v>0</v>
      </c>
      <c r="AA376" s="780"/>
      <c r="AB376" s="781"/>
      <c r="AC376" s="783">
        <v>0</v>
      </c>
      <c r="AD376" s="780"/>
      <c r="AE376" s="781"/>
      <c r="AF376" s="783">
        <v>0</v>
      </c>
      <c r="AG376" s="780"/>
      <c r="AH376" s="781"/>
      <c r="AI376" s="783">
        <v>0</v>
      </c>
      <c r="AJ376" s="780"/>
      <c r="AK376" s="781"/>
      <c r="AL376" s="783">
        <v>0</v>
      </c>
      <c r="AM376" s="780"/>
      <c r="AN376" s="781"/>
      <c r="AO376" s="783">
        <v>0</v>
      </c>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8"/>
        <v>BoutiqueBénéfices marginaux</v>
      </c>
      <c r="B377" s="54" t="s">
        <v>126</v>
      </c>
      <c r="C377" s="747"/>
      <c r="D377" s="757"/>
      <c r="E377" s="758">
        <v>0</v>
      </c>
      <c r="F377" s="747"/>
      <c r="G377" s="757"/>
      <c r="H377" s="771">
        <v>0</v>
      </c>
      <c r="I377" s="747"/>
      <c r="J377" s="757"/>
      <c r="K377" s="771">
        <v>0</v>
      </c>
      <c r="L377" s="747"/>
      <c r="M377" s="757"/>
      <c r="N377" s="771">
        <v>0</v>
      </c>
      <c r="O377" s="747"/>
      <c r="P377" s="757"/>
      <c r="Q377" s="771">
        <v>0</v>
      </c>
      <c r="R377" s="747"/>
      <c r="S377" s="757"/>
      <c r="T377" s="771">
        <v>0</v>
      </c>
      <c r="U377" s="747"/>
      <c r="V377" s="757"/>
      <c r="W377" s="771">
        <v>0</v>
      </c>
      <c r="X377" s="747"/>
      <c r="Y377" s="757"/>
      <c r="Z377" s="771">
        <v>0</v>
      </c>
      <c r="AA377" s="747"/>
      <c r="AB377" s="757"/>
      <c r="AC377" s="771">
        <v>0</v>
      </c>
      <c r="AD377" s="747"/>
      <c r="AE377" s="757"/>
      <c r="AF377" s="771">
        <v>0</v>
      </c>
      <c r="AG377" s="747"/>
      <c r="AH377" s="757"/>
      <c r="AI377" s="771">
        <v>0</v>
      </c>
      <c r="AJ377" s="747"/>
      <c r="AK377" s="757"/>
      <c r="AL377" s="771">
        <v>0</v>
      </c>
      <c r="AM377" s="747"/>
      <c r="AN377" s="757"/>
      <c r="AO377" s="771">
        <v>0</v>
      </c>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8"/>
        <v>BoutiqueCsst</v>
      </c>
      <c r="B378" s="54" t="s">
        <v>127</v>
      </c>
      <c r="C378" s="747"/>
      <c r="D378" s="757"/>
      <c r="E378" s="758">
        <v>0</v>
      </c>
      <c r="F378" s="747"/>
      <c r="G378" s="757"/>
      <c r="H378" s="771">
        <v>0</v>
      </c>
      <c r="I378" s="747"/>
      <c r="J378" s="757"/>
      <c r="K378" s="771">
        <v>0</v>
      </c>
      <c r="L378" s="747"/>
      <c r="M378" s="757"/>
      <c r="N378" s="771">
        <v>0</v>
      </c>
      <c r="O378" s="747"/>
      <c r="P378" s="757"/>
      <c r="Q378" s="771">
        <v>0</v>
      </c>
      <c r="R378" s="747"/>
      <c r="S378" s="757"/>
      <c r="T378" s="771">
        <v>0</v>
      </c>
      <c r="U378" s="747"/>
      <c r="V378" s="757"/>
      <c r="W378" s="771">
        <v>0</v>
      </c>
      <c r="X378" s="747"/>
      <c r="Y378" s="757"/>
      <c r="Z378" s="771">
        <v>0</v>
      </c>
      <c r="AA378" s="747"/>
      <c r="AB378" s="757"/>
      <c r="AC378" s="771">
        <v>0</v>
      </c>
      <c r="AD378" s="747"/>
      <c r="AE378" s="757"/>
      <c r="AF378" s="771">
        <v>0</v>
      </c>
      <c r="AG378" s="747"/>
      <c r="AH378" s="757"/>
      <c r="AI378" s="771">
        <v>0</v>
      </c>
      <c r="AJ378" s="747"/>
      <c r="AK378" s="757"/>
      <c r="AL378" s="771">
        <v>0</v>
      </c>
      <c r="AM378" s="747"/>
      <c r="AN378" s="757"/>
      <c r="AO378" s="771">
        <v>0</v>
      </c>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8"/>
        <v>Boutique[...]</v>
      </c>
      <c r="B379" s="44" t="s">
        <v>59</v>
      </c>
      <c r="C379" s="776"/>
      <c r="D379" s="784"/>
      <c r="E379" s="774">
        <v>0</v>
      </c>
      <c r="F379" s="776"/>
      <c r="G379" s="784"/>
      <c r="H379" s="774">
        <v>0</v>
      </c>
      <c r="I379" s="776"/>
      <c r="J379" s="784"/>
      <c r="K379" s="774">
        <v>0</v>
      </c>
      <c r="L379" s="776"/>
      <c r="M379" s="784"/>
      <c r="N379" s="774">
        <v>0</v>
      </c>
      <c r="O379" s="776"/>
      <c r="P379" s="784"/>
      <c r="Q379" s="774">
        <v>0</v>
      </c>
      <c r="R379" s="776"/>
      <c r="S379" s="784"/>
      <c r="T379" s="774">
        <v>0</v>
      </c>
      <c r="U379" s="776"/>
      <c r="V379" s="784"/>
      <c r="W379" s="774">
        <v>0</v>
      </c>
      <c r="X379" s="776"/>
      <c r="Y379" s="784"/>
      <c r="Z379" s="774">
        <v>0</v>
      </c>
      <c r="AA379" s="776"/>
      <c r="AB379" s="784"/>
      <c r="AC379" s="774">
        <v>0</v>
      </c>
      <c r="AD379" s="776"/>
      <c r="AE379" s="784"/>
      <c r="AF379" s="774">
        <v>0</v>
      </c>
      <c r="AG379" s="776"/>
      <c r="AH379" s="784"/>
      <c r="AI379" s="774">
        <v>0</v>
      </c>
      <c r="AJ379" s="776"/>
      <c r="AK379" s="784"/>
      <c r="AL379" s="774">
        <v>0</v>
      </c>
      <c r="AM379" s="776"/>
      <c r="AN379" s="784"/>
      <c r="AO379" s="774">
        <v>0</v>
      </c>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8"/>
        <v>BoutiqueTOTAL PERSONNEL</v>
      </c>
      <c r="B380" s="53" t="s">
        <v>128</v>
      </c>
      <c r="C380" s="777" t="s">
        <v>119</v>
      </c>
      <c r="D380" s="778">
        <v>0</v>
      </c>
      <c r="E380" s="779">
        <v>0</v>
      </c>
      <c r="F380" s="777" t="s">
        <v>119</v>
      </c>
      <c r="G380" s="778">
        <v>0</v>
      </c>
      <c r="H380" s="779">
        <v>0</v>
      </c>
      <c r="I380" s="777" t="s">
        <v>119</v>
      </c>
      <c r="J380" s="778">
        <v>0</v>
      </c>
      <c r="K380" s="779">
        <v>0</v>
      </c>
      <c r="L380" s="777" t="s">
        <v>119</v>
      </c>
      <c r="M380" s="778">
        <v>0</v>
      </c>
      <c r="N380" s="779">
        <v>0</v>
      </c>
      <c r="O380" s="777" t="s">
        <v>119</v>
      </c>
      <c r="P380" s="778">
        <v>0</v>
      </c>
      <c r="Q380" s="779">
        <v>0</v>
      </c>
      <c r="R380" s="777" t="s">
        <v>119</v>
      </c>
      <c r="S380" s="778">
        <v>0</v>
      </c>
      <c r="T380" s="779">
        <v>0</v>
      </c>
      <c r="U380" s="777" t="s">
        <v>119</v>
      </c>
      <c r="V380" s="778">
        <v>0</v>
      </c>
      <c r="W380" s="779">
        <v>0</v>
      </c>
      <c r="X380" s="777" t="s">
        <v>119</v>
      </c>
      <c r="Y380" s="778">
        <v>0</v>
      </c>
      <c r="Z380" s="779">
        <v>0</v>
      </c>
      <c r="AA380" s="777" t="s">
        <v>119</v>
      </c>
      <c r="AB380" s="778">
        <v>0</v>
      </c>
      <c r="AC380" s="779">
        <v>0</v>
      </c>
      <c r="AD380" s="777" t="s">
        <v>119</v>
      </c>
      <c r="AE380" s="778">
        <v>0</v>
      </c>
      <c r="AF380" s="779">
        <v>0</v>
      </c>
      <c r="AG380" s="777" t="s">
        <v>119</v>
      </c>
      <c r="AH380" s="778">
        <v>0</v>
      </c>
      <c r="AI380" s="779">
        <v>0</v>
      </c>
      <c r="AJ380" s="777" t="s">
        <v>119</v>
      </c>
      <c r="AK380" s="778">
        <v>0</v>
      </c>
      <c r="AL380" s="779">
        <v>0</v>
      </c>
      <c r="AM380" s="777" t="s">
        <v>119</v>
      </c>
      <c r="AN380" s="778">
        <v>0</v>
      </c>
      <c r="AO380" s="779">
        <v>0</v>
      </c>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8"/>
        <v>BoutiquePublicité 2</v>
      </c>
      <c r="B381" s="63" t="s">
        <v>129</v>
      </c>
      <c r="C381" s="747"/>
      <c r="D381" s="757"/>
      <c r="E381" s="758">
        <v>0</v>
      </c>
      <c r="F381" s="747"/>
      <c r="G381" s="757"/>
      <c r="H381" s="771">
        <v>0</v>
      </c>
      <c r="I381" s="747"/>
      <c r="J381" s="757"/>
      <c r="K381" s="771">
        <v>0</v>
      </c>
      <c r="L381" s="747"/>
      <c r="M381" s="757"/>
      <c r="N381" s="771">
        <v>0</v>
      </c>
      <c r="O381" s="747"/>
      <c r="P381" s="757"/>
      <c r="Q381" s="771">
        <v>0</v>
      </c>
      <c r="R381" s="747"/>
      <c r="S381" s="757"/>
      <c r="T381" s="771">
        <v>0</v>
      </c>
      <c r="U381" s="747"/>
      <c r="V381" s="757"/>
      <c r="W381" s="771">
        <v>0</v>
      </c>
      <c r="X381" s="747"/>
      <c r="Y381" s="757"/>
      <c r="Z381" s="771">
        <v>0</v>
      </c>
      <c r="AA381" s="747"/>
      <c r="AB381" s="757"/>
      <c r="AC381" s="771">
        <v>0</v>
      </c>
      <c r="AD381" s="747"/>
      <c r="AE381" s="757"/>
      <c r="AF381" s="771">
        <v>0</v>
      </c>
      <c r="AG381" s="747"/>
      <c r="AH381" s="757"/>
      <c r="AI381" s="771">
        <v>0</v>
      </c>
      <c r="AJ381" s="747"/>
      <c r="AK381" s="757"/>
      <c r="AL381" s="771">
        <v>0</v>
      </c>
      <c r="AM381" s="747"/>
      <c r="AN381" s="757"/>
      <c r="AO381" s="771">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8"/>
        <v>BoutiqueService gratuit 2</v>
      </c>
      <c r="B382" s="54" t="s">
        <v>130</v>
      </c>
      <c r="C382" s="747"/>
      <c r="D382" s="757"/>
      <c r="E382" s="758">
        <v>0</v>
      </c>
      <c r="F382" s="747"/>
      <c r="G382" s="757"/>
      <c r="H382" s="771">
        <v>0</v>
      </c>
      <c r="I382" s="747"/>
      <c r="J382" s="757"/>
      <c r="K382" s="771">
        <v>0</v>
      </c>
      <c r="L382" s="747"/>
      <c r="M382" s="757"/>
      <c r="N382" s="771">
        <v>0</v>
      </c>
      <c r="O382" s="747"/>
      <c r="P382" s="757"/>
      <c r="Q382" s="771">
        <v>0</v>
      </c>
      <c r="R382" s="747"/>
      <c r="S382" s="757"/>
      <c r="T382" s="771">
        <v>0</v>
      </c>
      <c r="U382" s="747"/>
      <c r="V382" s="757"/>
      <c r="W382" s="771">
        <v>0</v>
      </c>
      <c r="X382" s="747"/>
      <c r="Y382" s="757"/>
      <c r="Z382" s="771">
        <v>0</v>
      </c>
      <c r="AA382" s="747"/>
      <c r="AB382" s="757"/>
      <c r="AC382" s="771">
        <v>0</v>
      </c>
      <c r="AD382" s="747"/>
      <c r="AE382" s="757"/>
      <c r="AF382" s="771">
        <v>0</v>
      </c>
      <c r="AG382" s="747"/>
      <c r="AH382" s="757"/>
      <c r="AI382" s="771">
        <v>0</v>
      </c>
      <c r="AJ382" s="747"/>
      <c r="AK382" s="757"/>
      <c r="AL382" s="771">
        <v>0</v>
      </c>
      <c r="AM382" s="747"/>
      <c r="AN382" s="757"/>
      <c r="AO382" s="771">
        <v>0</v>
      </c>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8"/>
        <v>BoutiqueFrais véhicules de cie</v>
      </c>
      <c r="B383" s="55" t="s">
        <v>131</v>
      </c>
      <c r="C383" s="776"/>
      <c r="D383" s="784"/>
      <c r="E383" s="774">
        <v>0</v>
      </c>
      <c r="F383" s="776"/>
      <c r="G383" s="784"/>
      <c r="H383" s="775">
        <v>0</v>
      </c>
      <c r="I383" s="776"/>
      <c r="J383" s="784"/>
      <c r="K383" s="775">
        <v>0</v>
      </c>
      <c r="L383" s="776"/>
      <c r="M383" s="784"/>
      <c r="N383" s="775">
        <v>0</v>
      </c>
      <c r="O383" s="776"/>
      <c r="P383" s="784"/>
      <c r="Q383" s="775">
        <v>0</v>
      </c>
      <c r="R383" s="776"/>
      <c r="S383" s="784"/>
      <c r="T383" s="775">
        <v>0</v>
      </c>
      <c r="U383" s="776"/>
      <c r="V383" s="784"/>
      <c r="W383" s="775">
        <v>0</v>
      </c>
      <c r="X383" s="776"/>
      <c r="Y383" s="784"/>
      <c r="Z383" s="775">
        <v>0</v>
      </c>
      <c r="AA383" s="776"/>
      <c r="AB383" s="784"/>
      <c r="AC383" s="775">
        <v>0</v>
      </c>
      <c r="AD383" s="776"/>
      <c r="AE383" s="784"/>
      <c r="AF383" s="775">
        <v>0</v>
      </c>
      <c r="AG383" s="776"/>
      <c r="AH383" s="784"/>
      <c r="AI383" s="775">
        <v>0</v>
      </c>
      <c r="AJ383" s="776"/>
      <c r="AK383" s="784"/>
      <c r="AL383" s="775">
        <v>0</v>
      </c>
      <c r="AM383" s="776"/>
      <c r="AN383" s="784"/>
      <c r="AO383" s="775">
        <v>0</v>
      </c>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8"/>
        <v>BoutiqueInformatique</v>
      </c>
      <c r="B384" s="54" t="s">
        <v>132</v>
      </c>
      <c r="C384" s="747"/>
      <c r="D384" s="757"/>
      <c r="E384" s="758">
        <v>0</v>
      </c>
      <c r="F384" s="747"/>
      <c r="G384" s="757"/>
      <c r="H384" s="771">
        <v>0</v>
      </c>
      <c r="I384" s="747"/>
      <c r="J384" s="757"/>
      <c r="K384" s="771">
        <v>0</v>
      </c>
      <c r="L384" s="747"/>
      <c r="M384" s="757"/>
      <c r="N384" s="771">
        <v>0</v>
      </c>
      <c r="O384" s="747"/>
      <c r="P384" s="757"/>
      <c r="Q384" s="771">
        <v>0</v>
      </c>
      <c r="R384" s="747"/>
      <c r="S384" s="757"/>
      <c r="T384" s="771">
        <v>0</v>
      </c>
      <c r="U384" s="747"/>
      <c r="V384" s="757"/>
      <c r="W384" s="771">
        <v>0</v>
      </c>
      <c r="X384" s="747"/>
      <c r="Y384" s="757"/>
      <c r="Z384" s="771">
        <v>0</v>
      </c>
      <c r="AA384" s="747"/>
      <c r="AB384" s="757"/>
      <c r="AC384" s="771">
        <v>0</v>
      </c>
      <c r="AD384" s="747"/>
      <c r="AE384" s="757"/>
      <c r="AF384" s="771">
        <v>0</v>
      </c>
      <c r="AG384" s="747"/>
      <c r="AH384" s="757"/>
      <c r="AI384" s="771">
        <v>0</v>
      </c>
      <c r="AJ384" s="747"/>
      <c r="AK384" s="757"/>
      <c r="AL384" s="771">
        <v>0</v>
      </c>
      <c r="AM384" s="747"/>
      <c r="AN384" s="757"/>
      <c r="AO384" s="771">
        <v>0</v>
      </c>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8"/>
        <v>BoutiqueFrais de déplacement</v>
      </c>
      <c r="B385" s="54" t="s">
        <v>133</v>
      </c>
      <c r="C385" s="747"/>
      <c r="D385" s="757"/>
      <c r="E385" s="758">
        <v>0</v>
      </c>
      <c r="F385" s="747"/>
      <c r="G385" s="757"/>
      <c r="H385" s="771">
        <v>0</v>
      </c>
      <c r="I385" s="747"/>
      <c r="J385" s="757"/>
      <c r="K385" s="771">
        <v>0</v>
      </c>
      <c r="L385" s="747"/>
      <c r="M385" s="757"/>
      <c r="N385" s="771">
        <v>0</v>
      </c>
      <c r="O385" s="747"/>
      <c r="P385" s="757"/>
      <c r="Q385" s="771">
        <v>0</v>
      </c>
      <c r="R385" s="747"/>
      <c r="S385" s="757"/>
      <c r="T385" s="771">
        <v>0</v>
      </c>
      <c r="U385" s="747"/>
      <c r="V385" s="757"/>
      <c r="W385" s="771">
        <v>0</v>
      </c>
      <c r="X385" s="747"/>
      <c r="Y385" s="757"/>
      <c r="Z385" s="771">
        <v>0</v>
      </c>
      <c r="AA385" s="747"/>
      <c r="AB385" s="757"/>
      <c r="AC385" s="771">
        <v>0</v>
      </c>
      <c r="AD385" s="747"/>
      <c r="AE385" s="757"/>
      <c r="AF385" s="771">
        <v>0</v>
      </c>
      <c r="AG385" s="747"/>
      <c r="AH385" s="757"/>
      <c r="AI385" s="771">
        <v>0</v>
      </c>
      <c r="AJ385" s="747"/>
      <c r="AK385" s="757"/>
      <c r="AL385" s="771">
        <v>0</v>
      </c>
      <c r="AM385" s="747"/>
      <c r="AN385" s="757"/>
      <c r="AO385" s="771">
        <v>0</v>
      </c>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8"/>
        <v>BoutiqueServices extérieurs</v>
      </c>
      <c r="B386" s="54" t="s">
        <v>134</v>
      </c>
      <c r="C386" s="776"/>
      <c r="D386" s="784"/>
      <c r="E386" s="774">
        <v>0</v>
      </c>
      <c r="F386" s="776"/>
      <c r="G386" s="784"/>
      <c r="H386" s="775">
        <v>0</v>
      </c>
      <c r="I386" s="776"/>
      <c r="J386" s="784"/>
      <c r="K386" s="775">
        <v>0</v>
      </c>
      <c r="L386" s="776"/>
      <c r="M386" s="784"/>
      <c r="N386" s="775">
        <v>0</v>
      </c>
      <c r="O386" s="776"/>
      <c r="P386" s="784"/>
      <c r="Q386" s="775">
        <v>0</v>
      </c>
      <c r="R386" s="776"/>
      <c r="S386" s="784"/>
      <c r="T386" s="775">
        <v>0</v>
      </c>
      <c r="U386" s="776"/>
      <c r="V386" s="784"/>
      <c r="W386" s="775">
        <v>0</v>
      </c>
      <c r="X386" s="776"/>
      <c r="Y386" s="784"/>
      <c r="Z386" s="775">
        <v>0</v>
      </c>
      <c r="AA386" s="776"/>
      <c r="AB386" s="784"/>
      <c r="AC386" s="775">
        <v>0</v>
      </c>
      <c r="AD386" s="776"/>
      <c r="AE386" s="784"/>
      <c r="AF386" s="775">
        <v>0</v>
      </c>
      <c r="AG386" s="776"/>
      <c r="AH386" s="784"/>
      <c r="AI386" s="775">
        <v>0</v>
      </c>
      <c r="AJ386" s="776"/>
      <c r="AK386" s="784"/>
      <c r="AL386" s="775">
        <v>0</v>
      </c>
      <c r="AM386" s="776"/>
      <c r="AN386" s="784"/>
      <c r="AO386" s="775">
        <v>0</v>
      </c>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8"/>
        <v>BoutiqueFournitures autres</v>
      </c>
      <c r="B387" s="63" t="s">
        <v>135</v>
      </c>
      <c r="C387" s="747"/>
      <c r="D387" s="757"/>
      <c r="E387" s="758">
        <v>0</v>
      </c>
      <c r="F387" s="747"/>
      <c r="G387" s="757"/>
      <c r="H387" s="771">
        <v>0</v>
      </c>
      <c r="I387" s="747"/>
      <c r="J387" s="757"/>
      <c r="K387" s="771">
        <v>0</v>
      </c>
      <c r="L387" s="747"/>
      <c r="M387" s="757"/>
      <c r="N387" s="771">
        <v>0</v>
      </c>
      <c r="O387" s="747"/>
      <c r="P387" s="757"/>
      <c r="Q387" s="771">
        <v>0</v>
      </c>
      <c r="R387" s="747"/>
      <c r="S387" s="757"/>
      <c r="T387" s="771">
        <v>0</v>
      </c>
      <c r="U387" s="747"/>
      <c r="V387" s="757"/>
      <c r="W387" s="771">
        <v>0</v>
      </c>
      <c r="X387" s="747"/>
      <c r="Y387" s="757"/>
      <c r="Z387" s="771">
        <v>0</v>
      </c>
      <c r="AA387" s="747"/>
      <c r="AB387" s="757"/>
      <c r="AC387" s="771">
        <v>0</v>
      </c>
      <c r="AD387" s="747"/>
      <c r="AE387" s="757"/>
      <c r="AF387" s="771">
        <v>0</v>
      </c>
      <c r="AG387" s="747"/>
      <c r="AH387" s="757"/>
      <c r="AI387" s="771">
        <v>0</v>
      </c>
      <c r="AJ387" s="747"/>
      <c r="AK387" s="757"/>
      <c r="AL387" s="771">
        <v>0</v>
      </c>
      <c r="AM387" s="747"/>
      <c r="AN387" s="757"/>
      <c r="AO387" s="771">
        <v>0</v>
      </c>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8"/>
        <v>BoutiqueUniformes</v>
      </c>
      <c r="B388" s="54" t="s">
        <v>136</v>
      </c>
      <c r="C388" s="747"/>
      <c r="D388" s="757"/>
      <c r="E388" s="758">
        <v>0</v>
      </c>
      <c r="F388" s="747"/>
      <c r="G388" s="757"/>
      <c r="H388" s="771">
        <v>0</v>
      </c>
      <c r="I388" s="747"/>
      <c r="J388" s="757"/>
      <c r="K388" s="771">
        <v>0</v>
      </c>
      <c r="L388" s="747"/>
      <c r="M388" s="757"/>
      <c r="N388" s="771">
        <v>0</v>
      </c>
      <c r="O388" s="747"/>
      <c r="P388" s="757"/>
      <c r="Q388" s="771">
        <v>0</v>
      </c>
      <c r="R388" s="747"/>
      <c r="S388" s="757"/>
      <c r="T388" s="771">
        <v>0</v>
      </c>
      <c r="U388" s="747"/>
      <c r="V388" s="757"/>
      <c r="W388" s="771">
        <v>0</v>
      </c>
      <c r="X388" s="747"/>
      <c r="Y388" s="757"/>
      <c r="Z388" s="771">
        <v>0</v>
      </c>
      <c r="AA388" s="747"/>
      <c r="AB388" s="757"/>
      <c r="AC388" s="771">
        <v>0</v>
      </c>
      <c r="AD388" s="747"/>
      <c r="AE388" s="757"/>
      <c r="AF388" s="771">
        <v>0</v>
      </c>
      <c r="AG388" s="747"/>
      <c r="AH388" s="757"/>
      <c r="AI388" s="771">
        <v>0</v>
      </c>
      <c r="AJ388" s="747"/>
      <c r="AK388" s="757"/>
      <c r="AL388" s="771">
        <v>0</v>
      </c>
      <c r="AM388" s="747"/>
      <c r="AN388" s="757"/>
      <c r="AO388" s="771">
        <v>0</v>
      </c>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8"/>
        <v>BoutiquePapeterie</v>
      </c>
      <c r="B389" s="54" t="s">
        <v>137</v>
      </c>
      <c r="C389" s="747"/>
      <c r="D389" s="757"/>
      <c r="E389" s="758">
        <v>0</v>
      </c>
      <c r="F389" s="747"/>
      <c r="G389" s="757"/>
      <c r="H389" s="771">
        <v>0</v>
      </c>
      <c r="I389" s="747"/>
      <c r="J389" s="757"/>
      <c r="K389" s="771">
        <v>0</v>
      </c>
      <c r="L389" s="747"/>
      <c r="M389" s="757"/>
      <c r="N389" s="771">
        <v>0</v>
      </c>
      <c r="O389" s="747"/>
      <c r="P389" s="757"/>
      <c r="Q389" s="771">
        <v>0</v>
      </c>
      <c r="R389" s="747"/>
      <c r="S389" s="757"/>
      <c r="T389" s="771">
        <v>0</v>
      </c>
      <c r="U389" s="747"/>
      <c r="V389" s="757"/>
      <c r="W389" s="771">
        <v>0</v>
      </c>
      <c r="X389" s="747"/>
      <c r="Y389" s="757"/>
      <c r="Z389" s="771">
        <v>0</v>
      </c>
      <c r="AA389" s="747"/>
      <c r="AB389" s="757"/>
      <c r="AC389" s="771">
        <v>0</v>
      </c>
      <c r="AD389" s="747"/>
      <c r="AE389" s="757"/>
      <c r="AF389" s="771">
        <v>0</v>
      </c>
      <c r="AG389" s="747"/>
      <c r="AH389" s="757"/>
      <c r="AI389" s="771">
        <v>0</v>
      </c>
      <c r="AJ389" s="747"/>
      <c r="AK389" s="757"/>
      <c r="AL389" s="771">
        <v>0</v>
      </c>
      <c r="AM389" s="747"/>
      <c r="AN389" s="757"/>
      <c r="AO389" s="771">
        <v>0</v>
      </c>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8"/>
        <v>BoutiqueTéléphone</v>
      </c>
      <c r="B390" s="54" t="s">
        <v>138</v>
      </c>
      <c r="C390" s="747"/>
      <c r="D390" s="757"/>
      <c r="E390" s="758">
        <v>0</v>
      </c>
      <c r="F390" s="747"/>
      <c r="G390" s="757"/>
      <c r="H390" s="771">
        <v>0</v>
      </c>
      <c r="I390" s="747"/>
      <c r="J390" s="757"/>
      <c r="K390" s="771">
        <v>0</v>
      </c>
      <c r="L390" s="747"/>
      <c r="M390" s="757"/>
      <c r="N390" s="771">
        <v>0</v>
      </c>
      <c r="O390" s="747"/>
      <c r="P390" s="757"/>
      <c r="Q390" s="771">
        <v>0</v>
      </c>
      <c r="R390" s="747"/>
      <c r="S390" s="757"/>
      <c r="T390" s="771">
        <v>0</v>
      </c>
      <c r="U390" s="747"/>
      <c r="V390" s="757"/>
      <c r="W390" s="771">
        <v>0</v>
      </c>
      <c r="X390" s="747"/>
      <c r="Y390" s="757"/>
      <c r="Z390" s="771">
        <v>0</v>
      </c>
      <c r="AA390" s="747"/>
      <c r="AB390" s="757"/>
      <c r="AC390" s="771">
        <v>0</v>
      </c>
      <c r="AD390" s="747"/>
      <c r="AE390" s="757"/>
      <c r="AF390" s="771">
        <v>0</v>
      </c>
      <c r="AG390" s="747"/>
      <c r="AH390" s="757"/>
      <c r="AI390" s="771">
        <v>0</v>
      </c>
      <c r="AJ390" s="747"/>
      <c r="AK390" s="757"/>
      <c r="AL390" s="771">
        <v>0</v>
      </c>
      <c r="AM390" s="747"/>
      <c r="AN390" s="757"/>
      <c r="AO390" s="771">
        <v>0</v>
      </c>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8"/>
        <v>BoutiqueFrais postaux</v>
      </c>
      <c r="B391" s="54" t="s">
        <v>139</v>
      </c>
      <c r="C391" s="747"/>
      <c r="D391" s="757"/>
      <c r="E391" s="758">
        <v>0</v>
      </c>
      <c r="F391" s="747"/>
      <c r="G391" s="757"/>
      <c r="H391" s="771">
        <v>0</v>
      </c>
      <c r="I391" s="747"/>
      <c r="J391" s="757"/>
      <c r="K391" s="771">
        <v>0</v>
      </c>
      <c r="L391" s="747"/>
      <c r="M391" s="757"/>
      <c r="N391" s="771">
        <v>0</v>
      </c>
      <c r="O391" s="747"/>
      <c r="P391" s="757"/>
      <c r="Q391" s="771">
        <v>0</v>
      </c>
      <c r="R391" s="747"/>
      <c r="S391" s="757"/>
      <c r="T391" s="771">
        <v>0</v>
      </c>
      <c r="U391" s="747"/>
      <c r="V391" s="757"/>
      <c r="W391" s="771">
        <v>0</v>
      </c>
      <c r="X391" s="747"/>
      <c r="Y391" s="757"/>
      <c r="Z391" s="771">
        <v>0</v>
      </c>
      <c r="AA391" s="747"/>
      <c r="AB391" s="757"/>
      <c r="AC391" s="771">
        <v>0</v>
      </c>
      <c r="AD391" s="747"/>
      <c r="AE391" s="757"/>
      <c r="AF391" s="771">
        <v>0</v>
      </c>
      <c r="AG391" s="747"/>
      <c r="AH391" s="757"/>
      <c r="AI391" s="771">
        <v>0</v>
      </c>
      <c r="AJ391" s="747"/>
      <c r="AK391" s="757"/>
      <c r="AL391" s="771">
        <v>0</v>
      </c>
      <c r="AM391" s="747"/>
      <c r="AN391" s="757"/>
      <c r="AO391" s="771">
        <v>0</v>
      </c>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8"/>
        <v>BoutiqueDivers</v>
      </c>
      <c r="B392" s="54" t="s">
        <v>140</v>
      </c>
      <c r="C392" s="747"/>
      <c r="D392" s="757"/>
      <c r="E392" s="758">
        <v>0</v>
      </c>
      <c r="F392" s="747"/>
      <c r="G392" s="757"/>
      <c r="H392" s="771">
        <v>0</v>
      </c>
      <c r="I392" s="747"/>
      <c r="J392" s="757"/>
      <c r="K392" s="771">
        <v>0</v>
      </c>
      <c r="L392" s="747"/>
      <c r="M392" s="757"/>
      <c r="N392" s="771">
        <v>0</v>
      </c>
      <c r="O392" s="747"/>
      <c r="P392" s="757"/>
      <c r="Q392" s="771">
        <v>0</v>
      </c>
      <c r="R392" s="747"/>
      <c r="S392" s="757"/>
      <c r="T392" s="771">
        <v>0</v>
      </c>
      <c r="U392" s="747"/>
      <c r="V392" s="757"/>
      <c r="W392" s="771">
        <v>0</v>
      </c>
      <c r="X392" s="747"/>
      <c r="Y392" s="757"/>
      <c r="Z392" s="771">
        <v>0</v>
      </c>
      <c r="AA392" s="747"/>
      <c r="AB392" s="757"/>
      <c r="AC392" s="771">
        <v>0</v>
      </c>
      <c r="AD392" s="747"/>
      <c r="AE392" s="757"/>
      <c r="AF392" s="771">
        <v>0</v>
      </c>
      <c r="AG392" s="747"/>
      <c r="AH392" s="757"/>
      <c r="AI392" s="771">
        <v>0</v>
      </c>
      <c r="AJ392" s="747"/>
      <c r="AK392" s="757"/>
      <c r="AL392" s="771">
        <v>0</v>
      </c>
      <c r="AM392" s="747"/>
      <c r="AN392" s="757"/>
      <c r="AO392" s="771">
        <v>0</v>
      </c>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8"/>
        <v>BoutiqueFormation</v>
      </c>
      <c r="B393" s="54" t="s">
        <v>141</v>
      </c>
      <c r="C393" s="747"/>
      <c r="D393" s="757"/>
      <c r="E393" s="758">
        <v>0</v>
      </c>
      <c r="F393" s="747"/>
      <c r="G393" s="757"/>
      <c r="H393" s="771">
        <v>0</v>
      </c>
      <c r="I393" s="747"/>
      <c r="J393" s="757"/>
      <c r="K393" s="771">
        <v>0</v>
      </c>
      <c r="L393" s="747"/>
      <c r="M393" s="757"/>
      <c r="N393" s="771">
        <v>0</v>
      </c>
      <c r="O393" s="747"/>
      <c r="P393" s="757"/>
      <c r="Q393" s="771">
        <v>0</v>
      </c>
      <c r="R393" s="747"/>
      <c r="S393" s="757"/>
      <c r="T393" s="771">
        <v>0</v>
      </c>
      <c r="U393" s="747"/>
      <c r="V393" s="757"/>
      <c r="W393" s="771">
        <v>0</v>
      </c>
      <c r="X393" s="747"/>
      <c r="Y393" s="757"/>
      <c r="Z393" s="771">
        <v>0</v>
      </c>
      <c r="AA393" s="747"/>
      <c r="AB393" s="757"/>
      <c r="AC393" s="771">
        <v>0</v>
      </c>
      <c r="AD393" s="747"/>
      <c r="AE393" s="757"/>
      <c r="AF393" s="771">
        <v>0</v>
      </c>
      <c r="AG393" s="747"/>
      <c r="AH393" s="757"/>
      <c r="AI393" s="771">
        <v>0</v>
      </c>
      <c r="AJ393" s="747"/>
      <c r="AK393" s="757"/>
      <c r="AL393" s="771">
        <v>0</v>
      </c>
      <c r="AM393" s="747"/>
      <c r="AN393" s="757"/>
      <c r="AO393" s="771">
        <v>0</v>
      </c>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8"/>
        <v>BoutiqueFrais bancaires</v>
      </c>
      <c r="B394" s="54" t="s">
        <v>142</v>
      </c>
      <c r="C394" s="747"/>
      <c r="D394" s="757"/>
      <c r="E394" s="758">
        <v>0</v>
      </c>
      <c r="F394" s="747"/>
      <c r="G394" s="757"/>
      <c r="H394" s="771">
        <v>0</v>
      </c>
      <c r="I394" s="747"/>
      <c r="J394" s="757"/>
      <c r="K394" s="771">
        <v>0</v>
      </c>
      <c r="L394" s="747"/>
      <c r="M394" s="757"/>
      <c r="N394" s="771">
        <v>0</v>
      </c>
      <c r="O394" s="747"/>
      <c r="P394" s="757"/>
      <c r="Q394" s="771">
        <v>0</v>
      </c>
      <c r="R394" s="747"/>
      <c r="S394" s="757"/>
      <c r="T394" s="771">
        <v>0</v>
      </c>
      <c r="U394" s="747"/>
      <c r="V394" s="757"/>
      <c r="W394" s="771">
        <v>0</v>
      </c>
      <c r="X394" s="747"/>
      <c r="Y394" s="757"/>
      <c r="Z394" s="771">
        <v>0</v>
      </c>
      <c r="AA394" s="747"/>
      <c r="AB394" s="757"/>
      <c r="AC394" s="771">
        <v>0</v>
      </c>
      <c r="AD394" s="747"/>
      <c r="AE394" s="757"/>
      <c r="AF394" s="771">
        <v>0</v>
      </c>
      <c r="AG394" s="747"/>
      <c r="AH394" s="757"/>
      <c r="AI394" s="771">
        <v>0</v>
      </c>
      <c r="AJ394" s="747"/>
      <c r="AK394" s="757"/>
      <c r="AL394" s="771">
        <v>0</v>
      </c>
      <c r="AM394" s="747"/>
      <c r="AN394" s="757"/>
      <c r="AO394" s="771">
        <v>0</v>
      </c>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8"/>
        <v>Boutique[...]</v>
      </c>
      <c r="B395" s="54" t="s">
        <v>59</v>
      </c>
      <c r="C395" s="747"/>
      <c r="D395" s="757"/>
      <c r="E395" s="758">
        <v>0</v>
      </c>
      <c r="F395" s="747"/>
      <c r="G395" s="757"/>
      <c r="H395" s="758"/>
      <c r="I395" s="747"/>
      <c r="J395" s="757"/>
      <c r="K395" s="758"/>
      <c r="L395" s="747"/>
      <c r="M395" s="757"/>
      <c r="N395" s="758"/>
      <c r="O395" s="747"/>
      <c r="P395" s="757"/>
      <c r="Q395" s="758"/>
      <c r="R395" s="747"/>
      <c r="S395" s="757"/>
      <c r="T395" s="758"/>
      <c r="U395" s="747"/>
      <c r="V395" s="757"/>
      <c r="W395" s="758"/>
      <c r="X395" s="747"/>
      <c r="Y395" s="757"/>
      <c r="Z395" s="758"/>
      <c r="AA395" s="747"/>
      <c r="AB395" s="757"/>
      <c r="AC395" s="758"/>
      <c r="AD395" s="747"/>
      <c r="AE395" s="757"/>
      <c r="AF395" s="758"/>
      <c r="AG395" s="747"/>
      <c r="AH395" s="757"/>
      <c r="AI395" s="758"/>
      <c r="AJ395" s="747"/>
      <c r="AK395" s="757"/>
      <c r="AL395" s="758"/>
      <c r="AM395" s="747"/>
      <c r="AN395" s="757"/>
      <c r="AO395" s="758"/>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8"/>
        <v>Boutique[...]</v>
      </c>
      <c r="B396" s="54" t="s">
        <v>59</v>
      </c>
      <c r="C396" s="747"/>
      <c r="D396" s="757"/>
      <c r="E396" s="758">
        <v>0</v>
      </c>
      <c r="F396" s="747"/>
      <c r="G396" s="757"/>
      <c r="H396" s="758"/>
      <c r="I396" s="747"/>
      <c r="J396" s="757"/>
      <c r="K396" s="758"/>
      <c r="L396" s="747"/>
      <c r="M396" s="757"/>
      <c r="N396" s="758"/>
      <c r="O396" s="747"/>
      <c r="P396" s="757"/>
      <c r="Q396" s="758"/>
      <c r="R396" s="747"/>
      <c r="S396" s="757"/>
      <c r="T396" s="758"/>
      <c r="U396" s="747"/>
      <c r="V396" s="757"/>
      <c r="W396" s="758"/>
      <c r="X396" s="747"/>
      <c r="Y396" s="757"/>
      <c r="Z396" s="758"/>
      <c r="AA396" s="747"/>
      <c r="AB396" s="757"/>
      <c r="AC396" s="758"/>
      <c r="AD396" s="747"/>
      <c r="AE396" s="757"/>
      <c r="AF396" s="758"/>
      <c r="AG396" s="747"/>
      <c r="AH396" s="757"/>
      <c r="AI396" s="758"/>
      <c r="AJ396" s="747"/>
      <c r="AK396" s="757"/>
      <c r="AL396" s="758"/>
      <c r="AM396" s="747"/>
      <c r="AN396" s="757"/>
      <c r="AO396" s="758"/>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8"/>
        <v>Boutique[...]</v>
      </c>
      <c r="B397" s="54" t="s">
        <v>59</v>
      </c>
      <c r="C397" s="776"/>
      <c r="D397" s="784"/>
      <c r="E397" s="758">
        <v>0</v>
      </c>
      <c r="F397" s="776"/>
      <c r="G397" s="784"/>
      <c r="H397" s="758"/>
      <c r="I397" s="776"/>
      <c r="J397" s="784"/>
      <c r="K397" s="758"/>
      <c r="L397" s="776"/>
      <c r="M397" s="784"/>
      <c r="N397" s="758"/>
      <c r="O397" s="776"/>
      <c r="P397" s="784"/>
      <c r="Q397" s="758"/>
      <c r="R397" s="776"/>
      <c r="S397" s="784"/>
      <c r="T397" s="758"/>
      <c r="U397" s="776"/>
      <c r="V397" s="784"/>
      <c r="W397" s="758"/>
      <c r="X397" s="776"/>
      <c r="Y397" s="784"/>
      <c r="Z397" s="758"/>
      <c r="AA397" s="776"/>
      <c r="AB397" s="784"/>
      <c r="AC397" s="758"/>
      <c r="AD397" s="776"/>
      <c r="AE397" s="784"/>
      <c r="AF397" s="758"/>
      <c r="AG397" s="776"/>
      <c r="AH397" s="784"/>
      <c r="AI397" s="758"/>
      <c r="AJ397" s="776"/>
      <c r="AK397" s="784"/>
      <c r="AL397" s="758"/>
      <c r="AM397" s="776"/>
      <c r="AN397" s="784"/>
      <c r="AO397" s="758"/>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8"/>
        <v>BoutiqueTOTAL SEMI-FIXES</v>
      </c>
      <c r="B398" s="53" t="s">
        <v>143</v>
      </c>
      <c r="C398" s="777" t="s">
        <v>119</v>
      </c>
      <c r="D398" s="778">
        <v>0</v>
      </c>
      <c r="E398" s="779">
        <v>0</v>
      </c>
      <c r="F398" s="777" t="s">
        <v>119</v>
      </c>
      <c r="G398" s="778">
        <v>0</v>
      </c>
      <c r="H398" s="779">
        <v>0</v>
      </c>
      <c r="I398" s="777" t="s">
        <v>119</v>
      </c>
      <c r="J398" s="778">
        <v>0</v>
      </c>
      <c r="K398" s="779">
        <v>0</v>
      </c>
      <c r="L398" s="777" t="s">
        <v>119</v>
      </c>
      <c r="M398" s="778">
        <v>0</v>
      </c>
      <c r="N398" s="779">
        <v>0</v>
      </c>
      <c r="O398" s="777" t="s">
        <v>119</v>
      </c>
      <c r="P398" s="778">
        <v>0</v>
      </c>
      <c r="Q398" s="779">
        <v>0</v>
      </c>
      <c r="R398" s="777" t="s">
        <v>119</v>
      </c>
      <c r="S398" s="778">
        <v>0</v>
      </c>
      <c r="T398" s="779">
        <v>0</v>
      </c>
      <c r="U398" s="777" t="s">
        <v>119</v>
      </c>
      <c r="V398" s="778">
        <v>0</v>
      </c>
      <c r="W398" s="779">
        <v>0</v>
      </c>
      <c r="X398" s="777" t="s">
        <v>119</v>
      </c>
      <c r="Y398" s="778">
        <v>0</v>
      </c>
      <c r="Z398" s="779">
        <v>0</v>
      </c>
      <c r="AA398" s="777" t="s">
        <v>119</v>
      </c>
      <c r="AB398" s="778">
        <v>0</v>
      </c>
      <c r="AC398" s="779">
        <v>0</v>
      </c>
      <c r="AD398" s="777" t="s">
        <v>119</v>
      </c>
      <c r="AE398" s="778">
        <v>0</v>
      </c>
      <c r="AF398" s="779">
        <v>0</v>
      </c>
      <c r="AG398" s="777" t="s">
        <v>119</v>
      </c>
      <c r="AH398" s="778">
        <v>0</v>
      </c>
      <c r="AI398" s="779">
        <v>0</v>
      </c>
      <c r="AJ398" s="777" t="s">
        <v>119</v>
      </c>
      <c r="AK398" s="778">
        <v>0</v>
      </c>
      <c r="AL398" s="779">
        <v>0</v>
      </c>
      <c r="AM398" s="777" t="s">
        <v>119</v>
      </c>
      <c r="AN398" s="778">
        <v>0</v>
      </c>
      <c r="AO398" s="779">
        <v>0</v>
      </c>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8"/>
        <v>Boutique</v>
      </c>
      <c r="B399" s="44"/>
      <c r="C399" s="747"/>
      <c r="D399" s="757"/>
      <c r="E399" s="748"/>
      <c r="F399" s="747"/>
      <c r="G399" s="757"/>
      <c r="H399" s="748"/>
      <c r="I399" s="747"/>
      <c r="J399" s="757"/>
      <c r="K399" s="748"/>
      <c r="L399" s="747"/>
      <c r="M399" s="757"/>
      <c r="N399" s="748"/>
      <c r="O399" s="747"/>
      <c r="P399" s="757"/>
      <c r="Q399" s="748"/>
      <c r="R399" s="747"/>
      <c r="S399" s="757"/>
      <c r="T399" s="748"/>
      <c r="U399" s="747"/>
      <c r="V399" s="757"/>
      <c r="W399" s="748"/>
      <c r="X399" s="747"/>
      <c r="Y399" s="757"/>
      <c r="Z399" s="748"/>
      <c r="AA399" s="747"/>
      <c r="AB399" s="757"/>
      <c r="AC399" s="748"/>
      <c r="AD399" s="747"/>
      <c r="AE399" s="757"/>
      <c r="AF399" s="748"/>
      <c r="AG399" s="747"/>
      <c r="AH399" s="757"/>
      <c r="AI399" s="748"/>
      <c r="AJ399" s="747"/>
      <c r="AK399" s="757"/>
      <c r="AL399" s="748"/>
      <c r="AM399" s="747"/>
      <c r="AN399" s="757"/>
      <c r="AO399" s="748"/>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8"/>
        <v>BoutiqueTOTAL DES DÉPENSES</v>
      </c>
      <c r="B400" s="53" t="s">
        <v>144</v>
      </c>
      <c r="C400" s="777" t="s">
        <v>119</v>
      </c>
      <c r="D400" s="778">
        <v>0</v>
      </c>
      <c r="E400" s="779">
        <v>0</v>
      </c>
      <c r="F400" s="777" t="s">
        <v>119</v>
      </c>
      <c r="G400" s="778">
        <v>0</v>
      </c>
      <c r="H400" s="779">
        <v>0</v>
      </c>
      <c r="I400" s="777" t="s">
        <v>119</v>
      </c>
      <c r="J400" s="778">
        <v>0</v>
      </c>
      <c r="K400" s="779">
        <v>0</v>
      </c>
      <c r="L400" s="777" t="s">
        <v>119</v>
      </c>
      <c r="M400" s="778">
        <v>0</v>
      </c>
      <c r="N400" s="779">
        <v>0</v>
      </c>
      <c r="O400" s="777" t="s">
        <v>119</v>
      </c>
      <c r="P400" s="778">
        <v>0</v>
      </c>
      <c r="Q400" s="779">
        <v>0</v>
      </c>
      <c r="R400" s="777" t="s">
        <v>119</v>
      </c>
      <c r="S400" s="778">
        <v>0</v>
      </c>
      <c r="T400" s="779">
        <v>0</v>
      </c>
      <c r="U400" s="777" t="s">
        <v>119</v>
      </c>
      <c r="V400" s="778">
        <v>0</v>
      </c>
      <c r="W400" s="779">
        <v>0</v>
      </c>
      <c r="X400" s="777" t="s">
        <v>119</v>
      </c>
      <c r="Y400" s="778">
        <v>0</v>
      </c>
      <c r="Z400" s="779">
        <v>0</v>
      </c>
      <c r="AA400" s="777" t="s">
        <v>119</v>
      </c>
      <c r="AB400" s="778">
        <v>0</v>
      </c>
      <c r="AC400" s="779">
        <v>0</v>
      </c>
      <c r="AD400" s="777" t="s">
        <v>119</v>
      </c>
      <c r="AE400" s="778">
        <v>0</v>
      </c>
      <c r="AF400" s="779">
        <v>0</v>
      </c>
      <c r="AG400" s="777" t="s">
        <v>119</v>
      </c>
      <c r="AH400" s="778">
        <v>0</v>
      </c>
      <c r="AI400" s="779">
        <v>0</v>
      </c>
      <c r="AJ400" s="777" t="s">
        <v>119</v>
      </c>
      <c r="AK400" s="778">
        <v>0</v>
      </c>
      <c r="AL400" s="779">
        <v>0</v>
      </c>
      <c r="AM400" s="777" t="s">
        <v>119</v>
      </c>
      <c r="AN400" s="778">
        <v>0</v>
      </c>
      <c r="AO400" s="779">
        <v>0</v>
      </c>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c r="A401" s="39" t="str">
        <f t="shared" si="8"/>
        <v>Boutique</v>
      </c>
      <c r="B401" s="44"/>
      <c r="C401" s="747"/>
      <c r="D401" s="757"/>
      <c r="E401" s="758"/>
      <c r="F401" s="747"/>
      <c r="G401" s="757"/>
      <c r="H401" s="758"/>
      <c r="I401" s="747"/>
      <c r="J401" s="757"/>
      <c r="K401" s="758"/>
      <c r="L401" s="747"/>
      <c r="M401" s="757"/>
      <c r="N401" s="758"/>
      <c r="O401" s="747"/>
      <c r="P401" s="757"/>
      <c r="Q401" s="758"/>
      <c r="R401" s="747"/>
      <c r="S401" s="757"/>
      <c r="T401" s="758"/>
      <c r="U401" s="747"/>
      <c r="V401" s="757"/>
      <c r="W401" s="758"/>
      <c r="X401" s="747"/>
      <c r="Y401" s="757"/>
      <c r="Z401" s="758"/>
      <c r="AA401" s="747"/>
      <c r="AB401" s="757"/>
      <c r="AC401" s="758"/>
      <c r="AD401" s="747"/>
      <c r="AE401" s="757"/>
      <c r="AF401" s="758"/>
      <c r="AG401" s="747"/>
      <c r="AH401" s="757"/>
      <c r="AI401" s="758"/>
      <c r="AJ401" s="747"/>
      <c r="AK401" s="757"/>
      <c r="AL401" s="758"/>
      <c r="AM401" s="747"/>
      <c r="AN401" s="757"/>
      <c r="AO401" s="758"/>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c r="A402" s="39" t="str">
        <f t="shared" si="8"/>
        <v>BoutiquePROFIT DÉPARTEMENTAL</v>
      </c>
      <c r="B402" s="66" t="s">
        <v>151</v>
      </c>
      <c r="C402" s="868"/>
      <c r="D402" s="869"/>
      <c r="E402" s="870">
        <v>0</v>
      </c>
      <c r="F402" s="868"/>
      <c r="G402" s="869"/>
      <c r="H402" s="870">
        <v>0</v>
      </c>
      <c r="I402" s="868"/>
      <c r="J402" s="869"/>
      <c r="K402" s="870">
        <v>0</v>
      </c>
      <c r="L402" s="868"/>
      <c r="M402" s="869"/>
      <c r="N402" s="870">
        <v>0</v>
      </c>
      <c r="O402" s="868"/>
      <c r="P402" s="869"/>
      <c r="Q402" s="870">
        <v>0</v>
      </c>
      <c r="R402" s="868"/>
      <c r="S402" s="869"/>
      <c r="T402" s="870">
        <v>0</v>
      </c>
      <c r="U402" s="868"/>
      <c r="V402" s="869"/>
      <c r="W402" s="870">
        <v>0</v>
      </c>
      <c r="X402" s="868"/>
      <c r="Y402" s="869"/>
      <c r="Z402" s="870">
        <v>0</v>
      </c>
      <c r="AA402" s="868"/>
      <c r="AB402" s="869"/>
      <c r="AC402" s="870">
        <v>0</v>
      </c>
      <c r="AD402" s="868"/>
      <c r="AE402" s="869"/>
      <c r="AF402" s="870">
        <v>0</v>
      </c>
      <c r="AG402" s="868"/>
      <c r="AH402" s="869"/>
      <c r="AI402" s="870">
        <v>0</v>
      </c>
      <c r="AJ402" s="868"/>
      <c r="AK402" s="869"/>
      <c r="AL402" s="870">
        <v>0</v>
      </c>
      <c r="AM402" s="868"/>
      <c r="AN402" s="869"/>
      <c r="AO402" s="870">
        <v>0</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A403" s="39"/>
      <c r="B403" s="51"/>
      <c r="C403" s="810"/>
      <c r="D403" s="810"/>
      <c r="E403" s="867"/>
      <c r="F403" s="810"/>
      <c r="G403" s="810"/>
      <c r="H403" s="867"/>
      <c r="I403" s="810"/>
      <c r="J403" s="810"/>
      <c r="K403" s="867"/>
      <c r="L403" s="810"/>
      <c r="M403" s="810"/>
      <c r="N403" s="867"/>
      <c r="O403" s="810"/>
      <c r="P403" s="810"/>
      <c r="Q403" s="867"/>
      <c r="R403" s="810"/>
      <c r="S403" s="810"/>
      <c r="T403" s="867"/>
      <c r="U403" s="810"/>
      <c r="V403" s="810"/>
      <c r="W403" s="867"/>
      <c r="X403" s="810"/>
      <c r="Y403" s="810"/>
      <c r="Z403" s="867"/>
      <c r="AA403" s="810"/>
      <c r="AB403" s="810"/>
      <c r="AC403" s="867"/>
      <c r="AD403" s="810"/>
      <c r="AE403" s="810"/>
      <c r="AF403" s="867"/>
      <c r="AG403" s="810"/>
      <c r="AH403" s="810"/>
      <c r="AI403" s="867"/>
      <c r="AJ403" s="810"/>
      <c r="AK403" s="810"/>
      <c r="AL403" s="867"/>
      <c r="AM403" s="810"/>
      <c r="AN403" s="810"/>
      <c r="AO403" s="867"/>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48"/>
      <c r="C404" s="757"/>
      <c r="D404" s="757"/>
      <c r="E404" s="770">
        <v>0</v>
      </c>
      <c r="F404" s="757"/>
      <c r="G404" s="757"/>
      <c r="H404" s="770">
        <v>0</v>
      </c>
      <c r="I404" s="757"/>
      <c r="J404" s="757"/>
      <c r="K404" s="770">
        <v>0</v>
      </c>
      <c r="L404" s="757"/>
      <c r="M404" s="757"/>
      <c r="N404" s="770">
        <v>0</v>
      </c>
      <c r="O404" s="757"/>
      <c r="P404" s="757"/>
      <c r="Q404" s="770">
        <v>0</v>
      </c>
      <c r="R404" s="757"/>
      <c r="S404" s="757"/>
      <c r="T404" s="770">
        <v>0</v>
      </c>
      <c r="U404" s="757"/>
      <c r="V404" s="757"/>
      <c r="W404" s="770">
        <v>0</v>
      </c>
      <c r="X404" s="757"/>
      <c r="Y404" s="757"/>
      <c r="Z404" s="770">
        <v>0</v>
      </c>
      <c r="AA404" s="757"/>
      <c r="AB404" s="757"/>
      <c r="AC404" s="770">
        <v>0</v>
      </c>
      <c r="AD404" s="757"/>
      <c r="AE404" s="757"/>
      <c r="AF404" s="770">
        <v>0</v>
      </c>
      <c r="AG404" s="757"/>
      <c r="AH404" s="757"/>
      <c r="AI404" s="770">
        <v>0</v>
      </c>
      <c r="AJ404" s="757"/>
      <c r="AK404" s="757"/>
      <c r="AL404" s="770">
        <v>0</v>
      </c>
      <c r="AM404" s="757"/>
      <c r="AN404" s="757"/>
      <c r="AO404" s="770">
        <v>0</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1" t="s">
        <v>3935</v>
      </c>
      <c r="C405" s="802" t="s">
        <v>198</v>
      </c>
      <c r="D405" s="802"/>
      <c r="E405" s="802"/>
      <c r="F405" s="802"/>
      <c r="G405" s="802"/>
      <c r="H405" s="871"/>
      <c r="I405" s="802"/>
      <c r="J405" s="802"/>
      <c r="K405" s="802"/>
      <c r="L405" s="802"/>
      <c r="M405" s="802"/>
      <c r="N405" s="802"/>
      <c r="O405" s="802"/>
      <c r="P405" s="802"/>
      <c r="Q405" s="802"/>
      <c r="R405" s="802"/>
      <c r="S405" s="802"/>
      <c r="T405" s="802"/>
      <c r="U405" s="802"/>
      <c r="V405" s="802"/>
      <c r="W405" s="802"/>
      <c r="X405" s="802"/>
      <c r="Y405" s="802"/>
      <c r="Z405" s="802"/>
      <c r="AA405" s="802"/>
      <c r="AB405" s="802"/>
      <c r="AC405" s="802"/>
      <c r="AD405" s="802"/>
      <c r="AE405" s="802"/>
      <c r="AF405" s="802"/>
      <c r="AG405" s="802"/>
      <c r="AH405" s="802"/>
      <c r="AI405" s="802"/>
      <c r="AJ405" s="802"/>
      <c r="AK405" s="802"/>
      <c r="AL405" s="802"/>
      <c r="AM405" s="802"/>
      <c r="AN405" s="802"/>
      <c r="AO405" s="802"/>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39"/>
      <c r="B406" s="67"/>
      <c r="C406" s="872"/>
      <c r="D406" s="872"/>
      <c r="E406" s="872"/>
      <c r="F406" s="873"/>
      <c r="G406" s="873"/>
      <c r="H406" s="874">
        <v>4482053.3331780229</v>
      </c>
      <c r="I406" s="873"/>
      <c r="J406" s="873"/>
      <c r="K406" s="874">
        <v>4829966.1848414261</v>
      </c>
      <c r="L406" s="873"/>
      <c r="M406" s="873"/>
      <c r="N406" s="874">
        <v>5153195.4550734181</v>
      </c>
      <c r="O406" s="873"/>
      <c r="P406" s="873"/>
      <c r="Q406" s="874">
        <v>5517580.6656092349</v>
      </c>
      <c r="R406" s="873"/>
      <c r="S406" s="873"/>
      <c r="T406" s="874">
        <v>6218544.1428936739</v>
      </c>
      <c r="U406" s="873"/>
      <c r="V406" s="873"/>
      <c r="W406" s="874">
        <v>6347743.5724750683</v>
      </c>
      <c r="X406" s="873"/>
      <c r="Y406" s="873"/>
      <c r="Z406" s="874">
        <v>6284852.3733866792</v>
      </c>
      <c r="AA406" s="873"/>
      <c r="AB406" s="873"/>
      <c r="AC406" s="874">
        <v>6998856.7929928433</v>
      </c>
      <c r="AD406" s="873"/>
      <c r="AE406" s="873"/>
      <c r="AF406" s="874">
        <v>5391184.2165118074</v>
      </c>
      <c r="AG406" s="873"/>
      <c r="AH406" s="873"/>
      <c r="AI406" s="874">
        <v>7025011.4297198504</v>
      </c>
      <c r="AJ406" s="873"/>
      <c r="AK406" s="873"/>
      <c r="AL406" s="874">
        <v>7681153.0316782119</v>
      </c>
      <c r="AM406" s="873"/>
      <c r="AN406" s="873"/>
      <c r="AO406" s="874">
        <v>5294550.2992112022</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39"/>
      <c r="B407" s="40" t="s">
        <v>3</v>
      </c>
      <c r="C407" s="969">
        <v>2025</v>
      </c>
      <c r="D407" s="970"/>
      <c r="E407" s="971"/>
      <c r="F407" s="729" t="s">
        <v>8</v>
      </c>
      <c r="G407" s="730"/>
      <c r="H407" s="731"/>
      <c r="I407" s="729" t="s">
        <v>10</v>
      </c>
      <c r="J407" s="730"/>
      <c r="K407" s="731"/>
      <c r="L407" s="729" t="s">
        <v>11</v>
      </c>
      <c r="M407" s="730"/>
      <c r="N407" s="731"/>
      <c r="O407" s="729" t="s">
        <v>12</v>
      </c>
      <c r="P407" s="730"/>
      <c r="Q407" s="731"/>
      <c r="R407" s="729" t="s">
        <v>13</v>
      </c>
      <c r="S407" s="730"/>
      <c r="T407" s="731"/>
      <c r="U407" s="729" t="s">
        <v>14</v>
      </c>
      <c r="V407" s="730"/>
      <c r="W407" s="731"/>
      <c r="X407" s="729" t="s">
        <v>16</v>
      </c>
      <c r="Y407" s="730"/>
      <c r="Z407" s="731"/>
      <c r="AA407" s="729" t="s">
        <v>18</v>
      </c>
      <c r="AB407" s="730"/>
      <c r="AC407" s="731"/>
      <c r="AD407" s="729" t="s">
        <v>20</v>
      </c>
      <c r="AE407" s="730"/>
      <c r="AF407" s="731"/>
      <c r="AG407" s="729" t="s">
        <v>22</v>
      </c>
      <c r="AH407" s="730"/>
      <c r="AI407" s="731"/>
      <c r="AJ407" s="729" t="s">
        <v>23</v>
      </c>
      <c r="AK407" s="730"/>
      <c r="AL407" s="731"/>
      <c r="AM407" s="729" t="s">
        <v>6</v>
      </c>
      <c r="AN407" s="730"/>
      <c r="AO407" s="731"/>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43"/>
      <c r="C408" s="875" t="s">
        <v>199</v>
      </c>
      <c r="D408" s="876" t="s">
        <v>200</v>
      </c>
      <c r="E408" s="877" t="s">
        <v>201</v>
      </c>
      <c r="F408" s="875" t="s">
        <v>199</v>
      </c>
      <c r="G408" s="876" t="s">
        <v>200</v>
      </c>
      <c r="H408" s="877" t="s">
        <v>201</v>
      </c>
      <c r="I408" s="875" t="s">
        <v>199</v>
      </c>
      <c r="J408" s="876" t="s">
        <v>200</v>
      </c>
      <c r="K408" s="877" t="s">
        <v>201</v>
      </c>
      <c r="L408" s="875" t="s">
        <v>199</v>
      </c>
      <c r="M408" s="876" t="s">
        <v>200</v>
      </c>
      <c r="N408" s="877" t="s">
        <v>201</v>
      </c>
      <c r="O408" s="875" t="s">
        <v>199</v>
      </c>
      <c r="P408" s="876" t="s">
        <v>200</v>
      </c>
      <c r="Q408" s="877" t="s">
        <v>201</v>
      </c>
      <c r="R408" s="875" t="s">
        <v>199</v>
      </c>
      <c r="S408" s="876" t="s">
        <v>200</v>
      </c>
      <c r="T408" s="877" t="s">
        <v>201</v>
      </c>
      <c r="U408" s="875" t="s">
        <v>199</v>
      </c>
      <c r="V408" s="876" t="s">
        <v>200</v>
      </c>
      <c r="W408" s="877" t="s">
        <v>201</v>
      </c>
      <c r="X408" s="875" t="s">
        <v>199</v>
      </c>
      <c r="Y408" s="876" t="s">
        <v>200</v>
      </c>
      <c r="Z408" s="877" t="s">
        <v>201</v>
      </c>
      <c r="AA408" s="875" t="s">
        <v>199</v>
      </c>
      <c r="AB408" s="876" t="s">
        <v>200</v>
      </c>
      <c r="AC408" s="877" t="s">
        <v>201</v>
      </c>
      <c r="AD408" s="875" t="s">
        <v>199</v>
      </c>
      <c r="AE408" s="876" t="s">
        <v>200</v>
      </c>
      <c r="AF408" s="877" t="s">
        <v>201</v>
      </c>
      <c r="AG408" s="875" t="s">
        <v>199</v>
      </c>
      <c r="AH408" s="876" t="s">
        <v>200</v>
      </c>
      <c r="AI408" s="877" t="s">
        <v>201</v>
      </c>
      <c r="AJ408" s="875" t="s">
        <v>199</v>
      </c>
      <c r="AK408" s="876" t="s">
        <v>200</v>
      </c>
      <c r="AL408" s="877" t="s">
        <v>201</v>
      </c>
      <c r="AM408" s="875" t="s">
        <v>199</v>
      </c>
      <c r="AN408" s="876" t="s">
        <v>200</v>
      </c>
      <c r="AO408" s="877" t="s">
        <v>201</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9">B409</f>
        <v>Ventes nettes</v>
      </c>
      <c r="B409" s="55" t="s">
        <v>96</v>
      </c>
      <c r="C409" s="878"/>
      <c r="D409" s="879"/>
      <c r="E409" s="880">
        <v>71224691.497571439</v>
      </c>
      <c r="F409" s="878"/>
      <c r="G409" s="879"/>
      <c r="H409" s="880">
        <v>4482053.3331780229</v>
      </c>
      <c r="I409" s="878"/>
      <c r="J409" s="879"/>
      <c r="K409" s="880">
        <v>4829966.1848414261</v>
      </c>
      <c r="L409" s="878"/>
      <c r="M409" s="879"/>
      <c r="N409" s="880">
        <v>5153195.4550734181</v>
      </c>
      <c r="O409" s="878"/>
      <c r="P409" s="879"/>
      <c r="Q409" s="880">
        <v>5517580.6656092349</v>
      </c>
      <c r="R409" s="878"/>
      <c r="S409" s="879"/>
      <c r="T409" s="880">
        <v>6218544.1428936739</v>
      </c>
      <c r="U409" s="878"/>
      <c r="V409" s="879"/>
      <c r="W409" s="880">
        <v>6347743.5724750683</v>
      </c>
      <c r="X409" s="878"/>
      <c r="Y409" s="879"/>
      <c r="Z409" s="880">
        <v>6284852.3733866792</v>
      </c>
      <c r="AA409" s="878"/>
      <c r="AB409" s="879"/>
      <c r="AC409" s="880">
        <v>6998856.7929928433</v>
      </c>
      <c r="AD409" s="878"/>
      <c r="AE409" s="879"/>
      <c r="AF409" s="880">
        <v>5391184.2165118074</v>
      </c>
      <c r="AG409" s="878"/>
      <c r="AH409" s="879"/>
      <c r="AI409" s="880">
        <v>7025011.4297198504</v>
      </c>
      <c r="AJ409" s="878"/>
      <c r="AK409" s="879"/>
      <c r="AL409" s="880">
        <v>7681153.0316782119</v>
      </c>
      <c r="AM409" s="878"/>
      <c r="AN409" s="879"/>
      <c r="AO409" s="880">
        <v>5294550.2992112022</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9"/>
        <v>Profit brut</v>
      </c>
      <c r="B410" s="68" t="s">
        <v>202</v>
      </c>
      <c r="C410" s="881"/>
      <c r="D410" s="882"/>
      <c r="E410" s="883">
        <v>8497668.2491439786</v>
      </c>
      <c r="F410" s="881"/>
      <c r="G410" s="882"/>
      <c r="H410" s="883">
        <v>554442.41363563016</v>
      </c>
      <c r="I410" s="881"/>
      <c r="J410" s="882"/>
      <c r="K410" s="883">
        <v>534584.27570487466</v>
      </c>
      <c r="L410" s="881"/>
      <c r="M410" s="882"/>
      <c r="N410" s="883">
        <v>565592.67098837288</v>
      </c>
      <c r="O410" s="881"/>
      <c r="P410" s="882"/>
      <c r="Q410" s="883">
        <v>741116.26854674181</v>
      </c>
      <c r="R410" s="881"/>
      <c r="S410" s="882"/>
      <c r="T410" s="883">
        <v>787887.69301066932</v>
      </c>
      <c r="U410" s="881"/>
      <c r="V410" s="882"/>
      <c r="W410" s="883">
        <v>733960.74994453136</v>
      </c>
      <c r="X410" s="881"/>
      <c r="Y410" s="882"/>
      <c r="Z410" s="883">
        <v>717413.29201062571</v>
      </c>
      <c r="AA410" s="881"/>
      <c r="AB410" s="882"/>
      <c r="AC410" s="883">
        <v>775918.47452884051</v>
      </c>
      <c r="AD410" s="881"/>
      <c r="AE410" s="882"/>
      <c r="AF410" s="883">
        <v>631136.47431081475</v>
      </c>
      <c r="AG410" s="881"/>
      <c r="AH410" s="882"/>
      <c r="AI410" s="883">
        <v>852151.78418398125</v>
      </c>
      <c r="AJ410" s="881"/>
      <c r="AK410" s="882"/>
      <c r="AL410" s="883">
        <v>1001809.5215470088</v>
      </c>
      <c r="AM410" s="881"/>
      <c r="AN410" s="882"/>
      <c r="AO410" s="883">
        <v>601654.63073188812</v>
      </c>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9"/>
        <v>DÉPENSES</v>
      </c>
      <c r="B411" s="69" t="s">
        <v>203</v>
      </c>
      <c r="C411" s="884"/>
      <c r="D411" s="885"/>
      <c r="E411" s="886"/>
      <c r="F411" s="884"/>
      <c r="G411" s="885"/>
      <c r="H411" s="886"/>
      <c r="I411" s="884"/>
      <c r="J411" s="885"/>
      <c r="K411" s="886"/>
      <c r="L411" s="884"/>
      <c r="M411" s="885"/>
      <c r="N411" s="886"/>
      <c r="O411" s="884"/>
      <c r="P411" s="885"/>
      <c r="Q411" s="886"/>
      <c r="R411" s="884"/>
      <c r="S411" s="885"/>
      <c r="T411" s="886"/>
      <c r="U411" s="884"/>
      <c r="V411" s="885"/>
      <c r="W411" s="886"/>
      <c r="X411" s="884"/>
      <c r="Y411" s="885"/>
      <c r="Z411" s="886"/>
      <c r="AA411" s="884"/>
      <c r="AB411" s="885"/>
      <c r="AC411" s="886"/>
      <c r="AD411" s="884"/>
      <c r="AE411" s="885"/>
      <c r="AF411" s="886"/>
      <c r="AG411" s="884"/>
      <c r="AH411" s="885"/>
      <c r="AI411" s="886"/>
      <c r="AJ411" s="884"/>
      <c r="AK411" s="885"/>
      <c r="AL411" s="886"/>
      <c r="AM411" s="884"/>
      <c r="AN411" s="885"/>
      <c r="AO411" s="886"/>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9"/>
        <v>Comm. vendeurs</v>
      </c>
      <c r="B412" s="54" t="s">
        <v>111</v>
      </c>
      <c r="C412" s="887">
        <v>0.32790033729050083</v>
      </c>
      <c r="D412" s="888">
        <v>660.78696242911201</v>
      </c>
      <c r="E412" s="886">
        <v>786997.27225307235</v>
      </c>
      <c r="F412" s="889"/>
      <c r="G412" s="888">
        <v>749.76904232426602</v>
      </c>
      <c r="H412" s="886">
        <v>58481.985301292749</v>
      </c>
      <c r="I412" s="889"/>
      <c r="J412" s="888">
        <v>709.38726538167566</v>
      </c>
      <c r="K412" s="886">
        <v>54622.819434389028</v>
      </c>
      <c r="L412" s="889"/>
      <c r="M412" s="888">
        <v>703.93622103083999</v>
      </c>
      <c r="N412" s="886">
        <v>53499.152798343835</v>
      </c>
      <c r="O412" s="889"/>
      <c r="P412" s="888">
        <v>698.06389563417122</v>
      </c>
      <c r="Q412" s="886">
        <v>60033.495024538723</v>
      </c>
      <c r="R412" s="889"/>
      <c r="S412" s="888">
        <v>679.50765774804984</v>
      </c>
      <c r="T412" s="886">
        <v>67271.258117056932</v>
      </c>
      <c r="U412" s="889"/>
      <c r="V412" s="888">
        <v>671.85449906338499</v>
      </c>
      <c r="W412" s="886">
        <v>71888.431399782188</v>
      </c>
      <c r="X412" s="889"/>
      <c r="Y412" s="888">
        <v>682.58990525002469</v>
      </c>
      <c r="Z412" s="886">
        <v>70306.760240752541</v>
      </c>
      <c r="AA412" s="889"/>
      <c r="AB412" s="888">
        <v>706.55789613616662</v>
      </c>
      <c r="AC412" s="886">
        <v>80547.60015952299</v>
      </c>
      <c r="AD412" s="889"/>
      <c r="AE412" s="888">
        <v>713.93938442037711</v>
      </c>
      <c r="AF412" s="886">
        <v>59970.90829131168</v>
      </c>
      <c r="AG412" s="889"/>
      <c r="AH412" s="888">
        <v>676.41383021283934</v>
      </c>
      <c r="AI412" s="886">
        <v>75081.935153625163</v>
      </c>
      <c r="AJ412" s="889"/>
      <c r="AK412" s="888">
        <v>674.88577714511337</v>
      </c>
      <c r="AL412" s="886">
        <v>79636.521703123377</v>
      </c>
      <c r="AM412" s="889"/>
      <c r="AN412" s="888">
        <v>704.51145100421672</v>
      </c>
      <c r="AO412" s="886">
        <v>55656.404629333119</v>
      </c>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9"/>
        <v>Comm. F&amp;I</v>
      </c>
      <c r="B413" s="55" t="s">
        <v>112</v>
      </c>
      <c r="C413" s="890">
        <v>0.28936806432321083</v>
      </c>
      <c r="D413" s="891">
        <v>384.69081272084804</v>
      </c>
      <c r="E413" s="880">
        <v>435470</v>
      </c>
      <c r="F413" s="892"/>
      <c r="G413" s="891">
        <v>368.84615384615387</v>
      </c>
      <c r="H413" s="880">
        <v>28770</v>
      </c>
      <c r="I413" s="892"/>
      <c r="J413" s="891">
        <v>385.06493506493507</v>
      </c>
      <c r="K413" s="880">
        <v>29650</v>
      </c>
      <c r="L413" s="892"/>
      <c r="M413" s="891">
        <v>394.07894736842104</v>
      </c>
      <c r="N413" s="880">
        <v>29950</v>
      </c>
      <c r="O413" s="892"/>
      <c r="P413" s="891">
        <v>387.55813953488371</v>
      </c>
      <c r="Q413" s="880">
        <v>33330</v>
      </c>
      <c r="R413" s="892"/>
      <c r="S413" s="891">
        <v>402.82828282828285</v>
      </c>
      <c r="T413" s="880">
        <v>39880</v>
      </c>
      <c r="U413" s="892"/>
      <c r="V413" s="891">
        <v>393.45794392523362</v>
      </c>
      <c r="W413" s="880">
        <v>42100</v>
      </c>
      <c r="X413" s="892"/>
      <c r="Y413" s="891">
        <v>386.60194174757282</v>
      </c>
      <c r="Z413" s="880">
        <v>39820</v>
      </c>
      <c r="AA413" s="892"/>
      <c r="AB413" s="891">
        <v>366.14035087719299</v>
      </c>
      <c r="AC413" s="880">
        <v>41740</v>
      </c>
      <c r="AD413" s="892"/>
      <c r="AE413" s="891">
        <v>372.85714285714283</v>
      </c>
      <c r="AF413" s="880">
        <v>31320</v>
      </c>
      <c r="AG413" s="892"/>
      <c r="AH413" s="891">
        <v>397.29729729729729</v>
      </c>
      <c r="AI413" s="880">
        <v>44100</v>
      </c>
      <c r="AJ413" s="892"/>
      <c r="AK413" s="891">
        <v>375.50847457627117</v>
      </c>
      <c r="AL413" s="880">
        <v>44310</v>
      </c>
      <c r="AM413" s="892"/>
      <c r="AN413" s="891">
        <v>386.07594936708858</v>
      </c>
      <c r="AO413" s="880">
        <v>30500</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9"/>
        <v>Frais de livraison</v>
      </c>
      <c r="B414" s="54" t="s">
        <v>113</v>
      </c>
      <c r="C414" s="889"/>
      <c r="D414" s="888">
        <v>83.89399293286219</v>
      </c>
      <c r="E414" s="886">
        <v>94968</v>
      </c>
      <c r="F414" s="889"/>
      <c r="G414" s="888">
        <v>90.615384615384613</v>
      </c>
      <c r="H414" s="886">
        <v>7068</v>
      </c>
      <c r="I414" s="889"/>
      <c r="J414" s="888">
        <v>84.740259740259745</v>
      </c>
      <c r="K414" s="886">
        <v>6525</v>
      </c>
      <c r="L414" s="889"/>
      <c r="M414" s="888">
        <v>81.526315789473685</v>
      </c>
      <c r="N414" s="886">
        <v>6196</v>
      </c>
      <c r="O414" s="889"/>
      <c r="P414" s="888">
        <v>82.930232558139537</v>
      </c>
      <c r="Q414" s="886">
        <v>7132</v>
      </c>
      <c r="R414" s="889"/>
      <c r="S414" s="888">
        <v>74.090909090909093</v>
      </c>
      <c r="T414" s="886">
        <v>7335</v>
      </c>
      <c r="U414" s="889"/>
      <c r="V414" s="888">
        <v>81.299065420560751</v>
      </c>
      <c r="W414" s="886">
        <v>8699</v>
      </c>
      <c r="X414" s="889"/>
      <c r="Y414" s="888">
        <v>84.145631067961162</v>
      </c>
      <c r="Z414" s="886">
        <v>8667</v>
      </c>
      <c r="AA414" s="889"/>
      <c r="AB414" s="888">
        <v>90.877192982456137</v>
      </c>
      <c r="AC414" s="886">
        <v>10360</v>
      </c>
      <c r="AD414" s="889"/>
      <c r="AE414" s="888">
        <v>88.535714285714292</v>
      </c>
      <c r="AF414" s="886">
        <v>7437</v>
      </c>
      <c r="AG414" s="889"/>
      <c r="AH414" s="888">
        <v>77.621621621621628</v>
      </c>
      <c r="AI414" s="886">
        <v>8616</v>
      </c>
      <c r="AJ414" s="889"/>
      <c r="AK414" s="888">
        <v>87.16101694915254</v>
      </c>
      <c r="AL414" s="886">
        <v>10285</v>
      </c>
      <c r="AM414" s="889"/>
      <c r="AN414" s="888">
        <v>84.151898734177209</v>
      </c>
      <c r="AO414" s="886">
        <v>6648</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9"/>
        <v>Service gratuit 1</v>
      </c>
      <c r="B415" s="54" t="s">
        <v>114</v>
      </c>
      <c r="C415" s="889"/>
      <c r="D415" s="888">
        <v>21.815371024734983</v>
      </c>
      <c r="E415" s="886">
        <v>24695</v>
      </c>
      <c r="F415" s="889"/>
      <c r="G415" s="888">
        <v>19.807692307692307</v>
      </c>
      <c r="H415" s="886">
        <v>1545</v>
      </c>
      <c r="I415" s="889"/>
      <c r="J415" s="888">
        <v>21.753246753246753</v>
      </c>
      <c r="K415" s="886">
        <v>1675</v>
      </c>
      <c r="L415" s="889"/>
      <c r="M415" s="888">
        <v>22.828947368421051</v>
      </c>
      <c r="N415" s="886">
        <v>1735</v>
      </c>
      <c r="O415" s="889"/>
      <c r="P415" s="888">
        <v>22.151162790697676</v>
      </c>
      <c r="Q415" s="886">
        <v>1905</v>
      </c>
      <c r="R415" s="889"/>
      <c r="S415" s="888">
        <v>24.343434343434343</v>
      </c>
      <c r="T415" s="886">
        <v>2410</v>
      </c>
      <c r="U415" s="889"/>
      <c r="V415" s="888">
        <v>22.803738317757009</v>
      </c>
      <c r="W415" s="886">
        <v>2440</v>
      </c>
      <c r="X415" s="889"/>
      <c r="Y415" s="888">
        <v>21.941747572815533</v>
      </c>
      <c r="Z415" s="886">
        <v>2260</v>
      </c>
      <c r="AA415" s="889"/>
      <c r="AB415" s="888">
        <v>19.561403508771932</v>
      </c>
      <c r="AC415" s="886">
        <v>2230</v>
      </c>
      <c r="AD415" s="889"/>
      <c r="AE415" s="888">
        <v>20.357142857142858</v>
      </c>
      <c r="AF415" s="886">
        <v>1710</v>
      </c>
      <c r="AG415" s="889"/>
      <c r="AH415" s="888">
        <v>23.513513513513512</v>
      </c>
      <c r="AI415" s="886">
        <v>2610</v>
      </c>
      <c r="AJ415" s="889"/>
      <c r="AK415" s="888">
        <v>20.720338983050848</v>
      </c>
      <c r="AL415" s="886">
        <v>2445</v>
      </c>
      <c r="AM415" s="889"/>
      <c r="AN415" s="888">
        <v>21.898734177215189</v>
      </c>
      <c r="AO415" s="886">
        <v>1730</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9"/>
        <v>Entretien stock</v>
      </c>
      <c r="B416" s="55" t="s">
        <v>115</v>
      </c>
      <c r="C416" s="892"/>
      <c r="D416" s="891">
        <v>137.77385159010601</v>
      </c>
      <c r="E416" s="880">
        <v>155960</v>
      </c>
      <c r="F416" s="892"/>
      <c r="G416" s="891">
        <v>135.96153846153845</v>
      </c>
      <c r="H416" s="880">
        <v>10605</v>
      </c>
      <c r="I416" s="892"/>
      <c r="J416" s="891">
        <v>138.19805194805195</v>
      </c>
      <c r="K416" s="880">
        <v>10641.25</v>
      </c>
      <c r="L416" s="892"/>
      <c r="M416" s="891">
        <v>139.46052631578948</v>
      </c>
      <c r="N416" s="880">
        <v>10599</v>
      </c>
      <c r="O416" s="892"/>
      <c r="P416" s="891">
        <v>138.19767441860466</v>
      </c>
      <c r="Q416" s="880">
        <v>11885</v>
      </c>
      <c r="R416" s="892"/>
      <c r="S416" s="891">
        <v>139.04797979797979</v>
      </c>
      <c r="T416" s="880">
        <v>13765.75</v>
      </c>
      <c r="U416" s="892"/>
      <c r="V416" s="891">
        <v>139.20327102803739</v>
      </c>
      <c r="W416" s="880">
        <v>14894.75</v>
      </c>
      <c r="X416" s="892"/>
      <c r="Y416" s="891">
        <v>138.39563106796118</v>
      </c>
      <c r="Z416" s="880">
        <v>14254.75</v>
      </c>
      <c r="AA416" s="892"/>
      <c r="AB416" s="891">
        <v>135.31578947368422</v>
      </c>
      <c r="AC416" s="880">
        <v>15426</v>
      </c>
      <c r="AD416" s="892"/>
      <c r="AE416" s="891">
        <v>136.27678571428572</v>
      </c>
      <c r="AF416" s="880">
        <v>11447.25</v>
      </c>
      <c r="AG416" s="892"/>
      <c r="AH416" s="891">
        <v>138.86486486486487</v>
      </c>
      <c r="AI416" s="880">
        <v>15414</v>
      </c>
      <c r="AJ416" s="892"/>
      <c r="AK416" s="891">
        <v>136.48516949152543</v>
      </c>
      <c r="AL416" s="880">
        <v>16105.25</v>
      </c>
      <c r="AM416" s="892"/>
      <c r="AN416" s="891">
        <v>138.25316455696202</v>
      </c>
      <c r="AO416" s="880">
        <v>10922</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9"/>
        <v>Publicité 1</v>
      </c>
      <c r="B417" s="54" t="s">
        <v>116</v>
      </c>
      <c r="C417" s="889"/>
      <c r="D417" s="888">
        <v>201.26148409893992</v>
      </c>
      <c r="E417" s="886">
        <v>227828</v>
      </c>
      <c r="F417" s="889"/>
      <c r="G417" s="888">
        <v>239.02564102564102</v>
      </c>
      <c r="H417" s="886">
        <v>18644</v>
      </c>
      <c r="I417" s="889"/>
      <c r="J417" s="888">
        <v>243.42857142857142</v>
      </c>
      <c r="K417" s="886">
        <v>18744</v>
      </c>
      <c r="L417" s="889"/>
      <c r="M417" s="888">
        <v>405.84210526315792</v>
      </c>
      <c r="N417" s="886">
        <v>30844</v>
      </c>
      <c r="O417" s="889"/>
      <c r="P417" s="888">
        <v>207.48837209302326</v>
      </c>
      <c r="Q417" s="886">
        <v>17844</v>
      </c>
      <c r="R417" s="889"/>
      <c r="S417" s="888">
        <v>168.12121212121212</v>
      </c>
      <c r="T417" s="886">
        <v>16644</v>
      </c>
      <c r="U417" s="889"/>
      <c r="V417" s="888">
        <v>146.20560747663552</v>
      </c>
      <c r="W417" s="886">
        <v>15644</v>
      </c>
      <c r="X417" s="889"/>
      <c r="Y417" s="888">
        <v>155.76699029126215</v>
      </c>
      <c r="Z417" s="886">
        <v>16044</v>
      </c>
      <c r="AA417" s="889"/>
      <c r="AB417" s="888">
        <v>131.08771929824562</v>
      </c>
      <c r="AC417" s="886">
        <v>14944</v>
      </c>
      <c r="AD417" s="889"/>
      <c r="AE417" s="888">
        <v>214.8095238095238</v>
      </c>
      <c r="AF417" s="886">
        <v>18044</v>
      </c>
      <c r="AG417" s="889"/>
      <c r="AH417" s="888">
        <v>246.34234234234233</v>
      </c>
      <c r="AI417" s="886">
        <v>27344</v>
      </c>
      <c r="AJ417" s="889"/>
      <c r="AK417" s="888">
        <v>123.2542372881356</v>
      </c>
      <c r="AL417" s="886">
        <v>14544</v>
      </c>
      <c r="AM417" s="889"/>
      <c r="AN417" s="888">
        <v>234.73417721518987</v>
      </c>
      <c r="AO417" s="886">
        <v>18544</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9"/>
        <v>Intérêt de gros</v>
      </c>
      <c r="B418" s="54" t="s">
        <v>117</v>
      </c>
      <c r="C418" s="889"/>
      <c r="D418" s="888">
        <v>469.84717314487631</v>
      </c>
      <c r="E418" s="886">
        <v>531867</v>
      </c>
      <c r="F418" s="889"/>
      <c r="G418" s="888">
        <v>531.77094680005905</v>
      </c>
      <c r="H418" s="886">
        <v>41478.133850404607</v>
      </c>
      <c r="I418" s="889"/>
      <c r="J418" s="888">
        <v>533.38128849956968</v>
      </c>
      <c r="K418" s="886">
        <v>41070.359214466866</v>
      </c>
      <c r="L418" s="889"/>
      <c r="M418" s="888">
        <v>564.90309782130043</v>
      </c>
      <c r="N418" s="886">
        <v>42932.635434418837</v>
      </c>
      <c r="O418" s="889"/>
      <c r="P418" s="888">
        <v>519.12375212798781</v>
      </c>
      <c r="Q418" s="886">
        <v>44644.642683006954</v>
      </c>
      <c r="R418" s="889"/>
      <c r="S418" s="888">
        <v>467.4317295632116</v>
      </c>
      <c r="T418" s="886">
        <v>46275.741226757949</v>
      </c>
      <c r="U418" s="889"/>
      <c r="V418" s="888">
        <v>429.49780439895875</v>
      </c>
      <c r="W418" s="886">
        <v>45956.265070688583</v>
      </c>
      <c r="X418" s="889"/>
      <c r="Y418" s="888">
        <v>467.21290012432121</v>
      </c>
      <c r="Z418" s="886">
        <v>48122.928712805086</v>
      </c>
      <c r="AA418" s="889"/>
      <c r="AB418" s="888">
        <v>376.25564431455683</v>
      </c>
      <c r="AC418" s="886">
        <v>42893.143451859476</v>
      </c>
      <c r="AD418" s="889"/>
      <c r="AE418" s="888">
        <v>557.14365560304032</v>
      </c>
      <c r="AF418" s="886">
        <v>46800.067070655386</v>
      </c>
      <c r="AG418" s="889"/>
      <c r="AH418" s="888">
        <v>438.2635545648875</v>
      </c>
      <c r="AI418" s="886">
        <v>48647.254556702515</v>
      </c>
      <c r="AJ418" s="889"/>
      <c r="AK418" s="888">
        <v>356.812899731838</v>
      </c>
      <c r="AL418" s="886">
        <v>42103.922168356883</v>
      </c>
      <c r="AM418" s="889"/>
      <c r="AN418" s="888">
        <v>518.25198177059281</v>
      </c>
      <c r="AO418" s="886">
        <v>40941.906559876836</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9"/>
        <v>[...]</v>
      </c>
      <c r="B419" s="44" t="s">
        <v>59</v>
      </c>
      <c r="C419" s="889"/>
      <c r="D419" s="888"/>
      <c r="E419" s="886">
        <v>0</v>
      </c>
      <c r="F419" s="889"/>
      <c r="G419" s="888"/>
      <c r="H419" s="886">
        <v>0</v>
      </c>
      <c r="I419" s="889"/>
      <c r="J419" s="888"/>
      <c r="K419" s="886">
        <v>0</v>
      </c>
      <c r="L419" s="889"/>
      <c r="M419" s="888"/>
      <c r="N419" s="886">
        <v>0</v>
      </c>
      <c r="O419" s="889"/>
      <c r="P419" s="888"/>
      <c r="Q419" s="886">
        <v>0</v>
      </c>
      <c r="R419" s="889"/>
      <c r="S419" s="888"/>
      <c r="T419" s="886">
        <v>0</v>
      </c>
      <c r="U419" s="889"/>
      <c r="V419" s="888"/>
      <c r="W419" s="886">
        <v>0</v>
      </c>
      <c r="X419" s="889"/>
      <c r="Y419" s="888"/>
      <c r="Z419" s="886">
        <v>0</v>
      </c>
      <c r="AA419" s="889"/>
      <c r="AB419" s="888"/>
      <c r="AC419" s="886">
        <v>0</v>
      </c>
      <c r="AD419" s="889"/>
      <c r="AE419" s="888"/>
      <c r="AF419" s="886">
        <v>0</v>
      </c>
      <c r="AG419" s="889"/>
      <c r="AH419" s="888"/>
      <c r="AI419" s="886">
        <v>0</v>
      </c>
      <c r="AJ419" s="889"/>
      <c r="AK419" s="888"/>
      <c r="AL419" s="886">
        <v>0</v>
      </c>
      <c r="AM419" s="889"/>
      <c r="AN419" s="888"/>
      <c r="AO419" s="886">
        <v>0</v>
      </c>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9"/>
        <v>[...]</v>
      </c>
      <c r="B420" s="44" t="s">
        <v>59</v>
      </c>
      <c r="C420" s="889"/>
      <c r="D420" s="888"/>
      <c r="E420" s="886">
        <v>0</v>
      </c>
      <c r="F420" s="889"/>
      <c r="G420" s="888"/>
      <c r="H420" s="886">
        <v>0</v>
      </c>
      <c r="I420" s="889"/>
      <c r="J420" s="888"/>
      <c r="K420" s="886">
        <v>0</v>
      </c>
      <c r="L420" s="889"/>
      <c r="M420" s="888"/>
      <c r="N420" s="886">
        <v>0</v>
      </c>
      <c r="O420" s="889"/>
      <c r="P420" s="888"/>
      <c r="Q420" s="886">
        <v>0</v>
      </c>
      <c r="R420" s="889"/>
      <c r="S420" s="888"/>
      <c r="T420" s="886">
        <v>0</v>
      </c>
      <c r="U420" s="889"/>
      <c r="V420" s="888"/>
      <c r="W420" s="886">
        <v>0</v>
      </c>
      <c r="X420" s="889"/>
      <c r="Y420" s="888"/>
      <c r="Z420" s="886">
        <v>0</v>
      </c>
      <c r="AA420" s="889"/>
      <c r="AB420" s="888"/>
      <c r="AC420" s="886">
        <v>0</v>
      </c>
      <c r="AD420" s="889"/>
      <c r="AE420" s="888"/>
      <c r="AF420" s="886">
        <v>0</v>
      </c>
      <c r="AG420" s="889"/>
      <c r="AH420" s="888"/>
      <c r="AI420" s="886">
        <v>0</v>
      </c>
      <c r="AJ420" s="889"/>
      <c r="AK420" s="888"/>
      <c r="AL420" s="886">
        <v>0</v>
      </c>
      <c r="AM420" s="889"/>
      <c r="AN420" s="888"/>
      <c r="AO420" s="886">
        <v>0</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9"/>
        <v>[...]</v>
      </c>
      <c r="B421" s="43" t="s">
        <v>59</v>
      </c>
      <c r="C421" s="889"/>
      <c r="D421" s="888"/>
      <c r="E421" s="886">
        <v>0</v>
      </c>
      <c r="F421" s="889"/>
      <c r="G421" s="888"/>
      <c r="H421" s="886">
        <v>0</v>
      </c>
      <c r="I421" s="889"/>
      <c r="J421" s="888"/>
      <c r="K421" s="886">
        <v>0</v>
      </c>
      <c r="L421" s="889"/>
      <c r="M421" s="888"/>
      <c r="N421" s="886">
        <v>0</v>
      </c>
      <c r="O421" s="889"/>
      <c r="P421" s="888"/>
      <c r="Q421" s="886">
        <v>0</v>
      </c>
      <c r="R421" s="889"/>
      <c r="S421" s="888"/>
      <c r="T421" s="886">
        <v>0</v>
      </c>
      <c r="U421" s="889"/>
      <c r="V421" s="888"/>
      <c r="W421" s="886">
        <v>0</v>
      </c>
      <c r="X421" s="889"/>
      <c r="Y421" s="888"/>
      <c r="Z421" s="886">
        <v>0</v>
      </c>
      <c r="AA421" s="889"/>
      <c r="AB421" s="888"/>
      <c r="AC421" s="886">
        <v>0</v>
      </c>
      <c r="AD421" s="889"/>
      <c r="AE421" s="888"/>
      <c r="AF421" s="886">
        <v>0</v>
      </c>
      <c r="AG421" s="889"/>
      <c r="AH421" s="888"/>
      <c r="AI421" s="886">
        <v>0</v>
      </c>
      <c r="AJ421" s="889"/>
      <c r="AK421" s="888"/>
      <c r="AL421" s="886">
        <v>0</v>
      </c>
      <c r="AM421" s="889"/>
      <c r="AN421" s="888"/>
      <c r="AO421" s="886">
        <v>0</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9"/>
        <v>TOTAL VARIABLES</v>
      </c>
      <c r="B422" s="70" t="s">
        <v>118</v>
      </c>
      <c r="C422" s="893">
        <v>0.26569468306561778</v>
      </c>
      <c r="D422" s="894">
        <v>1960.0696479414794</v>
      </c>
      <c r="E422" s="895">
        <v>2257785.2722530724</v>
      </c>
      <c r="F422" s="893">
        <v>0.30046784851704866</v>
      </c>
      <c r="G422" s="896"/>
      <c r="H422" s="895">
        <v>166592.11915169735</v>
      </c>
      <c r="I422" s="893">
        <v>0.30477594656899898</v>
      </c>
      <c r="J422" s="896"/>
      <c r="K422" s="895">
        <v>162928.42864885589</v>
      </c>
      <c r="L422" s="893">
        <v>0.31074622647713862</v>
      </c>
      <c r="M422" s="896"/>
      <c r="N422" s="895">
        <v>175755.78823276266</v>
      </c>
      <c r="O422" s="893">
        <v>0.23852416309006796</v>
      </c>
      <c r="P422" s="896"/>
      <c r="Q422" s="895">
        <v>176774.13770754565</v>
      </c>
      <c r="R422" s="893">
        <v>0.24569713559568626</v>
      </c>
      <c r="S422" s="896"/>
      <c r="T422" s="895">
        <v>193581.74934381485</v>
      </c>
      <c r="U422" s="893">
        <v>0.27470467117718256</v>
      </c>
      <c r="V422" s="896"/>
      <c r="W422" s="895">
        <v>201622.44647047078</v>
      </c>
      <c r="X422" s="893">
        <v>0.27804815045244963</v>
      </c>
      <c r="Y422" s="896"/>
      <c r="Z422" s="895">
        <v>199475.43895355763</v>
      </c>
      <c r="AA422" s="893">
        <v>0.26825078979820832</v>
      </c>
      <c r="AB422" s="896"/>
      <c r="AC422" s="895">
        <v>208140.74361138247</v>
      </c>
      <c r="AD422" s="893">
        <v>0.28001744876961981</v>
      </c>
      <c r="AE422" s="896"/>
      <c r="AF422" s="895">
        <v>176729.22536196705</v>
      </c>
      <c r="AG422" s="893">
        <v>0.2602977472173405</v>
      </c>
      <c r="AH422" s="896"/>
      <c r="AI422" s="895">
        <v>221813.18971032766</v>
      </c>
      <c r="AJ422" s="893">
        <v>0.20905141083913428</v>
      </c>
      <c r="AK422" s="896"/>
      <c r="AL422" s="895">
        <v>209429.69387148027</v>
      </c>
      <c r="AM422" s="893">
        <v>0.27414782960876477</v>
      </c>
      <c r="AN422" s="896"/>
      <c r="AO422" s="895">
        <v>164942.31118920996</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9"/>
        <v>Salaires propriétaire</v>
      </c>
      <c r="B423" s="54" t="s">
        <v>204</v>
      </c>
      <c r="C423" s="889"/>
      <c r="D423" s="888"/>
      <c r="E423" s="886">
        <v>185344.49999999997</v>
      </c>
      <c r="F423" s="889"/>
      <c r="G423" s="888"/>
      <c r="H423" s="897">
        <v>17433.836538461539</v>
      </c>
      <c r="I423" s="889"/>
      <c r="J423" s="888"/>
      <c r="K423" s="897">
        <v>14451.14423076923</v>
      </c>
      <c r="L423" s="889"/>
      <c r="M423" s="888"/>
      <c r="N423" s="897">
        <v>14451.14423076923</v>
      </c>
      <c r="O423" s="889"/>
      <c r="P423" s="888"/>
      <c r="Q423" s="897">
        <v>14451.14423076923</v>
      </c>
      <c r="R423" s="889"/>
      <c r="S423" s="888"/>
      <c r="T423" s="897">
        <v>17433.836538461539</v>
      </c>
      <c r="U423" s="889"/>
      <c r="V423" s="888"/>
      <c r="W423" s="897">
        <v>14451.14423076923</v>
      </c>
      <c r="X423" s="889"/>
      <c r="Y423" s="888"/>
      <c r="Z423" s="897">
        <v>14451.14423076923</v>
      </c>
      <c r="AA423" s="889"/>
      <c r="AB423" s="888"/>
      <c r="AC423" s="897">
        <v>17433.836538461539</v>
      </c>
      <c r="AD423" s="889"/>
      <c r="AE423" s="888"/>
      <c r="AF423" s="897">
        <v>14451.14423076923</v>
      </c>
      <c r="AG423" s="889"/>
      <c r="AH423" s="888"/>
      <c r="AI423" s="897">
        <v>17433.836538461539</v>
      </c>
      <c r="AJ423" s="889"/>
      <c r="AK423" s="888"/>
      <c r="AL423" s="897">
        <v>14451.14423076923</v>
      </c>
      <c r="AM423" s="889"/>
      <c r="AN423" s="888"/>
      <c r="AO423" s="897">
        <v>14451.14423076923</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9"/>
        <v>Salaires cadres</v>
      </c>
      <c r="B424" s="54" t="s">
        <v>120</v>
      </c>
      <c r="C424" s="889"/>
      <c r="D424" s="888"/>
      <c r="E424" s="886">
        <v>717152</v>
      </c>
      <c r="F424" s="889"/>
      <c r="G424" s="888"/>
      <c r="H424" s="886">
        <v>66080.858974358984</v>
      </c>
      <c r="I424" s="889"/>
      <c r="J424" s="888"/>
      <c r="K424" s="886">
        <v>56603.570512820515</v>
      </c>
      <c r="L424" s="889"/>
      <c r="M424" s="888"/>
      <c r="N424" s="886">
        <v>56603.570512820515</v>
      </c>
      <c r="O424" s="889"/>
      <c r="P424" s="888"/>
      <c r="Q424" s="886">
        <v>56603.570512820515</v>
      </c>
      <c r="R424" s="889"/>
      <c r="S424" s="888"/>
      <c r="T424" s="886">
        <v>66080.858974358984</v>
      </c>
      <c r="U424" s="889"/>
      <c r="V424" s="888"/>
      <c r="W424" s="886">
        <v>56603.570512820515</v>
      </c>
      <c r="X424" s="889"/>
      <c r="Y424" s="888"/>
      <c r="Z424" s="886">
        <v>56603.570512820515</v>
      </c>
      <c r="AA424" s="889"/>
      <c r="AB424" s="888"/>
      <c r="AC424" s="886">
        <v>66080.858974358984</v>
      </c>
      <c r="AD424" s="889"/>
      <c r="AE424" s="888"/>
      <c r="AF424" s="886">
        <v>56603.570512820515</v>
      </c>
      <c r="AG424" s="889"/>
      <c r="AH424" s="888"/>
      <c r="AI424" s="886">
        <v>66080.858974358984</v>
      </c>
      <c r="AJ424" s="889"/>
      <c r="AK424" s="888"/>
      <c r="AL424" s="886">
        <v>56603.570512820515</v>
      </c>
      <c r="AM424" s="889"/>
      <c r="AN424" s="888"/>
      <c r="AO424" s="886">
        <v>56603.570512820515</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9"/>
        <v>Salaires commis</v>
      </c>
      <c r="B425" s="55" t="s">
        <v>121</v>
      </c>
      <c r="C425" s="892"/>
      <c r="D425" s="891"/>
      <c r="E425" s="880">
        <v>802495.26399999997</v>
      </c>
      <c r="F425" s="892"/>
      <c r="G425" s="891"/>
      <c r="H425" s="880">
        <v>76615.390769230769</v>
      </c>
      <c r="I425" s="892"/>
      <c r="J425" s="891"/>
      <c r="K425" s="880">
        <v>62004.212615384618</v>
      </c>
      <c r="L425" s="892"/>
      <c r="M425" s="891"/>
      <c r="N425" s="880">
        <v>62004.212615384618</v>
      </c>
      <c r="O425" s="892"/>
      <c r="P425" s="891"/>
      <c r="Q425" s="880">
        <v>62004.212615384618</v>
      </c>
      <c r="R425" s="892"/>
      <c r="S425" s="891"/>
      <c r="T425" s="880">
        <v>76615.390769230769</v>
      </c>
      <c r="U425" s="892"/>
      <c r="V425" s="891"/>
      <c r="W425" s="880">
        <v>62004.212615384618</v>
      </c>
      <c r="X425" s="892"/>
      <c r="Y425" s="891"/>
      <c r="Z425" s="880">
        <v>62004.212615384618</v>
      </c>
      <c r="AA425" s="892"/>
      <c r="AB425" s="891"/>
      <c r="AC425" s="880">
        <v>76615.390769230769</v>
      </c>
      <c r="AD425" s="892"/>
      <c r="AE425" s="891"/>
      <c r="AF425" s="880">
        <v>62004.212615384618</v>
      </c>
      <c r="AG425" s="892"/>
      <c r="AH425" s="891"/>
      <c r="AI425" s="880">
        <v>76615.390769230769</v>
      </c>
      <c r="AJ425" s="892"/>
      <c r="AK425" s="891"/>
      <c r="AL425" s="880">
        <v>62004.212615384618</v>
      </c>
      <c r="AM425" s="892"/>
      <c r="AN425" s="891"/>
      <c r="AO425" s="880">
        <v>62004.212615384618</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9"/>
        <v>Salaires autres</v>
      </c>
      <c r="B426" s="54" t="s">
        <v>122</v>
      </c>
      <c r="C426" s="889"/>
      <c r="D426" s="888"/>
      <c r="E426" s="886">
        <v>253318</v>
      </c>
      <c r="F426" s="889"/>
      <c r="G426" s="888"/>
      <c r="H426" s="886">
        <v>24357.5</v>
      </c>
      <c r="I426" s="889"/>
      <c r="J426" s="888"/>
      <c r="K426" s="886">
        <v>19486</v>
      </c>
      <c r="L426" s="889"/>
      <c r="M426" s="888"/>
      <c r="N426" s="886">
        <v>19486</v>
      </c>
      <c r="O426" s="889"/>
      <c r="P426" s="888"/>
      <c r="Q426" s="886">
        <v>19486</v>
      </c>
      <c r="R426" s="889"/>
      <c r="S426" s="888"/>
      <c r="T426" s="886">
        <v>24357.5</v>
      </c>
      <c r="U426" s="889"/>
      <c r="V426" s="888"/>
      <c r="W426" s="886">
        <v>19486</v>
      </c>
      <c r="X426" s="889"/>
      <c r="Y426" s="888"/>
      <c r="Z426" s="886">
        <v>19486</v>
      </c>
      <c r="AA426" s="889"/>
      <c r="AB426" s="888"/>
      <c r="AC426" s="886">
        <v>24357.5</v>
      </c>
      <c r="AD426" s="889"/>
      <c r="AE426" s="888"/>
      <c r="AF426" s="886">
        <v>19486</v>
      </c>
      <c r="AG426" s="889"/>
      <c r="AH426" s="888"/>
      <c r="AI426" s="886">
        <v>24357.5</v>
      </c>
      <c r="AJ426" s="889"/>
      <c r="AK426" s="888"/>
      <c r="AL426" s="886">
        <v>19486</v>
      </c>
      <c r="AM426" s="889"/>
      <c r="AN426" s="888"/>
      <c r="AO426" s="886">
        <v>19486</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9"/>
        <v>Salaires spécialistes</v>
      </c>
      <c r="B427" s="54" t="s">
        <v>123</v>
      </c>
      <c r="C427" s="889"/>
      <c r="D427" s="888"/>
      <c r="E427" s="886">
        <v>364410.51199999993</v>
      </c>
      <c r="F427" s="889"/>
      <c r="G427" s="888"/>
      <c r="H427" s="886">
        <v>27038.791267692308</v>
      </c>
      <c r="I427" s="889"/>
      <c r="J427" s="888"/>
      <c r="K427" s="886">
        <v>22603.078374153847</v>
      </c>
      <c r="L427" s="889"/>
      <c r="M427" s="888"/>
      <c r="N427" s="886">
        <v>24741.578166153842</v>
      </c>
      <c r="O427" s="889"/>
      <c r="P427" s="888"/>
      <c r="Q427" s="886">
        <v>34267.622694153848</v>
      </c>
      <c r="R427" s="889"/>
      <c r="S427" s="888"/>
      <c r="T427" s="886">
        <v>37148.063011692306</v>
      </c>
      <c r="U427" s="889"/>
      <c r="V427" s="888"/>
      <c r="W427" s="886">
        <v>26685.668886153846</v>
      </c>
      <c r="X427" s="889"/>
      <c r="Y427" s="888"/>
      <c r="Z427" s="886">
        <v>26685.668886153846</v>
      </c>
      <c r="AA427" s="889"/>
      <c r="AB427" s="888"/>
      <c r="AC427" s="886">
        <v>29954.927347692312</v>
      </c>
      <c r="AD427" s="889"/>
      <c r="AE427" s="888"/>
      <c r="AF427" s="886">
        <v>25713.623526153846</v>
      </c>
      <c r="AG427" s="889"/>
      <c r="AH427" s="888"/>
      <c r="AI427" s="886">
        <v>37731.290227692305</v>
      </c>
      <c r="AJ427" s="889"/>
      <c r="AK427" s="888"/>
      <c r="AL427" s="886">
        <v>44182.485366153844</v>
      </c>
      <c r="AM427" s="889"/>
      <c r="AN427" s="888"/>
      <c r="AO427" s="886">
        <v>27657.714246153846</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9"/>
        <v>[...]</v>
      </c>
      <c r="B428" s="44" t="s">
        <v>59</v>
      </c>
      <c r="C428" s="889"/>
      <c r="D428" s="888"/>
      <c r="E428" s="886">
        <v>0</v>
      </c>
      <c r="F428" s="889"/>
      <c r="G428" s="888"/>
      <c r="H428" s="886">
        <v>0</v>
      </c>
      <c r="I428" s="889"/>
      <c r="J428" s="888"/>
      <c r="K428" s="886">
        <v>0</v>
      </c>
      <c r="L428" s="889"/>
      <c r="M428" s="888"/>
      <c r="N428" s="886">
        <v>0</v>
      </c>
      <c r="O428" s="889"/>
      <c r="P428" s="888"/>
      <c r="Q428" s="886">
        <v>0</v>
      </c>
      <c r="R428" s="889"/>
      <c r="S428" s="888"/>
      <c r="T428" s="886">
        <v>0</v>
      </c>
      <c r="U428" s="889"/>
      <c r="V428" s="888"/>
      <c r="W428" s="886">
        <v>0</v>
      </c>
      <c r="X428" s="889"/>
      <c r="Y428" s="888"/>
      <c r="Z428" s="886">
        <v>0</v>
      </c>
      <c r="AA428" s="889"/>
      <c r="AB428" s="888"/>
      <c r="AC428" s="886">
        <v>0</v>
      </c>
      <c r="AD428" s="889"/>
      <c r="AE428" s="888"/>
      <c r="AF428" s="886">
        <v>0</v>
      </c>
      <c r="AG428" s="889"/>
      <c r="AH428" s="888"/>
      <c r="AI428" s="886">
        <v>0</v>
      </c>
      <c r="AJ428" s="889"/>
      <c r="AK428" s="888"/>
      <c r="AL428" s="886">
        <v>0</v>
      </c>
      <c r="AM428" s="889"/>
      <c r="AN428" s="888"/>
      <c r="AO428" s="886">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9"/>
        <v>[...]</v>
      </c>
      <c r="B429" s="44" t="s">
        <v>59</v>
      </c>
      <c r="C429" s="889"/>
      <c r="D429" s="888"/>
      <c r="E429" s="886">
        <v>0</v>
      </c>
      <c r="F429" s="889"/>
      <c r="G429" s="888"/>
      <c r="H429" s="886">
        <v>0</v>
      </c>
      <c r="I429" s="889"/>
      <c r="J429" s="888"/>
      <c r="K429" s="886">
        <v>0</v>
      </c>
      <c r="L429" s="889"/>
      <c r="M429" s="888"/>
      <c r="N429" s="886">
        <v>0</v>
      </c>
      <c r="O429" s="889"/>
      <c r="P429" s="888"/>
      <c r="Q429" s="886">
        <v>0</v>
      </c>
      <c r="R429" s="889"/>
      <c r="S429" s="888"/>
      <c r="T429" s="886">
        <v>0</v>
      </c>
      <c r="U429" s="889"/>
      <c r="V429" s="888"/>
      <c r="W429" s="886">
        <v>0</v>
      </c>
      <c r="X429" s="889"/>
      <c r="Y429" s="888"/>
      <c r="Z429" s="886">
        <v>0</v>
      </c>
      <c r="AA429" s="889"/>
      <c r="AB429" s="888"/>
      <c r="AC429" s="886">
        <v>0</v>
      </c>
      <c r="AD429" s="889"/>
      <c r="AE429" s="888"/>
      <c r="AF429" s="886">
        <v>0</v>
      </c>
      <c r="AG429" s="889"/>
      <c r="AH429" s="888"/>
      <c r="AI429" s="886">
        <v>0</v>
      </c>
      <c r="AJ429" s="889"/>
      <c r="AK429" s="888"/>
      <c r="AL429" s="886">
        <v>0</v>
      </c>
      <c r="AM429" s="889"/>
      <c r="AN429" s="888"/>
      <c r="AO429" s="886">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9"/>
        <v>[...]</v>
      </c>
      <c r="B430" s="44" t="s">
        <v>59</v>
      </c>
      <c r="C430" s="889"/>
      <c r="D430" s="888"/>
      <c r="E430" s="886">
        <v>0</v>
      </c>
      <c r="F430" s="889"/>
      <c r="G430" s="888"/>
      <c r="H430" s="886">
        <v>0</v>
      </c>
      <c r="I430" s="889"/>
      <c r="J430" s="888"/>
      <c r="K430" s="886">
        <v>0</v>
      </c>
      <c r="L430" s="889"/>
      <c r="M430" s="888"/>
      <c r="N430" s="886">
        <v>0</v>
      </c>
      <c r="O430" s="889"/>
      <c r="P430" s="888"/>
      <c r="Q430" s="886">
        <v>0</v>
      </c>
      <c r="R430" s="889"/>
      <c r="S430" s="888"/>
      <c r="T430" s="886">
        <v>0</v>
      </c>
      <c r="U430" s="889"/>
      <c r="V430" s="888"/>
      <c r="W430" s="886">
        <v>0</v>
      </c>
      <c r="X430" s="889"/>
      <c r="Y430" s="888"/>
      <c r="Z430" s="886">
        <v>0</v>
      </c>
      <c r="AA430" s="889"/>
      <c r="AB430" s="888"/>
      <c r="AC430" s="886">
        <v>0</v>
      </c>
      <c r="AD430" s="889"/>
      <c r="AE430" s="888"/>
      <c r="AF430" s="886">
        <v>0</v>
      </c>
      <c r="AG430" s="889"/>
      <c r="AH430" s="888"/>
      <c r="AI430" s="886">
        <v>0</v>
      </c>
      <c r="AJ430" s="889"/>
      <c r="AK430" s="888"/>
      <c r="AL430" s="886">
        <v>0</v>
      </c>
      <c r="AM430" s="889"/>
      <c r="AN430" s="888"/>
      <c r="AO430" s="886">
        <v>0</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9"/>
        <v>Salaires en absences</v>
      </c>
      <c r="B431" s="55" t="s">
        <v>124</v>
      </c>
      <c r="C431" s="892"/>
      <c r="D431" s="898">
        <v>0.11014736401195369</v>
      </c>
      <c r="E431" s="880">
        <v>513889.31929034612</v>
      </c>
      <c r="F431" s="892"/>
      <c r="G431" s="898">
        <v>0.11138984223223725</v>
      </c>
      <c r="H431" s="880">
        <v>40851.018164011308</v>
      </c>
      <c r="I431" s="892"/>
      <c r="J431" s="898">
        <v>0.10776608722725012</v>
      </c>
      <c r="K431" s="880">
        <v>34766.414348550854</v>
      </c>
      <c r="L431" s="892"/>
      <c r="M431" s="898">
        <v>0.11779448414357888</v>
      </c>
      <c r="N431" s="880">
        <v>39408.532905082262</v>
      </c>
      <c r="O431" s="892"/>
      <c r="P431" s="898">
        <v>0.1188317984089961</v>
      </c>
      <c r="Q431" s="880">
        <v>46156.693902893116</v>
      </c>
      <c r="R431" s="892"/>
      <c r="S431" s="898">
        <v>0.1159399880390808</v>
      </c>
      <c r="T431" s="880">
        <v>50874.026198030195</v>
      </c>
      <c r="U431" s="892"/>
      <c r="V431" s="898">
        <v>0.10562290300567331</v>
      </c>
      <c r="W431" s="880">
        <v>40407.6020174925</v>
      </c>
      <c r="X431" s="892"/>
      <c r="Y431" s="898">
        <v>0.10593139520165165</v>
      </c>
      <c r="Z431" s="880">
        <v>40379.47450759507</v>
      </c>
      <c r="AA431" s="892"/>
      <c r="AB431" s="898">
        <v>0.10464298644455408</v>
      </c>
      <c r="AC431" s="880">
        <v>45615.408166221452</v>
      </c>
      <c r="AD431" s="892"/>
      <c r="AE431" s="898">
        <v>0.1140491263140605</v>
      </c>
      <c r="AF431" s="880">
        <v>40224.346062570352</v>
      </c>
      <c r="AG431" s="892"/>
      <c r="AH431" s="898">
        <v>0.10901049043239308</v>
      </c>
      <c r="AI431" s="880">
        <v>49347.747293735192</v>
      </c>
      <c r="AJ431" s="892"/>
      <c r="AK431" s="898">
        <v>0.10668796274517099</v>
      </c>
      <c r="AL431" s="880">
        <v>49703.901498454761</v>
      </c>
      <c r="AM431" s="892"/>
      <c r="AN431" s="898">
        <v>0.1052752458418561</v>
      </c>
      <c r="AO431" s="880">
        <v>36154.154225709033</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9"/>
        <v>Déduction à la source</v>
      </c>
      <c r="B432" s="54" t="s">
        <v>125</v>
      </c>
      <c r="C432" s="889"/>
      <c r="D432" s="899">
        <v>0.13392366725682472</v>
      </c>
      <c r="E432" s="886">
        <v>624816.96970984805</v>
      </c>
      <c r="F432" s="889"/>
      <c r="G432" s="899">
        <v>0.1354343456215748</v>
      </c>
      <c r="H432" s="886">
        <v>49669.079353599649</v>
      </c>
      <c r="I432" s="889"/>
      <c r="J432" s="899">
        <v>0.13102837037322038</v>
      </c>
      <c r="K432" s="886">
        <v>42271.058855506759</v>
      </c>
      <c r="L432" s="889"/>
      <c r="M432" s="899">
        <v>0.1432214873287567</v>
      </c>
      <c r="N432" s="886">
        <v>47915.220624681511</v>
      </c>
      <c r="O432" s="889"/>
      <c r="P432" s="899">
        <v>0.14448271524618028</v>
      </c>
      <c r="Q432" s="886">
        <v>56120.03311541189</v>
      </c>
      <c r="R432" s="889"/>
      <c r="S432" s="899">
        <v>0.14096668149245067</v>
      </c>
      <c r="T432" s="886">
        <v>61855.644187913364</v>
      </c>
      <c r="U432" s="889"/>
      <c r="V432" s="899">
        <v>0.12842256048266887</v>
      </c>
      <c r="W432" s="886">
        <v>49129.947827435812</v>
      </c>
      <c r="X432" s="889"/>
      <c r="Y432" s="899">
        <v>0.12879764350509187</v>
      </c>
      <c r="Z432" s="886">
        <v>49095.74874051207</v>
      </c>
      <c r="AA432" s="889"/>
      <c r="AB432" s="899">
        <v>0.12723112008236531</v>
      </c>
      <c r="AC432" s="886">
        <v>55461.905964216392</v>
      </c>
      <c r="AD432" s="889"/>
      <c r="AE432" s="899">
        <v>0.13866766018802068</v>
      </c>
      <c r="AF432" s="886">
        <v>48907.134419689057</v>
      </c>
      <c r="AG432" s="889"/>
      <c r="AH432" s="899">
        <v>0.132541389248196</v>
      </c>
      <c r="AI432" s="886">
        <v>59999.904198550284</v>
      </c>
      <c r="AJ432" s="889"/>
      <c r="AK432" s="899">
        <v>0.12971752298531802</v>
      </c>
      <c r="AL432" s="886">
        <v>60432.937504729132</v>
      </c>
      <c r="AM432" s="889"/>
      <c r="AN432" s="899">
        <v>0.12799985838040653</v>
      </c>
      <c r="AO432" s="886">
        <v>43958.35491760217</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9"/>
        <v>Bénéfices marginaux</v>
      </c>
      <c r="B433" s="54" t="s">
        <v>126</v>
      </c>
      <c r="C433" s="889"/>
      <c r="D433" s="899">
        <v>6.8999802477972744E-2</v>
      </c>
      <c r="E433" s="886">
        <v>321916.56917659566</v>
      </c>
      <c r="F433" s="889"/>
      <c r="G433" s="899">
        <v>6.9778130244159187E-2</v>
      </c>
      <c r="H433" s="886">
        <v>25590.373493050251</v>
      </c>
      <c r="I433" s="889"/>
      <c r="J433" s="899">
        <v>6.7508095170550494E-2</v>
      </c>
      <c r="K433" s="886">
        <v>21778.78467120674</v>
      </c>
      <c r="L433" s="889"/>
      <c r="M433" s="899">
        <v>7.3790201080250722E-2</v>
      </c>
      <c r="N433" s="886">
        <v>24686.754974020692</v>
      </c>
      <c r="O433" s="889"/>
      <c r="P433" s="899">
        <v>7.4440007637705932E-2</v>
      </c>
      <c r="Q433" s="886">
        <v>28914.017061636128</v>
      </c>
      <c r="R433" s="889"/>
      <c r="S433" s="899">
        <v>7.2628485899371306E-2</v>
      </c>
      <c r="T433" s="886">
        <v>31869.10363594666</v>
      </c>
      <c r="U433" s="889"/>
      <c r="V433" s="899">
        <v>6.6165536596505481E-2</v>
      </c>
      <c r="W433" s="886">
        <v>25312.603554570189</v>
      </c>
      <c r="X433" s="889"/>
      <c r="Y433" s="899">
        <v>6.6358785892840819E-2</v>
      </c>
      <c r="Z433" s="886">
        <v>25294.983590220349</v>
      </c>
      <c r="AA433" s="889"/>
      <c r="AB433" s="899">
        <v>6.5551685781566463E-2</v>
      </c>
      <c r="AC433" s="886">
        <v>28574.938507650611</v>
      </c>
      <c r="AD433" s="889"/>
      <c r="AE433" s="899">
        <v>7.1443990140349786E-2</v>
      </c>
      <c r="AF433" s="886">
        <v>25197.806211883275</v>
      </c>
      <c r="AG433" s="889"/>
      <c r="AH433" s="899">
        <v>6.8287628808309672E-2</v>
      </c>
      <c r="AI433" s="886">
        <v>30912.994119687857</v>
      </c>
      <c r="AJ433" s="889"/>
      <c r="AK433" s="899">
        <v>6.6832723798957328E-2</v>
      </c>
      <c r="AL433" s="886">
        <v>31136.100410045223</v>
      </c>
      <c r="AM433" s="889"/>
      <c r="AN433" s="899">
        <v>6.5947753122079011E-2</v>
      </c>
      <c r="AO433" s="886">
        <v>22648.108946677639</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9"/>
        <v>Csst</v>
      </c>
      <c r="B434" s="54" t="s">
        <v>127</v>
      </c>
      <c r="C434" s="889"/>
      <c r="D434" s="899">
        <v>3.0084302064938881E-2</v>
      </c>
      <c r="E434" s="886">
        <v>140357.43522467598</v>
      </c>
      <c r="F434" s="889"/>
      <c r="G434" s="899">
        <v>3.0423657349774043E-2</v>
      </c>
      <c r="H434" s="886">
        <v>11157.54681131586</v>
      </c>
      <c r="I434" s="889"/>
      <c r="J434" s="899">
        <v>2.9433909286737909E-2</v>
      </c>
      <c r="K434" s="886">
        <v>9495.6726414544155</v>
      </c>
      <c r="L434" s="889"/>
      <c r="M434" s="899">
        <v>3.217294280573519E-2</v>
      </c>
      <c r="N434" s="886">
        <v>10763.564053370483</v>
      </c>
      <c r="O434" s="889"/>
      <c r="P434" s="899">
        <v>3.2456262120518754E-2</v>
      </c>
      <c r="Q434" s="886">
        <v>12606.674105636004</v>
      </c>
      <c r="R434" s="889"/>
      <c r="S434" s="899">
        <v>3.1666428451202683E-2</v>
      </c>
      <c r="T434" s="886">
        <v>13895.108476995028</v>
      </c>
      <c r="U434" s="889"/>
      <c r="V434" s="899">
        <v>2.8848546195382137E-2</v>
      </c>
      <c r="W434" s="886">
        <v>11036.437555438479</v>
      </c>
      <c r="X434" s="889"/>
      <c r="Y434" s="899">
        <v>2.8932803975781504E-2</v>
      </c>
      <c r="Z434" s="886">
        <v>11028.755151854159</v>
      </c>
      <c r="AA434" s="889"/>
      <c r="AB434" s="899">
        <v>2.8580903786618286E-2</v>
      </c>
      <c r="AC434" s="886">
        <v>12458.833948483389</v>
      </c>
      <c r="AD434" s="889"/>
      <c r="AE434" s="899">
        <v>3.1149981636439426E-2</v>
      </c>
      <c r="AF434" s="886">
        <v>10986.385268191019</v>
      </c>
      <c r="AG434" s="889"/>
      <c r="AH434" s="899">
        <v>2.9773790338362863E-2</v>
      </c>
      <c r="AI434" s="886">
        <v>13478.239348949697</v>
      </c>
      <c r="AJ434" s="889"/>
      <c r="AK434" s="899">
        <v>2.9139443569165639E-2</v>
      </c>
      <c r="AL434" s="886">
        <v>13575.514946714513</v>
      </c>
      <c r="AM434" s="889"/>
      <c r="AN434" s="899">
        <v>2.8753591375308703E-2</v>
      </c>
      <c r="AO434" s="886">
        <v>9874.7029162729486</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t="str">
        <f t="shared" si="9"/>
        <v>[...]</v>
      </c>
      <c r="B435" s="44" t="s">
        <v>59</v>
      </c>
      <c r="C435" s="889"/>
      <c r="D435" s="888"/>
      <c r="E435" s="886">
        <v>0</v>
      </c>
      <c r="F435" s="889"/>
      <c r="G435" s="888"/>
      <c r="H435" s="886">
        <v>0</v>
      </c>
      <c r="I435" s="889"/>
      <c r="J435" s="888"/>
      <c r="K435" s="886">
        <v>0</v>
      </c>
      <c r="L435" s="889"/>
      <c r="M435" s="888"/>
      <c r="N435" s="886">
        <v>0</v>
      </c>
      <c r="O435" s="889"/>
      <c r="P435" s="888"/>
      <c r="Q435" s="886">
        <v>0</v>
      </c>
      <c r="R435" s="889"/>
      <c r="S435" s="888"/>
      <c r="T435" s="886">
        <v>0</v>
      </c>
      <c r="U435" s="889"/>
      <c r="V435" s="888"/>
      <c r="W435" s="886">
        <v>0</v>
      </c>
      <c r="X435" s="889"/>
      <c r="Y435" s="888"/>
      <c r="Z435" s="886">
        <v>0</v>
      </c>
      <c r="AA435" s="889"/>
      <c r="AB435" s="888"/>
      <c r="AC435" s="886">
        <v>0</v>
      </c>
      <c r="AD435" s="889"/>
      <c r="AE435" s="888"/>
      <c r="AF435" s="886">
        <v>0</v>
      </c>
      <c r="AG435" s="889"/>
      <c r="AH435" s="888"/>
      <c r="AI435" s="886">
        <v>0</v>
      </c>
      <c r="AJ435" s="889"/>
      <c r="AK435" s="888"/>
      <c r="AL435" s="886">
        <v>0</v>
      </c>
      <c r="AM435" s="889"/>
      <c r="AN435" s="888"/>
      <c r="AO435" s="886">
        <v>0</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9"/>
        <v>TOTAL PERSONNEL</v>
      </c>
      <c r="B436" s="70" t="s">
        <v>128</v>
      </c>
      <c r="C436" s="893">
        <v>0.46173849747508372</v>
      </c>
      <c r="D436" s="900"/>
      <c r="E436" s="895">
        <v>3923700.5694014658</v>
      </c>
      <c r="F436" s="893">
        <v>0.61105425385867107</v>
      </c>
      <c r="G436" s="900"/>
      <c r="H436" s="895">
        <v>338794.39537172066</v>
      </c>
      <c r="I436" s="893">
        <v>0.53024368491963525</v>
      </c>
      <c r="J436" s="900"/>
      <c r="K436" s="895">
        <v>283459.936249847</v>
      </c>
      <c r="L436" s="893">
        <v>0.53052416248238765</v>
      </c>
      <c r="M436" s="900"/>
      <c r="N436" s="895">
        <v>300060.57808228314</v>
      </c>
      <c r="O436" s="893">
        <v>0.44609730250153584</v>
      </c>
      <c r="P436" s="900"/>
      <c r="Q436" s="895">
        <v>330609.96823870536</v>
      </c>
      <c r="R436" s="893">
        <v>0.48246664488447749</v>
      </c>
      <c r="S436" s="900"/>
      <c r="T436" s="895">
        <v>380129.53179262881</v>
      </c>
      <c r="U436" s="893">
        <v>0.41571322066353578</v>
      </c>
      <c r="V436" s="900"/>
      <c r="W436" s="895">
        <v>305117.18720006518</v>
      </c>
      <c r="X436" s="893">
        <v>0.42517968600837125</v>
      </c>
      <c r="Y436" s="900"/>
      <c r="Z436" s="895">
        <v>305029.55823530979</v>
      </c>
      <c r="AA436" s="893">
        <v>0.45952456594466945</v>
      </c>
      <c r="AB436" s="900"/>
      <c r="AC436" s="895">
        <v>356553.60021631548</v>
      </c>
      <c r="AD436" s="893">
        <v>0.48099616359355135</v>
      </c>
      <c r="AE436" s="900"/>
      <c r="AF436" s="895">
        <v>303574.22284746188</v>
      </c>
      <c r="AG436" s="893">
        <v>0.44118638069939969</v>
      </c>
      <c r="AH436" s="900"/>
      <c r="AI436" s="895">
        <v>375957.76147066662</v>
      </c>
      <c r="AJ436" s="893">
        <v>0.35094083208768401</v>
      </c>
      <c r="AK436" s="900"/>
      <c r="AL436" s="895">
        <v>351575.86708507186</v>
      </c>
      <c r="AM436" s="893">
        <v>0.48672103172407172</v>
      </c>
      <c r="AN436" s="900"/>
      <c r="AO436" s="895">
        <v>292837.96261138999</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9"/>
        <v>Publicité 2</v>
      </c>
      <c r="B437" s="63" t="s">
        <v>129</v>
      </c>
      <c r="C437" s="901"/>
      <c r="D437" s="902"/>
      <c r="E437" s="903">
        <v>193427</v>
      </c>
      <c r="F437" s="901"/>
      <c r="G437" s="902"/>
      <c r="H437" s="903">
        <v>15567.374011479942</v>
      </c>
      <c r="I437" s="901"/>
      <c r="J437" s="902"/>
      <c r="K437" s="903">
        <v>12556.580701543739</v>
      </c>
      <c r="L437" s="901"/>
      <c r="M437" s="902"/>
      <c r="N437" s="903">
        <v>14782.200469688883</v>
      </c>
      <c r="O437" s="901"/>
      <c r="P437" s="902"/>
      <c r="Q437" s="903">
        <v>21996.263268512084</v>
      </c>
      <c r="R437" s="901"/>
      <c r="S437" s="902"/>
      <c r="T437" s="903">
        <v>18269.622508647986</v>
      </c>
      <c r="U437" s="901"/>
      <c r="V437" s="902"/>
      <c r="W437" s="903">
        <v>12572.572144729857</v>
      </c>
      <c r="X437" s="901"/>
      <c r="Y437" s="902"/>
      <c r="Z437" s="903">
        <v>12192.953081014641</v>
      </c>
      <c r="AA437" s="901"/>
      <c r="AB437" s="902"/>
      <c r="AC437" s="903">
        <v>12171.456516376076</v>
      </c>
      <c r="AD437" s="901"/>
      <c r="AE437" s="902"/>
      <c r="AF437" s="903">
        <v>14848.680537501306</v>
      </c>
      <c r="AG437" s="901"/>
      <c r="AH437" s="902"/>
      <c r="AI437" s="903">
        <v>17961.269888068269</v>
      </c>
      <c r="AJ437" s="901"/>
      <c r="AK437" s="902"/>
      <c r="AL437" s="903">
        <v>26465.184486138867</v>
      </c>
      <c r="AM437" s="901"/>
      <c r="AN437" s="902"/>
      <c r="AO437" s="903">
        <v>14042.842386298358</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9"/>
        <v>Service gratuit 2</v>
      </c>
      <c r="B438" s="54" t="s">
        <v>130</v>
      </c>
      <c r="C438" s="889"/>
      <c r="D438" s="888"/>
      <c r="E438" s="886">
        <v>54544.5739536685</v>
      </c>
      <c r="F438" s="889"/>
      <c r="G438" s="888"/>
      <c r="H438" s="886">
        <v>4545.3811628057083</v>
      </c>
      <c r="I438" s="889"/>
      <c r="J438" s="888"/>
      <c r="K438" s="886">
        <v>4545.3811628057083</v>
      </c>
      <c r="L438" s="889"/>
      <c r="M438" s="888"/>
      <c r="N438" s="886">
        <v>4545.3811628057083</v>
      </c>
      <c r="O438" s="889"/>
      <c r="P438" s="888"/>
      <c r="Q438" s="886">
        <v>4545.3811628057083</v>
      </c>
      <c r="R438" s="889"/>
      <c r="S438" s="888"/>
      <c r="T438" s="886">
        <v>4545.3811628057083</v>
      </c>
      <c r="U438" s="889"/>
      <c r="V438" s="888"/>
      <c r="W438" s="886">
        <v>4545.3811628057083</v>
      </c>
      <c r="X438" s="889"/>
      <c r="Y438" s="888"/>
      <c r="Z438" s="886">
        <v>4545.3811628057083</v>
      </c>
      <c r="AA438" s="889"/>
      <c r="AB438" s="888"/>
      <c r="AC438" s="886">
        <v>4545.3811628057083</v>
      </c>
      <c r="AD438" s="889"/>
      <c r="AE438" s="888"/>
      <c r="AF438" s="886">
        <v>4545.3811628057083</v>
      </c>
      <c r="AG438" s="889"/>
      <c r="AH438" s="888"/>
      <c r="AI438" s="886">
        <v>4545.3811628057083</v>
      </c>
      <c r="AJ438" s="889"/>
      <c r="AK438" s="888"/>
      <c r="AL438" s="886">
        <v>4545.3811628057083</v>
      </c>
      <c r="AM438" s="889"/>
      <c r="AN438" s="888"/>
      <c r="AO438" s="886">
        <v>4545.3811628057083</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9"/>
        <v>Frais véhicules de cie</v>
      </c>
      <c r="B439" s="55" t="s">
        <v>131</v>
      </c>
      <c r="C439" s="892"/>
      <c r="D439" s="891"/>
      <c r="E439" s="880">
        <v>296511.17600000009</v>
      </c>
      <c r="F439" s="892"/>
      <c r="G439" s="891"/>
      <c r="H439" s="880">
        <v>22709.26466666667</v>
      </c>
      <c r="I439" s="892"/>
      <c r="J439" s="891"/>
      <c r="K439" s="880">
        <v>22709.26466666667</v>
      </c>
      <c r="L439" s="892"/>
      <c r="M439" s="891"/>
      <c r="N439" s="880">
        <v>25709.26466666667</v>
      </c>
      <c r="O439" s="892"/>
      <c r="P439" s="891"/>
      <c r="Q439" s="880">
        <v>27709.26466666667</v>
      </c>
      <c r="R439" s="892"/>
      <c r="S439" s="891"/>
      <c r="T439" s="880">
        <v>27709.26466666667</v>
      </c>
      <c r="U439" s="892"/>
      <c r="V439" s="891"/>
      <c r="W439" s="880">
        <v>22709.26466666667</v>
      </c>
      <c r="X439" s="892"/>
      <c r="Y439" s="891"/>
      <c r="Z439" s="880">
        <v>22709.26466666667</v>
      </c>
      <c r="AA439" s="892"/>
      <c r="AB439" s="891"/>
      <c r="AC439" s="880">
        <v>22709.26466666667</v>
      </c>
      <c r="AD439" s="892"/>
      <c r="AE439" s="891"/>
      <c r="AF439" s="880">
        <v>22709.26466666667</v>
      </c>
      <c r="AG439" s="892"/>
      <c r="AH439" s="891"/>
      <c r="AI439" s="880">
        <v>25709.26466666667</v>
      </c>
      <c r="AJ439" s="892"/>
      <c r="AK439" s="891"/>
      <c r="AL439" s="880">
        <v>30709.264666666666</v>
      </c>
      <c r="AM439" s="892"/>
      <c r="AN439" s="891"/>
      <c r="AO439" s="880">
        <v>22709.26466666667</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9"/>
        <v>Informatique</v>
      </c>
      <c r="B440" s="54" t="s">
        <v>132</v>
      </c>
      <c r="C440" s="889"/>
      <c r="D440" s="888"/>
      <c r="E440" s="886">
        <v>268824.9617253333</v>
      </c>
      <c r="F440" s="889"/>
      <c r="G440" s="888"/>
      <c r="H440" s="886">
        <v>22402.080143777777</v>
      </c>
      <c r="I440" s="889"/>
      <c r="J440" s="888"/>
      <c r="K440" s="886">
        <v>22402.080143777777</v>
      </c>
      <c r="L440" s="889"/>
      <c r="M440" s="888"/>
      <c r="N440" s="886">
        <v>22402.080143777777</v>
      </c>
      <c r="O440" s="889"/>
      <c r="P440" s="888"/>
      <c r="Q440" s="886">
        <v>22402.080143777777</v>
      </c>
      <c r="R440" s="889"/>
      <c r="S440" s="888"/>
      <c r="T440" s="886">
        <v>22402.080143777777</v>
      </c>
      <c r="U440" s="889"/>
      <c r="V440" s="888"/>
      <c r="W440" s="886">
        <v>22402.080143777777</v>
      </c>
      <c r="X440" s="889"/>
      <c r="Y440" s="888"/>
      <c r="Z440" s="886">
        <v>22402.080143777777</v>
      </c>
      <c r="AA440" s="889"/>
      <c r="AB440" s="888"/>
      <c r="AC440" s="886">
        <v>22402.080143777777</v>
      </c>
      <c r="AD440" s="889"/>
      <c r="AE440" s="888"/>
      <c r="AF440" s="886">
        <v>22402.080143777777</v>
      </c>
      <c r="AG440" s="889"/>
      <c r="AH440" s="888"/>
      <c r="AI440" s="886">
        <v>22402.080143777777</v>
      </c>
      <c r="AJ440" s="889"/>
      <c r="AK440" s="888"/>
      <c r="AL440" s="886">
        <v>22402.080143777777</v>
      </c>
      <c r="AM440" s="889"/>
      <c r="AN440" s="888"/>
      <c r="AO440" s="886">
        <v>22402.080143777777</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9"/>
        <v>Frais de déplacement</v>
      </c>
      <c r="B441" s="54" t="s">
        <v>133</v>
      </c>
      <c r="C441" s="889"/>
      <c r="D441" s="888"/>
      <c r="E441" s="886">
        <v>46866.691589833332</v>
      </c>
      <c r="F441" s="889"/>
      <c r="G441" s="888"/>
      <c r="H441" s="886">
        <v>3905.5576324861113</v>
      </c>
      <c r="I441" s="889"/>
      <c r="J441" s="888"/>
      <c r="K441" s="886">
        <v>3905.5576324861113</v>
      </c>
      <c r="L441" s="889"/>
      <c r="M441" s="888"/>
      <c r="N441" s="886">
        <v>3905.5576324861113</v>
      </c>
      <c r="O441" s="889"/>
      <c r="P441" s="888"/>
      <c r="Q441" s="886">
        <v>3905.5576324861113</v>
      </c>
      <c r="R441" s="889"/>
      <c r="S441" s="888"/>
      <c r="T441" s="886">
        <v>3905.5576324861113</v>
      </c>
      <c r="U441" s="889"/>
      <c r="V441" s="888"/>
      <c r="W441" s="886">
        <v>3905.5576324861113</v>
      </c>
      <c r="X441" s="889"/>
      <c r="Y441" s="888"/>
      <c r="Z441" s="886">
        <v>3905.5576324861113</v>
      </c>
      <c r="AA441" s="889"/>
      <c r="AB441" s="888"/>
      <c r="AC441" s="886">
        <v>3905.5576324861113</v>
      </c>
      <c r="AD441" s="889"/>
      <c r="AE441" s="888"/>
      <c r="AF441" s="886">
        <v>3905.5576324861113</v>
      </c>
      <c r="AG441" s="889"/>
      <c r="AH441" s="888"/>
      <c r="AI441" s="886">
        <v>3905.5576324861113</v>
      </c>
      <c r="AJ441" s="889"/>
      <c r="AK441" s="888"/>
      <c r="AL441" s="886">
        <v>3905.5576324861113</v>
      </c>
      <c r="AM441" s="889"/>
      <c r="AN441" s="888"/>
      <c r="AO441" s="886">
        <v>3905.5576324861113</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9"/>
        <v>Services extérieurs</v>
      </c>
      <c r="B442" s="54" t="s">
        <v>134</v>
      </c>
      <c r="C442" s="904"/>
      <c r="D442" s="905"/>
      <c r="E442" s="906">
        <v>415016.65517131129</v>
      </c>
      <c r="F442" s="904"/>
      <c r="G442" s="905"/>
      <c r="H442" s="906">
        <v>32918.054597609284</v>
      </c>
      <c r="I442" s="904"/>
      <c r="J442" s="905"/>
      <c r="K442" s="906">
        <v>32918.054597609284</v>
      </c>
      <c r="L442" s="904"/>
      <c r="M442" s="905"/>
      <c r="N442" s="906">
        <v>32918.054597609284</v>
      </c>
      <c r="O442" s="904"/>
      <c r="P442" s="905"/>
      <c r="Q442" s="906">
        <v>36918.054597609284</v>
      </c>
      <c r="R442" s="904"/>
      <c r="S442" s="905"/>
      <c r="T442" s="906">
        <v>36918.054597609284</v>
      </c>
      <c r="U442" s="904"/>
      <c r="V442" s="905"/>
      <c r="W442" s="906">
        <v>32918.054597609284</v>
      </c>
      <c r="X442" s="904"/>
      <c r="Y442" s="905"/>
      <c r="Z442" s="906">
        <v>32918.054597609284</v>
      </c>
      <c r="AA442" s="904"/>
      <c r="AB442" s="905"/>
      <c r="AC442" s="906">
        <v>36918.054597609284</v>
      </c>
      <c r="AD442" s="904"/>
      <c r="AE442" s="905"/>
      <c r="AF442" s="906">
        <v>32918.054597609284</v>
      </c>
      <c r="AG442" s="904"/>
      <c r="AH442" s="905"/>
      <c r="AI442" s="906">
        <v>36918.054597609284</v>
      </c>
      <c r="AJ442" s="904"/>
      <c r="AK442" s="905"/>
      <c r="AL442" s="906">
        <v>36918.054597609284</v>
      </c>
      <c r="AM442" s="904"/>
      <c r="AN442" s="905"/>
      <c r="AO442" s="906">
        <v>32918.054597609284</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54" t="s">
        <v>490</v>
      </c>
      <c r="C443" s="907"/>
      <c r="D443" s="908"/>
      <c r="E443" s="886">
        <v>0</v>
      </c>
      <c r="F443" s="889"/>
      <c r="G443" s="888"/>
      <c r="H443" s="886">
        <v>0</v>
      </c>
      <c r="I443" s="889"/>
      <c r="J443" s="888"/>
      <c r="K443" s="886">
        <v>0</v>
      </c>
      <c r="L443" s="889"/>
      <c r="M443" s="888"/>
      <c r="N443" s="886">
        <v>0</v>
      </c>
      <c r="O443" s="889"/>
      <c r="P443" s="888"/>
      <c r="Q443" s="886">
        <v>0</v>
      </c>
      <c r="R443" s="889"/>
      <c r="S443" s="888"/>
      <c r="T443" s="886">
        <v>0</v>
      </c>
      <c r="U443" s="889"/>
      <c r="V443" s="888"/>
      <c r="W443" s="886">
        <v>0</v>
      </c>
      <c r="X443" s="889"/>
      <c r="Y443" s="888"/>
      <c r="Z443" s="886">
        <v>0</v>
      </c>
      <c r="AA443" s="889"/>
      <c r="AB443" s="888"/>
      <c r="AC443" s="886">
        <v>0</v>
      </c>
      <c r="AD443" s="889"/>
      <c r="AE443" s="888"/>
      <c r="AF443" s="886">
        <v>0</v>
      </c>
      <c r="AG443" s="889"/>
      <c r="AH443" s="888"/>
      <c r="AI443" s="886">
        <v>0</v>
      </c>
      <c r="AJ443" s="889"/>
      <c r="AK443" s="888"/>
      <c r="AL443" s="886">
        <v>0</v>
      </c>
      <c r="AM443" s="889"/>
      <c r="AN443" s="888"/>
      <c r="AO443" s="886">
        <v>0</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10">B444</f>
        <v>Fournitures autres</v>
      </c>
      <c r="B444" s="63" t="s">
        <v>135</v>
      </c>
      <c r="C444" s="889"/>
      <c r="D444" s="888"/>
      <c r="E444" s="886">
        <v>63032.281866666694</v>
      </c>
      <c r="F444" s="889"/>
      <c r="G444" s="888"/>
      <c r="H444" s="886">
        <v>5252.6901555555569</v>
      </c>
      <c r="I444" s="889"/>
      <c r="J444" s="888"/>
      <c r="K444" s="886">
        <v>5252.6901555555569</v>
      </c>
      <c r="L444" s="889"/>
      <c r="M444" s="888"/>
      <c r="N444" s="886">
        <v>5252.6901555555569</v>
      </c>
      <c r="O444" s="889"/>
      <c r="P444" s="888"/>
      <c r="Q444" s="886">
        <v>5252.6901555555569</v>
      </c>
      <c r="R444" s="889"/>
      <c r="S444" s="888"/>
      <c r="T444" s="886">
        <v>5252.6901555555569</v>
      </c>
      <c r="U444" s="889"/>
      <c r="V444" s="888"/>
      <c r="W444" s="886">
        <v>5252.6901555555569</v>
      </c>
      <c r="X444" s="889"/>
      <c r="Y444" s="888"/>
      <c r="Z444" s="886">
        <v>5252.6901555555569</v>
      </c>
      <c r="AA444" s="889"/>
      <c r="AB444" s="888"/>
      <c r="AC444" s="886">
        <v>5252.6901555555569</v>
      </c>
      <c r="AD444" s="889"/>
      <c r="AE444" s="888"/>
      <c r="AF444" s="886">
        <v>5252.6901555555569</v>
      </c>
      <c r="AG444" s="889"/>
      <c r="AH444" s="888"/>
      <c r="AI444" s="886">
        <v>5252.6901555555569</v>
      </c>
      <c r="AJ444" s="889"/>
      <c r="AK444" s="888"/>
      <c r="AL444" s="886">
        <v>5252.6901555555569</v>
      </c>
      <c r="AM444" s="889"/>
      <c r="AN444" s="888"/>
      <c r="AO444" s="886">
        <v>5252.6901555555569</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10"/>
        <v>Uniformes</v>
      </c>
      <c r="B445" s="54" t="s">
        <v>136</v>
      </c>
      <c r="C445" s="889"/>
      <c r="D445" s="888"/>
      <c r="E445" s="886">
        <v>16005.584881437002</v>
      </c>
      <c r="F445" s="889"/>
      <c r="G445" s="888"/>
      <c r="H445" s="886">
        <v>1333.7987401197504</v>
      </c>
      <c r="I445" s="889"/>
      <c r="J445" s="888"/>
      <c r="K445" s="886">
        <v>1333.7987401197504</v>
      </c>
      <c r="L445" s="889"/>
      <c r="M445" s="888"/>
      <c r="N445" s="886">
        <v>1333.7987401197504</v>
      </c>
      <c r="O445" s="889"/>
      <c r="P445" s="888"/>
      <c r="Q445" s="886">
        <v>1333.7987401197504</v>
      </c>
      <c r="R445" s="889"/>
      <c r="S445" s="888"/>
      <c r="T445" s="886">
        <v>1333.7987401197504</v>
      </c>
      <c r="U445" s="889"/>
      <c r="V445" s="888"/>
      <c r="W445" s="886">
        <v>1333.7987401197504</v>
      </c>
      <c r="X445" s="889"/>
      <c r="Y445" s="888"/>
      <c r="Z445" s="886">
        <v>1333.7987401197504</v>
      </c>
      <c r="AA445" s="889"/>
      <c r="AB445" s="888"/>
      <c r="AC445" s="886">
        <v>1333.7987401197504</v>
      </c>
      <c r="AD445" s="889"/>
      <c r="AE445" s="888"/>
      <c r="AF445" s="886">
        <v>1333.7987401197504</v>
      </c>
      <c r="AG445" s="889"/>
      <c r="AH445" s="888"/>
      <c r="AI445" s="886">
        <v>1333.7987401197504</v>
      </c>
      <c r="AJ445" s="889"/>
      <c r="AK445" s="888"/>
      <c r="AL445" s="886">
        <v>1333.7987401197504</v>
      </c>
      <c r="AM445" s="889"/>
      <c r="AN445" s="888"/>
      <c r="AO445" s="886">
        <v>1333.7987401197504</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10"/>
        <v>Papeterie</v>
      </c>
      <c r="B446" s="54" t="s">
        <v>137</v>
      </c>
      <c r="C446" s="889"/>
      <c r="D446" s="888"/>
      <c r="E446" s="886">
        <v>33129.004625591995</v>
      </c>
      <c r="F446" s="889"/>
      <c r="G446" s="888"/>
      <c r="H446" s="886">
        <v>2760.7503854659999</v>
      </c>
      <c r="I446" s="889"/>
      <c r="J446" s="888"/>
      <c r="K446" s="886">
        <v>2760.7503854659999</v>
      </c>
      <c r="L446" s="889"/>
      <c r="M446" s="888"/>
      <c r="N446" s="886">
        <v>2760.7503854659999</v>
      </c>
      <c r="O446" s="889"/>
      <c r="P446" s="888"/>
      <c r="Q446" s="886">
        <v>2760.7503854659999</v>
      </c>
      <c r="R446" s="889"/>
      <c r="S446" s="888"/>
      <c r="T446" s="886">
        <v>2760.7503854659999</v>
      </c>
      <c r="U446" s="889"/>
      <c r="V446" s="888"/>
      <c r="W446" s="886">
        <v>2760.7503854659999</v>
      </c>
      <c r="X446" s="889"/>
      <c r="Y446" s="888"/>
      <c r="Z446" s="886">
        <v>2760.7503854659999</v>
      </c>
      <c r="AA446" s="889"/>
      <c r="AB446" s="888"/>
      <c r="AC446" s="886">
        <v>2760.7503854659999</v>
      </c>
      <c r="AD446" s="889"/>
      <c r="AE446" s="888"/>
      <c r="AF446" s="886">
        <v>2760.7503854659999</v>
      </c>
      <c r="AG446" s="889"/>
      <c r="AH446" s="888"/>
      <c r="AI446" s="886">
        <v>2760.7503854659999</v>
      </c>
      <c r="AJ446" s="889"/>
      <c r="AK446" s="888"/>
      <c r="AL446" s="886">
        <v>2760.7503854659999</v>
      </c>
      <c r="AM446" s="889"/>
      <c r="AN446" s="888"/>
      <c r="AO446" s="886">
        <v>2760.7503854659999</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10"/>
        <v>Téléphone</v>
      </c>
      <c r="B447" s="54" t="s">
        <v>138</v>
      </c>
      <c r="C447" s="889"/>
      <c r="D447" s="888"/>
      <c r="E447" s="886">
        <v>8816.1691244243357</v>
      </c>
      <c r="F447" s="889"/>
      <c r="G447" s="888"/>
      <c r="H447" s="886">
        <v>734.68076036869445</v>
      </c>
      <c r="I447" s="889"/>
      <c r="J447" s="888"/>
      <c r="K447" s="886">
        <v>734.68076036869445</v>
      </c>
      <c r="L447" s="889"/>
      <c r="M447" s="888"/>
      <c r="N447" s="886">
        <v>734.68076036869445</v>
      </c>
      <c r="O447" s="889"/>
      <c r="P447" s="888"/>
      <c r="Q447" s="886">
        <v>734.68076036869445</v>
      </c>
      <c r="R447" s="889"/>
      <c r="S447" s="888"/>
      <c r="T447" s="886">
        <v>734.68076036869445</v>
      </c>
      <c r="U447" s="889"/>
      <c r="V447" s="888"/>
      <c r="W447" s="886">
        <v>734.68076036869445</v>
      </c>
      <c r="X447" s="889"/>
      <c r="Y447" s="888"/>
      <c r="Z447" s="886">
        <v>734.68076036869445</v>
      </c>
      <c r="AA447" s="889"/>
      <c r="AB447" s="888"/>
      <c r="AC447" s="886">
        <v>734.68076036869445</v>
      </c>
      <c r="AD447" s="889"/>
      <c r="AE447" s="888"/>
      <c r="AF447" s="886">
        <v>734.68076036869445</v>
      </c>
      <c r="AG447" s="889"/>
      <c r="AH447" s="888"/>
      <c r="AI447" s="886">
        <v>734.68076036869445</v>
      </c>
      <c r="AJ447" s="889"/>
      <c r="AK447" s="888"/>
      <c r="AL447" s="886">
        <v>734.68076036869445</v>
      </c>
      <c r="AM447" s="889"/>
      <c r="AN447" s="888"/>
      <c r="AO447" s="886">
        <v>734.68076036869445</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10"/>
        <v>Frais postaux</v>
      </c>
      <c r="B448" s="54" t="s">
        <v>139</v>
      </c>
      <c r="C448" s="889"/>
      <c r="D448" s="888"/>
      <c r="E448" s="886">
        <v>2822.5387458156652</v>
      </c>
      <c r="F448" s="889"/>
      <c r="G448" s="888"/>
      <c r="H448" s="886">
        <v>235.21156215130546</v>
      </c>
      <c r="I448" s="889"/>
      <c r="J448" s="888"/>
      <c r="K448" s="886">
        <v>235.21156215130546</v>
      </c>
      <c r="L448" s="889"/>
      <c r="M448" s="888"/>
      <c r="N448" s="886">
        <v>235.21156215130546</v>
      </c>
      <c r="O448" s="889"/>
      <c r="P448" s="888"/>
      <c r="Q448" s="886">
        <v>235.21156215130546</v>
      </c>
      <c r="R448" s="889"/>
      <c r="S448" s="888"/>
      <c r="T448" s="886">
        <v>235.21156215130546</v>
      </c>
      <c r="U448" s="889"/>
      <c r="V448" s="888"/>
      <c r="W448" s="886">
        <v>235.21156215130546</v>
      </c>
      <c r="X448" s="889"/>
      <c r="Y448" s="888"/>
      <c r="Z448" s="886">
        <v>235.21156215130546</v>
      </c>
      <c r="AA448" s="889"/>
      <c r="AB448" s="888"/>
      <c r="AC448" s="886">
        <v>235.21156215130546</v>
      </c>
      <c r="AD448" s="889"/>
      <c r="AE448" s="888"/>
      <c r="AF448" s="886">
        <v>235.21156215130546</v>
      </c>
      <c r="AG448" s="889"/>
      <c r="AH448" s="888"/>
      <c r="AI448" s="886">
        <v>235.21156215130546</v>
      </c>
      <c r="AJ448" s="889"/>
      <c r="AK448" s="888"/>
      <c r="AL448" s="886">
        <v>235.21156215130546</v>
      </c>
      <c r="AM448" s="889"/>
      <c r="AN448" s="888"/>
      <c r="AO448" s="886">
        <v>235.21156215130546</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10"/>
        <v>Divers</v>
      </c>
      <c r="B449" s="54" t="s">
        <v>140</v>
      </c>
      <c r="C449" s="889"/>
      <c r="D449" s="888"/>
      <c r="E449" s="886">
        <v>8644.6703837976675</v>
      </c>
      <c r="F449" s="889"/>
      <c r="G449" s="888"/>
      <c r="H449" s="886">
        <v>720.38919864980562</v>
      </c>
      <c r="I449" s="889"/>
      <c r="J449" s="888"/>
      <c r="K449" s="886">
        <v>720.38919864980562</v>
      </c>
      <c r="L449" s="889"/>
      <c r="M449" s="888"/>
      <c r="N449" s="886">
        <v>720.38919864980562</v>
      </c>
      <c r="O449" s="889"/>
      <c r="P449" s="888"/>
      <c r="Q449" s="886">
        <v>720.38919864980562</v>
      </c>
      <c r="R449" s="889"/>
      <c r="S449" s="888"/>
      <c r="T449" s="886">
        <v>720.38919864980562</v>
      </c>
      <c r="U449" s="889"/>
      <c r="V449" s="888"/>
      <c r="W449" s="886">
        <v>720.38919864980562</v>
      </c>
      <c r="X449" s="889"/>
      <c r="Y449" s="888"/>
      <c r="Z449" s="886">
        <v>720.38919864980562</v>
      </c>
      <c r="AA449" s="889"/>
      <c r="AB449" s="888"/>
      <c r="AC449" s="886">
        <v>720.38919864980562</v>
      </c>
      <c r="AD449" s="889"/>
      <c r="AE449" s="888"/>
      <c r="AF449" s="886">
        <v>720.38919864980562</v>
      </c>
      <c r="AG449" s="889"/>
      <c r="AH449" s="888"/>
      <c r="AI449" s="886">
        <v>720.38919864980562</v>
      </c>
      <c r="AJ449" s="889"/>
      <c r="AK449" s="888"/>
      <c r="AL449" s="886">
        <v>720.38919864980562</v>
      </c>
      <c r="AM449" s="889"/>
      <c r="AN449" s="888"/>
      <c r="AO449" s="886">
        <v>720.38919864980562</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10"/>
        <v>Formation</v>
      </c>
      <c r="B450" s="54" t="s">
        <v>141</v>
      </c>
      <c r="C450" s="889"/>
      <c r="D450" s="888"/>
      <c r="E450" s="886">
        <v>69289.644522609175</v>
      </c>
      <c r="F450" s="889"/>
      <c r="G450" s="888"/>
      <c r="H450" s="886">
        <v>5774.1370435507661</v>
      </c>
      <c r="I450" s="889"/>
      <c r="J450" s="888"/>
      <c r="K450" s="886">
        <v>5774.1370435507661</v>
      </c>
      <c r="L450" s="889"/>
      <c r="M450" s="888"/>
      <c r="N450" s="886">
        <v>5774.1370435507661</v>
      </c>
      <c r="O450" s="889"/>
      <c r="P450" s="888"/>
      <c r="Q450" s="886">
        <v>5774.1370435507661</v>
      </c>
      <c r="R450" s="889"/>
      <c r="S450" s="888"/>
      <c r="T450" s="886">
        <v>5774.1370435507661</v>
      </c>
      <c r="U450" s="889"/>
      <c r="V450" s="888"/>
      <c r="W450" s="886">
        <v>5774.1370435507661</v>
      </c>
      <c r="X450" s="889"/>
      <c r="Y450" s="888"/>
      <c r="Z450" s="886">
        <v>5774.1370435507661</v>
      </c>
      <c r="AA450" s="889"/>
      <c r="AB450" s="888"/>
      <c r="AC450" s="886">
        <v>5774.1370435507661</v>
      </c>
      <c r="AD450" s="889"/>
      <c r="AE450" s="888"/>
      <c r="AF450" s="886">
        <v>5774.1370435507661</v>
      </c>
      <c r="AG450" s="889"/>
      <c r="AH450" s="888"/>
      <c r="AI450" s="886">
        <v>5774.1370435507661</v>
      </c>
      <c r="AJ450" s="889"/>
      <c r="AK450" s="888"/>
      <c r="AL450" s="886">
        <v>5774.1370435507661</v>
      </c>
      <c r="AM450" s="889"/>
      <c r="AN450" s="888"/>
      <c r="AO450" s="886">
        <v>5774.1370435507661</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10"/>
        <v>Frais bancaires</v>
      </c>
      <c r="B451" s="54" t="s">
        <v>142</v>
      </c>
      <c r="C451" s="889"/>
      <c r="D451" s="888"/>
      <c r="E451" s="886">
        <v>96253.947445854821</v>
      </c>
      <c r="F451" s="889"/>
      <c r="G451" s="888"/>
      <c r="H451" s="886">
        <v>6280.2252781770867</v>
      </c>
      <c r="I451" s="889"/>
      <c r="J451" s="888"/>
      <c r="K451" s="886">
        <v>6055.2901420058188</v>
      </c>
      <c r="L451" s="889"/>
      <c r="M451" s="888"/>
      <c r="N451" s="886">
        <v>6406.525370599119</v>
      </c>
      <c r="O451" s="889"/>
      <c r="P451" s="888"/>
      <c r="Q451" s="886">
        <v>8394.6989070975033</v>
      </c>
      <c r="R451" s="889"/>
      <c r="S451" s="888"/>
      <c r="T451" s="886">
        <v>8924.4835609961956</v>
      </c>
      <c r="U451" s="889"/>
      <c r="V451" s="888"/>
      <c r="W451" s="886">
        <v>8313.6476244054084</v>
      </c>
      <c r="X451" s="889"/>
      <c r="Y451" s="888"/>
      <c r="Z451" s="886">
        <v>8126.212895296856</v>
      </c>
      <c r="AA451" s="889"/>
      <c r="AB451" s="888"/>
      <c r="AC451" s="886">
        <v>8788.9070130609471</v>
      </c>
      <c r="AD451" s="889"/>
      <c r="AE451" s="888"/>
      <c r="AF451" s="886">
        <v>7148.9466578781667</v>
      </c>
      <c r="AG451" s="889"/>
      <c r="AH451" s="888"/>
      <c r="AI451" s="886">
        <v>9652.4094193720739</v>
      </c>
      <c r="AJ451" s="889"/>
      <c r="AK451" s="888"/>
      <c r="AL451" s="886">
        <v>11347.597742175512</v>
      </c>
      <c r="AM451" s="889"/>
      <c r="AN451" s="888"/>
      <c r="AO451" s="886">
        <v>6815.0028347901361</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10"/>
        <v>[...]</v>
      </c>
      <c r="B452" s="54" t="s">
        <v>59</v>
      </c>
      <c r="C452" s="889"/>
      <c r="D452" s="888"/>
      <c r="E452" s="886">
        <v>0</v>
      </c>
      <c r="F452" s="889"/>
      <c r="G452" s="888"/>
      <c r="H452" s="886">
        <v>0</v>
      </c>
      <c r="I452" s="889"/>
      <c r="J452" s="888"/>
      <c r="K452" s="886">
        <v>0</v>
      </c>
      <c r="L452" s="889"/>
      <c r="M452" s="888"/>
      <c r="N452" s="886">
        <v>0</v>
      </c>
      <c r="O452" s="889"/>
      <c r="P452" s="888"/>
      <c r="Q452" s="886">
        <v>0</v>
      </c>
      <c r="R452" s="889"/>
      <c r="S452" s="888"/>
      <c r="T452" s="886">
        <v>0</v>
      </c>
      <c r="U452" s="889"/>
      <c r="V452" s="888"/>
      <c r="W452" s="886">
        <v>0</v>
      </c>
      <c r="X452" s="889"/>
      <c r="Y452" s="888"/>
      <c r="Z452" s="886">
        <v>0</v>
      </c>
      <c r="AA452" s="889"/>
      <c r="AB452" s="888"/>
      <c r="AC452" s="886">
        <v>0</v>
      </c>
      <c r="AD452" s="889"/>
      <c r="AE452" s="888"/>
      <c r="AF452" s="886">
        <v>0</v>
      </c>
      <c r="AG452" s="889"/>
      <c r="AH452" s="888"/>
      <c r="AI452" s="886">
        <v>0</v>
      </c>
      <c r="AJ452" s="889"/>
      <c r="AK452" s="888"/>
      <c r="AL452" s="886">
        <v>0</v>
      </c>
      <c r="AM452" s="889"/>
      <c r="AN452" s="888"/>
      <c r="AO452" s="886">
        <v>0</v>
      </c>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10"/>
        <v>[...]</v>
      </c>
      <c r="B453" s="54" t="s">
        <v>59</v>
      </c>
      <c r="C453" s="889"/>
      <c r="D453" s="888"/>
      <c r="E453" s="886">
        <v>0</v>
      </c>
      <c r="F453" s="889"/>
      <c r="G453" s="888"/>
      <c r="H453" s="886">
        <v>0</v>
      </c>
      <c r="I453" s="889"/>
      <c r="J453" s="888"/>
      <c r="K453" s="886">
        <v>0</v>
      </c>
      <c r="L453" s="889"/>
      <c r="M453" s="888"/>
      <c r="N453" s="886">
        <v>0</v>
      </c>
      <c r="O453" s="889"/>
      <c r="P453" s="888"/>
      <c r="Q453" s="886">
        <v>0</v>
      </c>
      <c r="R453" s="889"/>
      <c r="S453" s="888"/>
      <c r="T453" s="886">
        <v>0</v>
      </c>
      <c r="U453" s="889"/>
      <c r="V453" s="888"/>
      <c r="W453" s="886">
        <v>0</v>
      </c>
      <c r="X453" s="889"/>
      <c r="Y453" s="888"/>
      <c r="Z453" s="886">
        <v>0</v>
      </c>
      <c r="AA453" s="889"/>
      <c r="AB453" s="888"/>
      <c r="AC453" s="886">
        <v>0</v>
      </c>
      <c r="AD453" s="889"/>
      <c r="AE453" s="888"/>
      <c r="AF453" s="886">
        <v>0</v>
      </c>
      <c r="AG453" s="889"/>
      <c r="AH453" s="888"/>
      <c r="AI453" s="886">
        <v>0</v>
      </c>
      <c r="AJ453" s="889"/>
      <c r="AK453" s="888"/>
      <c r="AL453" s="886">
        <v>0</v>
      </c>
      <c r="AM453" s="889"/>
      <c r="AN453" s="888"/>
      <c r="AO453" s="886">
        <v>0</v>
      </c>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t="str">
        <f t="shared" si="10"/>
        <v>[...]</v>
      </c>
      <c r="B454" s="54" t="s">
        <v>59</v>
      </c>
      <c r="C454" s="889"/>
      <c r="D454" s="888"/>
      <c r="E454" s="886">
        <v>0</v>
      </c>
      <c r="F454" s="889"/>
      <c r="G454" s="888"/>
      <c r="H454" s="886">
        <v>0</v>
      </c>
      <c r="I454" s="889"/>
      <c r="J454" s="888"/>
      <c r="K454" s="886">
        <v>0</v>
      </c>
      <c r="L454" s="889"/>
      <c r="M454" s="888"/>
      <c r="N454" s="886">
        <v>0</v>
      </c>
      <c r="O454" s="889"/>
      <c r="P454" s="888"/>
      <c r="Q454" s="886">
        <v>0</v>
      </c>
      <c r="R454" s="889"/>
      <c r="S454" s="888"/>
      <c r="T454" s="886">
        <v>0</v>
      </c>
      <c r="U454" s="889"/>
      <c r="V454" s="888"/>
      <c r="W454" s="886">
        <v>0</v>
      </c>
      <c r="X454" s="889"/>
      <c r="Y454" s="888"/>
      <c r="Z454" s="886">
        <v>0</v>
      </c>
      <c r="AA454" s="889"/>
      <c r="AB454" s="888"/>
      <c r="AC454" s="886">
        <v>0</v>
      </c>
      <c r="AD454" s="889"/>
      <c r="AE454" s="888"/>
      <c r="AF454" s="886">
        <v>0</v>
      </c>
      <c r="AG454" s="889"/>
      <c r="AH454" s="888"/>
      <c r="AI454" s="886">
        <v>0</v>
      </c>
      <c r="AJ454" s="889"/>
      <c r="AK454" s="888"/>
      <c r="AL454" s="886">
        <v>0</v>
      </c>
      <c r="AM454" s="889"/>
      <c r="AN454" s="888"/>
      <c r="AO454" s="886">
        <v>0</v>
      </c>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10"/>
        <v>TOTAL SEMI-FIXES</v>
      </c>
      <c r="B455" s="70" t="s">
        <v>143</v>
      </c>
      <c r="C455" s="893">
        <v>0.18513136238224173</v>
      </c>
      <c r="D455" s="896"/>
      <c r="E455" s="895">
        <v>1573184.9000363436</v>
      </c>
      <c r="F455" s="893">
        <v>0.22570350366648537</v>
      </c>
      <c r="G455" s="896"/>
      <c r="H455" s="895">
        <v>125139.59533886446</v>
      </c>
      <c r="I455" s="893">
        <v>0.22803489072330263</v>
      </c>
      <c r="J455" s="896"/>
      <c r="K455" s="895">
        <v>121903.86689275698</v>
      </c>
      <c r="L455" s="893">
        <v>0.22539316442471388</v>
      </c>
      <c r="M455" s="896"/>
      <c r="N455" s="895">
        <v>127480.72188949543</v>
      </c>
      <c r="O455" s="893">
        <v>0.19252439094962071</v>
      </c>
      <c r="P455" s="896"/>
      <c r="Q455" s="895">
        <v>142682.958224817</v>
      </c>
      <c r="R455" s="893">
        <v>0.17703805168709844</v>
      </c>
      <c r="S455" s="896"/>
      <c r="T455" s="895">
        <v>139486.10211885162</v>
      </c>
      <c r="U455" s="893">
        <v>0.16918917779694267</v>
      </c>
      <c r="V455" s="896"/>
      <c r="W455" s="895">
        <v>124178.21581834269</v>
      </c>
      <c r="X455" s="893">
        <v>0.17230118733803457</v>
      </c>
      <c r="Y455" s="896"/>
      <c r="Z455" s="895">
        <v>123611.16202551892</v>
      </c>
      <c r="AA455" s="893">
        <v>0.16529102449393654</v>
      </c>
      <c r="AB455" s="896"/>
      <c r="AC455" s="895">
        <v>128252.35957864445</v>
      </c>
      <c r="AD455" s="893">
        <v>0.19851431242569215</v>
      </c>
      <c r="AE455" s="896"/>
      <c r="AF455" s="895">
        <v>125289.62324458691</v>
      </c>
      <c r="AG455" s="893">
        <v>0.16183229081507583</v>
      </c>
      <c r="AH455" s="896"/>
      <c r="AI455" s="895">
        <v>137905.67535664779</v>
      </c>
      <c r="AJ455" s="893">
        <v>0.15282823229818698</v>
      </c>
      <c r="AK455" s="896"/>
      <c r="AL455" s="895">
        <v>153104.77827752181</v>
      </c>
      <c r="AM455" s="893">
        <v>0.20634735432730358</v>
      </c>
      <c r="AN455" s="896"/>
      <c r="AO455" s="895">
        <v>124149.84127029592</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10"/>
        <v>Loyer</v>
      </c>
      <c r="B456" s="54" t="s">
        <v>205</v>
      </c>
      <c r="C456" s="889"/>
      <c r="D456" s="888"/>
      <c r="E456" s="886">
        <v>432000</v>
      </c>
      <c r="F456" s="889"/>
      <c r="G456" s="888"/>
      <c r="H456" s="897">
        <v>36000</v>
      </c>
      <c r="I456" s="889"/>
      <c r="J456" s="888"/>
      <c r="K456" s="897">
        <v>36000</v>
      </c>
      <c r="L456" s="889"/>
      <c r="M456" s="888"/>
      <c r="N456" s="897">
        <v>36000</v>
      </c>
      <c r="O456" s="889"/>
      <c r="P456" s="888"/>
      <c r="Q456" s="897">
        <v>36000</v>
      </c>
      <c r="R456" s="889"/>
      <c r="S456" s="888"/>
      <c r="T456" s="897">
        <v>36000</v>
      </c>
      <c r="U456" s="889"/>
      <c r="V456" s="888"/>
      <c r="W456" s="897">
        <v>36000</v>
      </c>
      <c r="X456" s="889"/>
      <c r="Y456" s="888"/>
      <c r="Z456" s="897">
        <v>36000</v>
      </c>
      <c r="AA456" s="889"/>
      <c r="AB456" s="888"/>
      <c r="AC456" s="897">
        <v>36000</v>
      </c>
      <c r="AD456" s="889"/>
      <c r="AE456" s="888"/>
      <c r="AF456" s="897">
        <v>36000</v>
      </c>
      <c r="AG456" s="889"/>
      <c r="AH456" s="888"/>
      <c r="AI456" s="897">
        <v>36000</v>
      </c>
      <c r="AJ456" s="889"/>
      <c r="AK456" s="888"/>
      <c r="AL456" s="897">
        <v>36000</v>
      </c>
      <c r="AM456" s="889"/>
      <c r="AN456" s="888"/>
      <c r="AO456" s="897">
        <v>36000</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10"/>
        <v>Taxes foncières</v>
      </c>
      <c r="B457" s="54" t="s">
        <v>206</v>
      </c>
      <c r="C457" s="889"/>
      <c r="D457" s="888"/>
      <c r="E457" s="886">
        <v>65081.280000000021</v>
      </c>
      <c r="F457" s="889"/>
      <c r="G457" s="888"/>
      <c r="H457" s="897">
        <v>5423.4400000000005</v>
      </c>
      <c r="I457" s="889"/>
      <c r="J457" s="888"/>
      <c r="K457" s="897">
        <v>5423.4400000000005</v>
      </c>
      <c r="L457" s="889"/>
      <c r="M457" s="888"/>
      <c r="N457" s="897">
        <v>5423.4400000000005</v>
      </c>
      <c r="O457" s="889"/>
      <c r="P457" s="888"/>
      <c r="Q457" s="897">
        <v>5423.4400000000005</v>
      </c>
      <c r="R457" s="889"/>
      <c r="S457" s="888"/>
      <c r="T457" s="897">
        <v>5423.4400000000005</v>
      </c>
      <c r="U457" s="889"/>
      <c r="V457" s="888"/>
      <c r="W457" s="897">
        <v>5423.4400000000005</v>
      </c>
      <c r="X457" s="889"/>
      <c r="Y457" s="888"/>
      <c r="Z457" s="897">
        <v>5423.4400000000005</v>
      </c>
      <c r="AA457" s="889"/>
      <c r="AB457" s="888"/>
      <c r="AC457" s="897">
        <v>5423.4400000000005</v>
      </c>
      <c r="AD457" s="889"/>
      <c r="AE457" s="888"/>
      <c r="AF457" s="897">
        <v>5423.4400000000005</v>
      </c>
      <c r="AG457" s="889"/>
      <c r="AH457" s="888"/>
      <c r="AI457" s="897">
        <v>5423.4400000000005</v>
      </c>
      <c r="AJ457" s="889"/>
      <c r="AK457" s="888"/>
      <c r="AL457" s="897">
        <v>5423.4400000000005</v>
      </c>
      <c r="AM457" s="889"/>
      <c r="AN457" s="888"/>
      <c r="AO457" s="897">
        <v>5423.4400000000005</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10"/>
        <v>Taxes d`affaires</v>
      </c>
      <c r="B458" s="55" t="s">
        <v>207</v>
      </c>
      <c r="C458" s="892"/>
      <c r="D458" s="891"/>
      <c r="E458" s="880">
        <v>43306.559999999998</v>
      </c>
      <c r="F458" s="892"/>
      <c r="G458" s="891"/>
      <c r="H458" s="909">
        <v>3608.8800000000006</v>
      </c>
      <c r="I458" s="892"/>
      <c r="J458" s="891"/>
      <c r="K458" s="909">
        <v>3608.8800000000006</v>
      </c>
      <c r="L458" s="892"/>
      <c r="M458" s="891"/>
      <c r="N458" s="909">
        <v>3608.8800000000006</v>
      </c>
      <c r="O458" s="892"/>
      <c r="P458" s="891"/>
      <c r="Q458" s="909">
        <v>3608.8800000000006</v>
      </c>
      <c r="R458" s="892"/>
      <c r="S458" s="891"/>
      <c r="T458" s="909">
        <v>3608.8800000000006</v>
      </c>
      <c r="U458" s="892"/>
      <c r="V458" s="891"/>
      <c r="W458" s="909">
        <v>3608.8800000000006</v>
      </c>
      <c r="X458" s="892"/>
      <c r="Y458" s="891"/>
      <c r="Z458" s="909">
        <v>3608.8800000000006</v>
      </c>
      <c r="AA458" s="892"/>
      <c r="AB458" s="891"/>
      <c r="AC458" s="909">
        <v>3608.8800000000006</v>
      </c>
      <c r="AD458" s="892"/>
      <c r="AE458" s="891"/>
      <c r="AF458" s="909">
        <v>3608.8800000000006</v>
      </c>
      <c r="AG458" s="892"/>
      <c r="AH458" s="891"/>
      <c r="AI458" s="909">
        <v>3608.8800000000006</v>
      </c>
      <c r="AJ458" s="892"/>
      <c r="AK458" s="891"/>
      <c r="AL458" s="909">
        <v>3608.8800000000006</v>
      </c>
      <c r="AM458" s="892"/>
      <c r="AN458" s="891"/>
      <c r="AO458" s="909">
        <v>3608.8800000000006</v>
      </c>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10"/>
        <v>Taxe sur le capital</v>
      </c>
      <c r="B459" s="54" t="s">
        <v>208</v>
      </c>
      <c r="C459" s="889"/>
      <c r="D459" s="888"/>
      <c r="E459" s="886">
        <v>0</v>
      </c>
      <c r="F459" s="889"/>
      <c r="G459" s="888"/>
      <c r="H459" s="897">
        <v>0</v>
      </c>
      <c r="I459" s="889"/>
      <c r="J459" s="888"/>
      <c r="K459" s="897">
        <v>0</v>
      </c>
      <c r="L459" s="889"/>
      <c r="M459" s="888"/>
      <c r="N459" s="897">
        <v>0</v>
      </c>
      <c r="O459" s="889"/>
      <c r="P459" s="888"/>
      <c r="Q459" s="897">
        <v>0</v>
      </c>
      <c r="R459" s="889"/>
      <c r="S459" s="888"/>
      <c r="T459" s="897">
        <v>0</v>
      </c>
      <c r="U459" s="889"/>
      <c r="V459" s="888"/>
      <c r="W459" s="897">
        <v>0</v>
      </c>
      <c r="X459" s="889"/>
      <c r="Y459" s="888"/>
      <c r="Z459" s="897">
        <v>0</v>
      </c>
      <c r="AA459" s="889"/>
      <c r="AB459" s="888"/>
      <c r="AC459" s="897">
        <v>0</v>
      </c>
      <c r="AD459" s="889"/>
      <c r="AE459" s="888"/>
      <c r="AF459" s="897">
        <v>0</v>
      </c>
      <c r="AG459" s="889"/>
      <c r="AH459" s="888"/>
      <c r="AI459" s="897">
        <v>0</v>
      </c>
      <c r="AJ459" s="889"/>
      <c r="AK459" s="888"/>
      <c r="AL459" s="897">
        <v>0</v>
      </c>
      <c r="AM459" s="889"/>
      <c r="AN459" s="888"/>
      <c r="AO459" s="897">
        <v>0</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10"/>
        <v>Assurances</v>
      </c>
      <c r="B460" s="55" t="s">
        <v>209</v>
      </c>
      <c r="C460" s="892"/>
      <c r="D460" s="891"/>
      <c r="E460" s="880">
        <v>52131</v>
      </c>
      <c r="F460" s="892"/>
      <c r="G460" s="891"/>
      <c r="H460" s="909">
        <v>4344.25</v>
      </c>
      <c r="I460" s="892"/>
      <c r="J460" s="891"/>
      <c r="K460" s="909">
        <v>4344.25</v>
      </c>
      <c r="L460" s="892"/>
      <c r="M460" s="891"/>
      <c r="N460" s="909">
        <v>4344.25</v>
      </c>
      <c r="O460" s="892"/>
      <c r="P460" s="891"/>
      <c r="Q460" s="909">
        <v>4344.25</v>
      </c>
      <c r="R460" s="892"/>
      <c r="S460" s="891"/>
      <c r="T460" s="909">
        <v>4344.25</v>
      </c>
      <c r="U460" s="892"/>
      <c r="V460" s="891"/>
      <c r="W460" s="909">
        <v>4344.25</v>
      </c>
      <c r="X460" s="892"/>
      <c r="Y460" s="891"/>
      <c r="Z460" s="909">
        <v>4344.25</v>
      </c>
      <c r="AA460" s="892"/>
      <c r="AB460" s="891"/>
      <c r="AC460" s="909">
        <v>4344.25</v>
      </c>
      <c r="AD460" s="892"/>
      <c r="AE460" s="891"/>
      <c r="AF460" s="909">
        <v>4344.25</v>
      </c>
      <c r="AG460" s="892"/>
      <c r="AH460" s="891"/>
      <c r="AI460" s="909">
        <v>4344.25</v>
      </c>
      <c r="AJ460" s="892"/>
      <c r="AK460" s="891"/>
      <c r="AL460" s="909">
        <v>4344.25</v>
      </c>
      <c r="AM460" s="892"/>
      <c r="AN460" s="891"/>
      <c r="AO460" s="909">
        <v>4344.25</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10"/>
        <v>Chauffage, éclairage</v>
      </c>
      <c r="B461" s="54" t="s">
        <v>210</v>
      </c>
      <c r="C461" s="889"/>
      <c r="D461" s="888"/>
      <c r="E461" s="886">
        <v>44400</v>
      </c>
      <c r="F461" s="889"/>
      <c r="G461" s="888"/>
      <c r="H461" s="897">
        <v>3700</v>
      </c>
      <c r="I461" s="889"/>
      <c r="J461" s="888"/>
      <c r="K461" s="897">
        <v>3700</v>
      </c>
      <c r="L461" s="889"/>
      <c r="M461" s="888"/>
      <c r="N461" s="897">
        <v>3700</v>
      </c>
      <c r="O461" s="889"/>
      <c r="P461" s="888"/>
      <c r="Q461" s="897">
        <v>3700</v>
      </c>
      <c r="R461" s="889"/>
      <c r="S461" s="888"/>
      <c r="T461" s="897">
        <v>3700</v>
      </c>
      <c r="U461" s="889"/>
      <c r="V461" s="888"/>
      <c r="W461" s="897">
        <v>3700</v>
      </c>
      <c r="X461" s="889"/>
      <c r="Y461" s="888"/>
      <c r="Z461" s="897">
        <v>3700</v>
      </c>
      <c r="AA461" s="889"/>
      <c r="AB461" s="888"/>
      <c r="AC461" s="897">
        <v>3700</v>
      </c>
      <c r="AD461" s="889"/>
      <c r="AE461" s="888"/>
      <c r="AF461" s="897">
        <v>3700</v>
      </c>
      <c r="AG461" s="889"/>
      <c r="AH461" s="888"/>
      <c r="AI461" s="897">
        <v>3700</v>
      </c>
      <c r="AJ461" s="889"/>
      <c r="AK461" s="888"/>
      <c r="AL461" s="897">
        <v>3700</v>
      </c>
      <c r="AM461" s="889"/>
      <c r="AN461" s="888"/>
      <c r="AO461" s="897">
        <v>3700</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10"/>
        <v>Honoraires</v>
      </c>
      <c r="B462" s="54" t="s">
        <v>211</v>
      </c>
      <c r="C462" s="889"/>
      <c r="D462" s="888"/>
      <c r="E462" s="886">
        <v>81408.60000000002</v>
      </c>
      <c r="F462" s="889"/>
      <c r="G462" s="888"/>
      <c r="H462" s="897">
        <v>6784.05</v>
      </c>
      <c r="I462" s="889"/>
      <c r="J462" s="888"/>
      <c r="K462" s="897">
        <v>6784.05</v>
      </c>
      <c r="L462" s="889"/>
      <c r="M462" s="888"/>
      <c r="N462" s="897">
        <v>6784.05</v>
      </c>
      <c r="O462" s="889"/>
      <c r="P462" s="888"/>
      <c r="Q462" s="897">
        <v>6784.05</v>
      </c>
      <c r="R462" s="889"/>
      <c r="S462" s="888"/>
      <c r="T462" s="897">
        <v>6784.05</v>
      </c>
      <c r="U462" s="889"/>
      <c r="V462" s="888"/>
      <c r="W462" s="897">
        <v>6784.05</v>
      </c>
      <c r="X462" s="889"/>
      <c r="Y462" s="888"/>
      <c r="Z462" s="897">
        <v>6784.05</v>
      </c>
      <c r="AA462" s="889"/>
      <c r="AB462" s="888"/>
      <c r="AC462" s="897">
        <v>6784.05</v>
      </c>
      <c r="AD462" s="889"/>
      <c r="AE462" s="888"/>
      <c r="AF462" s="897">
        <v>6784.05</v>
      </c>
      <c r="AG462" s="889"/>
      <c r="AH462" s="888"/>
      <c r="AI462" s="897">
        <v>6784.05</v>
      </c>
      <c r="AJ462" s="889"/>
      <c r="AK462" s="888"/>
      <c r="AL462" s="897">
        <v>6784.05</v>
      </c>
      <c r="AM462" s="889"/>
      <c r="AN462" s="888"/>
      <c r="AO462" s="897">
        <v>6784.05</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10"/>
        <v>Réparation équipement</v>
      </c>
      <c r="B463" s="55" t="s">
        <v>212</v>
      </c>
      <c r="C463" s="892"/>
      <c r="D463" s="891"/>
      <c r="E463" s="880">
        <v>16374.74808917444</v>
      </c>
      <c r="F463" s="892"/>
      <c r="G463" s="891"/>
      <c r="H463" s="909">
        <v>1364.5623407645369</v>
      </c>
      <c r="I463" s="892"/>
      <c r="J463" s="891"/>
      <c r="K463" s="909">
        <v>1364.5623407645369</v>
      </c>
      <c r="L463" s="892"/>
      <c r="M463" s="891"/>
      <c r="N463" s="909">
        <v>1364.5623407645369</v>
      </c>
      <c r="O463" s="892"/>
      <c r="P463" s="891"/>
      <c r="Q463" s="909">
        <v>1364.5623407645369</v>
      </c>
      <c r="R463" s="892"/>
      <c r="S463" s="891"/>
      <c r="T463" s="909">
        <v>1364.5623407645369</v>
      </c>
      <c r="U463" s="892"/>
      <c r="V463" s="891"/>
      <c r="W463" s="909">
        <v>1364.5623407645369</v>
      </c>
      <c r="X463" s="892"/>
      <c r="Y463" s="891"/>
      <c r="Z463" s="909">
        <v>1364.5623407645369</v>
      </c>
      <c r="AA463" s="892"/>
      <c r="AB463" s="891"/>
      <c r="AC463" s="909">
        <v>1364.5623407645369</v>
      </c>
      <c r="AD463" s="892"/>
      <c r="AE463" s="891"/>
      <c r="AF463" s="909">
        <v>1364.5623407645369</v>
      </c>
      <c r="AG463" s="892"/>
      <c r="AH463" s="891"/>
      <c r="AI463" s="909">
        <v>1364.5623407645369</v>
      </c>
      <c r="AJ463" s="892"/>
      <c r="AK463" s="891"/>
      <c r="AL463" s="909">
        <v>1364.5623407645369</v>
      </c>
      <c r="AM463" s="892"/>
      <c r="AN463" s="891"/>
      <c r="AO463" s="909">
        <v>1364.5623407645369</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10"/>
        <v>Location équipement</v>
      </c>
      <c r="B464" s="54" t="s">
        <v>213</v>
      </c>
      <c r="C464" s="889"/>
      <c r="D464" s="888"/>
      <c r="E464" s="886">
        <v>12000</v>
      </c>
      <c r="F464" s="889"/>
      <c r="G464" s="888"/>
      <c r="H464" s="897">
        <v>1000</v>
      </c>
      <c r="I464" s="889"/>
      <c r="J464" s="888"/>
      <c r="K464" s="897">
        <v>1000</v>
      </c>
      <c r="L464" s="889"/>
      <c r="M464" s="888"/>
      <c r="N464" s="897">
        <v>1000</v>
      </c>
      <c r="O464" s="889"/>
      <c r="P464" s="888"/>
      <c r="Q464" s="897">
        <v>1000</v>
      </c>
      <c r="R464" s="889"/>
      <c r="S464" s="888"/>
      <c r="T464" s="897">
        <v>1000</v>
      </c>
      <c r="U464" s="889"/>
      <c r="V464" s="888"/>
      <c r="W464" s="897">
        <v>1000</v>
      </c>
      <c r="X464" s="889"/>
      <c r="Y464" s="888"/>
      <c r="Z464" s="897">
        <v>1000</v>
      </c>
      <c r="AA464" s="889"/>
      <c r="AB464" s="888"/>
      <c r="AC464" s="897">
        <v>1000</v>
      </c>
      <c r="AD464" s="889"/>
      <c r="AE464" s="888"/>
      <c r="AF464" s="897">
        <v>1000</v>
      </c>
      <c r="AG464" s="889"/>
      <c r="AH464" s="888"/>
      <c r="AI464" s="897">
        <v>1000</v>
      </c>
      <c r="AJ464" s="889"/>
      <c r="AK464" s="888"/>
      <c r="AL464" s="897">
        <v>1000</v>
      </c>
      <c r="AM464" s="889"/>
      <c r="AN464" s="888"/>
      <c r="AO464" s="897">
        <v>1000</v>
      </c>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10"/>
        <v>Dons</v>
      </c>
      <c r="B465" s="54" t="s">
        <v>214</v>
      </c>
      <c r="C465" s="889"/>
      <c r="D465" s="888"/>
      <c r="E465" s="886">
        <v>0</v>
      </c>
      <c r="F465" s="889"/>
      <c r="G465" s="888"/>
      <c r="H465" s="897">
        <v>0</v>
      </c>
      <c r="I465" s="889"/>
      <c r="J465" s="888"/>
      <c r="K465" s="897">
        <v>0</v>
      </c>
      <c r="L465" s="889"/>
      <c r="M465" s="888"/>
      <c r="N465" s="897">
        <v>0</v>
      </c>
      <c r="O465" s="889"/>
      <c r="P465" s="888"/>
      <c r="Q465" s="897">
        <v>0</v>
      </c>
      <c r="R465" s="889"/>
      <c r="S465" s="888"/>
      <c r="T465" s="897">
        <v>0</v>
      </c>
      <c r="U465" s="889"/>
      <c r="V465" s="888"/>
      <c r="W465" s="897">
        <v>0</v>
      </c>
      <c r="X465" s="889"/>
      <c r="Y465" s="888"/>
      <c r="Z465" s="897">
        <v>0</v>
      </c>
      <c r="AA465" s="889"/>
      <c r="AB465" s="888"/>
      <c r="AC465" s="897">
        <v>0</v>
      </c>
      <c r="AD465" s="889"/>
      <c r="AE465" s="888"/>
      <c r="AF465" s="897">
        <v>0</v>
      </c>
      <c r="AG465" s="889"/>
      <c r="AH465" s="888"/>
      <c r="AI465" s="897">
        <v>0</v>
      </c>
      <c r="AJ465" s="889"/>
      <c r="AK465" s="888"/>
      <c r="AL465" s="897">
        <v>0</v>
      </c>
      <c r="AM465" s="889"/>
      <c r="AN465" s="888"/>
      <c r="AO465" s="897">
        <v>0</v>
      </c>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10"/>
        <v>[...]</v>
      </c>
      <c r="B466" s="54" t="s">
        <v>59</v>
      </c>
      <c r="C466" s="889"/>
      <c r="D466" s="888"/>
      <c r="E466" s="886">
        <v>0</v>
      </c>
      <c r="F466" s="889"/>
      <c r="G466" s="888"/>
      <c r="H466" s="886"/>
      <c r="I466" s="889"/>
      <c r="J466" s="888"/>
      <c r="K466" s="886"/>
      <c r="L466" s="889"/>
      <c r="M466" s="888"/>
      <c r="N466" s="886"/>
      <c r="O466" s="889"/>
      <c r="P466" s="888"/>
      <c r="Q466" s="886"/>
      <c r="R466" s="889"/>
      <c r="S466" s="888"/>
      <c r="T466" s="886"/>
      <c r="U466" s="889"/>
      <c r="V466" s="888"/>
      <c r="W466" s="886"/>
      <c r="X466" s="889"/>
      <c r="Y466" s="888"/>
      <c r="Z466" s="886"/>
      <c r="AA466" s="889"/>
      <c r="AB466" s="888"/>
      <c r="AC466" s="886"/>
      <c r="AD466" s="889"/>
      <c r="AE466" s="888"/>
      <c r="AF466" s="886"/>
      <c r="AG466" s="889"/>
      <c r="AH466" s="888"/>
      <c r="AI466" s="886"/>
      <c r="AJ466" s="889"/>
      <c r="AK466" s="888"/>
      <c r="AL466" s="886"/>
      <c r="AM466" s="889"/>
      <c r="AN466" s="888"/>
      <c r="AO466" s="886"/>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10"/>
        <v>[...]</v>
      </c>
      <c r="B467" s="54" t="s">
        <v>59</v>
      </c>
      <c r="C467" s="889"/>
      <c r="D467" s="888"/>
      <c r="E467" s="886">
        <v>0</v>
      </c>
      <c r="F467" s="889"/>
      <c r="G467" s="888"/>
      <c r="H467" s="886"/>
      <c r="I467" s="889"/>
      <c r="J467" s="888"/>
      <c r="K467" s="886"/>
      <c r="L467" s="889"/>
      <c r="M467" s="888"/>
      <c r="N467" s="886"/>
      <c r="O467" s="889"/>
      <c r="P467" s="888"/>
      <c r="Q467" s="886"/>
      <c r="R467" s="889"/>
      <c r="S467" s="888"/>
      <c r="T467" s="886"/>
      <c r="U467" s="889"/>
      <c r="V467" s="888"/>
      <c r="W467" s="886"/>
      <c r="X467" s="889"/>
      <c r="Y467" s="888"/>
      <c r="Z467" s="886"/>
      <c r="AA467" s="889"/>
      <c r="AB467" s="888"/>
      <c r="AC467" s="886"/>
      <c r="AD467" s="889"/>
      <c r="AE467" s="888"/>
      <c r="AF467" s="886"/>
      <c r="AG467" s="889"/>
      <c r="AH467" s="888"/>
      <c r="AI467" s="886"/>
      <c r="AJ467" s="889"/>
      <c r="AK467" s="888"/>
      <c r="AL467" s="886"/>
      <c r="AM467" s="889"/>
      <c r="AN467" s="888"/>
      <c r="AO467" s="886"/>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10"/>
        <v>[...]</v>
      </c>
      <c r="B468" s="54" t="s">
        <v>59</v>
      </c>
      <c r="C468" s="889"/>
      <c r="D468" s="888"/>
      <c r="E468" s="886">
        <v>0</v>
      </c>
      <c r="F468" s="889"/>
      <c r="G468" s="888"/>
      <c r="H468" s="886"/>
      <c r="I468" s="889"/>
      <c r="J468" s="888"/>
      <c r="K468" s="886"/>
      <c r="L468" s="889"/>
      <c r="M468" s="888"/>
      <c r="N468" s="886"/>
      <c r="O468" s="889"/>
      <c r="P468" s="888"/>
      <c r="Q468" s="886"/>
      <c r="R468" s="889"/>
      <c r="S468" s="888"/>
      <c r="T468" s="886"/>
      <c r="U468" s="889"/>
      <c r="V468" s="888"/>
      <c r="W468" s="886"/>
      <c r="X468" s="889"/>
      <c r="Y468" s="888"/>
      <c r="Z468" s="886"/>
      <c r="AA468" s="889"/>
      <c r="AB468" s="888"/>
      <c r="AC468" s="886"/>
      <c r="AD468" s="889"/>
      <c r="AE468" s="888"/>
      <c r="AF468" s="886"/>
      <c r="AG468" s="889"/>
      <c r="AH468" s="888"/>
      <c r="AI468" s="886"/>
      <c r="AJ468" s="889"/>
      <c r="AK468" s="888"/>
      <c r="AL468" s="886"/>
      <c r="AM468" s="889"/>
      <c r="AN468" s="888"/>
      <c r="AO468" s="886"/>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10"/>
        <v>TOTAL DÉPENSES FIXES</v>
      </c>
      <c r="B469" s="70" t="s">
        <v>215</v>
      </c>
      <c r="C469" s="893">
        <v>8.7871421453102061E-2</v>
      </c>
      <c r="D469" s="896"/>
      <c r="E469" s="895">
        <v>746702.18808917445</v>
      </c>
      <c r="F469" s="893">
        <v>0.1122301988636422</v>
      </c>
      <c r="G469" s="896"/>
      <c r="H469" s="895">
        <v>62225.182340764542</v>
      </c>
      <c r="I469" s="893">
        <v>0.11639920059137111</v>
      </c>
      <c r="J469" s="896"/>
      <c r="K469" s="895">
        <v>62225.182340764542</v>
      </c>
      <c r="L469" s="893">
        <v>0.11001766029256721</v>
      </c>
      <c r="M469" s="896"/>
      <c r="N469" s="895">
        <v>62225.182340764542</v>
      </c>
      <c r="O469" s="893">
        <v>8.3961430859940747E-2</v>
      </c>
      <c r="P469" s="896"/>
      <c r="Q469" s="895">
        <v>62225.182340764542</v>
      </c>
      <c r="R469" s="893">
        <v>7.8977223394606208E-2</v>
      </c>
      <c r="S469" s="896"/>
      <c r="T469" s="895">
        <v>62225.182340764542</v>
      </c>
      <c r="U469" s="893">
        <v>8.4779986321430911E-2</v>
      </c>
      <c r="V469" s="896"/>
      <c r="W469" s="895">
        <v>62225.182340764542</v>
      </c>
      <c r="X469" s="893">
        <v>8.6735474563583798E-2</v>
      </c>
      <c r="Y469" s="896"/>
      <c r="Z469" s="895">
        <v>62225.182340764542</v>
      </c>
      <c r="AA469" s="893">
        <v>8.0195515873686882E-2</v>
      </c>
      <c r="AB469" s="896"/>
      <c r="AC469" s="895">
        <v>62225.182340764542</v>
      </c>
      <c r="AD469" s="893">
        <v>9.8592277381390273E-2</v>
      </c>
      <c r="AE469" s="896"/>
      <c r="AF469" s="895">
        <v>62225.182340764542</v>
      </c>
      <c r="AG469" s="893">
        <v>7.3021242806351971E-2</v>
      </c>
      <c r="AH469" s="896"/>
      <c r="AI469" s="895">
        <v>62225.182340764542</v>
      </c>
      <c r="AJ469" s="893">
        <v>6.2112787912691737E-2</v>
      </c>
      <c r="AK469" s="896"/>
      <c r="AL469" s="895">
        <v>62225.182340764542</v>
      </c>
      <c r="AM469" s="893">
        <v>0.10342342460668867</v>
      </c>
      <c r="AN469" s="896"/>
      <c r="AO469" s="895">
        <v>62225.182340764542</v>
      </c>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10"/>
        <v>0</v>
      </c>
      <c r="B470" s="54"/>
      <c r="C470" s="910"/>
      <c r="D470" s="911"/>
      <c r="E470" s="912">
        <v>344860.53318603075</v>
      </c>
      <c r="F470" s="910"/>
      <c r="G470" s="911"/>
      <c r="H470" s="912">
        <v>26997.440756525077</v>
      </c>
      <c r="I470" s="910"/>
      <c r="J470" s="911"/>
      <c r="K470" s="912">
        <v>26772.505620353808</v>
      </c>
      <c r="L470" s="910"/>
      <c r="M470" s="911"/>
      <c r="N470" s="912">
        <v>27123.740848947109</v>
      </c>
      <c r="O470" s="910"/>
      <c r="P470" s="911"/>
      <c r="Q470" s="912">
        <v>29111.914385445492</v>
      </c>
      <c r="R470" s="910"/>
      <c r="S470" s="911"/>
      <c r="T470" s="912">
        <v>29641.699039344185</v>
      </c>
      <c r="U470" s="910"/>
      <c r="V470" s="911"/>
      <c r="W470" s="912">
        <v>29030.863102753399</v>
      </c>
      <c r="X470" s="910"/>
      <c r="Y470" s="911"/>
      <c r="Z470" s="912">
        <v>28843.428373644845</v>
      </c>
      <c r="AA470" s="910"/>
      <c r="AB470" s="911"/>
      <c r="AC470" s="912">
        <v>29506.122491408936</v>
      </c>
      <c r="AD470" s="910"/>
      <c r="AE470" s="911"/>
      <c r="AF470" s="912">
        <v>27866.162136226158</v>
      </c>
      <c r="AG470" s="910"/>
      <c r="AH470" s="911"/>
      <c r="AI470" s="912">
        <v>30369.624897720063</v>
      </c>
      <c r="AJ470" s="910"/>
      <c r="AK470" s="911"/>
      <c r="AL470" s="912">
        <v>32064.813220523502</v>
      </c>
      <c r="AM470" s="910"/>
      <c r="AN470" s="911"/>
      <c r="AO470" s="912">
        <v>27532.218313138124</v>
      </c>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10"/>
        <v>TOTAL DES DÉPENSES</v>
      </c>
      <c r="B471" s="70" t="s">
        <v>144</v>
      </c>
      <c r="C471" s="893">
        <v>1.0004359643760452</v>
      </c>
      <c r="D471" s="896"/>
      <c r="E471" s="895">
        <v>8501372.9297800567</v>
      </c>
      <c r="F471" s="893">
        <v>1.2494558049058475</v>
      </c>
      <c r="G471" s="896"/>
      <c r="H471" s="895">
        <v>692751.29220304708</v>
      </c>
      <c r="I471" s="893">
        <v>1.179453722803308</v>
      </c>
      <c r="J471" s="896"/>
      <c r="K471" s="895">
        <v>630517.4141322244</v>
      </c>
      <c r="L471" s="893">
        <v>1.1766812136768074</v>
      </c>
      <c r="M471" s="896"/>
      <c r="N471" s="895">
        <v>665522.2705453058</v>
      </c>
      <c r="O471" s="893">
        <v>0.96110728740116524</v>
      </c>
      <c r="P471" s="896"/>
      <c r="Q471" s="895">
        <v>712292.24651183258</v>
      </c>
      <c r="R471" s="893">
        <v>0.98417905556186835</v>
      </c>
      <c r="S471" s="896"/>
      <c r="T471" s="895">
        <v>775422.56559605978</v>
      </c>
      <c r="U471" s="893">
        <v>0.94438705595909189</v>
      </c>
      <c r="V471" s="896"/>
      <c r="W471" s="895">
        <v>693143.03182964318</v>
      </c>
      <c r="X471" s="893">
        <v>0.96226449836243932</v>
      </c>
      <c r="Y471" s="896"/>
      <c r="Z471" s="895">
        <v>690341.34155515092</v>
      </c>
      <c r="AA471" s="893">
        <v>0.97326189611050107</v>
      </c>
      <c r="AB471" s="896"/>
      <c r="AC471" s="895">
        <v>755171.88574710686</v>
      </c>
      <c r="AD471" s="893">
        <v>1.0581202021702536</v>
      </c>
      <c r="AE471" s="896"/>
      <c r="AF471" s="895">
        <v>667818.25379478035</v>
      </c>
      <c r="AG471" s="893">
        <v>0.936337661538168</v>
      </c>
      <c r="AH471" s="896"/>
      <c r="AI471" s="895">
        <v>797901.80887840665</v>
      </c>
      <c r="AJ471" s="893">
        <v>0.77493326313769706</v>
      </c>
      <c r="AK471" s="896"/>
      <c r="AL471" s="895">
        <v>776335.52157483855</v>
      </c>
      <c r="AM471" s="893">
        <v>1.0706396402668288</v>
      </c>
      <c r="AN471" s="896"/>
      <c r="AO471" s="895">
        <v>644155.29741166043</v>
      </c>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10"/>
        <v>Revenus autres</v>
      </c>
      <c r="B472" s="54" t="s">
        <v>216</v>
      </c>
      <c r="C472" s="913"/>
      <c r="D472" s="914"/>
      <c r="E472" s="915">
        <v>120000</v>
      </c>
      <c r="F472" s="913"/>
      <c r="G472" s="914"/>
      <c r="H472" s="915">
        <v>0</v>
      </c>
      <c r="I472" s="913"/>
      <c r="J472" s="914"/>
      <c r="K472" s="915">
        <v>0</v>
      </c>
      <c r="L472" s="913"/>
      <c r="M472" s="914"/>
      <c r="N472" s="915">
        <v>30000</v>
      </c>
      <c r="O472" s="913"/>
      <c r="P472" s="914"/>
      <c r="Q472" s="915">
        <v>0</v>
      </c>
      <c r="R472" s="913"/>
      <c r="S472" s="914"/>
      <c r="T472" s="915">
        <v>0</v>
      </c>
      <c r="U472" s="913"/>
      <c r="V472" s="914"/>
      <c r="W472" s="915">
        <v>30000</v>
      </c>
      <c r="X472" s="913"/>
      <c r="Y472" s="914"/>
      <c r="Z472" s="915">
        <v>0</v>
      </c>
      <c r="AA472" s="913"/>
      <c r="AB472" s="914"/>
      <c r="AC472" s="915">
        <v>0</v>
      </c>
      <c r="AD472" s="913"/>
      <c r="AE472" s="914"/>
      <c r="AF472" s="915">
        <v>30000</v>
      </c>
      <c r="AG472" s="913"/>
      <c r="AH472" s="914"/>
      <c r="AI472" s="915">
        <v>0</v>
      </c>
      <c r="AJ472" s="913"/>
      <c r="AK472" s="914"/>
      <c r="AL472" s="915">
        <v>0</v>
      </c>
      <c r="AM472" s="913"/>
      <c r="AN472" s="914"/>
      <c r="AO472" s="915">
        <v>30000</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10"/>
        <v>Holdbacks</v>
      </c>
      <c r="B473" s="54" t="s">
        <v>148</v>
      </c>
      <c r="C473" s="916"/>
      <c r="D473" s="917"/>
      <c r="E473" s="886">
        <v>1145900.2452170278</v>
      </c>
      <c r="F473" s="916"/>
      <c r="G473" s="917"/>
      <c r="H473" s="886">
        <v>84434.754910728356</v>
      </c>
      <c r="I473" s="916"/>
      <c r="J473" s="917"/>
      <c r="K473" s="886">
        <v>76895.937507984767</v>
      </c>
      <c r="L473" s="916"/>
      <c r="M473" s="917"/>
      <c r="N473" s="886">
        <v>72372.647066338584</v>
      </c>
      <c r="O473" s="916"/>
      <c r="P473" s="917"/>
      <c r="Q473" s="886">
        <v>85942.518391277088</v>
      </c>
      <c r="R473" s="916"/>
      <c r="S473" s="917"/>
      <c r="T473" s="886">
        <v>87450.281871825806</v>
      </c>
      <c r="U473" s="916"/>
      <c r="V473" s="917"/>
      <c r="W473" s="886">
        <v>105543.44363841046</v>
      </c>
      <c r="X473" s="916"/>
      <c r="Y473" s="917"/>
      <c r="Z473" s="886">
        <v>105543.44363841046</v>
      </c>
      <c r="AA473" s="916"/>
      <c r="AB473" s="917"/>
      <c r="AC473" s="886">
        <v>128159.89584664126</v>
      </c>
      <c r="AD473" s="916"/>
      <c r="AE473" s="917"/>
      <c r="AF473" s="886">
        <v>90465.808832923241</v>
      </c>
      <c r="AG473" s="916"/>
      <c r="AH473" s="917"/>
      <c r="AI473" s="886">
        <v>104035.68015786173</v>
      </c>
      <c r="AJ473" s="916"/>
      <c r="AK473" s="917"/>
      <c r="AL473" s="886">
        <v>126652.13236609256</v>
      </c>
      <c r="AM473" s="916"/>
      <c r="AN473" s="917"/>
      <c r="AO473" s="886">
        <v>78403.70098853347</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10"/>
        <v>Programme neuf 1</v>
      </c>
      <c r="B474" s="54" t="s">
        <v>145</v>
      </c>
      <c r="C474" s="916"/>
      <c r="D474" s="917"/>
      <c r="E474" s="886">
        <v>100000</v>
      </c>
      <c r="F474" s="916"/>
      <c r="G474" s="917"/>
      <c r="H474" s="886">
        <v>0</v>
      </c>
      <c r="I474" s="916"/>
      <c r="J474" s="917"/>
      <c r="K474" s="886">
        <v>0</v>
      </c>
      <c r="L474" s="916"/>
      <c r="M474" s="917"/>
      <c r="N474" s="886">
        <v>25000</v>
      </c>
      <c r="O474" s="916"/>
      <c r="P474" s="917"/>
      <c r="Q474" s="886">
        <v>0</v>
      </c>
      <c r="R474" s="916"/>
      <c r="S474" s="917"/>
      <c r="T474" s="886">
        <v>0</v>
      </c>
      <c r="U474" s="916"/>
      <c r="V474" s="917"/>
      <c r="W474" s="886">
        <v>25000</v>
      </c>
      <c r="X474" s="916"/>
      <c r="Y474" s="917"/>
      <c r="Z474" s="886">
        <v>0</v>
      </c>
      <c r="AA474" s="916"/>
      <c r="AB474" s="917"/>
      <c r="AC474" s="886">
        <v>0</v>
      </c>
      <c r="AD474" s="916"/>
      <c r="AE474" s="917"/>
      <c r="AF474" s="886">
        <v>25000</v>
      </c>
      <c r="AG474" s="916"/>
      <c r="AH474" s="917"/>
      <c r="AI474" s="886">
        <v>0</v>
      </c>
      <c r="AJ474" s="916"/>
      <c r="AK474" s="917"/>
      <c r="AL474" s="886">
        <v>0</v>
      </c>
      <c r="AM474" s="916"/>
      <c r="AN474" s="917"/>
      <c r="AO474" s="886">
        <v>25000</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10"/>
        <v>Programme neuf 2</v>
      </c>
      <c r="B475" s="54" t="s">
        <v>146</v>
      </c>
      <c r="C475" s="916"/>
      <c r="D475" s="917"/>
      <c r="E475" s="886">
        <v>0</v>
      </c>
      <c r="F475" s="916"/>
      <c r="G475" s="917"/>
      <c r="H475" s="886">
        <v>0</v>
      </c>
      <c r="I475" s="916"/>
      <c r="J475" s="917"/>
      <c r="K475" s="886">
        <v>0</v>
      </c>
      <c r="L475" s="916"/>
      <c r="M475" s="917"/>
      <c r="N475" s="886">
        <v>0</v>
      </c>
      <c r="O475" s="916"/>
      <c r="P475" s="917"/>
      <c r="Q475" s="886">
        <v>0</v>
      </c>
      <c r="R475" s="916"/>
      <c r="S475" s="917"/>
      <c r="T475" s="886">
        <v>0</v>
      </c>
      <c r="U475" s="916"/>
      <c r="V475" s="917"/>
      <c r="W475" s="886">
        <v>0</v>
      </c>
      <c r="X475" s="916"/>
      <c r="Y475" s="917"/>
      <c r="Z475" s="886">
        <v>0</v>
      </c>
      <c r="AA475" s="916"/>
      <c r="AB475" s="917"/>
      <c r="AC475" s="886">
        <v>0</v>
      </c>
      <c r="AD475" s="916"/>
      <c r="AE475" s="917"/>
      <c r="AF475" s="886">
        <v>0</v>
      </c>
      <c r="AG475" s="916"/>
      <c r="AH475" s="917"/>
      <c r="AI475" s="886">
        <v>0</v>
      </c>
      <c r="AJ475" s="916"/>
      <c r="AK475" s="917"/>
      <c r="AL475" s="886">
        <v>0</v>
      </c>
      <c r="AM475" s="916"/>
      <c r="AN475" s="917"/>
      <c r="AO475" s="886">
        <v>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10"/>
        <v>Programme neuf 3</v>
      </c>
      <c r="B476" s="54" t="s">
        <v>147</v>
      </c>
      <c r="C476" s="916"/>
      <c r="D476" s="917"/>
      <c r="E476" s="886">
        <v>0</v>
      </c>
      <c r="F476" s="916"/>
      <c r="G476" s="917"/>
      <c r="H476" s="886">
        <v>0</v>
      </c>
      <c r="I476" s="916"/>
      <c r="J476" s="917"/>
      <c r="K476" s="886">
        <v>0</v>
      </c>
      <c r="L476" s="916"/>
      <c r="M476" s="917"/>
      <c r="N476" s="886">
        <v>0</v>
      </c>
      <c r="O476" s="916"/>
      <c r="P476" s="917"/>
      <c r="Q476" s="886">
        <v>0</v>
      </c>
      <c r="R476" s="916"/>
      <c r="S476" s="917"/>
      <c r="T476" s="886">
        <v>0</v>
      </c>
      <c r="U476" s="916"/>
      <c r="V476" s="917"/>
      <c r="W476" s="886">
        <v>0</v>
      </c>
      <c r="X476" s="916"/>
      <c r="Y476" s="917"/>
      <c r="Z476" s="886">
        <v>0</v>
      </c>
      <c r="AA476" s="916"/>
      <c r="AB476" s="917"/>
      <c r="AC476" s="886">
        <v>0</v>
      </c>
      <c r="AD476" s="916"/>
      <c r="AE476" s="917"/>
      <c r="AF476" s="886">
        <v>0</v>
      </c>
      <c r="AG476" s="916"/>
      <c r="AH476" s="917"/>
      <c r="AI476" s="886">
        <v>0</v>
      </c>
      <c r="AJ476" s="916"/>
      <c r="AK476" s="917"/>
      <c r="AL476" s="886">
        <v>0</v>
      </c>
      <c r="AM476" s="916"/>
      <c r="AN476" s="917"/>
      <c r="AO476" s="886">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10"/>
        <v>Programme used 1</v>
      </c>
      <c r="B477" s="54" t="s">
        <v>158</v>
      </c>
      <c r="C477" s="916"/>
      <c r="D477" s="917"/>
      <c r="E477" s="886">
        <v>0</v>
      </c>
      <c r="F477" s="916"/>
      <c r="G477" s="917"/>
      <c r="H477" s="886">
        <v>0</v>
      </c>
      <c r="I477" s="916"/>
      <c r="J477" s="917"/>
      <c r="K477" s="886">
        <v>0</v>
      </c>
      <c r="L477" s="916"/>
      <c r="M477" s="917"/>
      <c r="N477" s="886">
        <v>0</v>
      </c>
      <c r="O477" s="916"/>
      <c r="P477" s="917"/>
      <c r="Q477" s="886">
        <v>0</v>
      </c>
      <c r="R477" s="916"/>
      <c r="S477" s="917"/>
      <c r="T477" s="886">
        <v>0</v>
      </c>
      <c r="U477" s="916"/>
      <c r="V477" s="917"/>
      <c r="W477" s="886">
        <v>0</v>
      </c>
      <c r="X477" s="916"/>
      <c r="Y477" s="917"/>
      <c r="Z477" s="886">
        <v>0</v>
      </c>
      <c r="AA477" s="916"/>
      <c r="AB477" s="917"/>
      <c r="AC477" s="886">
        <v>0</v>
      </c>
      <c r="AD477" s="916"/>
      <c r="AE477" s="917"/>
      <c r="AF477" s="886">
        <v>0</v>
      </c>
      <c r="AG477" s="916"/>
      <c r="AH477" s="917"/>
      <c r="AI477" s="886">
        <v>0</v>
      </c>
      <c r="AJ477" s="916"/>
      <c r="AK477" s="917"/>
      <c r="AL477" s="886">
        <v>0</v>
      </c>
      <c r="AM477" s="916"/>
      <c r="AN477" s="917"/>
      <c r="AO477" s="886">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10"/>
        <v>Programme used 2</v>
      </c>
      <c r="B478" s="54" t="s">
        <v>159</v>
      </c>
      <c r="C478" s="916"/>
      <c r="D478" s="917"/>
      <c r="E478" s="886">
        <v>0</v>
      </c>
      <c r="F478" s="916"/>
      <c r="G478" s="917"/>
      <c r="H478" s="886">
        <v>0</v>
      </c>
      <c r="I478" s="916"/>
      <c r="J478" s="917"/>
      <c r="K478" s="886">
        <v>0</v>
      </c>
      <c r="L478" s="916"/>
      <c r="M478" s="917"/>
      <c r="N478" s="886">
        <v>0</v>
      </c>
      <c r="O478" s="916"/>
      <c r="P478" s="917"/>
      <c r="Q478" s="886">
        <v>0</v>
      </c>
      <c r="R478" s="916"/>
      <c r="S478" s="917"/>
      <c r="T478" s="886">
        <v>0</v>
      </c>
      <c r="U478" s="916"/>
      <c r="V478" s="917"/>
      <c r="W478" s="886">
        <v>0</v>
      </c>
      <c r="X478" s="916"/>
      <c r="Y478" s="917"/>
      <c r="Z478" s="886">
        <v>0</v>
      </c>
      <c r="AA478" s="916"/>
      <c r="AB478" s="917"/>
      <c r="AC478" s="886">
        <v>0</v>
      </c>
      <c r="AD478" s="916"/>
      <c r="AE478" s="917"/>
      <c r="AF478" s="886">
        <v>0</v>
      </c>
      <c r="AG478" s="916"/>
      <c r="AH478" s="917"/>
      <c r="AI478" s="886">
        <v>0</v>
      </c>
      <c r="AJ478" s="916"/>
      <c r="AK478" s="917"/>
      <c r="AL478" s="886">
        <v>0</v>
      </c>
      <c r="AM478" s="916"/>
      <c r="AN478" s="917"/>
      <c r="AO478" s="886">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10"/>
        <v>Programme used 3</v>
      </c>
      <c r="B479" s="54" t="s">
        <v>160</v>
      </c>
      <c r="C479" s="916"/>
      <c r="D479" s="917"/>
      <c r="E479" s="886">
        <v>0</v>
      </c>
      <c r="F479" s="916"/>
      <c r="G479" s="917"/>
      <c r="H479" s="886">
        <v>0</v>
      </c>
      <c r="I479" s="916"/>
      <c r="J479" s="917"/>
      <c r="K479" s="886">
        <v>0</v>
      </c>
      <c r="L479" s="916"/>
      <c r="M479" s="917"/>
      <c r="N479" s="886">
        <v>0</v>
      </c>
      <c r="O479" s="916"/>
      <c r="P479" s="917"/>
      <c r="Q479" s="886">
        <v>0</v>
      </c>
      <c r="R479" s="916"/>
      <c r="S479" s="917"/>
      <c r="T479" s="886">
        <v>0</v>
      </c>
      <c r="U479" s="916"/>
      <c r="V479" s="917"/>
      <c r="W479" s="886">
        <v>0</v>
      </c>
      <c r="X479" s="916"/>
      <c r="Y479" s="917"/>
      <c r="Z479" s="886">
        <v>0</v>
      </c>
      <c r="AA479" s="916"/>
      <c r="AB479" s="917"/>
      <c r="AC479" s="886">
        <v>0</v>
      </c>
      <c r="AD479" s="916"/>
      <c r="AE479" s="917"/>
      <c r="AF479" s="886">
        <v>0</v>
      </c>
      <c r="AG479" s="916"/>
      <c r="AH479" s="917"/>
      <c r="AI479" s="886">
        <v>0</v>
      </c>
      <c r="AJ479" s="916"/>
      <c r="AK479" s="917"/>
      <c r="AL479" s="886">
        <v>0</v>
      </c>
      <c r="AM479" s="916"/>
      <c r="AN479" s="917"/>
      <c r="AO479" s="886">
        <v>0</v>
      </c>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10"/>
        <v>[...]</v>
      </c>
      <c r="B480" s="44" t="s">
        <v>59</v>
      </c>
      <c r="C480" s="916"/>
      <c r="D480" s="917"/>
      <c r="E480" s="886">
        <v>0</v>
      </c>
      <c r="F480" s="916"/>
      <c r="G480" s="917"/>
      <c r="H480" s="886">
        <v>0</v>
      </c>
      <c r="I480" s="916"/>
      <c r="J480" s="917"/>
      <c r="K480" s="886">
        <v>0</v>
      </c>
      <c r="L480" s="916"/>
      <c r="M480" s="917"/>
      <c r="N480" s="886">
        <v>0</v>
      </c>
      <c r="O480" s="916"/>
      <c r="P480" s="917"/>
      <c r="Q480" s="886">
        <v>0</v>
      </c>
      <c r="R480" s="916"/>
      <c r="S480" s="917"/>
      <c r="T480" s="886">
        <v>0</v>
      </c>
      <c r="U480" s="916"/>
      <c r="V480" s="917"/>
      <c r="W480" s="886">
        <v>0</v>
      </c>
      <c r="X480" s="916"/>
      <c r="Y480" s="917"/>
      <c r="Z480" s="886">
        <v>0</v>
      </c>
      <c r="AA480" s="916"/>
      <c r="AB480" s="917"/>
      <c r="AC480" s="886">
        <v>0</v>
      </c>
      <c r="AD480" s="916"/>
      <c r="AE480" s="917"/>
      <c r="AF480" s="886">
        <v>0</v>
      </c>
      <c r="AG480" s="916"/>
      <c r="AH480" s="917"/>
      <c r="AI480" s="886">
        <v>0</v>
      </c>
      <c r="AJ480" s="916"/>
      <c r="AK480" s="917"/>
      <c r="AL480" s="886">
        <v>0</v>
      </c>
      <c r="AM480" s="916"/>
      <c r="AN480" s="917"/>
      <c r="AO480" s="886">
        <v>0</v>
      </c>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10"/>
        <v>[...]</v>
      </c>
      <c r="B481" s="44" t="s">
        <v>59</v>
      </c>
      <c r="C481" s="916"/>
      <c r="D481" s="917"/>
      <c r="E481" s="886">
        <v>0</v>
      </c>
      <c r="F481" s="916"/>
      <c r="G481" s="917"/>
      <c r="H481" s="886">
        <v>0</v>
      </c>
      <c r="I481" s="916"/>
      <c r="J481" s="917"/>
      <c r="K481" s="886">
        <v>0</v>
      </c>
      <c r="L481" s="916"/>
      <c r="M481" s="917"/>
      <c r="N481" s="886">
        <v>0</v>
      </c>
      <c r="O481" s="916"/>
      <c r="P481" s="917"/>
      <c r="Q481" s="886">
        <v>0</v>
      </c>
      <c r="R481" s="916"/>
      <c r="S481" s="917"/>
      <c r="T481" s="886">
        <v>0</v>
      </c>
      <c r="U481" s="916"/>
      <c r="V481" s="917"/>
      <c r="W481" s="886">
        <v>0</v>
      </c>
      <c r="X481" s="916"/>
      <c r="Y481" s="917"/>
      <c r="Z481" s="886">
        <v>0</v>
      </c>
      <c r="AA481" s="916"/>
      <c r="AB481" s="917"/>
      <c r="AC481" s="886">
        <v>0</v>
      </c>
      <c r="AD481" s="916"/>
      <c r="AE481" s="917"/>
      <c r="AF481" s="886">
        <v>0</v>
      </c>
      <c r="AG481" s="916"/>
      <c r="AH481" s="917"/>
      <c r="AI481" s="886">
        <v>0</v>
      </c>
      <c r="AJ481" s="916"/>
      <c r="AK481" s="917"/>
      <c r="AL481" s="886">
        <v>0</v>
      </c>
      <c r="AM481" s="916"/>
      <c r="AN481" s="917"/>
      <c r="AO481" s="886">
        <v>0</v>
      </c>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10"/>
        <v>[...]</v>
      </c>
      <c r="B482" s="44" t="s">
        <v>59</v>
      </c>
      <c r="C482" s="916"/>
      <c r="D482" s="917"/>
      <c r="E482" s="886">
        <v>0</v>
      </c>
      <c r="F482" s="916"/>
      <c r="G482" s="917"/>
      <c r="H482" s="886">
        <v>0</v>
      </c>
      <c r="I482" s="916"/>
      <c r="J482" s="917"/>
      <c r="K482" s="886">
        <v>0</v>
      </c>
      <c r="L482" s="916"/>
      <c r="M482" s="917"/>
      <c r="N482" s="886">
        <v>0</v>
      </c>
      <c r="O482" s="916"/>
      <c r="P482" s="917"/>
      <c r="Q482" s="886">
        <v>0</v>
      </c>
      <c r="R482" s="916"/>
      <c r="S482" s="917"/>
      <c r="T482" s="886">
        <v>0</v>
      </c>
      <c r="U482" s="916"/>
      <c r="V482" s="917"/>
      <c r="W482" s="886">
        <v>0</v>
      </c>
      <c r="X482" s="916"/>
      <c r="Y482" s="917"/>
      <c r="Z482" s="886">
        <v>0</v>
      </c>
      <c r="AA482" s="916"/>
      <c r="AB482" s="917"/>
      <c r="AC482" s="886">
        <v>0</v>
      </c>
      <c r="AD482" s="916"/>
      <c r="AE482" s="917"/>
      <c r="AF482" s="886">
        <v>0</v>
      </c>
      <c r="AG482" s="916"/>
      <c r="AH482" s="917"/>
      <c r="AI482" s="886">
        <v>0</v>
      </c>
      <c r="AJ482" s="916"/>
      <c r="AK482" s="917"/>
      <c r="AL482" s="886">
        <v>0</v>
      </c>
      <c r="AM482" s="916"/>
      <c r="AN482" s="917"/>
      <c r="AO482" s="886">
        <v>0</v>
      </c>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10"/>
        <v>Frais administration</v>
      </c>
      <c r="B483" s="55" t="s">
        <v>149</v>
      </c>
      <c r="C483" s="918"/>
      <c r="D483" s="917"/>
      <c r="E483" s="886">
        <v>519867.54999999987</v>
      </c>
      <c r="F483" s="918"/>
      <c r="G483" s="917"/>
      <c r="H483" s="886">
        <v>36403.049999999996</v>
      </c>
      <c r="I483" s="918"/>
      <c r="J483" s="917"/>
      <c r="K483" s="886">
        <v>35549</v>
      </c>
      <c r="L483" s="918"/>
      <c r="M483" s="917"/>
      <c r="N483" s="886">
        <v>34884.949999999997</v>
      </c>
      <c r="O483" s="918"/>
      <c r="P483" s="917"/>
      <c r="Q483" s="886">
        <v>39435.449999999997</v>
      </c>
      <c r="R483" s="918"/>
      <c r="S483" s="917"/>
      <c r="T483" s="886">
        <v>44079.049999999996</v>
      </c>
      <c r="U483" s="918"/>
      <c r="V483" s="917"/>
      <c r="W483" s="886">
        <v>49009.549999999996</v>
      </c>
      <c r="X483" s="918"/>
      <c r="Y483" s="917"/>
      <c r="Z483" s="886">
        <v>47493.349999999991</v>
      </c>
      <c r="AA483" s="918"/>
      <c r="AB483" s="917"/>
      <c r="AC483" s="886">
        <v>53087.899999999994</v>
      </c>
      <c r="AD483" s="918"/>
      <c r="AE483" s="917"/>
      <c r="AF483" s="886">
        <v>38962.35</v>
      </c>
      <c r="AG483" s="918"/>
      <c r="AH483" s="917"/>
      <c r="AI483" s="886">
        <v>50051.7</v>
      </c>
      <c r="AJ483" s="918"/>
      <c r="AK483" s="917"/>
      <c r="AL483" s="886">
        <v>54509.1</v>
      </c>
      <c r="AM483" s="918"/>
      <c r="AN483" s="917"/>
      <c r="AO483" s="886">
        <v>36402.099999999991</v>
      </c>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10"/>
        <v>TOTAL AUTRES REVENUS</v>
      </c>
      <c r="B484" s="70" t="s">
        <v>217</v>
      </c>
      <c r="C484" s="893">
        <v>0.22191591150984183</v>
      </c>
      <c r="D484" s="919"/>
      <c r="E484" s="895">
        <v>1885767.7952170277</v>
      </c>
      <c r="F484" s="893">
        <v>0.21794473499666431</v>
      </c>
      <c r="G484" s="919"/>
      <c r="H484" s="895">
        <v>120837.80491072836</v>
      </c>
      <c r="I484" s="893">
        <v>0.21034089968269418</v>
      </c>
      <c r="J484" s="919"/>
      <c r="K484" s="895">
        <v>112444.93750798477</v>
      </c>
      <c r="L484" s="893">
        <v>0.28688065703325599</v>
      </c>
      <c r="M484" s="919"/>
      <c r="N484" s="895">
        <v>162257.59706633858</v>
      </c>
      <c r="O484" s="893">
        <v>0.16917449219827721</v>
      </c>
      <c r="P484" s="919"/>
      <c r="Q484" s="895">
        <v>125377.96839127709</v>
      </c>
      <c r="R484" s="893">
        <v>0.16693918820996823</v>
      </c>
      <c r="S484" s="919"/>
      <c r="T484" s="895">
        <v>131529.33187182579</v>
      </c>
      <c r="U484" s="893">
        <v>0.28550980914748819</v>
      </c>
      <c r="V484" s="919"/>
      <c r="W484" s="895">
        <v>209552.99363841047</v>
      </c>
      <c r="X484" s="893">
        <v>0.21331747730726991</v>
      </c>
      <c r="Y484" s="919"/>
      <c r="Z484" s="895">
        <v>153036.79363841045</v>
      </c>
      <c r="AA484" s="893">
        <v>0.23359128799800777</v>
      </c>
      <c r="AB484" s="919"/>
      <c r="AC484" s="895">
        <v>181247.79584664124</v>
      </c>
      <c r="AD484" s="893">
        <v>0.2922159728358501</v>
      </c>
      <c r="AE484" s="919"/>
      <c r="AF484" s="895">
        <v>184428.15883292325</v>
      </c>
      <c r="AG484" s="893">
        <v>0.1808215191445213</v>
      </c>
      <c r="AH484" s="919"/>
      <c r="AI484" s="895">
        <v>154087.38015786174</v>
      </c>
      <c r="AJ484" s="893">
        <v>0.18083400932977833</v>
      </c>
      <c r="AK484" s="919"/>
      <c r="AL484" s="895">
        <v>181161.23236609256</v>
      </c>
      <c r="AM484" s="893">
        <v>0.28223135386155296</v>
      </c>
      <c r="AN484" s="919"/>
      <c r="AO484" s="895">
        <v>169805.80098853348</v>
      </c>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c r="A485" s="39">
        <f t="shared" si="10"/>
        <v>0</v>
      </c>
      <c r="B485" s="71"/>
      <c r="C485" s="920"/>
      <c r="D485" s="921"/>
      <c r="E485" s="922">
        <v>233293.58808917447</v>
      </c>
      <c r="F485" s="920"/>
      <c r="G485" s="921"/>
      <c r="H485" s="922">
        <v>19441.13234076454</v>
      </c>
      <c r="I485" s="920"/>
      <c r="J485" s="921"/>
      <c r="K485" s="922">
        <v>19441.13234076454</v>
      </c>
      <c r="L485" s="920"/>
      <c r="M485" s="921"/>
      <c r="N485" s="922">
        <v>19441.13234076454</v>
      </c>
      <c r="O485" s="920"/>
      <c r="P485" s="921"/>
      <c r="Q485" s="922">
        <v>19441.13234076454</v>
      </c>
      <c r="R485" s="920"/>
      <c r="S485" s="921"/>
      <c r="T485" s="922">
        <v>19441.13234076454</v>
      </c>
      <c r="U485" s="920"/>
      <c r="V485" s="921"/>
      <c r="W485" s="922">
        <v>19441.13234076454</v>
      </c>
      <c r="X485" s="920"/>
      <c r="Y485" s="921"/>
      <c r="Z485" s="922">
        <v>19441.13234076454</v>
      </c>
      <c r="AA485" s="920"/>
      <c r="AB485" s="921"/>
      <c r="AC485" s="922">
        <v>19441.13234076454</v>
      </c>
      <c r="AD485" s="920"/>
      <c r="AE485" s="921"/>
      <c r="AF485" s="922">
        <v>19441.13234076454</v>
      </c>
      <c r="AG485" s="920"/>
      <c r="AH485" s="921"/>
      <c r="AI485" s="922">
        <v>19441.13234076454</v>
      </c>
      <c r="AJ485" s="920"/>
      <c r="AK485" s="921"/>
      <c r="AL485" s="922">
        <v>19441.13234076454</v>
      </c>
      <c r="AM485" s="920"/>
      <c r="AN485" s="921"/>
      <c r="AO485" s="922">
        <v>19441.13234076454</v>
      </c>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c r="A486" s="39" t="str">
        <f t="shared" si="10"/>
        <v>BAIIA OPÉRATIONNEL</v>
      </c>
      <c r="B486" s="72" t="s">
        <v>218</v>
      </c>
      <c r="C486" s="923" t="s">
        <v>219</v>
      </c>
      <c r="D486" s="924">
        <v>2.6424307006582437E-2</v>
      </c>
      <c r="E486" s="925">
        <v>1882063.1145809495</v>
      </c>
      <c r="F486" s="926" t="s">
        <v>219</v>
      </c>
      <c r="G486" s="927">
        <v>-3.8980066406975587E-3</v>
      </c>
      <c r="H486" s="928">
        <v>-17471.073656688561</v>
      </c>
      <c r="I486" s="926" t="s">
        <v>219</v>
      </c>
      <c r="J486" s="927">
        <v>3.4186158761227705E-3</v>
      </c>
      <c r="K486" s="928">
        <v>16511.799080635028</v>
      </c>
      <c r="L486" s="926" t="s">
        <v>219</v>
      </c>
      <c r="M486" s="927">
        <v>1.2095019110529287E-2</v>
      </c>
      <c r="N486" s="928">
        <v>62327.997509405657</v>
      </c>
      <c r="O486" s="926" t="s">
        <v>219</v>
      </c>
      <c r="P486" s="927">
        <v>2.7947392121934617E-2</v>
      </c>
      <c r="Q486" s="928">
        <v>154201.9904261863</v>
      </c>
      <c r="R486" s="926" t="s">
        <v>219</v>
      </c>
      <c r="S486" s="927">
        <v>2.3155654438987455E-2</v>
      </c>
      <c r="T486" s="928">
        <v>143994.45928643533</v>
      </c>
      <c r="U486" s="926" t="s">
        <v>219</v>
      </c>
      <c r="V486" s="927">
        <v>3.9442474147656191E-2</v>
      </c>
      <c r="W486" s="928">
        <v>250370.71175329864</v>
      </c>
      <c r="X486" s="926" t="s">
        <v>219</v>
      </c>
      <c r="Y486" s="927">
        <v>2.8657593431559183E-2</v>
      </c>
      <c r="Z486" s="928">
        <v>180108.74409388524</v>
      </c>
      <c r="AA486" s="926" t="s">
        <v>219</v>
      </c>
      <c r="AB486" s="927">
        <v>2.886105411252432E-2</v>
      </c>
      <c r="AC486" s="928">
        <v>201994.38462837489</v>
      </c>
      <c r="AD486" s="926" t="s">
        <v>219</v>
      </c>
      <c r="AE486" s="927">
        <v>2.740518101689951E-2</v>
      </c>
      <c r="AF486" s="928">
        <v>147746.37934895765</v>
      </c>
      <c r="AG486" s="926" t="s">
        <v>219</v>
      </c>
      <c r="AH486" s="927">
        <v>2.9656514803954506E-2</v>
      </c>
      <c r="AI486" s="928">
        <v>208337.35546343634</v>
      </c>
      <c r="AJ486" s="926" t="s">
        <v>219</v>
      </c>
      <c r="AK486" s="927">
        <v>5.2939347863691678E-2</v>
      </c>
      <c r="AL486" s="928">
        <v>406635.23233826278</v>
      </c>
      <c r="AM486" s="926" t="s">
        <v>219</v>
      </c>
      <c r="AN486" s="927">
        <v>2.40445603713931E-2</v>
      </c>
      <c r="AO486" s="928">
        <v>127305.13430876116</v>
      </c>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c r="A487" s="39"/>
      <c r="B487" s="61"/>
      <c r="C487" s="757"/>
      <c r="D487" s="757"/>
      <c r="E487" s="929"/>
      <c r="F487" s="757"/>
      <c r="G487" s="757"/>
      <c r="H487" s="929"/>
      <c r="I487" s="757"/>
      <c r="J487" s="757"/>
      <c r="K487" s="929"/>
      <c r="L487" s="757"/>
      <c r="M487" s="757"/>
      <c r="N487" s="929"/>
      <c r="O487" s="757"/>
      <c r="P487" s="757"/>
      <c r="Q487" s="929"/>
      <c r="R487" s="757"/>
      <c r="S487" s="757"/>
      <c r="T487" s="929"/>
      <c r="U487" s="757"/>
      <c r="V487" s="757"/>
      <c r="W487" s="929"/>
      <c r="X487" s="757"/>
      <c r="Y487" s="757"/>
      <c r="Z487" s="929"/>
      <c r="AA487" s="757"/>
      <c r="AB487" s="757"/>
      <c r="AC487" s="929"/>
      <c r="AD487" s="757"/>
      <c r="AE487" s="757"/>
      <c r="AF487" s="929"/>
      <c r="AG487" s="757"/>
      <c r="AH487" s="757"/>
      <c r="AI487" s="929"/>
      <c r="AJ487" s="757"/>
      <c r="AK487" s="757"/>
      <c r="AL487" s="929"/>
      <c r="AM487" s="757"/>
      <c r="AN487" s="757"/>
      <c r="AO487" s="929"/>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t="s">
        <v>3935</v>
      </c>
      <c r="C488" s="802" t="s">
        <v>220</v>
      </c>
      <c r="D488" s="802"/>
      <c r="E488" s="802"/>
      <c r="F488" s="802"/>
      <c r="G488" s="802"/>
      <c r="H488" s="802"/>
      <c r="I488" s="802"/>
      <c r="J488" s="802"/>
      <c r="K488" s="802"/>
      <c r="L488" s="802"/>
      <c r="M488" s="802"/>
      <c r="N488" s="802"/>
      <c r="O488" s="802"/>
      <c r="P488" s="802"/>
      <c r="Q488" s="802"/>
      <c r="R488" s="802"/>
      <c r="S488" s="802"/>
      <c r="T488" s="802"/>
      <c r="U488" s="802"/>
      <c r="V488" s="802"/>
      <c r="W488" s="802"/>
      <c r="X488" s="802"/>
      <c r="Y488" s="802"/>
      <c r="Z488" s="802"/>
      <c r="AA488" s="802"/>
      <c r="AB488" s="802"/>
      <c r="AC488" s="802"/>
      <c r="AD488" s="802"/>
      <c r="AE488" s="802"/>
      <c r="AF488" s="802"/>
      <c r="AG488" s="802"/>
      <c r="AH488" s="802"/>
      <c r="AI488" s="802"/>
      <c r="AJ488" s="802"/>
      <c r="AK488" s="802"/>
      <c r="AL488" s="802"/>
      <c r="AM488" s="802"/>
      <c r="AN488" s="802"/>
      <c r="AO488" s="802"/>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757"/>
      <c r="D489" s="757"/>
      <c r="E489" s="929"/>
      <c r="F489" s="757"/>
      <c r="G489" s="757"/>
      <c r="H489" s="929"/>
      <c r="I489" s="757"/>
      <c r="J489" s="757"/>
      <c r="K489" s="929"/>
      <c r="L489" s="757"/>
      <c r="M489" s="757"/>
      <c r="N489" s="929"/>
      <c r="O489" s="757"/>
      <c r="P489" s="757"/>
      <c r="Q489" s="929"/>
      <c r="R489" s="757"/>
      <c r="S489" s="757"/>
      <c r="T489" s="929"/>
      <c r="U489" s="757"/>
      <c r="V489" s="757"/>
      <c r="W489" s="929"/>
      <c r="X489" s="757"/>
      <c r="Y489" s="757"/>
      <c r="Z489" s="929"/>
      <c r="AA489" s="757"/>
      <c r="AB489" s="757"/>
      <c r="AC489" s="929"/>
      <c r="AD489" s="757"/>
      <c r="AE489" s="757"/>
      <c r="AF489" s="929"/>
      <c r="AG489" s="757"/>
      <c r="AH489" s="757"/>
      <c r="AI489" s="929"/>
      <c r="AJ489" s="757"/>
      <c r="AK489" s="757"/>
      <c r="AL489" s="929"/>
      <c r="AM489" s="757"/>
      <c r="AN489" s="757"/>
      <c r="AO489" s="929"/>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61"/>
      <c r="C490" s="757"/>
      <c r="D490" s="757"/>
      <c r="E490" s="929"/>
      <c r="F490" s="757"/>
      <c r="G490" s="757"/>
      <c r="H490" s="929"/>
      <c r="I490" s="757"/>
      <c r="J490" s="757"/>
      <c r="K490" s="929"/>
      <c r="L490" s="757"/>
      <c r="M490" s="757"/>
      <c r="N490" s="929"/>
      <c r="O490" s="757"/>
      <c r="P490" s="757"/>
      <c r="Q490" s="929"/>
      <c r="R490" s="757"/>
      <c r="S490" s="757"/>
      <c r="T490" s="929"/>
      <c r="U490" s="757"/>
      <c r="V490" s="757"/>
      <c r="W490" s="929"/>
      <c r="X490" s="757"/>
      <c r="Y490" s="757"/>
      <c r="Z490" s="929"/>
      <c r="AA490" s="757"/>
      <c r="AB490" s="757"/>
      <c r="AC490" s="929"/>
      <c r="AD490" s="757"/>
      <c r="AE490" s="757"/>
      <c r="AF490" s="929"/>
      <c r="AG490" s="757"/>
      <c r="AH490" s="757"/>
      <c r="AI490" s="929"/>
      <c r="AJ490" s="757"/>
      <c r="AK490" s="757"/>
      <c r="AL490" s="929"/>
      <c r="AM490" s="757"/>
      <c r="AN490" s="757"/>
      <c r="AO490" s="929"/>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c r="A491" s="39"/>
      <c r="B491" s="61"/>
      <c r="C491" s="757"/>
      <c r="D491" s="757"/>
      <c r="E491" s="929"/>
      <c r="F491" s="757"/>
      <c r="G491" s="757"/>
      <c r="H491" s="929"/>
      <c r="I491" s="757"/>
      <c r="J491" s="757"/>
      <c r="K491" s="929"/>
      <c r="L491" s="757"/>
      <c r="M491" s="757"/>
      <c r="N491" s="929"/>
      <c r="O491" s="757"/>
      <c r="P491" s="757"/>
      <c r="Q491" s="929"/>
      <c r="R491" s="757"/>
      <c r="S491" s="757"/>
      <c r="T491" s="929"/>
      <c r="U491" s="757"/>
      <c r="V491" s="757"/>
      <c r="W491" s="929"/>
      <c r="X491" s="757"/>
      <c r="Y491" s="757"/>
      <c r="Z491" s="929"/>
      <c r="AA491" s="757"/>
      <c r="AB491" s="757"/>
      <c r="AC491" s="929"/>
      <c r="AD491" s="757"/>
      <c r="AE491" s="757"/>
      <c r="AF491" s="929"/>
      <c r="AG491" s="757"/>
      <c r="AH491" s="757"/>
      <c r="AI491" s="929"/>
      <c r="AJ491" s="757"/>
      <c r="AK491" s="757"/>
      <c r="AL491" s="929"/>
      <c r="AM491" s="757"/>
      <c r="AN491" s="757"/>
      <c r="AO491" s="929"/>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c r="A492" s="39"/>
      <c r="B492" s="73" t="s">
        <v>218</v>
      </c>
      <c r="C492" s="930" t="s">
        <v>219</v>
      </c>
      <c r="D492" s="931">
        <v>2.6424307006582437E-2</v>
      </c>
      <c r="E492" s="932">
        <v>1882063.1145809495</v>
      </c>
      <c r="F492" s="933" t="s">
        <v>219</v>
      </c>
      <c r="G492" s="931">
        <v>-3.8980066406975587E-3</v>
      </c>
      <c r="H492" s="934">
        <v>-17471.073656688561</v>
      </c>
      <c r="I492" s="933" t="s">
        <v>219</v>
      </c>
      <c r="J492" s="931">
        <v>3.4186158761227705E-3</v>
      </c>
      <c r="K492" s="934">
        <v>16511.799080635028</v>
      </c>
      <c r="L492" s="933" t="s">
        <v>219</v>
      </c>
      <c r="M492" s="931">
        <v>1.2095019110529287E-2</v>
      </c>
      <c r="N492" s="934">
        <v>62327.997509405657</v>
      </c>
      <c r="O492" s="933" t="s">
        <v>219</v>
      </c>
      <c r="P492" s="931">
        <v>2.7947392121934617E-2</v>
      </c>
      <c r="Q492" s="934">
        <v>154201.9904261863</v>
      </c>
      <c r="R492" s="933" t="s">
        <v>219</v>
      </c>
      <c r="S492" s="931">
        <v>2.3155654438987455E-2</v>
      </c>
      <c r="T492" s="934">
        <v>143994.45928643533</v>
      </c>
      <c r="U492" s="933" t="s">
        <v>219</v>
      </c>
      <c r="V492" s="931">
        <v>3.9442474147656191E-2</v>
      </c>
      <c r="W492" s="934">
        <v>250370.71175329864</v>
      </c>
      <c r="X492" s="933" t="s">
        <v>219</v>
      </c>
      <c r="Y492" s="931">
        <v>2.8657593431559183E-2</v>
      </c>
      <c r="Z492" s="934">
        <v>180108.74409388524</v>
      </c>
      <c r="AA492" s="933" t="s">
        <v>219</v>
      </c>
      <c r="AB492" s="931">
        <v>2.886105411252432E-2</v>
      </c>
      <c r="AC492" s="934">
        <v>201994.38462837489</v>
      </c>
      <c r="AD492" s="933" t="s">
        <v>219</v>
      </c>
      <c r="AE492" s="931">
        <v>2.740518101689951E-2</v>
      </c>
      <c r="AF492" s="934">
        <v>147746.37934895765</v>
      </c>
      <c r="AG492" s="933" t="s">
        <v>219</v>
      </c>
      <c r="AH492" s="931">
        <v>2.9656514803954506E-2</v>
      </c>
      <c r="AI492" s="934">
        <v>208337.35546343634</v>
      </c>
      <c r="AJ492" s="933" t="s">
        <v>219</v>
      </c>
      <c r="AK492" s="931">
        <v>5.2939347863691678E-2</v>
      </c>
      <c r="AL492" s="934">
        <v>406635.23233826278</v>
      </c>
      <c r="AM492" s="933" t="s">
        <v>219</v>
      </c>
      <c r="AN492" s="931">
        <v>2.40445603713931E-2</v>
      </c>
      <c r="AO492" s="934">
        <v>127305.13430876116</v>
      </c>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74"/>
      <c r="C493" s="935"/>
      <c r="D493" s="935"/>
      <c r="E493" s="935"/>
      <c r="F493" s="936"/>
      <c r="G493" s="935"/>
      <c r="H493" s="937"/>
      <c r="I493" s="936"/>
      <c r="J493" s="935"/>
      <c r="K493" s="937"/>
      <c r="L493" s="936"/>
      <c r="M493" s="935"/>
      <c r="N493" s="937"/>
      <c r="O493" s="936"/>
      <c r="P493" s="935"/>
      <c r="Q493" s="937"/>
      <c r="R493" s="936"/>
      <c r="S493" s="935"/>
      <c r="T493" s="937"/>
      <c r="U493" s="936"/>
      <c r="V493" s="935"/>
      <c r="W493" s="937"/>
      <c r="X493" s="936"/>
      <c r="Y493" s="935"/>
      <c r="Z493" s="937"/>
      <c r="AA493" s="936"/>
      <c r="AB493" s="935"/>
      <c r="AC493" s="937"/>
      <c r="AD493" s="936"/>
      <c r="AE493" s="935"/>
      <c r="AF493" s="937"/>
      <c r="AG493" s="936"/>
      <c r="AH493" s="935"/>
      <c r="AI493" s="937"/>
      <c r="AJ493" s="936"/>
      <c r="AK493" s="935"/>
      <c r="AL493" s="937"/>
      <c r="AM493" s="936"/>
      <c r="AN493" s="935"/>
      <c r="AO493" s="937"/>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11">B494</f>
        <v>Amortissement</v>
      </c>
      <c r="B494" s="75" t="s">
        <v>221</v>
      </c>
      <c r="C494" s="885"/>
      <c r="D494" s="888"/>
      <c r="E494" s="938">
        <v>517776</v>
      </c>
      <c r="F494" s="889"/>
      <c r="G494" s="888"/>
      <c r="H494" s="897">
        <v>42648</v>
      </c>
      <c r="I494" s="889"/>
      <c r="J494" s="888"/>
      <c r="K494" s="897">
        <v>42648</v>
      </c>
      <c r="L494" s="889"/>
      <c r="M494" s="888"/>
      <c r="N494" s="897">
        <v>42648</v>
      </c>
      <c r="O494" s="889"/>
      <c r="P494" s="888"/>
      <c r="Q494" s="897">
        <v>42648</v>
      </c>
      <c r="R494" s="889"/>
      <c r="S494" s="888"/>
      <c r="T494" s="897">
        <v>42648</v>
      </c>
      <c r="U494" s="889"/>
      <c r="V494" s="888"/>
      <c r="W494" s="897">
        <v>42648</v>
      </c>
      <c r="X494" s="889"/>
      <c r="Y494" s="888"/>
      <c r="Z494" s="897">
        <v>43648</v>
      </c>
      <c r="AA494" s="889"/>
      <c r="AB494" s="888"/>
      <c r="AC494" s="897">
        <v>43648</v>
      </c>
      <c r="AD494" s="889"/>
      <c r="AE494" s="888"/>
      <c r="AF494" s="897">
        <v>43648</v>
      </c>
      <c r="AG494" s="889"/>
      <c r="AH494" s="888"/>
      <c r="AI494" s="897">
        <v>43648</v>
      </c>
      <c r="AJ494" s="889"/>
      <c r="AK494" s="888"/>
      <c r="AL494" s="897">
        <v>43648</v>
      </c>
      <c r="AM494" s="889"/>
      <c r="AN494" s="888"/>
      <c r="AO494" s="897">
        <v>43648</v>
      </c>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11"/>
        <v>Intérêts sur marge</v>
      </c>
      <c r="B495" s="75" t="s">
        <v>222</v>
      </c>
      <c r="C495" s="801"/>
      <c r="D495" s="757"/>
      <c r="E495" s="938">
        <v>0</v>
      </c>
      <c r="F495" s="939"/>
      <c r="G495" s="757"/>
      <c r="H495" s="897">
        <v>0</v>
      </c>
      <c r="I495" s="939"/>
      <c r="J495" s="757"/>
      <c r="K495" s="897">
        <v>0</v>
      </c>
      <c r="L495" s="939"/>
      <c r="M495" s="757"/>
      <c r="N495" s="897">
        <v>0</v>
      </c>
      <c r="O495" s="939"/>
      <c r="P495" s="757"/>
      <c r="Q495" s="897">
        <v>0</v>
      </c>
      <c r="R495" s="939"/>
      <c r="S495" s="757"/>
      <c r="T495" s="897">
        <v>0</v>
      </c>
      <c r="U495" s="939"/>
      <c r="V495" s="757"/>
      <c r="W495" s="897">
        <v>0</v>
      </c>
      <c r="X495" s="939"/>
      <c r="Y495" s="757"/>
      <c r="Z495" s="897">
        <v>0</v>
      </c>
      <c r="AA495" s="939"/>
      <c r="AB495" s="757"/>
      <c r="AC495" s="897">
        <v>0</v>
      </c>
      <c r="AD495" s="939"/>
      <c r="AE495" s="757"/>
      <c r="AF495" s="897">
        <v>0</v>
      </c>
      <c r="AG495" s="939"/>
      <c r="AH495" s="757"/>
      <c r="AI495" s="897">
        <v>0</v>
      </c>
      <c r="AJ495" s="939"/>
      <c r="AK495" s="757"/>
      <c r="AL495" s="897">
        <v>0</v>
      </c>
      <c r="AM495" s="939"/>
      <c r="AN495" s="757"/>
      <c r="AO495" s="897">
        <v>0</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11"/>
        <v>Intérêts sur prêt</v>
      </c>
      <c r="B496" s="75" t="s">
        <v>223</v>
      </c>
      <c r="C496" s="757"/>
      <c r="D496" s="757"/>
      <c r="E496" s="938">
        <v>0</v>
      </c>
      <c r="F496" s="940"/>
      <c r="G496" s="757"/>
      <c r="H496" s="897">
        <v>0</v>
      </c>
      <c r="I496" s="940"/>
      <c r="J496" s="757"/>
      <c r="K496" s="897">
        <v>0</v>
      </c>
      <c r="L496" s="940"/>
      <c r="M496" s="757"/>
      <c r="N496" s="897">
        <v>0</v>
      </c>
      <c r="O496" s="940"/>
      <c r="P496" s="757"/>
      <c r="Q496" s="897">
        <v>0</v>
      </c>
      <c r="R496" s="940"/>
      <c r="S496" s="757"/>
      <c r="T496" s="897">
        <v>0</v>
      </c>
      <c r="U496" s="940"/>
      <c r="V496" s="757"/>
      <c r="W496" s="897">
        <v>0</v>
      </c>
      <c r="X496" s="940"/>
      <c r="Y496" s="757"/>
      <c r="Z496" s="897">
        <v>0</v>
      </c>
      <c r="AA496" s="940"/>
      <c r="AB496" s="757"/>
      <c r="AC496" s="897">
        <v>0</v>
      </c>
      <c r="AD496" s="940"/>
      <c r="AE496" s="757"/>
      <c r="AF496" s="897">
        <v>0</v>
      </c>
      <c r="AG496" s="940"/>
      <c r="AH496" s="757"/>
      <c r="AI496" s="897">
        <v>0</v>
      </c>
      <c r="AJ496" s="940"/>
      <c r="AK496" s="757"/>
      <c r="AL496" s="897">
        <v>0</v>
      </c>
      <c r="AM496" s="940"/>
      <c r="AN496" s="757"/>
      <c r="AO496" s="897">
        <v>0</v>
      </c>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11"/>
        <v>Intérêts sur avance</v>
      </c>
      <c r="B497" s="75" t="s">
        <v>224</v>
      </c>
      <c r="C497" s="810"/>
      <c r="D497" s="810"/>
      <c r="E497" s="938">
        <v>0</v>
      </c>
      <c r="F497" s="941"/>
      <c r="G497" s="810"/>
      <c r="H497" s="897">
        <v>0</v>
      </c>
      <c r="I497" s="941"/>
      <c r="J497" s="810"/>
      <c r="K497" s="897">
        <v>0</v>
      </c>
      <c r="L497" s="941"/>
      <c r="M497" s="810"/>
      <c r="N497" s="897">
        <v>0</v>
      </c>
      <c r="O497" s="941"/>
      <c r="P497" s="810"/>
      <c r="Q497" s="897">
        <v>0</v>
      </c>
      <c r="R497" s="941"/>
      <c r="S497" s="810"/>
      <c r="T497" s="897">
        <v>0</v>
      </c>
      <c r="U497" s="941"/>
      <c r="V497" s="810"/>
      <c r="W497" s="897">
        <v>0</v>
      </c>
      <c r="X497" s="941"/>
      <c r="Y497" s="810"/>
      <c r="Z497" s="897">
        <v>0</v>
      </c>
      <c r="AA497" s="941"/>
      <c r="AB497" s="810"/>
      <c r="AC497" s="897">
        <v>0</v>
      </c>
      <c r="AD497" s="941"/>
      <c r="AE497" s="810"/>
      <c r="AF497" s="897">
        <v>0</v>
      </c>
      <c r="AG497" s="941"/>
      <c r="AH497" s="810"/>
      <c r="AI497" s="897">
        <v>0</v>
      </c>
      <c r="AJ497" s="941"/>
      <c r="AK497" s="810"/>
      <c r="AL497" s="897">
        <v>0</v>
      </c>
      <c r="AM497" s="941"/>
      <c r="AN497" s="810"/>
      <c r="AO497" s="897">
        <v>0</v>
      </c>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11"/>
        <v>Intérêts sur hypothèque</v>
      </c>
      <c r="B498" s="76" t="s">
        <v>3936</v>
      </c>
      <c r="C498" s="810"/>
      <c r="D498" s="810"/>
      <c r="E498" s="938">
        <v>0</v>
      </c>
      <c r="F498" s="941"/>
      <c r="G498" s="810"/>
      <c r="H498" s="897">
        <v>0</v>
      </c>
      <c r="I498" s="941"/>
      <c r="J498" s="810"/>
      <c r="K498" s="897">
        <v>0</v>
      </c>
      <c r="L498" s="941"/>
      <c r="M498" s="810"/>
      <c r="N498" s="897">
        <v>0</v>
      </c>
      <c r="O498" s="941"/>
      <c r="P498" s="810"/>
      <c r="Q498" s="897">
        <v>0</v>
      </c>
      <c r="R498" s="941"/>
      <c r="S498" s="810"/>
      <c r="T498" s="897">
        <v>0</v>
      </c>
      <c r="U498" s="941"/>
      <c r="V498" s="810"/>
      <c r="W498" s="897">
        <v>0</v>
      </c>
      <c r="X498" s="941"/>
      <c r="Y498" s="810"/>
      <c r="Z498" s="897">
        <v>0</v>
      </c>
      <c r="AA498" s="941"/>
      <c r="AB498" s="810"/>
      <c r="AC498" s="897">
        <v>0</v>
      </c>
      <c r="AD498" s="941"/>
      <c r="AE498" s="810"/>
      <c r="AF498" s="897">
        <v>0</v>
      </c>
      <c r="AG498" s="941"/>
      <c r="AH498" s="810"/>
      <c r="AI498" s="897">
        <v>0</v>
      </c>
      <c r="AJ498" s="941"/>
      <c r="AK498" s="810"/>
      <c r="AL498" s="897">
        <v>0</v>
      </c>
      <c r="AM498" s="941"/>
      <c r="AN498" s="810"/>
      <c r="AO498" s="897">
        <v>0</v>
      </c>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11"/>
        <v>Revenus d'intérêts Floor plan</v>
      </c>
      <c r="B499" s="76" t="s">
        <v>3938</v>
      </c>
      <c r="C499" s="810"/>
      <c r="D499" s="810"/>
      <c r="E499" s="938">
        <v>-12949.999999999998</v>
      </c>
      <c r="F499" s="941"/>
      <c r="G499" s="810"/>
      <c r="H499" s="886">
        <v>-1079.1666666666667</v>
      </c>
      <c r="I499" s="941"/>
      <c r="J499" s="810"/>
      <c r="K499" s="886">
        <v>-1079.1666666666667</v>
      </c>
      <c r="L499" s="941"/>
      <c r="M499" s="810"/>
      <c r="N499" s="886">
        <v>-1079.1666666666667</v>
      </c>
      <c r="O499" s="941"/>
      <c r="P499" s="810"/>
      <c r="Q499" s="886">
        <v>-1079.1666666666667</v>
      </c>
      <c r="R499" s="941"/>
      <c r="S499" s="810"/>
      <c r="T499" s="886">
        <v>-1079.1666666666667</v>
      </c>
      <c r="U499" s="941"/>
      <c r="V499" s="810"/>
      <c r="W499" s="886">
        <v>-1079.1666666666667</v>
      </c>
      <c r="X499" s="941"/>
      <c r="Y499" s="810"/>
      <c r="Z499" s="886">
        <v>-1079.1666666666667</v>
      </c>
      <c r="AA499" s="941"/>
      <c r="AB499" s="810"/>
      <c r="AC499" s="886">
        <v>-1079.1666666666667</v>
      </c>
      <c r="AD499" s="941"/>
      <c r="AE499" s="810"/>
      <c r="AF499" s="886">
        <v>-1079.1666666666667</v>
      </c>
      <c r="AG499" s="941"/>
      <c r="AH499" s="810"/>
      <c r="AI499" s="886">
        <v>-1079.1666666666667</v>
      </c>
      <c r="AJ499" s="941"/>
      <c r="AK499" s="810"/>
      <c r="AL499" s="886">
        <v>-1079.1666666666667</v>
      </c>
      <c r="AM499" s="941"/>
      <c r="AN499" s="810"/>
      <c r="AO499" s="886">
        <v>-1079.1666666666667</v>
      </c>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c r="A500" s="39" t="str">
        <f t="shared" si="11"/>
        <v>[...]</v>
      </c>
      <c r="B500" s="77" t="s">
        <v>59</v>
      </c>
      <c r="C500" s="810"/>
      <c r="D500" s="810"/>
      <c r="E500" s="938"/>
      <c r="F500" s="941"/>
      <c r="G500" s="810"/>
      <c r="H500" s="886"/>
      <c r="I500" s="941"/>
      <c r="J500" s="810"/>
      <c r="K500" s="886"/>
      <c r="L500" s="941"/>
      <c r="M500" s="810"/>
      <c r="N500" s="886"/>
      <c r="O500" s="941"/>
      <c r="P500" s="810"/>
      <c r="Q500" s="886"/>
      <c r="R500" s="941"/>
      <c r="S500" s="810"/>
      <c r="T500" s="886"/>
      <c r="U500" s="941"/>
      <c r="V500" s="810"/>
      <c r="W500" s="886"/>
      <c r="X500" s="941"/>
      <c r="Y500" s="810"/>
      <c r="Z500" s="886"/>
      <c r="AA500" s="941"/>
      <c r="AB500" s="810"/>
      <c r="AC500" s="886"/>
      <c r="AD500" s="941"/>
      <c r="AE500" s="810"/>
      <c r="AF500" s="886"/>
      <c r="AG500" s="941"/>
      <c r="AH500" s="810"/>
      <c r="AI500" s="886"/>
      <c r="AJ500" s="941"/>
      <c r="AK500" s="810"/>
      <c r="AL500" s="886"/>
      <c r="AM500" s="941"/>
      <c r="AN500" s="810"/>
      <c r="AO500" s="886"/>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c r="A501" s="33"/>
      <c r="B501" s="78" t="s">
        <v>225</v>
      </c>
      <c r="C501" s="942" t="s">
        <v>219</v>
      </c>
      <c r="D501" s="943">
        <v>1.9336512178896689E-2</v>
      </c>
      <c r="E501" s="944">
        <v>1377237.1145809495</v>
      </c>
      <c r="F501" s="945" t="s">
        <v>219</v>
      </c>
      <c r="G501" s="943">
        <v>-1.3172513265958696E-2</v>
      </c>
      <c r="H501" s="946">
        <v>-59039.906990021896</v>
      </c>
      <c r="I501" s="945" t="s">
        <v>219</v>
      </c>
      <c r="J501" s="943">
        <v>-5.1878280910823719E-3</v>
      </c>
      <c r="K501" s="946">
        <v>-25057.034252698304</v>
      </c>
      <c r="L501" s="945" t="s">
        <v>219</v>
      </c>
      <c r="M501" s="943">
        <v>4.0284061330595443E-3</v>
      </c>
      <c r="N501" s="946">
        <v>20759.164176072325</v>
      </c>
      <c r="O501" s="945" t="s">
        <v>219</v>
      </c>
      <c r="P501" s="943">
        <v>2.0413504381528846E-2</v>
      </c>
      <c r="Q501" s="946">
        <v>112633.15709285297</v>
      </c>
      <c r="R501" s="945" t="s">
        <v>219</v>
      </c>
      <c r="S501" s="943">
        <v>1.6470997648243807E-2</v>
      </c>
      <c r="T501" s="946">
        <v>102425.625953102</v>
      </c>
      <c r="U501" s="945" t="s">
        <v>219</v>
      </c>
      <c r="V501" s="943">
        <v>3.2893874183161233E-2</v>
      </c>
      <c r="W501" s="946">
        <v>208801.8784199653</v>
      </c>
      <c r="X501" s="945" t="s">
        <v>219</v>
      </c>
      <c r="Y501" s="943">
        <v>2.1884350274155542E-2</v>
      </c>
      <c r="Z501" s="946">
        <v>137539.91076055189</v>
      </c>
      <c r="AA501" s="945" t="s">
        <v>219</v>
      </c>
      <c r="AB501" s="943">
        <v>2.2778798882505519E-2</v>
      </c>
      <c r="AC501" s="946">
        <v>159425.55129504154</v>
      </c>
      <c r="AD501" s="945" t="s">
        <v>219</v>
      </c>
      <c r="AE501" s="943">
        <v>1.9509173085477699E-2</v>
      </c>
      <c r="AF501" s="946">
        <v>105177.54601562432</v>
      </c>
      <c r="AG501" s="945" t="s">
        <v>219</v>
      </c>
      <c r="AH501" s="943">
        <v>2.3596904259658075E-2</v>
      </c>
      <c r="AI501" s="946">
        <v>165768.522130103</v>
      </c>
      <c r="AJ501" s="945" t="s">
        <v>219</v>
      </c>
      <c r="AK501" s="943">
        <v>4.7397363065605616E-2</v>
      </c>
      <c r="AL501" s="946">
        <v>364066.39900492947</v>
      </c>
      <c r="AM501" s="945" t="s">
        <v>219</v>
      </c>
      <c r="AN501" s="943">
        <v>1.6004437806181972E-2</v>
      </c>
      <c r="AO501" s="946">
        <v>84736.300975427832</v>
      </c>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conditionalFormatting sqref="C6 C9 E9:F9 C11:C17 E11:F17 C19:C27 E19:F27 D122:E124 C159:AO160 C167:AO167 C168:D170 E169:E170 C213:D213 C214:AO231 C232:D232 C235:AO235 C236:D238 E237:E238 C242:AO243 C246:AO246 C255:AO268 C269:D269 C291:AO291 C292:D293 E293 C297:AO332 C333:D333 C355:AO355 C356:D358 C399:AO402 C403:D403">
    <cfRule type="expression" priority="63" stopIfTrue="1">
      <formula>"esterreur(reference)"</formula>
    </cfRule>
  </conditionalFormatting>
  <conditionalFormatting sqref="C94">
    <cfRule type="expression" priority="23" stopIfTrue="1">
      <formula>"esterreur(reference)"</formula>
    </cfRule>
  </conditionalFormatting>
  <conditionalFormatting sqref="C173">
    <cfRule type="expression" priority="21" stopIfTrue="1">
      <formula>"esterreur(reference)"</formula>
    </cfRule>
  </conditionalFormatting>
  <conditionalFormatting sqref="C241">
    <cfRule type="expression" priority="19" stopIfTrue="1">
      <formula>"esterreur(reference)"</formula>
    </cfRule>
  </conditionalFormatting>
  <conditionalFormatting sqref="C296">
    <cfRule type="expression" priority="17" stopIfTrue="1">
      <formula>"esterreur(reference)"</formula>
    </cfRule>
  </conditionalFormatting>
  <conditionalFormatting sqref="C361">
    <cfRule type="expression" priority="15" stopIfTrue="1">
      <formula>"esterreur(reference)"</formula>
    </cfRule>
  </conditionalFormatting>
  <conditionalFormatting sqref="C407">
    <cfRule type="expression" priority="13" stopIfTrue="1">
      <formula>"esterreur(reference)"</formula>
    </cfRule>
  </conditionalFormatting>
  <conditionalFormatting sqref="C253:D257 F253:G257 I253:J257 L253:M257 O253:P257 R253:S257 U253:V257 X253:Y257 AA253:AB257 AD253:AE257 AG253:AH257 AJ253:AK257 AM253:AN257">
    <cfRule type="expression" priority="51" stopIfTrue="1">
      <formula>"esterreur(reference)"</formula>
    </cfRule>
  </conditionalFormatting>
  <conditionalFormatting sqref="C28:AO75">
    <cfRule type="expression" priority="48" stopIfTrue="1">
      <formula>"esterreur(reference)"</formula>
    </cfRule>
  </conditionalFormatting>
  <conditionalFormatting sqref="C86:AO91 C93:AO93 H169:AO170 C172:AO172 H237:AO238 C240:AO240 H293:AO293 C295:AO295 AM356:AN358 C362:AO397 AM403:AN403">
    <cfRule type="expression" priority="27" stopIfTrue="1">
      <formula>"esterreur(reference)"</formula>
    </cfRule>
  </conditionalFormatting>
  <conditionalFormatting sqref="C97:AO121">
    <cfRule type="expression" priority="1" stopIfTrue="1">
      <formula>"esterreur(reference)"</formula>
    </cfRule>
  </conditionalFormatting>
  <conditionalFormatting sqref="C125:AO156">
    <cfRule type="expression" priority="25" stopIfTrue="1">
      <formula>"esterreur(reference)"</formula>
    </cfRule>
  </conditionalFormatting>
  <conditionalFormatting sqref="C174:AO212 E256">
    <cfRule type="expression" priority="50" stopIfTrue="1">
      <formula>"esterreur(reference)"</formula>
    </cfRule>
  </conditionalFormatting>
  <conditionalFormatting sqref="C270:AO288">
    <cfRule type="expression" priority="62" stopIfTrue="1">
      <formula>"esterreur(reference)"</formula>
    </cfRule>
  </conditionalFormatting>
  <conditionalFormatting sqref="C334:AO352">
    <cfRule type="expression" priority="61" stopIfTrue="1">
      <formula>"esterreur(reference)"</formula>
    </cfRule>
  </conditionalFormatting>
  <conditionalFormatting sqref="C360:AO360">
    <cfRule type="expression" priority="26" stopIfTrue="1">
      <formula>"esterreur(reference)"</formula>
    </cfRule>
  </conditionalFormatting>
  <conditionalFormatting sqref="D398">
    <cfRule type="expression" priority="58" stopIfTrue="1">
      <formula>"esterreur(reference)"</formula>
    </cfRule>
  </conditionalFormatting>
  <conditionalFormatting sqref="E253:E254">
    <cfRule type="expression" priority="54" stopIfTrue="1">
      <formula>"esterreur(reference)"</formula>
    </cfRule>
  </conditionalFormatting>
  <conditionalFormatting sqref="F6 I6 L6 O6 R6 U6 X6 AA6 AD6 AG6 AJ6 AM6 H9:I9 K9:L9 N9:O9 Q9:R9 T9:U9 W9:X9 Z9:AA9 AC9:AD9 AF9:AG9 AI9:AJ9 AL9:AM9 AO9 H11:I17 K11:L17 N11:O17 Q11:R17 T11:U17 W11:X17 Z11:AA17 AC11:AD17 AF11:AG17 AI11:AJ17 AL11:AM17 AO11:AO17 H19:I27 K19:L27 N19:O27 Q19:R27 T19:U27 W19:X27 Z19:AA27 AC19:AD27 AF19:AG27 AI19:AJ27 AL19:AM27 AO19:AO27 G122:H124 J122:K124 M122:N124 P122:Q124 S122:T124 V122:W124 Y122:Z124 AB122:AC124 AE122:AF124 AH122:AI124 AK122:AL124 AN122:AO124 I168:J168 L168:M168 O168:P168 R168:S168 U168:V168 X168:Y168 AA168:AB168 AD168:AE168 AG168:AH168 AJ168:AK168 AM168:AN168 F168:G170 F213:G213 I213:J213 L213:M213 O213:P213 R213:S213 U213:V213 X213:Y213 AA213:AB213 AD213:AE213 AG213:AH213 AJ213:AK213 AM213:AN213 F232:G232 I232:J232 L232:M232 O232:P232 R232:S232 U232:V232 X232:Y232 AA232:AB232 AD232:AE232 AG232:AH232 AJ232:AK232 AM232:AN232 I236:J236 L236:M236 O236:P236 R236:S236 U236:V236 X236:Y236 AA236:AB236 AD236:AE236 AG236:AH236 AJ236:AK236 AM236:AN236 F236:G238 C252:AO252 H253:H254 K253:K254 N253:N254 Q253:Q254 T253:T254 W253:W254 Z253:Z254 AC253:AC254 AF253:AF254 AI253:AI254 AL253:AL254 AO253:AO254 F269:G269 I269:J269 L269:M269 O269:P269 R269:S269 U269:V269 X269:Y269 AA269:AB269 AD269:AE269 AG269:AH269 AJ269:AK269 AM269:AN269 I292:J292 L292:M292 O292:P292 R292:S292 U292:V292 X292:Y292 AA292:AB292 AD292:AE292 AG292:AH292 AJ292:AK292 AM292:AN292 F292:G293 F333:G333 I333:J333 L333:M333 O333:P333 R333:S333 U333:V333 X333:Y333 AA333:AB333 AD333:AE333 AG333:AH333 AJ333:AK333 AM333:AN333 F356:G358 F403:G403">
    <cfRule type="expression" priority="66" stopIfTrue="1">
      <formula>"esterreur(reference)"</formula>
    </cfRule>
  </conditionalFormatting>
  <conditionalFormatting sqref="F94 I94 L94 O94 R94 U94 X94 AA94 AD94 AG94 AJ94 AM94">
    <cfRule type="expression" priority="24" stopIfTrue="1">
      <formula>"esterreur(reference)"</formula>
    </cfRule>
  </conditionalFormatting>
  <conditionalFormatting sqref="F173 I173 L173 O173 R173 U173 X173 AA173 AD173 AG173 AJ173 AM173">
    <cfRule type="expression" priority="22" stopIfTrue="1">
      <formula>"esterreur(reference)"</formula>
    </cfRule>
  </conditionalFormatting>
  <conditionalFormatting sqref="F241 I241 L241 O241 R241 U241 X241 AA241 AD241 AG241 AJ241 AM241">
    <cfRule type="expression" priority="20" stopIfTrue="1">
      <formula>"esterreur(reference)"</formula>
    </cfRule>
  </conditionalFormatting>
  <conditionalFormatting sqref="F296 I296 L296 O296 R296 U296 X296 AA296 AD296 AG296 AJ296 AM296">
    <cfRule type="expression" priority="18" stopIfTrue="1">
      <formula>"esterreur(reference)"</formula>
    </cfRule>
  </conditionalFormatting>
  <conditionalFormatting sqref="F361 I361 L361 O361 R361 U361 X361 AA361 AD361 AG361 AJ361 AM361">
    <cfRule type="expression" priority="16" stopIfTrue="1">
      <formula>"esterreur(reference)"</formula>
    </cfRule>
  </conditionalFormatting>
  <conditionalFormatting sqref="F407 I407 L407 O407 R407 U407 X407 AA407 AD407 AG407 AJ407 AM407">
    <cfRule type="expression" priority="14" stopIfTrue="1">
      <formula>"esterreur(reference)"</formula>
    </cfRule>
  </conditionalFormatting>
  <conditionalFormatting sqref="G398 J398 M398 P398 S398 V398 Y398 AB398 AE398 AH398 AK398 AN398">
    <cfRule type="expression" priority="65" stopIfTrue="1">
      <formula>"esterreur(reference)"</formula>
    </cfRule>
  </conditionalFormatting>
  <conditionalFormatting sqref="I356:J358 I403:J403">
    <cfRule type="expression" priority="47" stopIfTrue="1">
      <formula>"esterreur(reference)"</formula>
    </cfRule>
  </conditionalFormatting>
  <conditionalFormatting sqref="L356:M358 L403:M403">
    <cfRule type="expression" priority="45" stopIfTrue="1">
      <formula>"esterreur(reference)"</formula>
    </cfRule>
  </conditionalFormatting>
  <conditionalFormatting sqref="O356:P358 O403:P403">
    <cfRule type="expression" priority="43" stopIfTrue="1">
      <formula>"esterreur(reference)"</formula>
    </cfRule>
  </conditionalFormatting>
  <conditionalFormatting sqref="R356:S358 R403:S403">
    <cfRule type="expression" priority="41" stopIfTrue="1">
      <formula>"esterreur(reference)"</formula>
    </cfRule>
  </conditionalFormatting>
  <conditionalFormatting sqref="U356:V358 U403:V403">
    <cfRule type="expression" priority="39" stopIfTrue="1">
      <formula>"esterreur(reference)"</formula>
    </cfRule>
  </conditionalFormatting>
  <conditionalFormatting sqref="X356:Y358 X403:Y403">
    <cfRule type="expression" priority="37" stopIfTrue="1">
      <formula>"esterreur(reference)"</formula>
    </cfRule>
  </conditionalFormatting>
  <conditionalFormatting sqref="AA356:AB358 AA403:AB403">
    <cfRule type="expression" priority="35" stopIfTrue="1">
      <formula>"esterreur(reference)"</formula>
    </cfRule>
  </conditionalFormatting>
  <conditionalFormatting sqref="AD356:AE358 AD403:AE403">
    <cfRule type="expression" priority="33" stopIfTrue="1">
      <formula>"esterreur(reference)"</formula>
    </cfRule>
  </conditionalFormatting>
  <conditionalFormatting sqref="AG356:AH358 AG403:AH403">
    <cfRule type="expression" priority="31" stopIfTrue="1">
      <formula>"esterreur(reference)"</formula>
    </cfRule>
  </conditionalFormatting>
  <conditionalFormatting sqref="AJ356:AK358 AJ403:AK403">
    <cfRule type="expression" priority="29"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701"/>
  <sheetViews>
    <sheetView topLeftCell="A487" workbookViewId="0">
      <selection activeCell="B512" sqref="B512"/>
    </sheetView>
  </sheetViews>
  <sheetFormatPr baseColWidth="10" defaultColWidth="12.58203125" defaultRowHeight="15" customHeight="1"/>
  <cols>
    <col min="1" max="1" width="56.1640625" customWidth="1"/>
    <col min="2" max="2" width="34.58203125" customWidth="1"/>
    <col min="3" max="3" width="16.6640625" customWidth="1"/>
    <col min="4" max="4" width="14.5" customWidth="1"/>
    <col min="5" max="5" width="17.4140625" customWidth="1"/>
    <col min="6" max="6" width="16.6640625" customWidth="1"/>
    <col min="7" max="7" width="14.5" customWidth="1"/>
    <col min="8" max="8" width="15.9140625" customWidth="1"/>
    <col min="9" max="9" width="16.6640625" customWidth="1"/>
    <col min="10" max="10" width="14.5" customWidth="1"/>
    <col min="11" max="11" width="15.9140625" customWidth="1"/>
    <col min="12" max="12" width="16.6640625" customWidth="1"/>
    <col min="13" max="13" width="14.5" customWidth="1"/>
    <col min="14" max="14" width="15.9140625" customWidth="1"/>
    <col min="15" max="15" width="16.6640625" customWidth="1"/>
    <col min="16" max="16" width="14.5" customWidth="1"/>
    <col min="17" max="17" width="15.9140625" customWidth="1"/>
    <col min="18" max="18" width="16.6640625" customWidth="1"/>
    <col min="19" max="19" width="14.5" customWidth="1"/>
    <col min="20" max="20" width="15.9140625" customWidth="1"/>
    <col min="21" max="21" width="16.6640625" customWidth="1"/>
    <col min="22" max="22" width="14.5" customWidth="1"/>
    <col min="23" max="23" width="15.9140625" customWidth="1"/>
    <col min="24" max="24" width="16.6640625" customWidth="1"/>
    <col min="25" max="25" width="14.5" customWidth="1"/>
    <col min="26" max="26" width="15.9140625" customWidth="1"/>
    <col min="27" max="27" width="16.6640625" customWidth="1"/>
    <col min="28" max="28" width="14.5" customWidth="1"/>
    <col min="29" max="29" width="15.9140625" customWidth="1"/>
    <col min="30" max="30" width="16.6640625" customWidth="1"/>
    <col min="31" max="31" width="14.5" customWidth="1"/>
    <col min="32" max="32" width="15.9140625" customWidth="1"/>
    <col min="33" max="33" width="16.6640625" customWidth="1"/>
    <col min="34" max="34" width="14.5" customWidth="1"/>
    <col min="35" max="35" width="15.9140625" customWidth="1"/>
    <col min="36" max="36" width="16.6640625" customWidth="1"/>
    <col min="37" max="37" width="14.5" customWidth="1"/>
    <col min="38" max="38" width="15.9140625" customWidth="1"/>
    <col min="39" max="39" width="16.6640625" customWidth="1"/>
    <col min="40" max="40" width="14.5" customWidth="1"/>
    <col min="41" max="41" width="15.9140625" customWidth="1"/>
    <col min="42" max="61" width="11" customWidth="1"/>
  </cols>
  <sheetData>
    <row r="1" spans="1:61" ht="41.25" customHeight="1">
      <c r="A1" s="33"/>
      <c r="B1" s="972" t="str">
        <f>"Réel 2023 Mensuel Révisé"&amp;" "&amp;Parametres!$B$1</f>
        <v>Réel 2023 Mensuel Révisé Volks</v>
      </c>
      <c r="C1" s="973"/>
      <c r="D1" s="973"/>
      <c r="E1" s="973"/>
      <c r="F1" s="973"/>
      <c r="G1" s="973"/>
      <c r="H1" s="973"/>
      <c r="I1" s="973"/>
      <c r="J1" s="973"/>
      <c r="K1" s="973"/>
      <c r="L1" s="973"/>
      <c r="M1" s="973"/>
      <c r="N1" s="973"/>
      <c r="O1" s="973"/>
      <c r="P1" s="973"/>
      <c r="Q1" s="973"/>
      <c r="R1" s="973"/>
      <c r="S1" s="973"/>
      <c r="T1" s="973"/>
      <c r="U1" s="973"/>
      <c r="V1" s="973"/>
      <c r="W1" s="973"/>
      <c r="X1" s="973"/>
      <c r="Y1" s="973"/>
      <c r="Z1" s="973"/>
      <c r="AA1" s="973"/>
      <c r="AB1" s="973"/>
      <c r="AC1" s="973"/>
      <c r="AD1" s="973"/>
      <c r="AE1" s="973"/>
      <c r="AF1" s="973"/>
      <c r="AG1" s="973"/>
      <c r="AH1" s="973"/>
      <c r="AI1" s="973"/>
      <c r="AJ1" s="973"/>
      <c r="AK1" s="973"/>
      <c r="AL1" s="973"/>
      <c r="AM1" s="973"/>
      <c r="AN1" s="973"/>
      <c r="AO1" s="973"/>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X</v>
      </c>
      <c r="J2" s="35" t="str">
        <f>+IF(Parametres!$B$3=I$6,"O","")</f>
        <v>O</v>
      </c>
      <c r="K2" s="35" t="str">
        <f>+IF(Parametres!$B$3=I$6,"U","")</f>
        <v>U</v>
      </c>
      <c r="L2" s="35" t="str">
        <f>+IF(Parametres!$B$3=L$6,"X","")</f>
        <v/>
      </c>
      <c r="M2" s="35" t="str">
        <f>+IF(Parametres!$B$3=L$6,"O","")</f>
        <v/>
      </c>
      <c r="N2" s="35" t="str">
        <f>+IF(Parametres!$B$3=L$6,"U","")</f>
        <v/>
      </c>
      <c r="O2" s="35" t="str">
        <f>+IF(Parametres!$B$3=O$6,"X","")</f>
        <v/>
      </c>
      <c r="P2" s="35" t="str">
        <f>+IF(Parametres!$B$3=O$6,"O","")</f>
        <v/>
      </c>
      <c r="Q2" s="35" t="str">
        <f>+IF(Parametres!$B$3=O$6,"U","")</f>
        <v/>
      </c>
      <c r="R2" s="35" t="str">
        <f>+IF(Parametres!$B$3=R$6,"X","")</f>
        <v/>
      </c>
      <c r="S2" s="35" t="str">
        <f>+IF(Parametres!$B$3=R$6,"O","")</f>
        <v/>
      </c>
      <c r="T2" s="35" t="str">
        <f>+IF(Parametres!$B$3=R$6,"U","")</f>
        <v/>
      </c>
      <c r="U2" s="35" t="str">
        <f>+IF(Parametres!$B$3=U$6,"X","")</f>
        <v/>
      </c>
      <c r="V2" s="35" t="str">
        <f>+IF(Parametres!$B$3=U$6,"O","")</f>
        <v/>
      </c>
      <c r="W2" s="35" t="str">
        <f>+IF(Parametres!$B$3=U$6,"U","")</f>
        <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
      </c>
      <c r="M3" s="9" t="str">
        <f>+IF(VLOOKUP(L$6,Parametres!$K$3:$N$14,4,0)="X","O","")</f>
        <v/>
      </c>
      <c r="N3" s="9" t="str">
        <f>+IF(VLOOKUP(L$6,Parametres!$K$3:$N$14,4,0)="X","U","")</f>
        <v/>
      </c>
      <c r="O3" s="9" t="str">
        <f>+IF(VLOOKUP(O$6,Parametres!$K$3:$N$14,4,0)="X","X","")</f>
        <v/>
      </c>
      <c r="P3" s="9" t="str">
        <f>+IF(VLOOKUP(O$6,Parametres!$K$3:$N$14,4,0)="X","O","")</f>
        <v/>
      </c>
      <c r="Q3" s="9" t="str">
        <f>+IF(VLOOKUP(O$6,Parametres!$K$3:$N$14,4,0)="X","U","")</f>
        <v/>
      </c>
      <c r="R3" s="9" t="str">
        <f>+IF(VLOOKUP(R$6,Parametres!$K$3:$N$14,4,0)="X","X","")</f>
        <v/>
      </c>
      <c r="S3" s="9" t="str">
        <f>+IF(VLOOKUP(R$6,Parametres!$K$3:$N$14,4,0)="X","O","")</f>
        <v/>
      </c>
      <c r="T3" s="9" t="str">
        <f>+IF(VLOOKUP(R$6,Parametres!$K$3:$N$14,4,0)="X","U","")</f>
        <v/>
      </c>
      <c r="U3" s="9" t="str">
        <f>+IF(VLOOKUP(U$6,Parametres!$K$3:$N$14,4,0)="X","X","")</f>
        <v/>
      </c>
      <c r="V3" s="9" t="str">
        <f>+IF(VLOOKUP(U$6,Parametres!$K$3:$N$14,4,0)="X","O","")</f>
        <v/>
      </c>
      <c r="W3" s="9" t="str">
        <f>+IF(VLOOKUP(U$6,Parametres!$K$3:$N$14,4,0)="X","U","")</f>
        <v/>
      </c>
      <c r="X3" s="9" t="str">
        <f>+IF(VLOOKUP(X$6,Parametres!$K$3:$N$14,4,0)="X","X","")</f>
        <v/>
      </c>
      <c r="Y3" s="9" t="str">
        <f>+IF(VLOOKUP(X$6,Parametres!$K$3:$N$14,4,0)="X","O","")</f>
        <v/>
      </c>
      <c r="Z3" s="9" t="str">
        <f>+IF(VLOOKUP(X$6,Parametres!$K$3:$N$14,4,0)="X","U","")</f>
        <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
      <c r="A4" s="9"/>
      <c r="B4" s="9" t="s">
        <v>3937</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thickBo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0.5" thickTop="1">
      <c r="A6" s="39"/>
      <c r="B6" s="40" t="s">
        <v>3</v>
      </c>
      <c r="C6" s="969">
        <v>2024</v>
      </c>
      <c r="D6" s="970"/>
      <c r="E6" s="971"/>
      <c r="F6" s="729" t="s">
        <v>8</v>
      </c>
      <c r="G6" s="730"/>
      <c r="H6" s="731"/>
      <c r="I6" s="729" t="s">
        <v>10</v>
      </c>
      <c r="J6" s="730"/>
      <c r="K6" s="731"/>
      <c r="L6" s="729" t="s">
        <v>11</v>
      </c>
      <c r="M6" s="730"/>
      <c r="N6" s="731"/>
      <c r="O6" s="729" t="s">
        <v>12</v>
      </c>
      <c r="P6" s="730"/>
      <c r="Q6" s="731"/>
      <c r="R6" s="729" t="s">
        <v>13</v>
      </c>
      <c r="S6" s="730"/>
      <c r="T6" s="731"/>
      <c r="U6" s="729" t="s">
        <v>14</v>
      </c>
      <c r="V6" s="730"/>
      <c r="W6" s="731"/>
      <c r="X6" s="729" t="s">
        <v>16</v>
      </c>
      <c r="Y6" s="730"/>
      <c r="Z6" s="731"/>
      <c r="AA6" s="729" t="s">
        <v>18</v>
      </c>
      <c r="AB6" s="730"/>
      <c r="AC6" s="731"/>
      <c r="AD6" s="729" t="s">
        <v>20</v>
      </c>
      <c r="AE6" s="730"/>
      <c r="AF6" s="731"/>
      <c r="AG6" s="729" t="s">
        <v>22</v>
      </c>
      <c r="AH6" s="730"/>
      <c r="AI6" s="731"/>
      <c r="AJ6" s="729" t="s">
        <v>23</v>
      </c>
      <c r="AK6" s="730"/>
      <c r="AL6" s="731"/>
      <c r="AM6" s="729" t="s">
        <v>6</v>
      </c>
      <c r="AN6" s="730"/>
      <c r="AO6" s="731"/>
      <c r="AP6" s="41"/>
      <c r="AQ6" s="41"/>
      <c r="AR6" s="41"/>
      <c r="AS6" s="41"/>
      <c r="AT6" s="41"/>
      <c r="AU6" s="41"/>
      <c r="AV6" s="41"/>
      <c r="AW6" s="41"/>
      <c r="AX6" s="41"/>
      <c r="AY6" s="41"/>
      <c r="AZ6" s="41"/>
      <c r="BA6" s="41"/>
      <c r="BB6" s="41"/>
      <c r="BC6" s="41"/>
      <c r="BD6" s="41"/>
      <c r="BE6" s="41"/>
      <c r="BF6" s="41"/>
      <c r="BG6" s="41"/>
      <c r="BH6" s="41"/>
      <c r="BI6" s="41"/>
    </row>
    <row r="7" spans="1:61" ht="20">
      <c r="A7" s="39"/>
      <c r="B7" s="42"/>
      <c r="C7" s="732" t="s">
        <v>93</v>
      </c>
      <c r="D7" s="733" t="s">
        <v>94</v>
      </c>
      <c r="E7" s="734" t="s">
        <v>95</v>
      </c>
      <c r="F7" s="732" t="s">
        <v>93</v>
      </c>
      <c r="G7" s="733" t="s">
        <v>94</v>
      </c>
      <c r="H7" s="734" t="s">
        <v>95</v>
      </c>
      <c r="I7" s="732" t="s">
        <v>93</v>
      </c>
      <c r="J7" s="733" t="s">
        <v>94</v>
      </c>
      <c r="K7" s="734" t="s">
        <v>95</v>
      </c>
      <c r="L7" s="732" t="s">
        <v>93</v>
      </c>
      <c r="M7" s="733" t="s">
        <v>94</v>
      </c>
      <c r="N7" s="734" t="s">
        <v>95</v>
      </c>
      <c r="O7" s="732" t="s">
        <v>93</v>
      </c>
      <c r="P7" s="733" t="s">
        <v>94</v>
      </c>
      <c r="Q7" s="734" t="s">
        <v>95</v>
      </c>
      <c r="R7" s="732" t="s">
        <v>93</v>
      </c>
      <c r="S7" s="733" t="s">
        <v>94</v>
      </c>
      <c r="T7" s="734" t="s">
        <v>95</v>
      </c>
      <c r="U7" s="732" t="s">
        <v>93</v>
      </c>
      <c r="V7" s="733" t="s">
        <v>94</v>
      </c>
      <c r="W7" s="734" t="s">
        <v>95</v>
      </c>
      <c r="X7" s="732" t="s">
        <v>93</v>
      </c>
      <c r="Y7" s="733" t="s">
        <v>94</v>
      </c>
      <c r="Z7" s="734" t="s">
        <v>95</v>
      </c>
      <c r="AA7" s="732" t="s">
        <v>93</v>
      </c>
      <c r="AB7" s="733" t="s">
        <v>94</v>
      </c>
      <c r="AC7" s="734" t="s">
        <v>95</v>
      </c>
      <c r="AD7" s="732" t="s">
        <v>93</v>
      </c>
      <c r="AE7" s="733" t="s">
        <v>94</v>
      </c>
      <c r="AF7" s="734" t="s">
        <v>95</v>
      </c>
      <c r="AG7" s="732" t="s">
        <v>93</v>
      </c>
      <c r="AH7" s="733" t="s">
        <v>94</v>
      </c>
      <c r="AI7" s="734" t="s">
        <v>95</v>
      </c>
      <c r="AJ7" s="732" t="s">
        <v>93</v>
      </c>
      <c r="AK7" s="733" t="s">
        <v>94</v>
      </c>
      <c r="AL7" s="734" t="s">
        <v>95</v>
      </c>
      <c r="AM7" s="732" t="s">
        <v>93</v>
      </c>
      <c r="AN7" s="733" t="s">
        <v>94</v>
      </c>
      <c r="AO7" s="734" t="s">
        <v>95</v>
      </c>
      <c r="AP7" s="41"/>
      <c r="AQ7" s="41"/>
      <c r="AR7" s="41"/>
      <c r="AS7" s="41"/>
      <c r="AT7" s="41"/>
      <c r="AU7" s="41"/>
      <c r="AV7" s="41"/>
      <c r="AW7" s="41"/>
      <c r="AX7" s="41"/>
      <c r="AY7" s="41"/>
      <c r="AZ7" s="41"/>
      <c r="BA7" s="41"/>
      <c r="BB7" s="41"/>
      <c r="BC7" s="41"/>
      <c r="BD7" s="41"/>
      <c r="BE7" s="41"/>
      <c r="BF7" s="41"/>
      <c r="BG7" s="41"/>
      <c r="BH7" s="41"/>
      <c r="BI7" s="41"/>
    </row>
    <row r="8" spans="1:61" ht="20">
      <c r="A8" s="39" t="str">
        <f t="shared" ref="A8:A88" si="0">+$C$4&amp;B8</f>
        <v>Véhicules neufsVentes nettes</v>
      </c>
      <c r="B8" s="43" t="s">
        <v>96</v>
      </c>
      <c r="C8" s="735"/>
      <c r="D8" s="736"/>
      <c r="E8" s="737">
        <v>38196010.659999967</v>
      </c>
      <c r="F8" s="735"/>
      <c r="G8" s="736"/>
      <c r="H8" s="738">
        <v>2179097.79</v>
      </c>
      <c r="I8" s="735"/>
      <c r="J8" s="736"/>
      <c r="K8" s="738">
        <v>3708952.51</v>
      </c>
      <c r="L8" s="735"/>
      <c r="M8" s="736"/>
      <c r="N8" s="738">
        <v>4089927.92</v>
      </c>
      <c r="O8" s="735"/>
      <c r="P8" s="736"/>
      <c r="Q8" s="738">
        <v>3890022.88</v>
      </c>
      <c r="R8" s="735"/>
      <c r="S8" s="736"/>
      <c r="T8" s="738">
        <v>3906259.79</v>
      </c>
      <c r="U8" s="735"/>
      <c r="V8" s="736"/>
      <c r="W8" s="738">
        <v>2093787.3699999901</v>
      </c>
      <c r="X8" s="735"/>
      <c r="Y8" s="736"/>
      <c r="Z8" s="738">
        <v>4524162.07</v>
      </c>
      <c r="AA8" s="735"/>
      <c r="AB8" s="736"/>
      <c r="AC8" s="738">
        <v>4621444.4799999902</v>
      </c>
      <c r="AD8" s="735"/>
      <c r="AE8" s="736"/>
      <c r="AF8" s="738">
        <v>2442838.48</v>
      </c>
      <c r="AG8" s="735"/>
      <c r="AH8" s="736"/>
      <c r="AI8" s="738">
        <v>2470113.9900000002</v>
      </c>
      <c r="AJ8" s="735"/>
      <c r="AK8" s="736"/>
      <c r="AL8" s="738">
        <v>2101403.2899999898</v>
      </c>
      <c r="AM8" s="735"/>
      <c r="AN8" s="736"/>
      <c r="AO8" s="738">
        <v>2168000.09</v>
      </c>
      <c r="AP8" s="41"/>
      <c r="AQ8" s="41"/>
      <c r="AR8" s="41"/>
      <c r="AS8" s="41"/>
      <c r="AT8" s="41"/>
      <c r="AU8" s="41"/>
      <c r="AV8" s="41"/>
      <c r="AW8" s="41"/>
      <c r="AX8" s="41"/>
      <c r="AY8" s="41"/>
      <c r="AZ8" s="41"/>
      <c r="BA8" s="41"/>
      <c r="BB8" s="41"/>
      <c r="BC8" s="41"/>
      <c r="BD8" s="41"/>
      <c r="BE8" s="41"/>
      <c r="BF8" s="41"/>
      <c r="BG8" s="41"/>
      <c r="BH8" s="41"/>
      <c r="BI8" s="41"/>
    </row>
    <row r="9" spans="1:61" ht="20">
      <c r="A9" s="39" t="str">
        <f t="shared" si="0"/>
        <v>Véhicules neufsAutos détail</v>
      </c>
      <c r="B9" s="44" t="s">
        <v>97</v>
      </c>
      <c r="C9" s="739">
        <v>183</v>
      </c>
      <c r="D9" s="740">
        <v>1942.5737704917985</v>
      </c>
      <c r="E9" s="741">
        <v>355490.99999999913</v>
      </c>
      <c r="F9" s="742">
        <v>10</v>
      </c>
      <c r="G9" s="740">
        <v>1336.5319999999999</v>
      </c>
      <c r="H9" s="743">
        <v>13365.32</v>
      </c>
      <c r="I9" s="742">
        <v>24</v>
      </c>
      <c r="J9" s="740">
        <v>2210.4766666666624</v>
      </c>
      <c r="K9" s="743">
        <v>53051.4399999999</v>
      </c>
      <c r="L9" s="742">
        <v>14</v>
      </c>
      <c r="M9" s="740">
        <v>2832.1014285714214</v>
      </c>
      <c r="N9" s="743">
        <v>39649.419999999896</v>
      </c>
      <c r="O9" s="742">
        <v>18</v>
      </c>
      <c r="P9" s="740">
        <v>2168.0938888888832</v>
      </c>
      <c r="Q9" s="743">
        <v>39025.6899999999</v>
      </c>
      <c r="R9" s="742">
        <v>18</v>
      </c>
      <c r="S9" s="740">
        <v>1997.7755555555498</v>
      </c>
      <c r="T9" s="743">
        <v>35959.959999999897</v>
      </c>
      <c r="U9" s="742">
        <v>15</v>
      </c>
      <c r="V9" s="740">
        <v>1651.8939999999934</v>
      </c>
      <c r="W9" s="743">
        <v>24778.409999999902</v>
      </c>
      <c r="X9" s="742">
        <v>23</v>
      </c>
      <c r="Y9" s="740">
        <v>1942.4756521739087</v>
      </c>
      <c r="Z9" s="743">
        <v>44676.9399999999</v>
      </c>
      <c r="AA9" s="742">
        <v>19</v>
      </c>
      <c r="AB9" s="740">
        <v>1667.12</v>
      </c>
      <c r="AC9" s="743">
        <v>31675.279999999999</v>
      </c>
      <c r="AD9" s="742">
        <v>16</v>
      </c>
      <c r="AE9" s="740">
        <v>1640.0056249999936</v>
      </c>
      <c r="AF9" s="743">
        <v>26240.089999999898</v>
      </c>
      <c r="AG9" s="742">
        <v>12</v>
      </c>
      <c r="AH9" s="740">
        <v>1802.2583333333332</v>
      </c>
      <c r="AI9" s="743">
        <v>21627.1</v>
      </c>
      <c r="AJ9" s="742">
        <v>8</v>
      </c>
      <c r="AK9" s="740">
        <v>2031.0612499999875</v>
      </c>
      <c r="AL9" s="743">
        <v>16248.4899999999</v>
      </c>
      <c r="AM9" s="742">
        <v>6</v>
      </c>
      <c r="AN9" s="740">
        <v>1532.1433333333316</v>
      </c>
      <c r="AO9" s="743">
        <v>9192.8599999999897</v>
      </c>
      <c r="AP9" s="41"/>
      <c r="AQ9" s="41"/>
      <c r="AR9" s="41"/>
      <c r="AS9" s="41"/>
      <c r="AT9" s="41"/>
      <c r="AU9" s="41"/>
      <c r="AV9" s="41"/>
      <c r="AW9" s="41"/>
      <c r="AX9" s="41"/>
      <c r="AY9" s="41"/>
      <c r="AZ9" s="41"/>
      <c r="BA9" s="41"/>
      <c r="BB9" s="41"/>
      <c r="BC9" s="41"/>
      <c r="BD9" s="41"/>
      <c r="BE9" s="41"/>
      <c r="BF9" s="41"/>
      <c r="BG9" s="41"/>
      <c r="BH9" s="41"/>
      <c r="BI9" s="41"/>
    </row>
    <row r="10" spans="1:61" ht="20">
      <c r="A10" s="39" t="str">
        <f t="shared" si="0"/>
        <v>Véhicules neufsCamions détail</v>
      </c>
      <c r="B10" s="44" t="s">
        <v>98</v>
      </c>
      <c r="C10" s="739">
        <v>489</v>
      </c>
      <c r="D10" s="740">
        <v>2368.9078118609341</v>
      </c>
      <c r="E10" s="741">
        <v>1158395.9199999967</v>
      </c>
      <c r="F10" s="742">
        <v>34</v>
      </c>
      <c r="G10" s="740">
        <v>2268.3158823529384</v>
      </c>
      <c r="H10" s="743">
        <v>77122.739999999903</v>
      </c>
      <c r="I10" s="742">
        <v>47</v>
      </c>
      <c r="J10" s="740">
        <v>2454.7580851063831</v>
      </c>
      <c r="K10" s="743">
        <v>115373.63</v>
      </c>
      <c r="L10" s="742">
        <v>56</v>
      </c>
      <c r="M10" s="740">
        <v>2919.921785714268</v>
      </c>
      <c r="N10" s="743">
        <v>163515.61999999901</v>
      </c>
      <c r="O10" s="742">
        <v>51</v>
      </c>
      <c r="P10" s="740">
        <v>2906.286862745098</v>
      </c>
      <c r="Q10" s="743">
        <v>148220.63</v>
      </c>
      <c r="R10" s="742">
        <v>51</v>
      </c>
      <c r="S10" s="740">
        <v>2441.8603921568629</v>
      </c>
      <c r="T10" s="743">
        <v>124534.88</v>
      </c>
      <c r="U10" s="742">
        <v>25</v>
      </c>
      <c r="V10" s="740">
        <v>2415.8503999999921</v>
      </c>
      <c r="W10" s="743">
        <v>60396.259999999798</v>
      </c>
      <c r="X10" s="742">
        <v>54</v>
      </c>
      <c r="Y10" s="740">
        <v>2267.4683333333151</v>
      </c>
      <c r="Z10" s="743">
        <v>122443.289999999</v>
      </c>
      <c r="AA10" s="742">
        <v>62</v>
      </c>
      <c r="AB10" s="740">
        <v>2284.2912903225647</v>
      </c>
      <c r="AC10" s="743">
        <v>141626.05999999901</v>
      </c>
      <c r="AD10" s="742">
        <v>26</v>
      </c>
      <c r="AE10" s="740">
        <v>2080.4761538461539</v>
      </c>
      <c r="AF10" s="743">
        <v>54092.38</v>
      </c>
      <c r="AG10" s="742">
        <v>32</v>
      </c>
      <c r="AH10" s="740">
        <v>1508.5387500000063</v>
      </c>
      <c r="AI10" s="743">
        <v>48273.240000000202</v>
      </c>
      <c r="AJ10" s="742">
        <v>27</v>
      </c>
      <c r="AK10" s="740">
        <v>2114.5018518518482</v>
      </c>
      <c r="AL10" s="743">
        <v>57091.549999999901</v>
      </c>
      <c r="AM10" s="742">
        <v>24</v>
      </c>
      <c r="AN10" s="740">
        <v>1904.4016666666666</v>
      </c>
      <c r="AO10" s="743">
        <v>45705.64</v>
      </c>
      <c r="AP10" s="41"/>
      <c r="AQ10" s="41"/>
      <c r="AR10" s="41"/>
      <c r="AS10" s="41"/>
      <c r="AT10" s="41"/>
      <c r="AU10" s="41"/>
      <c r="AV10" s="41"/>
      <c r="AW10" s="41"/>
      <c r="AX10" s="41"/>
      <c r="AY10" s="41"/>
      <c r="AZ10" s="41"/>
      <c r="BA10" s="41"/>
      <c r="BB10" s="41"/>
      <c r="BC10" s="41"/>
      <c r="BD10" s="41"/>
      <c r="BE10" s="41"/>
      <c r="BF10" s="41"/>
      <c r="BG10" s="41"/>
      <c r="BH10" s="41"/>
      <c r="BI10" s="41"/>
    </row>
    <row r="11" spans="1:61" ht="20">
      <c r="A11" s="39" t="str">
        <f t="shared" si="0"/>
        <v>Véhicules neufsSprinter</v>
      </c>
      <c r="B11" s="44" t="s">
        <v>99</v>
      </c>
      <c r="C11" s="739">
        <v>0</v>
      </c>
      <c r="D11" s="740">
        <v>0</v>
      </c>
      <c r="E11" s="741">
        <v>0</v>
      </c>
      <c r="F11" s="742">
        <v>0</v>
      </c>
      <c r="G11" s="740">
        <v>0</v>
      </c>
      <c r="H11" s="743">
        <v>0</v>
      </c>
      <c r="I11" s="742">
        <v>0</v>
      </c>
      <c r="J11" s="740">
        <v>0</v>
      </c>
      <c r="K11" s="743">
        <v>0</v>
      </c>
      <c r="L11" s="742">
        <v>0</v>
      </c>
      <c r="M11" s="740">
        <v>0</v>
      </c>
      <c r="N11" s="743">
        <v>0</v>
      </c>
      <c r="O11" s="742">
        <v>0</v>
      </c>
      <c r="P11" s="740">
        <v>0</v>
      </c>
      <c r="Q11" s="743">
        <v>0</v>
      </c>
      <c r="R11" s="742">
        <v>0</v>
      </c>
      <c r="S11" s="740">
        <v>0</v>
      </c>
      <c r="T11" s="743">
        <v>0</v>
      </c>
      <c r="U11" s="742">
        <v>0</v>
      </c>
      <c r="V11" s="740">
        <v>0</v>
      </c>
      <c r="W11" s="743">
        <v>0</v>
      </c>
      <c r="X11" s="742">
        <v>0</v>
      </c>
      <c r="Y11" s="740">
        <v>0</v>
      </c>
      <c r="Z11" s="743">
        <v>0</v>
      </c>
      <c r="AA11" s="742">
        <v>0</v>
      </c>
      <c r="AB11" s="740">
        <v>0</v>
      </c>
      <c r="AC11" s="743">
        <v>0</v>
      </c>
      <c r="AD11" s="742">
        <v>0</v>
      </c>
      <c r="AE11" s="740">
        <v>0</v>
      </c>
      <c r="AF11" s="743">
        <v>0</v>
      </c>
      <c r="AG11" s="742">
        <v>0</v>
      </c>
      <c r="AH11" s="740">
        <v>0</v>
      </c>
      <c r="AI11" s="743">
        <v>0</v>
      </c>
      <c r="AJ11" s="742">
        <v>0</v>
      </c>
      <c r="AK11" s="740">
        <v>0</v>
      </c>
      <c r="AL11" s="743">
        <v>0</v>
      </c>
      <c r="AM11" s="742">
        <v>0</v>
      </c>
      <c r="AN11" s="740">
        <v>0</v>
      </c>
      <c r="AO11" s="743">
        <v>0</v>
      </c>
      <c r="AP11" s="41"/>
      <c r="AQ11" s="41"/>
      <c r="AR11" s="41"/>
      <c r="AS11" s="41"/>
      <c r="AT11" s="41"/>
      <c r="AU11" s="41"/>
      <c r="AV11" s="41"/>
      <c r="AW11" s="41"/>
      <c r="AX11" s="41"/>
      <c r="AY11" s="41"/>
      <c r="AZ11" s="41"/>
      <c r="BA11" s="41"/>
      <c r="BB11" s="41"/>
      <c r="BC11" s="41"/>
      <c r="BD11" s="41"/>
      <c r="BE11" s="41"/>
      <c r="BF11" s="41"/>
      <c r="BG11" s="41"/>
      <c r="BH11" s="41"/>
      <c r="BI11" s="41"/>
    </row>
    <row r="12" spans="1:61" ht="20">
      <c r="A12" s="39" t="str">
        <f t="shared" si="0"/>
        <v>Véhicules neufsMoto détail</v>
      </c>
      <c r="B12" s="44" t="s">
        <v>100</v>
      </c>
      <c r="C12" s="739">
        <v>0</v>
      </c>
      <c r="D12" s="740">
        <v>0</v>
      </c>
      <c r="E12" s="741">
        <v>0</v>
      </c>
      <c r="F12" s="742">
        <v>0</v>
      </c>
      <c r="G12" s="740">
        <v>0</v>
      </c>
      <c r="H12" s="743">
        <v>0</v>
      </c>
      <c r="I12" s="742">
        <v>0</v>
      </c>
      <c r="J12" s="740">
        <v>0</v>
      </c>
      <c r="K12" s="743">
        <v>0</v>
      </c>
      <c r="L12" s="742">
        <v>0</v>
      </c>
      <c r="M12" s="740">
        <v>0</v>
      </c>
      <c r="N12" s="743">
        <v>0</v>
      </c>
      <c r="O12" s="742">
        <v>0</v>
      </c>
      <c r="P12" s="740">
        <v>0</v>
      </c>
      <c r="Q12" s="743">
        <v>0</v>
      </c>
      <c r="R12" s="742">
        <v>0</v>
      </c>
      <c r="S12" s="740">
        <v>0</v>
      </c>
      <c r="T12" s="743">
        <v>0</v>
      </c>
      <c r="U12" s="742">
        <v>0</v>
      </c>
      <c r="V12" s="740">
        <v>0</v>
      </c>
      <c r="W12" s="743">
        <v>0</v>
      </c>
      <c r="X12" s="742">
        <v>0</v>
      </c>
      <c r="Y12" s="740">
        <v>0</v>
      </c>
      <c r="Z12" s="743">
        <v>0</v>
      </c>
      <c r="AA12" s="742">
        <v>0</v>
      </c>
      <c r="AB12" s="740">
        <v>0</v>
      </c>
      <c r="AC12" s="743">
        <v>0</v>
      </c>
      <c r="AD12" s="742">
        <v>0</v>
      </c>
      <c r="AE12" s="740">
        <v>0</v>
      </c>
      <c r="AF12" s="743">
        <v>0</v>
      </c>
      <c r="AG12" s="742">
        <v>0</v>
      </c>
      <c r="AH12" s="740">
        <v>0</v>
      </c>
      <c r="AI12" s="743">
        <v>0</v>
      </c>
      <c r="AJ12" s="742">
        <v>0</v>
      </c>
      <c r="AK12" s="740">
        <v>0</v>
      </c>
      <c r="AL12" s="743">
        <v>0</v>
      </c>
      <c r="AM12" s="742">
        <v>0</v>
      </c>
      <c r="AN12" s="740">
        <v>0</v>
      </c>
      <c r="AO12" s="743">
        <v>0</v>
      </c>
      <c r="AP12" s="41"/>
      <c r="AQ12" s="41"/>
      <c r="AR12" s="41"/>
      <c r="AS12" s="41"/>
      <c r="AT12" s="41"/>
      <c r="AU12" s="41"/>
      <c r="AV12" s="41"/>
      <c r="AW12" s="41"/>
      <c r="AX12" s="41"/>
      <c r="AY12" s="41"/>
      <c r="AZ12" s="41"/>
      <c r="BA12" s="41"/>
      <c r="BB12" s="41"/>
      <c r="BC12" s="41"/>
      <c r="BD12" s="41"/>
      <c r="BE12" s="41"/>
      <c r="BF12" s="41"/>
      <c r="BG12" s="41"/>
      <c r="BH12" s="41"/>
      <c r="BI12" s="41"/>
    </row>
    <row r="13" spans="1:61" ht="20">
      <c r="A13" s="39" t="str">
        <f t="shared" si="0"/>
        <v>Véhicules neufs[...]</v>
      </c>
      <c r="B13" s="44" t="s">
        <v>59</v>
      </c>
      <c r="C13" s="739">
        <v>0</v>
      </c>
      <c r="D13" s="740">
        <v>0</v>
      </c>
      <c r="E13" s="741">
        <v>0</v>
      </c>
      <c r="F13" s="739"/>
      <c r="G13" s="740">
        <v>0</v>
      </c>
      <c r="H13" s="741"/>
      <c r="I13" s="739"/>
      <c r="J13" s="740">
        <v>0</v>
      </c>
      <c r="K13" s="741"/>
      <c r="L13" s="739"/>
      <c r="M13" s="740">
        <v>0</v>
      </c>
      <c r="N13" s="741"/>
      <c r="O13" s="739"/>
      <c r="P13" s="740">
        <v>0</v>
      </c>
      <c r="Q13" s="741"/>
      <c r="R13" s="739"/>
      <c r="S13" s="740">
        <v>0</v>
      </c>
      <c r="T13" s="741"/>
      <c r="U13" s="739"/>
      <c r="V13" s="740">
        <v>0</v>
      </c>
      <c r="W13" s="741"/>
      <c r="X13" s="739"/>
      <c r="Y13" s="740">
        <v>0</v>
      </c>
      <c r="Z13" s="741"/>
      <c r="AA13" s="739"/>
      <c r="AB13" s="740">
        <v>0</v>
      </c>
      <c r="AC13" s="741"/>
      <c r="AD13" s="739"/>
      <c r="AE13" s="740">
        <v>0</v>
      </c>
      <c r="AF13" s="741"/>
      <c r="AG13" s="739"/>
      <c r="AH13" s="740">
        <v>0</v>
      </c>
      <c r="AI13" s="741"/>
      <c r="AJ13" s="739"/>
      <c r="AK13" s="740">
        <v>0</v>
      </c>
      <c r="AL13" s="741"/>
      <c r="AM13" s="739"/>
      <c r="AN13" s="740">
        <v>0</v>
      </c>
      <c r="AO13" s="741"/>
      <c r="AP13" s="41"/>
      <c r="AQ13" s="41"/>
      <c r="AR13" s="41"/>
      <c r="AS13" s="41"/>
      <c r="AT13" s="41"/>
      <c r="AU13" s="41"/>
      <c r="AV13" s="41"/>
      <c r="AW13" s="41"/>
      <c r="AX13" s="41"/>
      <c r="AY13" s="41"/>
      <c r="AZ13" s="41"/>
      <c r="BA13" s="41"/>
      <c r="BB13" s="41"/>
      <c r="BC13" s="41"/>
      <c r="BD13" s="41"/>
      <c r="BE13" s="41"/>
      <c r="BF13" s="41"/>
      <c r="BG13" s="41"/>
      <c r="BH13" s="41"/>
      <c r="BI13" s="41"/>
    </row>
    <row r="14" spans="1:61" ht="20">
      <c r="A14" s="39" t="str">
        <f t="shared" si="0"/>
        <v>Véhicules neufs[...]</v>
      </c>
      <c r="B14" s="44" t="s">
        <v>59</v>
      </c>
      <c r="C14" s="739">
        <v>0</v>
      </c>
      <c r="D14" s="740">
        <v>0</v>
      </c>
      <c r="E14" s="741">
        <v>0</v>
      </c>
      <c r="F14" s="739"/>
      <c r="G14" s="740">
        <v>0</v>
      </c>
      <c r="H14" s="741"/>
      <c r="I14" s="739"/>
      <c r="J14" s="740">
        <v>0</v>
      </c>
      <c r="K14" s="741"/>
      <c r="L14" s="739"/>
      <c r="M14" s="740">
        <v>0</v>
      </c>
      <c r="N14" s="741"/>
      <c r="O14" s="739"/>
      <c r="P14" s="740">
        <v>0</v>
      </c>
      <c r="Q14" s="741"/>
      <c r="R14" s="739"/>
      <c r="S14" s="740">
        <v>0</v>
      </c>
      <c r="T14" s="741"/>
      <c r="U14" s="739"/>
      <c r="V14" s="740">
        <v>0</v>
      </c>
      <c r="W14" s="741"/>
      <c r="X14" s="739"/>
      <c r="Y14" s="740">
        <v>0</v>
      </c>
      <c r="Z14" s="741"/>
      <c r="AA14" s="739"/>
      <c r="AB14" s="740">
        <v>0</v>
      </c>
      <c r="AC14" s="741"/>
      <c r="AD14" s="739"/>
      <c r="AE14" s="740">
        <v>0</v>
      </c>
      <c r="AF14" s="741"/>
      <c r="AG14" s="739"/>
      <c r="AH14" s="740">
        <v>0</v>
      </c>
      <c r="AI14" s="741"/>
      <c r="AJ14" s="739"/>
      <c r="AK14" s="740">
        <v>0</v>
      </c>
      <c r="AL14" s="741"/>
      <c r="AM14" s="739"/>
      <c r="AN14" s="740">
        <v>0</v>
      </c>
      <c r="AO14" s="741"/>
      <c r="AP14" s="41"/>
      <c r="AQ14" s="41"/>
      <c r="AR14" s="41"/>
      <c r="AS14" s="41"/>
      <c r="AT14" s="41"/>
      <c r="AU14" s="41"/>
      <c r="AV14" s="41"/>
      <c r="AW14" s="41"/>
      <c r="AX14" s="41"/>
      <c r="AY14" s="41"/>
      <c r="AZ14" s="41"/>
      <c r="BA14" s="41"/>
      <c r="BB14" s="41"/>
      <c r="BC14" s="41"/>
      <c r="BD14" s="41"/>
      <c r="BE14" s="41"/>
      <c r="BF14" s="41"/>
      <c r="BG14" s="41"/>
      <c r="BH14" s="41"/>
      <c r="BI14" s="41"/>
    </row>
    <row r="15" spans="1:61" ht="20">
      <c r="A15" s="39" t="str">
        <f t="shared" si="0"/>
        <v>Véhicules neufs[...]</v>
      </c>
      <c r="B15" s="44" t="s">
        <v>59</v>
      </c>
      <c r="C15" s="739">
        <v>0</v>
      </c>
      <c r="D15" s="740">
        <v>0</v>
      </c>
      <c r="E15" s="741">
        <v>0</v>
      </c>
      <c r="F15" s="739"/>
      <c r="G15" s="740">
        <v>0</v>
      </c>
      <c r="H15" s="741"/>
      <c r="I15" s="739"/>
      <c r="J15" s="740">
        <v>0</v>
      </c>
      <c r="K15" s="741"/>
      <c r="L15" s="739"/>
      <c r="M15" s="740">
        <v>0</v>
      </c>
      <c r="N15" s="741"/>
      <c r="O15" s="739"/>
      <c r="P15" s="740">
        <v>0</v>
      </c>
      <c r="Q15" s="741"/>
      <c r="R15" s="739"/>
      <c r="S15" s="740">
        <v>0</v>
      </c>
      <c r="T15" s="741"/>
      <c r="U15" s="739"/>
      <c r="V15" s="740">
        <v>0</v>
      </c>
      <c r="W15" s="741"/>
      <c r="X15" s="739"/>
      <c r="Y15" s="740">
        <v>0</v>
      </c>
      <c r="Z15" s="741"/>
      <c r="AA15" s="739"/>
      <c r="AB15" s="740">
        <v>0</v>
      </c>
      <c r="AC15" s="741"/>
      <c r="AD15" s="739"/>
      <c r="AE15" s="740">
        <v>0</v>
      </c>
      <c r="AF15" s="741"/>
      <c r="AG15" s="739"/>
      <c r="AH15" s="740">
        <v>0</v>
      </c>
      <c r="AI15" s="741"/>
      <c r="AJ15" s="739"/>
      <c r="AK15" s="740">
        <v>0</v>
      </c>
      <c r="AL15" s="741"/>
      <c r="AM15" s="739"/>
      <c r="AN15" s="740">
        <v>0</v>
      </c>
      <c r="AO15" s="741"/>
      <c r="AP15" s="41"/>
      <c r="AQ15" s="41"/>
      <c r="AR15" s="41"/>
      <c r="AS15" s="41"/>
      <c r="AT15" s="41"/>
      <c r="AU15" s="41"/>
      <c r="AV15" s="41"/>
      <c r="AW15" s="41"/>
      <c r="AX15" s="41"/>
      <c r="AY15" s="41"/>
      <c r="AZ15" s="41"/>
      <c r="BA15" s="41"/>
      <c r="BB15" s="41"/>
      <c r="BC15" s="41"/>
      <c r="BD15" s="41"/>
      <c r="BE15" s="41"/>
      <c r="BF15" s="41"/>
      <c r="BG15" s="41"/>
      <c r="BH15" s="41"/>
      <c r="BI15" s="41"/>
    </row>
    <row r="16" spans="1:61" ht="20">
      <c r="A16" s="39" t="str">
        <f t="shared" si="0"/>
        <v>Véhicules neufsTotal Neufs</v>
      </c>
      <c r="B16" s="45" t="s">
        <v>101</v>
      </c>
      <c r="C16" s="744">
        <v>672</v>
      </c>
      <c r="D16" s="745">
        <v>2252.8079166666603</v>
      </c>
      <c r="E16" s="746">
        <v>1513886.9199999957</v>
      </c>
      <c r="F16" s="744">
        <v>44</v>
      </c>
      <c r="G16" s="745">
        <v>2056.546818181816</v>
      </c>
      <c r="H16" s="746">
        <v>90488.05999999991</v>
      </c>
      <c r="I16" s="744">
        <v>71</v>
      </c>
      <c r="J16" s="745">
        <v>2372.1840845070406</v>
      </c>
      <c r="K16" s="746">
        <v>168425.06999999989</v>
      </c>
      <c r="L16" s="744">
        <v>70</v>
      </c>
      <c r="M16" s="745">
        <v>2902.3577142856984</v>
      </c>
      <c r="N16" s="746">
        <v>203165.0399999989</v>
      </c>
      <c r="O16" s="744">
        <v>69</v>
      </c>
      <c r="P16" s="745">
        <v>2713.7147826086939</v>
      </c>
      <c r="Q16" s="746">
        <v>187246.31999999989</v>
      </c>
      <c r="R16" s="744">
        <v>69</v>
      </c>
      <c r="S16" s="745">
        <v>2326.0121739130423</v>
      </c>
      <c r="T16" s="746">
        <v>160494.83999999991</v>
      </c>
      <c r="U16" s="744">
        <v>40</v>
      </c>
      <c r="V16" s="745">
        <v>2129.3667499999924</v>
      </c>
      <c r="W16" s="746">
        <v>85174.669999999693</v>
      </c>
      <c r="X16" s="744">
        <v>77</v>
      </c>
      <c r="Y16" s="745">
        <v>2170.3925974025833</v>
      </c>
      <c r="Z16" s="746">
        <v>167120.2299999989</v>
      </c>
      <c r="AA16" s="744">
        <v>81</v>
      </c>
      <c r="AB16" s="745">
        <v>2139.5227160493705</v>
      </c>
      <c r="AC16" s="746">
        <v>173301.33999999901</v>
      </c>
      <c r="AD16" s="744">
        <v>42</v>
      </c>
      <c r="AE16" s="745">
        <v>1912.6778571428547</v>
      </c>
      <c r="AF16" s="746">
        <v>80332.469999999899</v>
      </c>
      <c r="AG16" s="744">
        <v>44</v>
      </c>
      <c r="AH16" s="745">
        <v>1588.6440909090954</v>
      </c>
      <c r="AI16" s="746">
        <v>69900.3400000002</v>
      </c>
      <c r="AJ16" s="744">
        <v>35</v>
      </c>
      <c r="AK16" s="745">
        <v>2095.4297142857085</v>
      </c>
      <c r="AL16" s="746">
        <v>73340.039999999804</v>
      </c>
      <c r="AM16" s="744">
        <v>30</v>
      </c>
      <c r="AN16" s="745">
        <v>1829.9499999999996</v>
      </c>
      <c r="AO16" s="746">
        <v>54898.499999999985</v>
      </c>
      <c r="AP16" s="41"/>
      <c r="AQ16" s="41"/>
      <c r="AR16" s="41"/>
      <c r="AS16" s="41"/>
      <c r="AT16" s="41"/>
      <c r="AU16" s="41"/>
      <c r="AV16" s="41"/>
      <c r="AW16" s="41"/>
      <c r="AX16" s="41"/>
      <c r="AY16" s="41"/>
      <c r="AZ16" s="41"/>
      <c r="BA16" s="41"/>
      <c r="BB16" s="41"/>
      <c r="BC16" s="41"/>
      <c r="BD16" s="41"/>
      <c r="BE16" s="41"/>
      <c r="BF16" s="41"/>
      <c r="BG16" s="41"/>
      <c r="BH16" s="41"/>
      <c r="BI16" s="41"/>
    </row>
    <row r="17" spans="1:61" ht="20">
      <c r="A17" s="39" t="str">
        <f t="shared" si="0"/>
        <v>Véhicules neufs</v>
      </c>
      <c r="B17" s="44"/>
      <c r="C17" s="747"/>
      <c r="D17" s="740"/>
      <c r="E17" s="748"/>
      <c r="F17" s="747"/>
      <c r="G17" s="740"/>
      <c r="H17" s="748"/>
      <c r="I17" s="747"/>
      <c r="J17" s="740"/>
      <c r="K17" s="748"/>
      <c r="L17" s="747"/>
      <c r="M17" s="740"/>
      <c r="N17" s="748"/>
      <c r="O17" s="747"/>
      <c r="P17" s="740"/>
      <c r="Q17" s="748"/>
      <c r="R17" s="747"/>
      <c r="S17" s="740"/>
      <c r="T17" s="748"/>
      <c r="U17" s="747"/>
      <c r="V17" s="740"/>
      <c r="W17" s="748"/>
      <c r="X17" s="747"/>
      <c r="Y17" s="740"/>
      <c r="Z17" s="748"/>
      <c r="AA17" s="747"/>
      <c r="AB17" s="740"/>
      <c r="AC17" s="748"/>
      <c r="AD17" s="747"/>
      <c r="AE17" s="740"/>
      <c r="AF17" s="748"/>
      <c r="AG17" s="747"/>
      <c r="AH17" s="740"/>
      <c r="AI17" s="748"/>
      <c r="AJ17" s="747"/>
      <c r="AK17" s="740"/>
      <c r="AL17" s="748"/>
      <c r="AM17" s="747"/>
      <c r="AN17" s="740"/>
      <c r="AO17" s="748"/>
      <c r="AP17" s="41"/>
      <c r="AQ17" s="41"/>
      <c r="AR17" s="41"/>
      <c r="AS17" s="41"/>
      <c r="AT17" s="41"/>
      <c r="AU17" s="41"/>
      <c r="AV17" s="41"/>
      <c r="AW17" s="41"/>
      <c r="AX17" s="41"/>
      <c r="AY17" s="41"/>
      <c r="AZ17" s="41"/>
      <c r="BA17" s="41"/>
      <c r="BB17" s="41"/>
      <c r="BC17" s="41"/>
      <c r="BD17" s="41"/>
      <c r="BE17" s="41"/>
      <c r="BF17" s="41"/>
      <c r="BG17" s="41"/>
      <c r="BH17" s="41"/>
      <c r="BI17" s="41"/>
    </row>
    <row r="18" spans="1:61" ht="20">
      <c r="A18" s="39" t="str">
        <f t="shared" si="0"/>
        <v>Véhicules neufsEx-Démos et courtoisies</v>
      </c>
      <c r="B18" s="46" t="s">
        <v>102</v>
      </c>
      <c r="C18" s="749">
        <v>41</v>
      </c>
      <c r="D18" s="750">
        <v>1567.3936585365843</v>
      </c>
      <c r="E18" s="751">
        <v>64263.139999999956</v>
      </c>
      <c r="F18" s="752">
        <v>2</v>
      </c>
      <c r="G18" s="750">
        <v>2875.9850000000001</v>
      </c>
      <c r="H18" s="753">
        <v>5751.97</v>
      </c>
      <c r="I18" s="752">
        <v>2</v>
      </c>
      <c r="J18" s="750">
        <v>1741.325</v>
      </c>
      <c r="K18" s="753">
        <v>3482.65</v>
      </c>
      <c r="L18" s="752">
        <v>4</v>
      </c>
      <c r="M18" s="750">
        <v>590.48999999999751</v>
      </c>
      <c r="N18" s="753">
        <v>2361.95999999999</v>
      </c>
      <c r="O18" s="752">
        <v>4</v>
      </c>
      <c r="P18" s="750">
        <v>2264.375</v>
      </c>
      <c r="Q18" s="753">
        <v>9057.5</v>
      </c>
      <c r="R18" s="752">
        <v>5</v>
      </c>
      <c r="S18" s="750">
        <v>1165.5819999999999</v>
      </c>
      <c r="T18" s="753">
        <v>5827.91</v>
      </c>
      <c r="U18" s="752">
        <v>0</v>
      </c>
      <c r="V18" s="750">
        <v>0</v>
      </c>
      <c r="W18" s="753">
        <v>0</v>
      </c>
      <c r="X18" s="752">
        <v>3</v>
      </c>
      <c r="Y18" s="750">
        <v>913.28999999999667</v>
      </c>
      <c r="Z18" s="753">
        <v>2739.8699999999899</v>
      </c>
      <c r="AA18" s="752">
        <v>6</v>
      </c>
      <c r="AB18" s="750">
        <v>1521.5766666666698</v>
      </c>
      <c r="AC18" s="753">
        <v>9129.4600000000191</v>
      </c>
      <c r="AD18" s="752">
        <v>3</v>
      </c>
      <c r="AE18" s="750">
        <v>2567.5099999999966</v>
      </c>
      <c r="AF18" s="753">
        <v>7702.5299999999897</v>
      </c>
      <c r="AG18" s="752">
        <v>6</v>
      </c>
      <c r="AH18" s="750">
        <v>1038.88333333333</v>
      </c>
      <c r="AI18" s="753">
        <v>6233.2999999999802</v>
      </c>
      <c r="AJ18" s="752">
        <v>2</v>
      </c>
      <c r="AK18" s="750">
        <v>1396.229999999995</v>
      </c>
      <c r="AL18" s="753">
        <v>2792.45999999999</v>
      </c>
      <c r="AM18" s="752">
        <v>4</v>
      </c>
      <c r="AN18" s="750">
        <v>2295.8824999999974</v>
      </c>
      <c r="AO18" s="753">
        <v>9183.5299999999897</v>
      </c>
      <c r="AP18" s="41"/>
      <c r="AQ18" s="41"/>
      <c r="AR18" s="41"/>
      <c r="AS18" s="41"/>
      <c r="AT18" s="41"/>
      <c r="AU18" s="41"/>
      <c r="AV18" s="41"/>
      <c r="AW18" s="41"/>
      <c r="AX18" s="41"/>
      <c r="AY18" s="41"/>
      <c r="AZ18" s="41"/>
      <c r="BA18" s="41"/>
      <c r="BB18" s="41"/>
      <c r="BC18" s="41"/>
      <c r="BD18" s="41"/>
      <c r="BE18" s="41"/>
      <c r="BF18" s="41"/>
      <c r="BG18" s="41"/>
      <c r="BH18" s="41"/>
      <c r="BI18" s="41"/>
    </row>
    <row r="19" spans="1:61" ht="20">
      <c r="A19" s="39" t="str">
        <f t="shared" si="0"/>
        <v>Véhicules neufs</v>
      </c>
      <c r="B19" s="44"/>
      <c r="C19" s="747"/>
      <c r="D19" s="740"/>
      <c r="E19" s="748"/>
      <c r="F19" s="747"/>
      <c r="G19" s="740"/>
      <c r="H19" s="748"/>
      <c r="I19" s="747"/>
      <c r="J19" s="740"/>
      <c r="K19" s="748"/>
      <c r="L19" s="747"/>
      <c r="M19" s="740"/>
      <c r="N19" s="748"/>
      <c r="O19" s="747"/>
      <c r="P19" s="740"/>
      <c r="Q19" s="748"/>
      <c r="R19" s="747"/>
      <c r="S19" s="740"/>
      <c r="T19" s="748"/>
      <c r="U19" s="747"/>
      <c r="V19" s="740"/>
      <c r="W19" s="748"/>
      <c r="X19" s="747"/>
      <c r="Y19" s="740"/>
      <c r="Z19" s="748"/>
      <c r="AA19" s="747"/>
      <c r="AB19" s="740"/>
      <c r="AC19" s="748"/>
      <c r="AD19" s="747"/>
      <c r="AE19" s="740"/>
      <c r="AF19" s="748"/>
      <c r="AG19" s="747"/>
      <c r="AH19" s="740"/>
      <c r="AI19" s="748"/>
      <c r="AJ19" s="747"/>
      <c r="AK19" s="740"/>
      <c r="AL19" s="748"/>
      <c r="AM19" s="747"/>
      <c r="AN19" s="740"/>
      <c r="AO19" s="748"/>
      <c r="AP19" s="41"/>
      <c r="AQ19" s="41"/>
      <c r="AR19" s="41"/>
      <c r="AS19" s="41"/>
      <c r="AT19" s="41"/>
      <c r="AU19" s="41"/>
      <c r="AV19" s="41"/>
      <c r="AW19" s="41"/>
      <c r="AX19" s="41"/>
      <c r="AY19" s="41"/>
      <c r="AZ19" s="41"/>
      <c r="BA19" s="41"/>
      <c r="BB19" s="41"/>
      <c r="BC19" s="41"/>
      <c r="BD19" s="41"/>
      <c r="BE19" s="41"/>
      <c r="BF19" s="41"/>
      <c r="BG19" s="41"/>
      <c r="BH19" s="41"/>
      <c r="BI19" s="41"/>
    </row>
    <row r="20" spans="1:61" ht="20">
      <c r="A20" s="39" t="str">
        <f t="shared" si="0"/>
        <v>Véhicules neufsFlottes</v>
      </c>
      <c r="B20" s="47" t="s">
        <v>103</v>
      </c>
      <c r="C20" s="739">
        <v>20</v>
      </c>
      <c r="D20" s="740">
        <v>1710.9614999999981</v>
      </c>
      <c r="E20" s="741">
        <v>34219.22999999996</v>
      </c>
      <c r="F20" s="742">
        <v>0</v>
      </c>
      <c r="G20" s="740">
        <v>0</v>
      </c>
      <c r="H20" s="743">
        <v>0</v>
      </c>
      <c r="I20" s="742">
        <v>2</v>
      </c>
      <c r="J20" s="740">
        <v>1747.279999999995</v>
      </c>
      <c r="K20" s="743">
        <v>3494.5599999999899</v>
      </c>
      <c r="L20" s="742">
        <v>0</v>
      </c>
      <c r="M20" s="740">
        <v>0</v>
      </c>
      <c r="N20" s="743">
        <v>0</v>
      </c>
      <c r="O20" s="742">
        <v>0</v>
      </c>
      <c r="P20" s="740">
        <v>0</v>
      </c>
      <c r="Q20" s="743">
        <v>0</v>
      </c>
      <c r="R20" s="742">
        <v>0</v>
      </c>
      <c r="S20" s="740">
        <v>0</v>
      </c>
      <c r="T20" s="743">
        <v>0</v>
      </c>
      <c r="U20" s="742">
        <v>0</v>
      </c>
      <c r="V20" s="740">
        <v>0</v>
      </c>
      <c r="W20" s="743">
        <v>0</v>
      </c>
      <c r="X20" s="742">
        <v>5</v>
      </c>
      <c r="Y20" s="740">
        <v>2550.9160000000002</v>
      </c>
      <c r="Z20" s="743">
        <v>12754.58</v>
      </c>
      <c r="AA20" s="742">
        <v>1</v>
      </c>
      <c r="AB20" s="740">
        <v>1402.08</v>
      </c>
      <c r="AC20" s="743">
        <v>1402.08</v>
      </c>
      <c r="AD20" s="742">
        <v>1</v>
      </c>
      <c r="AE20" s="740">
        <v>4920.6399999999903</v>
      </c>
      <c r="AF20" s="743">
        <v>4920.6399999999903</v>
      </c>
      <c r="AG20" s="742">
        <v>2</v>
      </c>
      <c r="AH20" s="740">
        <v>383.47999999999553</v>
      </c>
      <c r="AI20" s="743">
        <v>766.95999999999106</v>
      </c>
      <c r="AJ20" s="742">
        <v>3</v>
      </c>
      <c r="AK20" s="740">
        <v>1478.87333333333</v>
      </c>
      <c r="AL20" s="743">
        <v>4436.6199999999899</v>
      </c>
      <c r="AM20" s="742">
        <v>6</v>
      </c>
      <c r="AN20" s="740">
        <v>1073.9649999999999</v>
      </c>
      <c r="AO20" s="743">
        <v>6443.79</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754"/>
      <c r="D21" s="755"/>
      <c r="E21" s="756"/>
      <c r="F21" s="754"/>
      <c r="G21" s="755"/>
      <c r="H21" s="756"/>
      <c r="I21" s="754"/>
      <c r="J21" s="755"/>
      <c r="K21" s="756"/>
      <c r="L21" s="754"/>
      <c r="M21" s="755"/>
      <c r="N21" s="756"/>
      <c r="O21" s="754"/>
      <c r="P21" s="755"/>
      <c r="Q21" s="756"/>
      <c r="R21" s="754"/>
      <c r="S21" s="755"/>
      <c r="T21" s="756"/>
      <c r="U21" s="754"/>
      <c r="V21" s="755"/>
      <c r="W21" s="756"/>
      <c r="X21" s="754"/>
      <c r="Y21" s="755"/>
      <c r="Z21" s="756"/>
      <c r="AA21" s="754"/>
      <c r="AB21" s="755"/>
      <c r="AC21" s="756"/>
      <c r="AD21" s="754"/>
      <c r="AE21" s="755"/>
      <c r="AF21" s="756"/>
      <c r="AG21" s="754"/>
      <c r="AH21" s="755"/>
      <c r="AI21" s="756"/>
      <c r="AJ21" s="754"/>
      <c r="AK21" s="755"/>
      <c r="AL21" s="756"/>
      <c r="AM21" s="754"/>
      <c r="AN21" s="755"/>
      <c r="AO21" s="756"/>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104</v>
      </c>
      <c r="C22" s="739"/>
      <c r="D22" s="740"/>
      <c r="E22" s="741">
        <v>91424.37</v>
      </c>
      <c r="F22" s="739"/>
      <c r="G22" s="740"/>
      <c r="H22" s="743">
        <v>5000</v>
      </c>
      <c r="I22" s="739"/>
      <c r="J22" s="740"/>
      <c r="K22" s="743">
        <v>4000</v>
      </c>
      <c r="L22" s="739"/>
      <c r="M22" s="740"/>
      <c r="N22" s="743">
        <v>7500</v>
      </c>
      <c r="O22" s="739"/>
      <c r="P22" s="740"/>
      <c r="Q22" s="743">
        <v>6030.3699999999899</v>
      </c>
      <c r="R22" s="739"/>
      <c r="S22" s="740"/>
      <c r="T22" s="743">
        <v>9930</v>
      </c>
      <c r="U22" s="739"/>
      <c r="V22" s="740"/>
      <c r="W22" s="743">
        <v>6100</v>
      </c>
      <c r="X22" s="739"/>
      <c r="Y22" s="740"/>
      <c r="Z22" s="743">
        <v>10000</v>
      </c>
      <c r="AA22" s="739"/>
      <c r="AB22" s="740"/>
      <c r="AC22" s="743">
        <v>4315</v>
      </c>
      <c r="AD22" s="739"/>
      <c r="AE22" s="740"/>
      <c r="AF22" s="743">
        <v>14800</v>
      </c>
      <c r="AG22" s="739"/>
      <c r="AH22" s="740"/>
      <c r="AI22" s="743">
        <v>10100</v>
      </c>
      <c r="AJ22" s="739"/>
      <c r="AK22" s="740"/>
      <c r="AL22" s="743">
        <v>7700</v>
      </c>
      <c r="AM22" s="739"/>
      <c r="AN22" s="740"/>
      <c r="AO22" s="743">
        <v>5949</v>
      </c>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754"/>
      <c r="D23" s="755"/>
      <c r="E23" s="756"/>
      <c r="F23" s="754"/>
      <c r="G23" s="755"/>
      <c r="H23" s="756"/>
      <c r="I23" s="754"/>
      <c r="J23" s="755"/>
      <c r="K23" s="756"/>
      <c r="L23" s="754"/>
      <c r="M23" s="755"/>
      <c r="N23" s="756"/>
      <c r="O23" s="754"/>
      <c r="P23" s="755"/>
      <c r="Q23" s="756"/>
      <c r="R23" s="754"/>
      <c r="S23" s="755"/>
      <c r="T23" s="756"/>
      <c r="U23" s="754"/>
      <c r="V23" s="755"/>
      <c r="W23" s="756"/>
      <c r="X23" s="754"/>
      <c r="Y23" s="755"/>
      <c r="Z23" s="756"/>
      <c r="AA23" s="754"/>
      <c r="AB23" s="755"/>
      <c r="AC23" s="756"/>
      <c r="AD23" s="754"/>
      <c r="AE23" s="755"/>
      <c r="AF23" s="756"/>
      <c r="AG23" s="754"/>
      <c r="AH23" s="755"/>
      <c r="AI23" s="756"/>
      <c r="AJ23" s="754"/>
      <c r="AK23" s="755"/>
      <c r="AL23" s="756"/>
      <c r="AM23" s="754"/>
      <c r="AN23" s="755"/>
      <c r="AO23" s="756"/>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105</v>
      </c>
      <c r="C24" s="739"/>
      <c r="D24" s="740">
        <v>15.171051893408135</v>
      </c>
      <c r="E24" s="741">
        <v>10816.960000000001</v>
      </c>
      <c r="F24" s="742"/>
      <c r="G24" s="740">
        <v>6.5217391304347823</v>
      </c>
      <c r="H24" s="743">
        <v>300</v>
      </c>
      <c r="I24" s="742"/>
      <c r="J24" s="740">
        <v>115.453698630137</v>
      </c>
      <c r="K24" s="743">
        <v>8428.1200000000008</v>
      </c>
      <c r="L24" s="742"/>
      <c r="M24" s="740">
        <v>0</v>
      </c>
      <c r="N24" s="743">
        <v>0</v>
      </c>
      <c r="O24" s="742"/>
      <c r="P24" s="740">
        <v>0</v>
      </c>
      <c r="Q24" s="743">
        <v>0</v>
      </c>
      <c r="R24" s="742"/>
      <c r="S24" s="740">
        <v>10.810810810810811</v>
      </c>
      <c r="T24" s="743">
        <v>800</v>
      </c>
      <c r="U24" s="742"/>
      <c r="V24" s="740">
        <v>0</v>
      </c>
      <c r="W24" s="743">
        <v>0</v>
      </c>
      <c r="X24" s="742"/>
      <c r="Y24" s="740">
        <v>0</v>
      </c>
      <c r="Z24" s="743">
        <v>0</v>
      </c>
      <c r="AA24" s="742"/>
      <c r="AB24" s="740">
        <v>0</v>
      </c>
      <c r="AC24" s="743">
        <v>0</v>
      </c>
      <c r="AD24" s="742"/>
      <c r="AE24" s="740">
        <v>0</v>
      </c>
      <c r="AF24" s="743">
        <v>0</v>
      </c>
      <c r="AG24" s="742"/>
      <c r="AH24" s="740">
        <v>0</v>
      </c>
      <c r="AI24" s="743">
        <v>0</v>
      </c>
      <c r="AJ24" s="742"/>
      <c r="AK24" s="740">
        <v>0</v>
      </c>
      <c r="AL24" s="743">
        <v>0</v>
      </c>
      <c r="AM24" s="742"/>
      <c r="AN24" s="740">
        <v>37.907058823529411</v>
      </c>
      <c r="AO24" s="743">
        <v>1288.8399999999999</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106</v>
      </c>
      <c r="C25" s="739"/>
      <c r="D25" s="740">
        <v>882.44753155680223</v>
      </c>
      <c r="E25" s="741">
        <v>629185.09</v>
      </c>
      <c r="F25" s="742"/>
      <c r="G25" s="740">
        <v>883.63217391304352</v>
      </c>
      <c r="H25" s="743">
        <v>40647.08</v>
      </c>
      <c r="I25" s="742"/>
      <c r="J25" s="740">
        <v>899.34424657534248</v>
      </c>
      <c r="K25" s="743">
        <v>65652.13</v>
      </c>
      <c r="L25" s="742"/>
      <c r="M25" s="740">
        <v>926.11297297297301</v>
      </c>
      <c r="N25" s="743">
        <v>68532.36</v>
      </c>
      <c r="O25" s="742"/>
      <c r="P25" s="740">
        <v>765.92219178082189</v>
      </c>
      <c r="Q25" s="743">
        <v>55912.32</v>
      </c>
      <c r="R25" s="742"/>
      <c r="S25" s="740">
        <v>791.51256756756754</v>
      </c>
      <c r="T25" s="743">
        <v>58571.93</v>
      </c>
      <c r="U25" s="742"/>
      <c r="V25" s="740">
        <v>775.005</v>
      </c>
      <c r="W25" s="743">
        <v>31000.2</v>
      </c>
      <c r="X25" s="742"/>
      <c r="Y25" s="740">
        <v>762.33600000000001</v>
      </c>
      <c r="Z25" s="743">
        <v>60986.879999999997</v>
      </c>
      <c r="AA25" s="742"/>
      <c r="AB25" s="740">
        <v>880.2113793103448</v>
      </c>
      <c r="AC25" s="743">
        <v>76578.39</v>
      </c>
      <c r="AD25" s="742"/>
      <c r="AE25" s="740">
        <v>1020.2339999999999</v>
      </c>
      <c r="AF25" s="743">
        <v>45910.53</v>
      </c>
      <c r="AG25" s="742"/>
      <c r="AH25" s="740">
        <v>844.52660000000003</v>
      </c>
      <c r="AI25" s="743">
        <v>42226.33</v>
      </c>
      <c r="AJ25" s="742"/>
      <c r="AK25" s="740">
        <v>1044.0162162162162</v>
      </c>
      <c r="AL25" s="743">
        <v>38628.6</v>
      </c>
      <c r="AM25" s="742"/>
      <c r="AN25" s="740">
        <v>1309.9511764705881</v>
      </c>
      <c r="AO25" s="743">
        <v>44538.34</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107</v>
      </c>
      <c r="C26" s="739"/>
      <c r="D26" s="740">
        <v>10.581304347826086</v>
      </c>
      <c r="E26" s="741">
        <v>7544.4699999999993</v>
      </c>
      <c r="F26" s="742"/>
      <c r="G26" s="740">
        <v>0</v>
      </c>
      <c r="H26" s="743">
        <v>0</v>
      </c>
      <c r="I26" s="742"/>
      <c r="J26" s="740">
        <v>0</v>
      </c>
      <c r="K26" s="743">
        <v>0</v>
      </c>
      <c r="L26" s="742"/>
      <c r="M26" s="740">
        <v>0</v>
      </c>
      <c r="N26" s="743">
        <v>0</v>
      </c>
      <c r="O26" s="742"/>
      <c r="P26" s="740">
        <v>18.605890410958903</v>
      </c>
      <c r="Q26" s="743">
        <v>1358.23</v>
      </c>
      <c r="R26" s="742"/>
      <c r="S26" s="740">
        <v>0</v>
      </c>
      <c r="T26" s="743">
        <v>0</v>
      </c>
      <c r="U26" s="742"/>
      <c r="V26" s="740">
        <v>67.474999999999994</v>
      </c>
      <c r="W26" s="743">
        <v>2699</v>
      </c>
      <c r="X26" s="742"/>
      <c r="Y26" s="740">
        <v>7.1227500000000008</v>
      </c>
      <c r="Z26" s="743">
        <v>569.82000000000005</v>
      </c>
      <c r="AA26" s="742"/>
      <c r="AB26" s="740">
        <v>0</v>
      </c>
      <c r="AC26" s="743">
        <v>0</v>
      </c>
      <c r="AD26" s="742"/>
      <c r="AE26" s="740">
        <v>36.18311111111111</v>
      </c>
      <c r="AF26" s="743">
        <v>1628.24</v>
      </c>
      <c r="AG26" s="742"/>
      <c r="AH26" s="740">
        <v>12.8804</v>
      </c>
      <c r="AI26" s="743">
        <v>644.02</v>
      </c>
      <c r="AJ26" s="742"/>
      <c r="AK26" s="740">
        <v>17.436756756756758</v>
      </c>
      <c r="AL26" s="743">
        <v>645.16</v>
      </c>
      <c r="AM26" s="742"/>
      <c r="AN26" s="740">
        <v>0</v>
      </c>
      <c r="AO26" s="743">
        <v>0</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108</v>
      </c>
      <c r="C27" s="744">
        <v>713</v>
      </c>
      <c r="D27" s="745">
        <v>908.19988779803634</v>
      </c>
      <c r="E27" s="746">
        <v>647546.5199999999</v>
      </c>
      <c r="F27" s="744">
        <v>46</v>
      </c>
      <c r="G27" s="745">
        <v>890.15391304347827</v>
      </c>
      <c r="H27" s="746">
        <v>40947.08</v>
      </c>
      <c r="I27" s="744">
        <v>73</v>
      </c>
      <c r="J27" s="745">
        <v>1014.7979452054794</v>
      </c>
      <c r="K27" s="746">
        <v>74080.25</v>
      </c>
      <c r="L27" s="744">
        <v>74</v>
      </c>
      <c r="M27" s="745">
        <v>926.11297297297301</v>
      </c>
      <c r="N27" s="746">
        <v>68532.36</v>
      </c>
      <c r="O27" s="744">
        <v>73</v>
      </c>
      <c r="P27" s="745">
        <v>784.52808219178087</v>
      </c>
      <c r="Q27" s="746">
        <v>57270.55</v>
      </c>
      <c r="R27" s="744">
        <v>74</v>
      </c>
      <c r="S27" s="745">
        <v>802.32337837837838</v>
      </c>
      <c r="T27" s="746">
        <v>59371.93</v>
      </c>
      <c r="U27" s="744">
        <v>40</v>
      </c>
      <c r="V27" s="745">
        <v>842.4799999999999</v>
      </c>
      <c r="W27" s="746">
        <v>33699.199999999997</v>
      </c>
      <c r="X27" s="744">
        <v>80</v>
      </c>
      <c r="Y27" s="745">
        <v>769.45875000000001</v>
      </c>
      <c r="Z27" s="746">
        <v>61556.7</v>
      </c>
      <c r="AA27" s="744">
        <v>87</v>
      </c>
      <c r="AB27" s="745">
        <v>880.2113793103448</v>
      </c>
      <c r="AC27" s="746">
        <v>76578.39</v>
      </c>
      <c r="AD27" s="744">
        <v>45</v>
      </c>
      <c r="AE27" s="745">
        <v>1056.4171111111111</v>
      </c>
      <c r="AF27" s="746">
        <v>47538.77</v>
      </c>
      <c r="AG27" s="744">
        <v>50</v>
      </c>
      <c r="AH27" s="745">
        <v>857.40699999999993</v>
      </c>
      <c r="AI27" s="746">
        <v>42870.35</v>
      </c>
      <c r="AJ27" s="744">
        <v>37</v>
      </c>
      <c r="AK27" s="745">
        <v>1061.4529729729729</v>
      </c>
      <c r="AL27" s="746">
        <v>39273.760000000002</v>
      </c>
      <c r="AM27" s="744">
        <v>34</v>
      </c>
      <c r="AN27" s="745">
        <v>1347.8582352941175</v>
      </c>
      <c r="AO27" s="746">
        <v>45827.179999999993</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747"/>
      <c r="D28" s="757"/>
      <c r="E28" s="758"/>
      <c r="F28" s="747"/>
      <c r="G28" s="757"/>
      <c r="H28" s="758"/>
      <c r="I28" s="747"/>
      <c r="J28" s="757"/>
      <c r="K28" s="758"/>
      <c r="L28" s="747"/>
      <c r="M28" s="757"/>
      <c r="N28" s="758"/>
      <c r="O28" s="747"/>
      <c r="P28" s="757"/>
      <c r="Q28" s="758"/>
      <c r="R28" s="747"/>
      <c r="S28" s="757"/>
      <c r="T28" s="758"/>
      <c r="U28" s="747"/>
      <c r="V28" s="757"/>
      <c r="W28" s="758"/>
      <c r="X28" s="747"/>
      <c r="Y28" s="757"/>
      <c r="Z28" s="758"/>
      <c r="AA28" s="747"/>
      <c r="AB28" s="757"/>
      <c r="AC28" s="758"/>
      <c r="AD28" s="747"/>
      <c r="AE28" s="757"/>
      <c r="AF28" s="758"/>
      <c r="AG28" s="747"/>
      <c r="AH28" s="757"/>
      <c r="AI28" s="758"/>
      <c r="AJ28" s="747"/>
      <c r="AK28" s="757"/>
      <c r="AL28" s="758"/>
      <c r="AM28" s="747"/>
      <c r="AN28" s="757"/>
      <c r="AO28" s="758"/>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thickBot="1">
      <c r="A29" s="39" t="str">
        <f t="shared" si="0"/>
        <v>Véhicules neufs</v>
      </c>
      <c r="B29" s="44"/>
      <c r="C29" s="747"/>
      <c r="D29" s="757"/>
      <c r="E29" s="748"/>
      <c r="F29" s="747"/>
      <c r="G29" s="757"/>
      <c r="H29" s="748"/>
      <c r="I29" s="747"/>
      <c r="J29" s="757"/>
      <c r="K29" s="748"/>
      <c r="L29" s="747"/>
      <c r="M29" s="757"/>
      <c r="N29" s="748"/>
      <c r="O29" s="747"/>
      <c r="P29" s="757"/>
      <c r="Q29" s="748"/>
      <c r="R29" s="747"/>
      <c r="S29" s="757"/>
      <c r="T29" s="748"/>
      <c r="U29" s="747"/>
      <c r="V29" s="757"/>
      <c r="W29" s="748"/>
      <c r="X29" s="747"/>
      <c r="Y29" s="757"/>
      <c r="Z29" s="748"/>
      <c r="AA29" s="747"/>
      <c r="AB29" s="757"/>
      <c r="AC29" s="748"/>
      <c r="AD29" s="747"/>
      <c r="AE29" s="757"/>
      <c r="AF29" s="748"/>
      <c r="AG29" s="747"/>
      <c r="AH29" s="757"/>
      <c r="AI29" s="748"/>
      <c r="AJ29" s="747"/>
      <c r="AK29" s="757"/>
      <c r="AL29" s="748"/>
      <c r="AM29" s="747"/>
      <c r="AN29" s="757"/>
      <c r="AO29" s="748"/>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thickTop="1">
      <c r="A30" s="39" t="str">
        <f t="shared" si="0"/>
        <v>Véhicules neufsTotal Dépt. Neufs</v>
      </c>
      <c r="B30" s="49" t="s">
        <v>109</v>
      </c>
      <c r="C30" s="759">
        <v>733</v>
      </c>
      <c r="D30" s="760">
        <v>3207.8310777626139</v>
      </c>
      <c r="E30" s="761">
        <v>2351340.179999996</v>
      </c>
      <c r="F30" s="759">
        <v>46</v>
      </c>
      <c r="G30" s="760">
        <v>3091.0241304347805</v>
      </c>
      <c r="H30" s="761">
        <v>142187.1099999999</v>
      </c>
      <c r="I30" s="759">
        <v>75</v>
      </c>
      <c r="J30" s="760">
        <v>3379.767066666665</v>
      </c>
      <c r="K30" s="761">
        <v>253482.52999999988</v>
      </c>
      <c r="L30" s="759">
        <v>74</v>
      </c>
      <c r="M30" s="760">
        <v>3804.8562162162011</v>
      </c>
      <c r="N30" s="761">
        <v>281559.35999999888</v>
      </c>
      <c r="O30" s="759">
        <v>73</v>
      </c>
      <c r="P30" s="760">
        <v>3556.2293150684914</v>
      </c>
      <c r="Q30" s="761">
        <v>259604.73999999987</v>
      </c>
      <c r="R30" s="759">
        <v>74</v>
      </c>
      <c r="S30" s="760">
        <v>3184.1172972972959</v>
      </c>
      <c r="T30" s="761">
        <v>235624.67999999991</v>
      </c>
      <c r="U30" s="759">
        <v>40</v>
      </c>
      <c r="V30" s="760">
        <v>3124.3467499999924</v>
      </c>
      <c r="W30" s="761">
        <v>124973.86999999969</v>
      </c>
      <c r="X30" s="759">
        <v>85</v>
      </c>
      <c r="Y30" s="760">
        <v>2990.2515294117516</v>
      </c>
      <c r="Z30" s="761">
        <v>254171.3799999989</v>
      </c>
      <c r="AA30" s="759">
        <v>88</v>
      </c>
      <c r="AB30" s="760">
        <v>3008.2530681818071</v>
      </c>
      <c r="AC30" s="761">
        <v>264726.26999999903</v>
      </c>
      <c r="AD30" s="759">
        <v>46</v>
      </c>
      <c r="AE30" s="760">
        <v>3375.9654347826063</v>
      </c>
      <c r="AF30" s="761">
        <v>155294.40999999989</v>
      </c>
      <c r="AG30" s="759">
        <v>52</v>
      </c>
      <c r="AH30" s="760">
        <v>2497.5182692307726</v>
      </c>
      <c r="AI30" s="761">
        <v>129870.95000000017</v>
      </c>
      <c r="AJ30" s="759">
        <v>40</v>
      </c>
      <c r="AK30" s="760">
        <v>3188.5719999999951</v>
      </c>
      <c r="AL30" s="761">
        <v>127542.8799999998</v>
      </c>
      <c r="AM30" s="759">
        <v>40</v>
      </c>
      <c r="AN30" s="760">
        <v>3057.5499999999988</v>
      </c>
      <c r="AO30" s="761">
        <v>122301.99999999996</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thickBot="1">
      <c r="A31" s="39" t="str">
        <f t="shared" si="0"/>
        <v>Véhicules neufs</v>
      </c>
      <c r="B31" s="50"/>
      <c r="C31" s="762"/>
      <c r="D31" s="763"/>
      <c r="E31" s="764"/>
      <c r="F31" s="762"/>
      <c r="G31" s="763"/>
      <c r="H31" s="764"/>
      <c r="I31" s="762"/>
      <c r="J31" s="763"/>
      <c r="K31" s="764"/>
      <c r="L31" s="762"/>
      <c r="M31" s="763"/>
      <c r="N31" s="764"/>
      <c r="O31" s="762"/>
      <c r="P31" s="763"/>
      <c r="Q31" s="764"/>
      <c r="R31" s="762"/>
      <c r="S31" s="763"/>
      <c r="T31" s="764"/>
      <c r="U31" s="762"/>
      <c r="V31" s="763"/>
      <c r="W31" s="764"/>
      <c r="X31" s="762"/>
      <c r="Y31" s="763"/>
      <c r="Z31" s="764"/>
      <c r="AA31" s="762"/>
      <c r="AB31" s="763"/>
      <c r="AC31" s="764"/>
      <c r="AD31" s="762"/>
      <c r="AE31" s="763"/>
      <c r="AF31" s="764"/>
      <c r="AG31" s="762"/>
      <c r="AH31" s="763"/>
      <c r="AI31" s="764"/>
      <c r="AJ31" s="762"/>
      <c r="AK31" s="763"/>
      <c r="AL31" s="764"/>
      <c r="AM31" s="762"/>
      <c r="AN31" s="763"/>
      <c r="AO31" s="764"/>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thickTop="1">
      <c r="A32" s="39" t="str">
        <f t="shared" si="0"/>
        <v>Véhicules neufs</v>
      </c>
      <c r="B32" s="47"/>
      <c r="C32" s="765"/>
      <c r="D32" s="766"/>
      <c r="E32" s="767"/>
      <c r="F32" s="765"/>
      <c r="G32" s="766"/>
      <c r="H32" s="767"/>
      <c r="I32" s="765"/>
      <c r="J32" s="766"/>
      <c r="K32" s="767"/>
      <c r="L32" s="765"/>
      <c r="M32" s="766"/>
      <c r="N32" s="767"/>
      <c r="O32" s="765"/>
      <c r="P32" s="766"/>
      <c r="Q32" s="767"/>
      <c r="R32" s="765"/>
      <c r="S32" s="766"/>
      <c r="T32" s="767"/>
      <c r="U32" s="765"/>
      <c r="V32" s="766"/>
      <c r="W32" s="767"/>
      <c r="X32" s="765"/>
      <c r="Y32" s="766"/>
      <c r="Z32" s="767"/>
      <c r="AA32" s="765"/>
      <c r="AB32" s="766"/>
      <c r="AC32" s="767"/>
      <c r="AD32" s="765"/>
      <c r="AE32" s="766"/>
      <c r="AF32" s="767"/>
      <c r="AG32" s="765"/>
      <c r="AH32" s="766"/>
      <c r="AI32" s="767"/>
      <c r="AJ32" s="765"/>
      <c r="AK32" s="766"/>
      <c r="AL32" s="767"/>
      <c r="AM32" s="765"/>
      <c r="AN32" s="766"/>
      <c r="AO32" s="767"/>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110</v>
      </c>
      <c r="C33" s="747"/>
      <c r="D33" s="768"/>
      <c r="E33" s="748"/>
      <c r="F33" s="747"/>
      <c r="G33" s="768"/>
      <c r="H33" s="748"/>
      <c r="I33" s="747"/>
      <c r="J33" s="768"/>
      <c r="K33" s="748"/>
      <c r="L33" s="747"/>
      <c r="M33" s="768"/>
      <c r="N33" s="748"/>
      <c r="O33" s="747"/>
      <c r="P33" s="768"/>
      <c r="Q33" s="748"/>
      <c r="R33" s="747"/>
      <c r="S33" s="768"/>
      <c r="T33" s="748"/>
      <c r="U33" s="747"/>
      <c r="V33" s="768"/>
      <c r="W33" s="748"/>
      <c r="X33" s="747"/>
      <c r="Y33" s="768"/>
      <c r="Z33" s="748"/>
      <c r="AA33" s="747"/>
      <c r="AB33" s="768"/>
      <c r="AC33" s="748"/>
      <c r="AD33" s="747"/>
      <c r="AE33" s="768"/>
      <c r="AF33" s="748"/>
      <c r="AG33" s="747"/>
      <c r="AH33" s="768"/>
      <c r="AI33" s="748"/>
      <c r="AJ33" s="747"/>
      <c r="AK33" s="768"/>
      <c r="AL33" s="748"/>
      <c r="AM33" s="747"/>
      <c r="AN33" s="768"/>
      <c r="AO33" s="748"/>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111</v>
      </c>
      <c r="C34" s="769">
        <v>0.3042858801399414</v>
      </c>
      <c r="D34" s="770">
        <v>673.50460028050497</v>
      </c>
      <c r="E34" s="758">
        <v>480208.78</v>
      </c>
      <c r="F34" s="769">
        <v>0.35900508343565601</v>
      </c>
      <c r="G34" s="770">
        <v>751.10130434782616</v>
      </c>
      <c r="H34" s="771">
        <v>34550.660000000003</v>
      </c>
      <c r="I34" s="769">
        <v>0.27013795541003066</v>
      </c>
      <c r="J34" s="770">
        <v>636.14794520547946</v>
      </c>
      <c r="K34" s="771">
        <v>46438.8</v>
      </c>
      <c r="L34" s="769">
        <v>0.3078577023943343</v>
      </c>
      <c r="M34" s="770">
        <v>855.04148648648652</v>
      </c>
      <c r="N34" s="771">
        <v>63273.07</v>
      </c>
      <c r="O34" s="769">
        <v>0.24820204721436409</v>
      </c>
      <c r="P34" s="770">
        <v>667.43849315068496</v>
      </c>
      <c r="Q34" s="771">
        <v>48723.01</v>
      </c>
      <c r="R34" s="769">
        <v>0.21053998926785431</v>
      </c>
      <c r="S34" s="770">
        <v>473.21067567567565</v>
      </c>
      <c r="T34" s="771">
        <v>35017.589999999997</v>
      </c>
      <c r="U34" s="769">
        <v>0.30022752069365333</v>
      </c>
      <c r="V34" s="770">
        <v>639.29449999999997</v>
      </c>
      <c r="W34" s="771">
        <v>25571.78</v>
      </c>
      <c r="X34" s="769">
        <v>0.33547024875176906</v>
      </c>
      <c r="Y34" s="770">
        <v>712.28762500000005</v>
      </c>
      <c r="Z34" s="771">
        <v>56983.01</v>
      </c>
      <c r="AA34" s="769">
        <v>0.34952376462746609</v>
      </c>
      <c r="AB34" s="770">
        <v>732.91839080459772</v>
      </c>
      <c r="AC34" s="771">
        <v>63763.9</v>
      </c>
      <c r="AD34" s="769">
        <v>0.34726233884250629</v>
      </c>
      <c r="AE34" s="770">
        <v>679.36088888888889</v>
      </c>
      <c r="AF34" s="771">
        <v>30571.24</v>
      </c>
      <c r="AG34" s="769">
        <v>0.36906116665379374</v>
      </c>
      <c r="AH34" s="770">
        <v>561.95940000000007</v>
      </c>
      <c r="AI34" s="771">
        <v>28097.97</v>
      </c>
      <c r="AJ34" s="769">
        <v>0.31392099300561604</v>
      </c>
      <c r="AK34" s="770">
        <v>645.93486486486483</v>
      </c>
      <c r="AL34" s="771">
        <v>23899.59</v>
      </c>
      <c r="AM34" s="769">
        <v>0.36387985836278919</v>
      </c>
      <c r="AN34" s="770">
        <v>685.82823529411769</v>
      </c>
      <c r="AO34" s="771">
        <v>23318.16</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112</v>
      </c>
      <c r="C35" s="772">
        <v>0.27412175730633226</v>
      </c>
      <c r="D35" s="773">
        <v>248.95734922861149</v>
      </c>
      <c r="E35" s="774">
        <v>177506.59</v>
      </c>
      <c r="F35" s="772">
        <v>0.29998817986532861</v>
      </c>
      <c r="G35" s="773">
        <v>267.03565217391304</v>
      </c>
      <c r="H35" s="775">
        <v>12283.64</v>
      </c>
      <c r="I35" s="772">
        <v>0.30043054660317697</v>
      </c>
      <c r="J35" s="773">
        <v>304.87630136986303</v>
      </c>
      <c r="K35" s="775">
        <v>22255.97</v>
      </c>
      <c r="L35" s="772">
        <v>0.29634423796291265</v>
      </c>
      <c r="M35" s="773">
        <v>274.44824324324321</v>
      </c>
      <c r="N35" s="775">
        <v>20309.169999999998</v>
      </c>
      <c r="O35" s="772">
        <v>0.29711867617824522</v>
      </c>
      <c r="P35" s="773">
        <v>233.09794520547948</v>
      </c>
      <c r="Q35" s="775">
        <v>17016.150000000001</v>
      </c>
      <c r="R35" s="772">
        <v>0.29999833254536273</v>
      </c>
      <c r="S35" s="773">
        <v>240.69567567567566</v>
      </c>
      <c r="T35" s="775">
        <v>17811.48</v>
      </c>
      <c r="U35" s="772">
        <v>3.262985471465198E-3</v>
      </c>
      <c r="V35" s="773">
        <v>2.7489999999999997</v>
      </c>
      <c r="W35" s="775">
        <v>109.96</v>
      </c>
      <c r="X35" s="772">
        <v>0.26999709211182538</v>
      </c>
      <c r="Y35" s="773">
        <v>207.75162500000002</v>
      </c>
      <c r="Z35" s="775">
        <v>16620.13</v>
      </c>
      <c r="AA35" s="772">
        <v>0.26932885374059184</v>
      </c>
      <c r="AB35" s="773">
        <v>237.06632183908047</v>
      </c>
      <c r="AC35" s="775">
        <v>20624.77</v>
      </c>
      <c r="AD35" s="772">
        <v>0.29777379599850817</v>
      </c>
      <c r="AE35" s="773">
        <v>314.57333333333332</v>
      </c>
      <c r="AF35" s="775">
        <v>14155.8</v>
      </c>
      <c r="AG35" s="772">
        <v>0.26999336371174948</v>
      </c>
      <c r="AH35" s="773">
        <v>231.49419999999998</v>
      </c>
      <c r="AI35" s="775">
        <v>11574.71</v>
      </c>
      <c r="AJ35" s="772">
        <v>0.27998974378821889</v>
      </c>
      <c r="AK35" s="773">
        <v>297.19594594594594</v>
      </c>
      <c r="AL35" s="775">
        <v>10996.25</v>
      </c>
      <c r="AM35" s="772">
        <v>0.30000885937122906</v>
      </c>
      <c r="AN35" s="773">
        <v>404.36941176470589</v>
      </c>
      <c r="AO35" s="775">
        <v>13748.56</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113</v>
      </c>
      <c r="C36" s="747"/>
      <c r="D36" s="770">
        <v>122.99883590462835</v>
      </c>
      <c r="E36" s="758">
        <v>87698.170000000013</v>
      </c>
      <c r="F36" s="747"/>
      <c r="G36" s="770">
        <v>164.26630434782609</v>
      </c>
      <c r="H36" s="771">
        <v>7556.25</v>
      </c>
      <c r="I36" s="747"/>
      <c r="J36" s="770">
        <v>117.11219178082193</v>
      </c>
      <c r="K36" s="771">
        <v>8549.19</v>
      </c>
      <c r="L36" s="747"/>
      <c r="M36" s="770">
        <v>115.96513513513514</v>
      </c>
      <c r="N36" s="771">
        <v>8581.42</v>
      </c>
      <c r="O36" s="747"/>
      <c r="P36" s="770">
        <v>51.421369863013702</v>
      </c>
      <c r="Q36" s="771">
        <v>3753.76</v>
      </c>
      <c r="R36" s="747"/>
      <c r="S36" s="770">
        <v>153.52486486486487</v>
      </c>
      <c r="T36" s="771">
        <v>11360.84</v>
      </c>
      <c r="U36" s="747"/>
      <c r="V36" s="770">
        <v>130.5265</v>
      </c>
      <c r="W36" s="771">
        <v>5221.0600000000004</v>
      </c>
      <c r="X36" s="747"/>
      <c r="Y36" s="770">
        <v>95.092999999999989</v>
      </c>
      <c r="Z36" s="771">
        <v>7607.44</v>
      </c>
      <c r="AA36" s="747"/>
      <c r="AB36" s="770">
        <v>120.29333333333334</v>
      </c>
      <c r="AC36" s="771">
        <v>10465.52</v>
      </c>
      <c r="AD36" s="747"/>
      <c r="AE36" s="770">
        <v>123.12511111111111</v>
      </c>
      <c r="AF36" s="771">
        <v>5540.63</v>
      </c>
      <c r="AG36" s="747"/>
      <c r="AH36" s="770">
        <v>156.3466</v>
      </c>
      <c r="AI36" s="771">
        <v>7817.33</v>
      </c>
      <c r="AJ36" s="747"/>
      <c r="AK36" s="770">
        <v>233.92756756756756</v>
      </c>
      <c r="AL36" s="771">
        <v>8655.32</v>
      </c>
      <c r="AM36" s="747"/>
      <c r="AN36" s="770">
        <v>76.159117647058821</v>
      </c>
      <c r="AO36" s="771">
        <v>2589.41</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114</v>
      </c>
      <c r="C37" s="747"/>
      <c r="D37" s="770">
        <v>21.524347826086956</v>
      </c>
      <c r="E37" s="758">
        <v>15346.86</v>
      </c>
      <c r="F37" s="747"/>
      <c r="G37" s="770">
        <v>8.37695652173913</v>
      </c>
      <c r="H37" s="771">
        <v>385.34</v>
      </c>
      <c r="I37" s="747"/>
      <c r="J37" s="770">
        <v>17.555205479452056</v>
      </c>
      <c r="K37" s="771">
        <v>1281.53</v>
      </c>
      <c r="L37" s="747"/>
      <c r="M37" s="770">
        <v>4.4041891891891893</v>
      </c>
      <c r="N37" s="771">
        <v>325.91000000000003</v>
      </c>
      <c r="O37" s="747"/>
      <c r="P37" s="770">
        <v>1.516027397260274</v>
      </c>
      <c r="Q37" s="771">
        <v>110.67</v>
      </c>
      <c r="R37" s="747"/>
      <c r="S37" s="770">
        <v>13.206486486486487</v>
      </c>
      <c r="T37" s="771">
        <v>977.28</v>
      </c>
      <c r="U37" s="747"/>
      <c r="V37" s="770">
        <v>4.6237499999999994</v>
      </c>
      <c r="W37" s="771">
        <v>184.95</v>
      </c>
      <c r="X37" s="747"/>
      <c r="Y37" s="770">
        <v>33.065624999999997</v>
      </c>
      <c r="Z37" s="771">
        <v>2645.25</v>
      </c>
      <c r="AA37" s="747"/>
      <c r="AB37" s="770">
        <v>23.456091954022988</v>
      </c>
      <c r="AC37" s="771">
        <v>2040.68</v>
      </c>
      <c r="AD37" s="747"/>
      <c r="AE37" s="770">
        <v>36.238888888888887</v>
      </c>
      <c r="AF37" s="771">
        <v>1630.75</v>
      </c>
      <c r="AG37" s="747"/>
      <c r="AH37" s="770">
        <v>16.863599999999998</v>
      </c>
      <c r="AI37" s="771">
        <v>843.18</v>
      </c>
      <c r="AJ37" s="747"/>
      <c r="AK37" s="770">
        <v>108.85891891891893</v>
      </c>
      <c r="AL37" s="771">
        <v>4027.78</v>
      </c>
      <c r="AM37" s="747"/>
      <c r="AN37" s="770">
        <v>26.280588235294118</v>
      </c>
      <c r="AO37" s="771">
        <v>893.54</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115</v>
      </c>
      <c r="C38" s="776"/>
      <c r="D38" s="773">
        <v>122.40061711079946</v>
      </c>
      <c r="E38" s="774">
        <v>87271.640000000014</v>
      </c>
      <c r="F38" s="776"/>
      <c r="G38" s="773">
        <v>127.07739130434784</v>
      </c>
      <c r="H38" s="775">
        <v>5845.56</v>
      </c>
      <c r="I38" s="776"/>
      <c r="J38" s="773">
        <v>32.798493150684934</v>
      </c>
      <c r="K38" s="775">
        <v>2394.29</v>
      </c>
      <c r="L38" s="776"/>
      <c r="M38" s="773">
        <v>142.6754054054054</v>
      </c>
      <c r="N38" s="775">
        <v>10557.98</v>
      </c>
      <c r="O38" s="776"/>
      <c r="P38" s="773">
        <v>164.94</v>
      </c>
      <c r="Q38" s="775">
        <v>12040.62</v>
      </c>
      <c r="R38" s="776"/>
      <c r="S38" s="773">
        <v>132.78283783783783</v>
      </c>
      <c r="T38" s="775">
        <v>9825.93</v>
      </c>
      <c r="U38" s="776"/>
      <c r="V38" s="773">
        <v>185.78149999999999</v>
      </c>
      <c r="W38" s="775">
        <v>7431.26</v>
      </c>
      <c r="X38" s="776"/>
      <c r="Y38" s="773">
        <v>79.675375000000003</v>
      </c>
      <c r="Z38" s="775">
        <v>6374.03</v>
      </c>
      <c r="AA38" s="776"/>
      <c r="AB38" s="773">
        <v>65.982068965517243</v>
      </c>
      <c r="AC38" s="775">
        <v>5740.44</v>
      </c>
      <c r="AD38" s="776"/>
      <c r="AE38" s="773">
        <v>174.15711111111111</v>
      </c>
      <c r="AF38" s="775">
        <v>7837.07</v>
      </c>
      <c r="AG38" s="776"/>
      <c r="AH38" s="773">
        <v>159.8588</v>
      </c>
      <c r="AI38" s="775">
        <v>7992.94</v>
      </c>
      <c r="AJ38" s="776"/>
      <c r="AK38" s="773">
        <v>212.08675675675676</v>
      </c>
      <c r="AL38" s="775">
        <v>7847.21</v>
      </c>
      <c r="AM38" s="776"/>
      <c r="AN38" s="773">
        <v>99.538529411764699</v>
      </c>
      <c r="AO38" s="775">
        <v>3384.31</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116</v>
      </c>
      <c r="C39" s="747"/>
      <c r="D39" s="770">
        <v>144.0368863955116</v>
      </c>
      <c r="E39" s="758">
        <v>102698.29999999977</v>
      </c>
      <c r="F39" s="747"/>
      <c r="G39" s="770">
        <v>158.61695652173893</v>
      </c>
      <c r="H39" s="771">
        <v>7296.3799999999901</v>
      </c>
      <c r="I39" s="747"/>
      <c r="J39" s="770">
        <v>-25.284383561643835</v>
      </c>
      <c r="K39" s="771">
        <v>-1845.76</v>
      </c>
      <c r="L39" s="747"/>
      <c r="M39" s="770">
        <v>152.39000000000001</v>
      </c>
      <c r="N39" s="771">
        <v>11276.86</v>
      </c>
      <c r="O39" s="747"/>
      <c r="P39" s="770">
        <v>131.05397260273958</v>
      </c>
      <c r="Q39" s="771">
        <v>9566.9399999999896</v>
      </c>
      <c r="R39" s="747"/>
      <c r="S39" s="770">
        <v>164.58405405405404</v>
      </c>
      <c r="T39" s="771">
        <v>12179.22</v>
      </c>
      <c r="U39" s="747"/>
      <c r="V39" s="770">
        <v>266.85924999999753</v>
      </c>
      <c r="W39" s="771">
        <v>10674.369999999901</v>
      </c>
      <c r="X39" s="747"/>
      <c r="Y39" s="770">
        <v>39.759500000000003</v>
      </c>
      <c r="Z39" s="771">
        <v>3180.76</v>
      </c>
      <c r="AA39" s="747"/>
      <c r="AB39" s="770">
        <v>8.5896551724137815</v>
      </c>
      <c r="AC39" s="771">
        <v>747.29999999999905</v>
      </c>
      <c r="AD39" s="747"/>
      <c r="AE39" s="770">
        <v>180.94755555555534</v>
      </c>
      <c r="AF39" s="771">
        <v>8142.6399999999903</v>
      </c>
      <c r="AG39" s="747"/>
      <c r="AH39" s="770">
        <v>224.68360000000001</v>
      </c>
      <c r="AI39" s="771">
        <v>11234.18</v>
      </c>
      <c r="AJ39" s="747"/>
      <c r="AK39" s="770">
        <v>527.05567567567573</v>
      </c>
      <c r="AL39" s="771">
        <v>19501.060000000001</v>
      </c>
      <c r="AM39" s="747"/>
      <c r="AN39" s="770">
        <v>316.01029411764415</v>
      </c>
      <c r="AO39" s="771">
        <v>10744.3499999999</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117</v>
      </c>
      <c r="C40" s="747"/>
      <c r="D40" s="770">
        <v>430.43816269284702</v>
      </c>
      <c r="E40" s="758">
        <v>306902.40999999992</v>
      </c>
      <c r="F40" s="747"/>
      <c r="G40" s="770">
        <v>488.54978260869569</v>
      </c>
      <c r="H40" s="771">
        <v>22473.29</v>
      </c>
      <c r="I40" s="747"/>
      <c r="J40" s="770">
        <v>418.82698630136986</v>
      </c>
      <c r="K40" s="771">
        <v>30574.37</v>
      </c>
      <c r="L40" s="747"/>
      <c r="M40" s="770">
        <v>473.94432432432427</v>
      </c>
      <c r="N40" s="771">
        <v>35071.879999999997</v>
      </c>
      <c r="O40" s="747"/>
      <c r="P40" s="770">
        <v>474.72863013698634</v>
      </c>
      <c r="Q40" s="771">
        <v>34655.19</v>
      </c>
      <c r="R40" s="747"/>
      <c r="S40" s="770">
        <v>644.70648648648648</v>
      </c>
      <c r="T40" s="771">
        <v>47708.28</v>
      </c>
      <c r="U40" s="747"/>
      <c r="V40" s="770">
        <v>1001.4042499999999</v>
      </c>
      <c r="W40" s="771">
        <v>40056.17</v>
      </c>
      <c r="X40" s="747"/>
      <c r="Y40" s="770">
        <v>565.70337499999994</v>
      </c>
      <c r="Z40" s="771">
        <v>45256.27</v>
      </c>
      <c r="AA40" s="747"/>
      <c r="AB40" s="770">
        <v>400.05482758620684</v>
      </c>
      <c r="AC40" s="771">
        <v>34804.769999999997</v>
      </c>
      <c r="AD40" s="747"/>
      <c r="AE40" s="770">
        <v>678.81777777777779</v>
      </c>
      <c r="AF40" s="771">
        <v>30546.799999999999</v>
      </c>
      <c r="AG40" s="747"/>
      <c r="AH40" s="770">
        <v>530.40699999999993</v>
      </c>
      <c r="AI40" s="771">
        <v>26520.35</v>
      </c>
      <c r="AJ40" s="747"/>
      <c r="AK40" s="770">
        <v>-1003.7751351351351</v>
      </c>
      <c r="AL40" s="771">
        <v>-37139.68</v>
      </c>
      <c r="AM40" s="747"/>
      <c r="AN40" s="770">
        <v>-106.62588235294118</v>
      </c>
      <c r="AO40" s="771">
        <v>-3625.28</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59</v>
      </c>
      <c r="C41" s="747"/>
      <c r="D41" s="770">
        <v>0</v>
      </c>
      <c r="E41" s="758">
        <v>0</v>
      </c>
      <c r="F41" s="747"/>
      <c r="G41" s="770">
        <v>0</v>
      </c>
      <c r="H41" s="758"/>
      <c r="I41" s="747"/>
      <c r="J41" s="770">
        <v>0</v>
      </c>
      <c r="K41" s="758"/>
      <c r="L41" s="747"/>
      <c r="M41" s="770">
        <v>0</v>
      </c>
      <c r="N41" s="758"/>
      <c r="O41" s="747"/>
      <c r="P41" s="770">
        <v>0</v>
      </c>
      <c r="Q41" s="758"/>
      <c r="R41" s="747"/>
      <c r="S41" s="770">
        <v>0</v>
      </c>
      <c r="T41" s="758"/>
      <c r="U41" s="747"/>
      <c r="V41" s="770">
        <v>0</v>
      </c>
      <c r="W41" s="758"/>
      <c r="X41" s="747"/>
      <c r="Y41" s="770">
        <v>0</v>
      </c>
      <c r="Z41" s="758"/>
      <c r="AA41" s="747"/>
      <c r="AB41" s="770">
        <v>0</v>
      </c>
      <c r="AC41" s="758"/>
      <c r="AD41" s="747"/>
      <c r="AE41" s="770">
        <v>0</v>
      </c>
      <c r="AF41" s="758"/>
      <c r="AG41" s="747"/>
      <c r="AH41" s="770">
        <v>0</v>
      </c>
      <c r="AI41" s="758"/>
      <c r="AJ41" s="747"/>
      <c r="AK41" s="770">
        <v>0</v>
      </c>
      <c r="AL41" s="758"/>
      <c r="AM41" s="747"/>
      <c r="AN41" s="770">
        <v>0</v>
      </c>
      <c r="AO41" s="758"/>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59</v>
      </c>
      <c r="C42" s="747"/>
      <c r="D42" s="770">
        <v>0</v>
      </c>
      <c r="E42" s="758">
        <v>0</v>
      </c>
      <c r="F42" s="747"/>
      <c r="G42" s="770">
        <v>0</v>
      </c>
      <c r="H42" s="758"/>
      <c r="I42" s="747"/>
      <c r="J42" s="770">
        <v>0</v>
      </c>
      <c r="K42" s="758"/>
      <c r="L42" s="747"/>
      <c r="M42" s="770">
        <v>0</v>
      </c>
      <c r="N42" s="758"/>
      <c r="O42" s="747"/>
      <c r="P42" s="770">
        <v>0</v>
      </c>
      <c r="Q42" s="758"/>
      <c r="R42" s="747"/>
      <c r="S42" s="770">
        <v>0</v>
      </c>
      <c r="T42" s="758"/>
      <c r="U42" s="747"/>
      <c r="V42" s="770">
        <v>0</v>
      </c>
      <c r="W42" s="758"/>
      <c r="X42" s="747"/>
      <c r="Y42" s="770">
        <v>0</v>
      </c>
      <c r="Z42" s="758"/>
      <c r="AA42" s="747"/>
      <c r="AB42" s="770">
        <v>0</v>
      </c>
      <c r="AC42" s="758"/>
      <c r="AD42" s="747"/>
      <c r="AE42" s="770">
        <v>0</v>
      </c>
      <c r="AF42" s="758"/>
      <c r="AG42" s="747"/>
      <c r="AH42" s="770">
        <v>0</v>
      </c>
      <c r="AI42" s="758"/>
      <c r="AJ42" s="747"/>
      <c r="AK42" s="770">
        <v>0</v>
      </c>
      <c r="AL42" s="758"/>
      <c r="AM42" s="747"/>
      <c r="AN42" s="770">
        <v>0</v>
      </c>
      <c r="AO42" s="758"/>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59</v>
      </c>
      <c r="C43" s="776"/>
      <c r="D43" s="770">
        <v>0</v>
      </c>
      <c r="E43" s="758">
        <v>0</v>
      </c>
      <c r="F43" s="776"/>
      <c r="G43" s="770">
        <v>0</v>
      </c>
      <c r="H43" s="758"/>
      <c r="I43" s="776"/>
      <c r="J43" s="770">
        <v>0</v>
      </c>
      <c r="K43" s="758"/>
      <c r="L43" s="776"/>
      <c r="M43" s="770">
        <v>0</v>
      </c>
      <c r="N43" s="758"/>
      <c r="O43" s="776"/>
      <c r="P43" s="770">
        <v>0</v>
      </c>
      <c r="Q43" s="758"/>
      <c r="R43" s="776"/>
      <c r="S43" s="770">
        <v>0</v>
      </c>
      <c r="T43" s="758"/>
      <c r="U43" s="776"/>
      <c r="V43" s="770">
        <v>0</v>
      </c>
      <c r="W43" s="758"/>
      <c r="X43" s="776"/>
      <c r="Y43" s="770">
        <v>0</v>
      </c>
      <c r="Z43" s="758"/>
      <c r="AA43" s="776"/>
      <c r="AB43" s="770">
        <v>0</v>
      </c>
      <c r="AC43" s="758"/>
      <c r="AD43" s="776"/>
      <c r="AE43" s="770">
        <v>0</v>
      </c>
      <c r="AF43" s="758"/>
      <c r="AG43" s="776"/>
      <c r="AH43" s="770">
        <v>0</v>
      </c>
      <c r="AI43" s="758"/>
      <c r="AJ43" s="776"/>
      <c r="AK43" s="770">
        <v>0</v>
      </c>
      <c r="AL43" s="758"/>
      <c r="AM43" s="776"/>
      <c r="AN43" s="770">
        <v>0</v>
      </c>
      <c r="AO43" s="758"/>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118</v>
      </c>
      <c r="C44" s="777" t="s">
        <v>119</v>
      </c>
      <c r="D44" s="778">
        <v>0.53485784859934726</v>
      </c>
      <c r="E44" s="779">
        <v>1257632.7499999998</v>
      </c>
      <c r="F44" s="777" t="s">
        <v>119</v>
      </c>
      <c r="G44" s="778">
        <v>0.63571951072076827</v>
      </c>
      <c r="H44" s="779">
        <v>90391.12</v>
      </c>
      <c r="I44" s="777" t="s">
        <v>119</v>
      </c>
      <c r="J44" s="778">
        <v>0.4325678381070287</v>
      </c>
      <c r="K44" s="779">
        <v>109648.39</v>
      </c>
      <c r="L44" s="777" t="s">
        <v>119</v>
      </c>
      <c r="M44" s="778">
        <v>0.53060317369666055</v>
      </c>
      <c r="N44" s="779">
        <v>149396.28999999998</v>
      </c>
      <c r="O44" s="777" t="s">
        <v>119</v>
      </c>
      <c r="P44" s="778">
        <v>0.4848383739064242</v>
      </c>
      <c r="Q44" s="779">
        <v>125866.33999999998</v>
      </c>
      <c r="R44" s="777" t="s">
        <v>119</v>
      </c>
      <c r="S44" s="778">
        <v>0.57243842198533723</v>
      </c>
      <c r="T44" s="779">
        <v>134880.62</v>
      </c>
      <c r="U44" s="777" t="s">
        <v>119</v>
      </c>
      <c r="V44" s="778">
        <v>0.71414568501399633</v>
      </c>
      <c r="W44" s="779">
        <v>89249.549999999901</v>
      </c>
      <c r="X44" s="777" t="s">
        <v>119</v>
      </c>
      <c r="Y44" s="778">
        <v>0.54556453208854827</v>
      </c>
      <c r="Z44" s="779">
        <v>138666.88999999998</v>
      </c>
      <c r="AA44" s="777" t="s">
        <v>119</v>
      </c>
      <c r="AB44" s="778">
        <v>0.52200100881563627</v>
      </c>
      <c r="AC44" s="779">
        <v>138187.38</v>
      </c>
      <c r="AD44" s="777" t="s">
        <v>119</v>
      </c>
      <c r="AE44" s="778">
        <v>0.63379570455884449</v>
      </c>
      <c r="AF44" s="779">
        <v>98424.93</v>
      </c>
      <c r="AG44" s="777" t="s">
        <v>119</v>
      </c>
      <c r="AH44" s="778">
        <v>0.72441650730975538</v>
      </c>
      <c r="AI44" s="779">
        <v>94080.66</v>
      </c>
      <c r="AJ44" s="777" t="s">
        <v>119</v>
      </c>
      <c r="AK44" s="778">
        <v>0.29627314358904278</v>
      </c>
      <c r="AL44" s="779">
        <v>37787.529999999992</v>
      </c>
      <c r="AM44" s="777" t="s">
        <v>119</v>
      </c>
      <c r="AN44" s="778">
        <v>0.41743430197380188</v>
      </c>
      <c r="AO44" s="779">
        <v>51053.049999999901</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120</v>
      </c>
      <c r="C45" s="747"/>
      <c r="D45" s="757"/>
      <c r="E45" s="758">
        <v>192636.23</v>
      </c>
      <c r="F45" s="747"/>
      <c r="G45" s="757"/>
      <c r="H45" s="771">
        <v>15283.28</v>
      </c>
      <c r="I45" s="747"/>
      <c r="J45" s="757"/>
      <c r="K45" s="771">
        <v>18688.150000000001</v>
      </c>
      <c r="L45" s="747"/>
      <c r="M45" s="757"/>
      <c r="N45" s="771">
        <v>21641.75</v>
      </c>
      <c r="O45" s="747"/>
      <c r="P45" s="757"/>
      <c r="Q45" s="771">
        <v>13149.05</v>
      </c>
      <c r="R45" s="747"/>
      <c r="S45" s="757"/>
      <c r="T45" s="771">
        <v>11905.98</v>
      </c>
      <c r="U45" s="747"/>
      <c r="V45" s="757"/>
      <c r="W45" s="771">
        <v>12515.2</v>
      </c>
      <c r="X45" s="747"/>
      <c r="Y45" s="757"/>
      <c r="Z45" s="771">
        <v>15863.28</v>
      </c>
      <c r="AA45" s="747"/>
      <c r="AB45" s="757"/>
      <c r="AC45" s="771">
        <v>15861.36</v>
      </c>
      <c r="AD45" s="747"/>
      <c r="AE45" s="757"/>
      <c r="AF45" s="771">
        <v>15361.35</v>
      </c>
      <c r="AG45" s="747"/>
      <c r="AH45" s="757"/>
      <c r="AI45" s="771">
        <v>12188.2</v>
      </c>
      <c r="AJ45" s="747"/>
      <c r="AK45" s="757"/>
      <c r="AL45" s="771">
        <v>24253.66</v>
      </c>
      <c r="AM45" s="747"/>
      <c r="AN45" s="757"/>
      <c r="AO45" s="771">
        <v>15924.97</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121</v>
      </c>
      <c r="C46" s="747"/>
      <c r="D46" s="757"/>
      <c r="E46" s="758">
        <v>119210.41</v>
      </c>
      <c r="F46" s="747"/>
      <c r="G46" s="757"/>
      <c r="H46" s="771">
        <v>9379.4</v>
      </c>
      <c r="I46" s="747"/>
      <c r="J46" s="757"/>
      <c r="K46" s="771">
        <v>8496.6200000000008</v>
      </c>
      <c r="L46" s="747"/>
      <c r="M46" s="757"/>
      <c r="N46" s="771">
        <v>11348.47</v>
      </c>
      <c r="O46" s="747"/>
      <c r="P46" s="757"/>
      <c r="Q46" s="771">
        <v>9365.85</v>
      </c>
      <c r="R46" s="747"/>
      <c r="S46" s="757"/>
      <c r="T46" s="771">
        <v>9609.39</v>
      </c>
      <c r="U46" s="747"/>
      <c r="V46" s="757"/>
      <c r="W46" s="771">
        <v>10896.4</v>
      </c>
      <c r="X46" s="747"/>
      <c r="Y46" s="757"/>
      <c r="Z46" s="771">
        <v>8318.4599999999991</v>
      </c>
      <c r="AA46" s="747"/>
      <c r="AB46" s="757"/>
      <c r="AC46" s="771">
        <v>11048.85</v>
      </c>
      <c r="AD46" s="747"/>
      <c r="AE46" s="757"/>
      <c r="AF46" s="771">
        <v>9911.09</v>
      </c>
      <c r="AG46" s="747"/>
      <c r="AH46" s="757"/>
      <c r="AI46" s="771">
        <v>8630.7199999999993</v>
      </c>
      <c r="AJ46" s="747"/>
      <c r="AK46" s="757"/>
      <c r="AL46" s="771">
        <v>13792.56</v>
      </c>
      <c r="AM46" s="747"/>
      <c r="AN46" s="757"/>
      <c r="AO46" s="771">
        <v>8412.6</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122</v>
      </c>
      <c r="C47" s="780"/>
      <c r="D47" s="781"/>
      <c r="E47" s="782">
        <v>41466.120000000003</v>
      </c>
      <c r="F47" s="780"/>
      <c r="G47" s="781"/>
      <c r="H47" s="783">
        <v>2993.74</v>
      </c>
      <c r="I47" s="780"/>
      <c r="J47" s="781"/>
      <c r="K47" s="783">
        <v>3562.25</v>
      </c>
      <c r="L47" s="780"/>
      <c r="M47" s="781"/>
      <c r="N47" s="783">
        <v>3645.21</v>
      </c>
      <c r="O47" s="780"/>
      <c r="P47" s="781"/>
      <c r="Q47" s="783">
        <v>4575.3599999999997</v>
      </c>
      <c r="R47" s="780"/>
      <c r="S47" s="781"/>
      <c r="T47" s="783">
        <v>3925.06</v>
      </c>
      <c r="U47" s="780"/>
      <c r="V47" s="781"/>
      <c r="W47" s="783">
        <v>2584.64</v>
      </c>
      <c r="X47" s="780"/>
      <c r="Y47" s="781"/>
      <c r="Z47" s="783">
        <v>2420.59</v>
      </c>
      <c r="AA47" s="780"/>
      <c r="AB47" s="781"/>
      <c r="AC47" s="783">
        <v>4682.53</v>
      </c>
      <c r="AD47" s="780"/>
      <c r="AE47" s="781"/>
      <c r="AF47" s="783">
        <v>3755.5</v>
      </c>
      <c r="AG47" s="780"/>
      <c r="AH47" s="781"/>
      <c r="AI47" s="783">
        <v>2146.12</v>
      </c>
      <c r="AJ47" s="780"/>
      <c r="AK47" s="781"/>
      <c r="AL47" s="783">
        <v>4339.5200000000004</v>
      </c>
      <c r="AM47" s="780"/>
      <c r="AN47" s="781"/>
      <c r="AO47" s="783">
        <v>2835.6</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123</v>
      </c>
      <c r="C48" s="747"/>
      <c r="D48" s="757"/>
      <c r="E48" s="758">
        <v>0</v>
      </c>
      <c r="F48" s="747"/>
      <c r="G48" s="757"/>
      <c r="H48" s="771">
        <v>0</v>
      </c>
      <c r="I48" s="747"/>
      <c r="J48" s="757"/>
      <c r="K48" s="771">
        <v>0</v>
      </c>
      <c r="L48" s="747"/>
      <c r="M48" s="757"/>
      <c r="N48" s="771">
        <v>0</v>
      </c>
      <c r="O48" s="747"/>
      <c r="P48" s="757"/>
      <c r="Q48" s="771">
        <v>0</v>
      </c>
      <c r="R48" s="747"/>
      <c r="S48" s="757"/>
      <c r="T48" s="771">
        <v>0</v>
      </c>
      <c r="U48" s="747"/>
      <c r="V48" s="757"/>
      <c r="W48" s="771">
        <v>0</v>
      </c>
      <c r="X48" s="747"/>
      <c r="Y48" s="757"/>
      <c r="Z48" s="771">
        <v>0</v>
      </c>
      <c r="AA48" s="747"/>
      <c r="AB48" s="757"/>
      <c r="AC48" s="771">
        <v>0</v>
      </c>
      <c r="AD48" s="747"/>
      <c r="AE48" s="757"/>
      <c r="AF48" s="771">
        <v>0</v>
      </c>
      <c r="AG48" s="747"/>
      <c r="AH48" s="757"/>
      <c r="AI48" s="771">
        <v>0</v>
      </c>
      <c r="AJ48" s="747"/>
      <c r="AK48" s="757"/>
      <c r="AL48" s="771">
        <v>0</v>
      </c>
      <c r="AM48" s="747"/>
      <c r="AN48" s="757"/>
      <c r="AO48" s="771">
        <v>0</v>
      </c>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59</v>
      </c>
      <c r="C49" s="747"/>
      <c r="D49" s="757"/>
      <c r="E49" s="758">
        <v>0</v>
      </c>
      <c r="F49" s="747"/>
      <c r="G49" s="757"/>
      <c r="H49" s="771">
        <v>0</v>
      </c>
      <c r="I49" s="747"/>
      <c r="J49" s="757"/>
      <c r="K49" s="771">
        <v>0</v>
      </c>
      <c r="L49" s="747"/>
      <c r="M49" s="757"/>
      <c r="N49" s="771">
        <v>0</v>
      </c>
      <c r="O49" s="747"/>
      <c r="P49" s="757"/>
      <c r="Q49" s="771">
        <v>0</v>
      </c>
      <c r="R49" s="747"/>
      <c r="S49" s="757"/>
      <c r="T49" s="771">
        <v>0</v>
      </c>
      <c r="U49" s="747"/>
      <c r="V49" s="757"/>
      <c r="W49" s="771">
        <v>0</v>
      </c>
      <c r="X49" s="747"/>
      <c r="Y49" s="757"/>
      <c r="Z49" s="771">
        <v>0</v>
      </c>
      <c r="AA49" s="747"/>
      <c r="AB49" s="757"/>
      <c r="AC49" s="771">
        <v>0</v>
      </c>
      <c r="AD49" s="747"/>
      <c r="AE49" s="757"/>
      <c r="AF49" s="771">
        <v>0</v>
      </c>
      <c r="AG49" s="747"/>
      <c r="AH49" s="757"/>
      <c r="AI49" s="771">
        <v>0</v>
      </c>
      <c r="AJ49" s="747"/>
      <c r="AK49" s="757"/>
      <c r="AL49" s="771">
        <v>0</v>
      </c>
      <c r="AM49" s="747"/>
      <c r="AN49" s="757"/>
      <c r="AO49" s="771">
        <v>0</v>
      </c>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59</v>
      </c>
      <c r="C50" s="747"/>
      <c r="D50" s="757"/>
      <c r="E50" s="758">
        <v>0</v>
      </c>
      <c r="F50" s="747"/>
      <c r="G50" s="757"/>
      <c r="H50" s="771">
        <v>0</v>
      </c>
      <c r="I50" s="747"/>
      <c r="J50" s="757"/>
      <c r="K50" s="771">
        <v>0</v>
      </c>
      <c r="L50" s="747"/>
      <c r="M50" s="757"/>
      <c r="N50" s="771">
        <v>0</v>
      </c>
      <c r="O50" s="747"/>
      <c r="P50" s="757"/>
      <c r="Q50" s="771">
        <v>0</v>
      </c>
      <c r="R50" s="747"/>
      <c r="S50" s="757"/>
      <c r="T50" s="771">
        <v>0</v>
      </c>
      <c r="U50" s="747"/>
      <c r="V50" s="757"/>
      <c r="W50" s="771">
        <v>0</v>
      </c>
      <c r="X50" s="747"/>
      <c r="Y50" s="757"/>
      <c r="Z50" s="771">
        <v>0</v>
      </c>
      <c r="AA50" s="747"/>
      <c r="AB50" s="757"/>
      <c r="AC50" s="771">
        <v>0</v>
      </c>
      <c r="AD50" s="747"/>
      <c r="AE50" s="757"/>
      <c r="AF50" s="771">
        <v>0</v>
      </c>
      <c r="AG50" s="747"/>
      <c r="AH50" s="757"/>
      <c r="AI50" s="771">
        <v>0</v>
      </c>
      <c r="AJ50" s="747"/>
      <c r="AK50" s="757"/>
      <c r="AL50" s="771">
        <v>0</v>
      </c>
      <c r="AM50" s="747"/>
      <c r="AN50" s="757"/>
      <c r="AO50" s="771">
        <v>0</v>
      </c>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59</v>
      </c>
      <c r="C51" s="747"/>
      <c r="D51" s="757"/>
      <c r="E51" s="758">
        <v>0</v>
      </c>
      <c r="F51" s="747"/>
      <c r="G51" s="757"/>
      <c r="H51" s="771">
        <v>0</v>
      </c>
      <c r="I51" s="747"/>
      <c r="J51" s="757"/>
      <c r="K51" s="771">
        <v>0</v>
      </c>
      <c r="L51" s="747"/>
      <c r="M51" s="757"/>
      <c r="N51" s="771">
        <v>0</v>
      </c>
      <c r="O51" s="747"/>
      <c r="P51" s="757"/>
      <c r="Q51" s="771">
        <v>0</v>
      </c>
      <c r="R51" s="747"/>
      <c r="S51" s="757"/>
      <c r="T51" s="771">
        <v>0</v>
      </c>
      <c r="U51" s="747"/>
      <c r="V51" s="757"/>
      <c r="W51" s="771">
        <v>0</v>
      </c>
      <c r="X51" s="747"/>
      <c r="Y51" s="757"/>
      <c r="Z51" s="771">
        <v>0</v>
      </c>
      <c r="AA51" s="747"/>
      <c r="AB51" s="757"/>
      <c r="AC51" s="771">
        <v>0</v>
      </c>
      <c r="AD51" s="747"/>
      <c r="AE51" s="757"/>
      <c r="AF51" s="771">
        <v>0</v>
      </c>
      <c r="AG51" s="747"/>
      <c r="AH51" s="757"/>
      <c r="AI51" s="771">
        <v>0</v>
      </c>
      <c r="AJ51" s="747"/>
      <c r="AK51" s="757"/>
      <c r="AL51" s="771">
        <v>0</v>
      </c>
      <c r="AM51" s="747"/>
      <c r="AN51" s="757"/>
      <c r="AO51" s="771">
        <v>0</v>
      </c>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124</v>
      </c>
      <c r="C52" s="747"/>
      <c r="D52" s="757"/>
      <c r="E52" s="758">
        <v>130545.48999999999</v>
      </c>
      <c r="F52" s="747"/>
      <c r="G52" s="757"/>
      <c r="H52" s="771">
        <v>10293.26</v>
      </c>
      <c r="I52" s="747"/>
      <c r="J52" s="757"/>
      <c r="K52" s="771">
        <v>9094.5300000000007</v>
      </c>
      <c r="L52" s="747"/>
      <c r="M52" s="757"/>
      <c r="N52" s="771">
        <v>10397.81</v>
      </c>
      <c r="O52" s="747"/>
      <c r="P52" s="757"/>
      <c r="Q52" s="771">
        <v>11763.15</v>
      </c>
      <c r="R52" s="747"/>
      <c r="S52" s="757"/>
      <c r="T52" s="771">
        <v>14577.13</v>
      </c>
      <c r="U52" s="747"/>
      <c r="V52" s="757"/>
      <c r="W52" s="771">
        <v>10189.969999999999</v>
      </c>
      <c r="X52" s="747"/>
      <c r="Y52" s="757"/>
      <c r="Z52" s="771">
        <v>10664.1</v>
      </c>
      <c r="AA52" s="747"/>
      <c r="AB52" s="757"/>
      <c r="AC52" s="771">
        <v>11439.02</v>
      </c>
      <c r="AD52" s="747"/>
      <c r="AE52" s="757"/>
      <c r="AF52" s="771">
        <v>11002.44</v>
      </c>
      <c r="AG52" s="747"/>
      <c r="AH52" s="757"/>
      <c r="AI52" s="771">
        <v>10528.2</v>
      </c>
      <c r="AJ52" s="747"/>
      <c r="AK52" s="757"/>
      <c r="AL52" s="771">
        <v>11233.56</v>
      </c>
      <c r="AM52" s="747"/>
      <c r="AN52" s="757"/>
      <c r="AO52" s="771">
        <v>9362.32</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125</v>
      </c>
      <c r="C53" s="780"/>
      <c r="D53" s="781"/>
      <c r="E53" s="782">
        <v>175655.28999999998</v>
      </c>
      <c r="F53" s="780"/>
      <c r="G53" s="781"/>
      <c r="H53" s="783">
        <v>16906.259999999998</v>
      </c>
      <c r="I53" s="780"/>
      <c r="J53" s="781"/>
      <c r="K53" s="783">
        <v>14498.97</v>
      </c>
      <c r="L53" s="780"/>
      <c r="M53" s="781"/>
      <c r="N53" s="783">
        <v>18365.25</v>
      </c>
      <c r="O53" s="780"/>
      <c r="P53" s="781"/>
      <c r="Q53" s="783">
        <v>18598.07</v>
      </c>
      <c r="R53" s="780"/>
      <c r="S53" s="781"/>
      <c r="T53" s="783">
        <v>16512.36</v>
      </c>
      <c r="U53" s="780"/>
      <c r="V53" s="781"/>
      <c r="W53" s="783">
        <v>11457.24</v>
      </c>
      <c r="X53" s="780"/>
      <c r="Y53" s="781"/>
      <c r="Z53" s="783">
        <v>12553.25</v>
      </c>
      <c r="AA53" s="780"/>
      <c r="AB53" s="781"/>
      <c r="AC53" s="783">
        <v>14840.25</v>
      </c>
      <c r="AD53" s="780"/>
      <c r="AE53" s="781"/>
      <c r="AF53" s="783">
        <v>14099.3</v>
      </c>
      <c r="AG53" s="780"/>
      <c r="AH53" s="781"/>
      <c r="AI53" s="783">
        <v>14036.34</v>
      </c>
      <c r="AJ53" s="780"/>
      <c r="AK53" s="781"/>
      <c r="AL53" s="783">
        <v>12527.06</v>
      </c>
      <c r="AM53" s="780"/>
      <c r="AN53" s="781"/>
      <c r="AO53" s="783">
        <v>11260.94</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126</v>
      </c>
      <c r="C54" s="747"/>
      <c r="D54" s="757"/>
      <c r="E54" s="758">
        <v>75545.529999999984</v>
      </c>
      <c r="F54" s="747"/>
      <c r="G54" s="757"/>
      <c r="H54" s="771">
        <v>6508.32</v>
      </c>
      <c r="I54" s="747"/>
      <c r="J54" s="757"/>
      <c r="K54" s="771">
        <v>6952.68</v>
      </c>
      <c r="L54" s="747"/>
      <c r="M54" s="757"/>
      <c r="N54" s="771">
        <v>6187.38</v>
      </c>
      <c r="O54" s="747"/>
      <c r="P54" s="757"/>
      <c r="Q54" s="771">
        <v>7275.41</v>
      </c>
      <c r="R54" s="747"/>
      <c r="S54" s="757"/>
      <c r="T54" s="771">
        <v>8805.59</v>
      </c>
      <c r="U54" s="747"/>
      <c r="V54" s="757"/>
      <c r="W54" s="771">
        <v>6085.69</v>
      </c>
      <c r="X54" s="747"/>
      <c r="Y54" s="757"/>
      <c r="Z54" s="771">
        <v>7041.73</v>
      </c>
      <c r="AA54" s="747"/>
      <c r="AB54" s="757"/>
      <c r="AC54" s="771">
        <v>7953.48</v>
      </c>
      <c r="AD54" s="747"/>
      <c r="AE54" s="757"/>
      <c r="AF54" s="771">
        <v>7411.59</v>
      </c>
      <c r="AG54" s="747"/>
      <c r="AH54" s="757"/>
      <c r="AI54" s="771">
        <v>6769.08</v>
      </c>
      <c r="AJ54" s="747"/>
      <c r="AK54" s="757"/>
      <c r="AL54" s="771">
        <v>372.17999999999898</v>
      </c>
      <c r="AM54" s="747"/>
      <c r="AN54" s="757"/>
      <c r="AO54" s="771">
        <v>4182.3999999999996</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127</v>
      </c>
      <c r="C55" s="747"/>
      <c r="D55" s="757"/>
      <c r="E55" s="758">
        <v>30693.23</v>
      </c>
      <c r="F55" s="747"/>
      <c r="G55" s="757"/>
      <c r="H55" s="771">
        <v>2586.2199999999998</v>
      </c>
      <c r="I55" s="747"/>
      <c r="J55" s="757"/>
      <c r="K55" s="771">
        <v>2844.68</v>
      </c>
      <c r="L55" s="747"/>
      <c r="M55" s="757"/>
      <c r="N55" s="771">
        <v>3260.08</v>
      </c>
      <c r="O55" s="747"/>
      <c r="P55" s="757"/>
      <c r="Q55" s="771">
        <v>3705.07</v>
      </c>
      <c r="R55" s="747"/>
      <c r="S55" s="757"/>
      <c r="T55" s="771">
        <v>3234.85</v>
      </c>
      <c r="U55" s="747"/>
      <c r="V55" s="757"/>
      <c r="W55" s="771">
        <v>1674.44</v>
      </c>
      <c r="X55" s="747"/>
      <c r="Y55" s="757"/>
      <c r="Z55" s="771">
        <v>1892.71</v>
      </c>
      <c r="AA55" s="747"/>
      <c r="AB55" s="757"/>
      <c r="AC55" s="771">
        <v>3473.47</v>
      </c>
      <c r="AD55" s="747"/>
      <c r="AE55" s="757"/>
      <c r="AF55" s="771">
        <v>2367.79</v>
      </c>
      <c r="AG55" s="747"/>
      <c r="AH55" s="757"/>
      <c r="AI55" s="771">
        <v>1167.3399999999999</v>
      </c>
      <c r="AJ55" s="747"/>
      <c r="AK55" s="757"/>
      <c r="AL55" s="771">
        <v>1645.94</v>
      </c>
      <c r="AM55" s="747"/>
      <c r="AN55" s="757"/>
      <c r="AO55" s="771">
        <v>2840.64</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59</v>
      </c>
      <c r="C56" s="776"/>
      <c r="D56" s="784"/>
      <c r="E56" s="774">
        <v>0</v>
      </c>
      <c r="F56" s="776"/>
      <c r="G56" s="784"/>
      <c r="H56" s="774"/>
      <c r="I56" s="776"/>
      <c r="J56" s="784"/>
      <c r="K56" s="774"/>
      <c r="L56" s="776"/>
      <c r="M56" s="784"/>
      <c r="N56" s="774"/>
      <c r="O56" s="776"/>
      <c r="P56" s="784"/>
      <c r="Q56" s="774"/>
      <c r="R56" s="776"/>
      <c r="S56" s="784"/>
      <c r="T56" s="774"/>
      <c r="U56" s="776"/>
      <c r="V56" s="784"/>
      <c r="W56" s="774"/>
      <c r="X56" s="776"/>
      <c r="Y56" s="784"/>
      <c r="Z56" s="774"/>
      <c r="AA56" s="776"/>
      <c r="AB56" s="784"/>
      <c r="AC56" s="774"/>
      <c r="AD56" s="776"/>
      <c r="AE56" s="784"/>
      <c r="AF56" s="774"/>
      <c r="AG56" s="776"/>
      <c r="AH56" s="784"/>
      <c r="AI56" s="774"/>
      <c r="AJ56" s="776"/>
      <c r="AK56" s="784"/>
      <c r="AL56" s="774"/>
      <c r="AM56" s="776"/>
      <c r="AN56" s="784"/>
      <c r="AO56" s="774"/>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128</v>
      </c>
      <c r="C57" s="777" t="s">
        <v>119</v>
      </c>
      <c r="D57" s="778">
        <v>0.32566631851627753</v>
      </c>
      <c r="E57" s="779">
        <v>765752.3</v>
      </c>
      <c r="F57" s="777" t="s">
        <v>119</v>
      </c>
      <c r="G57" s="778">
        <v>0.44976285121766696</v>
      </c>
      <c r="H57" s="779">
        <v>63950.48</v>
      </c>
      <c r="I57" s="777" t="s">
        <v>119</v>
      </c>
      <c r="J57" s="778">
        <v>0.25302682595127968</v>
      </c>
      <c r="K57" s="779">
        <v>64137.880000000005</v>
      </c>
      <c r="L57" s="777" t="s">
        <v>119</v>
      </c>
      <c r="M57" s="778">
        <v>0.26582653831859931</v>
      </c>
      <c r="N57" s="779">
        <v>74845.95</v>
      </c>
      <c r="O57" s="777" t="s">
        <v>119</v>
      </c>
      <c r="P57" s="778">
        <v>0.26360057986614588</v>
      </c>
      <c r="Q57" s="779">
        <v>68431.960000000006</v>
      </c>
      <c r="R57" s="777" t="s">
        <v>119</v>
      </c>
      <c r="S57" s="778">
        <v>0.26360057986614588</v>
      </c>
      <c r="T57" s="779">
        <v>68570.36</v>
      </c>
      <c r="U57" s="777" t="s">
        <v>119</v>
      </c>
      <c r="V57" s="778">
        <v>1.26360057986615</v>
      </c>
      <c r="W57" s="779">
        <v>55403.58</v>
      </c>
      <c r="X57" s="777" t="s">
        <v>119</v>
      </c>
      <c r="Y57" s="778">
        <v>1.26360057986615</v>
      </c>
      <c r="Z57" s="779">
        <v>58754.12</v>
      </c>
      <c r="AA57" s="777" t="s">
        <v>119</v>
      </c>
      <c r="AB57" s="778">
        <v>1.26360057986615</v>
      </c>
      <c r="AC57" s="779">
        <v>69298.959999999992</v>
      </c>
      <c r="AD57" s="777" t="s">
        <v>119</v>
      </c>
      <c r="AE57" s="778">
        <v>1.26360057986615</v>
      </c>
      <c r="AF57" s="779">
        <v>63909.060000000005</v>
      </c>
      <c r="AG57" s="777" t="s">
        <v>119</v>
      </c>
      <c r="AH57" s="778">
        <v>1.26360057986615</v>
      </c>
      <c r="AI57" s="779">
        <v>55466</v>
      </c>
      <c r="AJ57" s="777" t="s">
        <v>119</v>
      </c>
      <c r="AK57" s="778">
        <v>1.26360057986615</v>
      </c>
      <c r="AL57" s="779">
        <v>68164.479999999996</v>
      </c>
      <c r="AM57" s="777" t="s">
        <v>119</v>
      </c>
      <c r="AN57" s="778">
        <v>1.26360057986615</v>
      </c>
      <c r="AO57" s="779">
        <v>54819.47</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129</v>
      </c>
      <c r="C58" s="747"/>
      <c r="D58" s="757"/>
      <c r="E58" s="758">
        <v>0</v>
      </c>
      <c r="F58" s="747"/>
      <c r="G58" s="757"/>
      <c r="H58" s="771">
        <v>0</v>
      </c>
      <c r="I58" s="747"/>
      <c r="J58" s="757"/>
      <c r="K58" s="771">
        <v>0</v>
      </c>
      <c r="L58" s="747"/>
      <c r="M58" s="757"/>
      <c r="N58" s="771">
        <v>0</v>
      </c>
      <c r="O58" s="747"/>
      <c r="P58" s="757"/>
      <c r="Q58" s="771">
        <v>0</v>
      </c>
      <c r="R58" s="747"/>
      <c r="S58" s="757"/>
      <c r="T58" s="771">
        <v>0</v>
      </c>
      <c r="U58" s="747"/>
      <c r="V58" s="757"/>
      <c r="W58" s="771">
        <v>0</v>
      </c>
      <c r="X58" s="747"/>
      <c r="Y58" s="757"/>
      <c r="Z58" s="771">
        <v>0</v>
      </c>
      <c r="AA58" s="747"/>
      <c r="AB58" s="757"/>
      <c r="AC58" s="771">
        <v>0</v>
      </c>
      <c r="AD58" s="747"/>
      <c r="AE58" s="757"/>
      <c r="AF58" s="771">
        <v>0</v>
      </c>
      <c r="AG58" s="747"/>
      <c r="AH58" s="757"/>
      <c r="AI58" s="771">
        <v>0</v>
      </c>
      <c r="AJ58" s="747"/>
      <c r="AK58" s="757"/>
      <c r="AL58" s="771">
        <v>0</v>
      </c>
      <c r="AM58" s="747"/>
      <c r="AN58" s="757"/>
      <c r="AO58" s="771">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130</v>
      </c>
      <c r="C59" s="747"/>
      <c r="D59" s="757"/>
      <c r="E59" s="758">
        <v>0</v>
      </c>
      <c r="F59" s="747"/>
      <c r="G59" s="757"/>
      <c r="H59" s="771">
        <v>0</v>
      </c>
      <c r="I59" s="747"/>
      <c r="J59" s="757"/>
      <c r="K59" s="771">
        <v>0</v>
      </c>
      <c r="L59" s="747"/>
      <c r="M59" s="757"/>
      <c r="N59" s="771">
        <v>0</v>
      </c>
      <c r="O59" s="747"/>
      <c r="P59" s="757"/>
      <c r="Q59" s="771">
        <v>0</v>
      </c>
      <c r="R59" s="747"/>
      <c r="S59" s="757"/>
      <c r="T59" s="771">
        <v>0</v>
      </c>
      <c r="U59" s="747"/>
      <c r="V59" s="757"/>
      <c r="W59" s="771">
        <v>0</v>
      </c>
      <c r="X59" s="747"/>
      <c r="Y59" s="757"/>
      <c r="Z59" s="771">
        <v>0</v>
      </c>
      <c r="AA59" s="747"/>
      <c r="AB59" s="757"/>
      <c r="AC59" s="771">
        <v>0</v>
      </c>
      <c r="AD59" s="747"/>
      <c r="AE59" s="757"/>
      <c r="AF59" s="771">
        <v>0</v>
      </c>
      <c r="AG59" s="747"/>
      <c r="AH59" s="757"/>
      <c r="AI59" s="771">
        <v>0</v>
      </c>
      <c r="AJ59" s="747"/>
      <c r="AK59" s="757"/>
      <c r="AL59" s="771">
        <v>0</v>
      </c>
      <c r="AM59" s="747"/>
      <c r="AN59" s="757"/>
      <c r="AO59" s="771">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131</v>
      </c>
      <c r="C60" s="785"/>
      <c r="D60" s="786"/>
      <c r="E60" s="787">
        <v>105840.31000000001</v>
      </c>
      <c r="F60" s="785"/>
      <c r="G60" s="786"/>
      <c r="H60" s="788">
        <v>6677.55</v>
      </c>
      <c r="I60" s="785"/>
      <c r="J60" s="786"/>
      <c r="K60" s="788">
        <v>7358.99</v>
      </c>
      <c r="L60" s="785"/>
      <c r="M60" s="786"/>
      <c r="N60" s="788">
        <v>7788.24</v>
      </c>
      <c r="O60" s="785"/>
      <c r="P60" s="786"/>
      <c r="Q60" s="788">
        <v>11626.31</v>
      </c>
      <c r="R60" s="785"/>
      <c r="S60" s="786"/>
      <c r="T60" s="788">
        <v>7403.65</v>
      </c>
      <c r="U60" s="785"/>
      <c r="V60" s="786"/>
      <c r="W60" s="788">
        <v>7254.82</v>
      </c>
      <c r="X60" s="785"/>
      <c r="Y60" s="786"/>
      <c r="Z60" s="788">
        <v>9199.43</v>
      </c>
      <c r="AA60" s="785"/>
      <c r="AB60" s="786"/>
      <c r="AC60" s="788">
        <v>9189.64</v>
      </c>
      <c r="AD60" s="785"/>
      <c r="AE60" s="786"/>
      <c r="AF60" s="788">
        <v>10497.54</v>
      </c>
      <c r="AG60" s="785"/>
      <c r="AH60" s="786"/>
      <c r="AI60" s="788">
        <v>8473.11</v>
      </c>
      <c r="AJ60" s="785"/>
      <c r="AK60" s="786"/>
      <c r="AL60" s="788">
        <v>8283.33</v>
      </c>
      <c r="AM60" s="785"/>
      <c r="AN60" s="786"/>
      <c r="AO60" s="788">
        <v>12087.7</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132</v>
      </c>
      <c r="C61" s="747"/>
      <c r="D61" s="757"/>
      <c r="E61" s="758">
        <v>88237.239999999991</v>
      </c>
      <c r="F61" s="747"/>
      <c r="G61" s="757"/>
      <c r="H61" s="771">
        <v>6687.32</v>
      </c>
      <c r="I61" s="747"/>
      <c r="J61" s="757"/>
      <c r="K61" s="771">
        <v>7119.2</v>
      </c>
      <c r="L61" s="747"/>
      <c r="M61" s="757"/>
      <c r="N61" s="771">
        <v>7015.61</v>
      </c>
      <c r="O61" s="747"/>
      <c r="P61" s="757"/>
      <c r="Q61" s="771">
        <v>7516.3</v>
      </c>
      <c r="R61" s="747"/>
      <c r="S61" s="757"/>
      <c r="T61" s="771">
        <v>7461.29</v>
      </c>
      <c r="U61" s="747"/>
      <c r="V61" s="757"/>
      <c r="W61" s="771">
        <v>7043.39</v>
      </c>
      <c r="X61" s="747"/>
      <c r="Y61" s="757"/>
      <c r="Z61" s="771">
        <v>5972.42</v>
      </c>
      <c r="AA61" s="747"/>
      <c r="AB61" s="757"/>
      <c r="AC61" s="771">
        <v>8684.4500000000007</v>
      </c>
      <c r="AD61" s="747"/>
      <c r="AE61" s="757"/>
      <c r="AF61" s="771">
        <v>8853.42</v>
      </c>
      <c r="AG61" s="747"/>
      <c r="AH61" s="757"/>
      <c r="AI61" s="771">
        <v>7015.5</v>
      </c>
      <c r="AJ61" s="747"/>
      <c r="AK61" s="757"/>
      <c r="AL61" s="771">
        <v>6688.36</v>
      </c>
      <c r="AM61" s="747"/>
      <c r="AN61" s="757"/>
      <c r="AO61" s="771">
        <v>8179.98</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133</v>
      </c>
      <c r="C62" s="747"/>
      <c r="D62" s="757"/>
      <c r="E62" s="758">
        <v>18128.02</v>
      </c>
      <c r="F62" s="747"/>
      <c r="G62" s="757"/>
      <c r="H62" s="771">
        <v>1076.8499999999999</v>
      </c>
      <c r="I62" s="747"/>
      <c r="J62" s="757"/>
      <c r="K62" s="771">
        <v>230.83</v>
      </c>
      <c r="L62" s="747"/>
      <c r="M62" s="757"/>
      <c r="N62" s="771">
        <v>1100.5999999999999</v>
      </c>
      <c r="O62" s="747"/>
      <c r="P62" s="757"/>
      <c r="Q62" s="771">
        <v>2705.19</v>
      </c>
      <c r="R62" s="747"/>
      <c r="S62" s="757"/>
      <c r="T62" s="771">
        <v>1278.4000000000001</v>
      </c>
      <c r="U62" s="747"/>
      <c r="V62" s="757"/>
      <c r="W62" s="771">
        <v>1316.83</v>
      </c>
      <c r="X62" s="747"/>
      <c r="Y62" s="757"/>
      <c r="Z62" s="771">
        <v>1613.78</v>
      </c>
      <c r="AA62" s="747"/>
      <c r="AB62" s="757"/>
      <c r="AC62" s="771">
        <v>1158.94</v>
      </c>
      <c r="AD62" s="747"/>
      <c r="AE62" s="757"/>
      <c r="AF62" s="771">
        <v>1810.19</v>
      </c>
      <c r="AG62" s="747"/>
      <c r="AH62" s="757"/>
      <c r="AI62" s="771">
        <v>2344.34</v>
      </c>
      <c r="AJ62" s="747"/>
      <c r="AK62" s="757"/>
      <c r="AL62" s="771">
        <v>2373.63</v>
      </c>
      <c r="AM62" s="747"/>
      <c r="AN62" s="757"/>
      <c r="AO62" s="771">
        <v>1118.44</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134</v>
      </c>
      <c r="C63" s="785"/>
      <c r="D63" s="786"/>
      <c r="E63" s="787">
        <v>88609.06</v>
      </c>
      <c r="F63" s="785"/>
      <c r="G63" s="786"/>
      <c r="H63" s="788">
        <v>7732.26</v>
      </c>
      <c r="I63" s="785"/>
      <c r="J63" s="786"/>
      <c r="K63" s="788">
        <v>6706.21</v>
      </c>
      <c r="L63" s="785"/>
      <c r="M63" s="786"/>
      <c r="N63" s="788">
        <v>6497.3</v>
      </c>
      <c r="O63" s="785"/>
      <c r="P63" s="786"/>
      <c r="Q63" s="788">
        <v>6746.26</v>
      </c>
      <c r="R63" s="785"/>
      <c r="S63" s="786"/>
      <c r="T63" s="788">
        <v>7123.34</v>
      </c>
      <c r="U63" s="785"/>
      <c r="V63" s="786"/>
      <c r="W63" s="788">
        <v>7463.74</v>
      </c>
      <c r="X63" s="785"/>
      <c r="Y63" s="786"/>
      <c r="Z63" s="788">
        <v>7694.41</v>
      </c>
      <c r="AA63" s="785"/>
      <c r="AB63" s="786"/>
      <c r="AC63" s="788">
        <v>7667.77</v>
      </c>
      <c r="AD63" s="785"/>
      <c r="AE63" s="786"/>
      <c r="AF63" s="788">
        <v>8147.65</v>
      </c>
      <c r="AG63" s="785"/>
      <c r="AH63" s="786"/>
      <c r="AI63" s="788">
        <v>8179.53</v>
      </c>
      <c r="AJ63" s="785"/>
      <c r="AK63" s="786"/>
      <c r="AL63" s="788">
        <v>7674.68</v>
      </c>
      <c r="AM63" s="785"/>
      <c r="AN63" s="786"/>
      <c r="AO63" s="788">
        <v>6975.91</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135</v>
      </c>
      <c r="C64" s="747"/>
      <c r="D64" s="757"/>
      <c r="E64" s="758">
        <v>873.33000000000015</v>
      </c>
      <c r="F64" s="747"/>
      <c r="G64" s="757"/>
      <c r="H64" s="771">
        <v>104.38</v>
      </c>
      <c r="I64" s="747"/>
      <c r="J64" s="757"/>
      <c r="K64" s="771">
        <v>0</v>
      </c>
      <c r="L64" s="747"/>
      <c r="M64" s="757"/>
      <c r="N64" s="771">
        <v>220.74</v>
      </c>
      <c r="O64" s="747"/>
      <c r="P64" s="757"/>
      <c r="Q64" s="771">
        <v>36.28</v>
      </c>
      <c r="R64" s="747"/>
      <c r="S64" s="757"/>
      <c r="T64" s="771">
        <v>17.22</v>
      </c>
      <c r="U64" s="747"/>
      <c r="V64" s="757"/>
      <c r="W64" s="771">
        <v>4.5599999999999996</v>
      </c>
      <c r="X64" s="747"/>
      <c r="Y64" s="757"/>
      <c r="Z64" s="771">
        <v>97.12</v>
      </c>
      <c r="AA64" s="747"/>
      <c r="AB64" s="757"/>
      <c r="AC64" s="771">
        <v>141.9</v>
      </c>
      <c r="AD64" s="747"/>
      <c r="AE64" s="757"/>
      <c r="AF64" s="771">
        <v>74.69</v>
      </c>
      <c r="AG64" s="747"/>
      <c r="AH64" s="757"/>
      <c r="AI64" s="771">
        <v>0</v>
      </c>
      <c r="AJ64" s="747"/>
      <c r="AK64" s="757"/>
      <c r="AL64" s="771">
        <v>0</v>
      </c>
      <c r="AM64" s="747"/>
      <c r="AN64" s="757"/>
      <c r="AO64" s="771">
        <v>176.44</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136</v>
      </c>
      <c r="C65" s="747"/>
      <c r="D65" s="757"/>
      <c r="E65" s="758">
        <v>434.88</v>
      </c>
      <c r="F65" s="747"/>
      <c r="G65" s="757"/>
      <c r="H65" s="771">
        <v>0</v>
      </c>
      <c r="I65" s="747"/>
      <c r="J65" s="757"/>
      <c r="K65" s="771">
        <v>0</v>
      </c>
      <c r="L65" s="747"/>
      <c r="M65" s="757"/>
      <c r="N65" s="771">
        <v>0</v>
      </c>
      <c r="O65" s="747"/>
      <c r="P65" s="757"/>
      <c r="Q65" s="771">
        <v>0</v>
      </c>
      <c r="R65" s="747"/>
      <c r="S65" s="757"/>
      <c r="T65" s="771">
        <v>0</v>
      </c>
      <c r="U65" s="747"/>
      <c r="V65" s="757"/>
      <c r="W65" s="771">
        <v>0</v>
      </c>
      <c r="X65" s="747"/>
      <c r="Y65" s="757"/>
      <c r="Z65" s="771">
        <v>0</v>
      </c>
      <c r="AA65" s="747"/>
      <c r="AB65" s="757"/>
      <c r="AC65" s="771">
        <v>0</v>
      </c>
      <c r="AD65" s="747"/>
      <c r="AE65" s="757"/>
      <c r="AF65" s="771">
        <v>0</v>
      </c>
      <c r="AG65" s="747"/>
      <c r="AH65" s="757"/>
      <c r="AI65" s="771">
        <v>434.88</v>
      </c>
      <c r="AJ65" s="747"/>
      <c r="AK65" s="757"/>
      <c r="AL65" s="771">
        <v>0</v>
      </c>
      <c r="AM65" s="747"/>
      <c r="AN65" s="757"/>
      <c r="AO65" s="771">
        <v>0</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137</v>
      </c>
      <c r="C66" s="747"/>
      <c r="D66" s="757"/>
      <c r="E66" s="758">
        <v>9025.32</v>
      </c>
      <c r="F66" s="747"/>
      <c r="G66" s="757"/>
      <c r="H66" s="771">
        <v>425.21</v>
      </c>
      <c r="I66" s="747"/>
      <c r="J66" s="757"/>
      <c r="K66" s="771">
        <v>1331.47</v>
      </c>
      <c r="L66" s="747"/>
      <c r="M66" s="757"/>
      <c r="N66" s="771">
        <v>552.11</v>
      </c>
      <c r="O66" s="747"/>
      <c r="P66" s="757"/>
      <c r="Q66" s="771">
        <v>381.04</v>
      </c>
      <c r="R66" s="747"/>
      <c r="S66" s="757"/>
      <c r="T66" s="771">
        <v>885.48</v>
      </c>
      <c r="U66" s="747"/>
      <c r="V66" s="757"/>
      <c r="W66" s="771">
        <v>387.99</v>
      </c>
      <c r="X66" s="747"/>
      <c r="Y66" s="757"/>
      <c r="Z66" s="771">
        <v>356.55</v>
      </c>
      <c r="AA66" s="747"/>
      <c r="AB66" s="757"/>
      <c r="AC66" s="771">
        <v>1375.08</v>
      </c>
      <c r="AD66" s="747"/>
      <c r="AE66" s="757"/>
      <c r="AF66" s="771">
        <v>628.30999999999995</v>
      </c>
      <c r="AG66" s="747"/>
      <c r="AH66" s="757"/>
      <c r="AI66" s="771">
        <v>377.56</v>
      </c>
      <c r="AJ66" s="747"/>
      <c r="AK66" s="757"/>
      <c r="AL66" s="771">
        <v>1262.3399999999999</v>
      </c>
      <c r="AM66" s="747"/>
      <c r="AN66" s="757"/>
      <c r="AO66" s="771">
        <v>1062.18</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138</v>
      </c>
      <c r="C67" s="747"/>
      <c r="D67" s="757"/>
      <c r="E67" s="758">
        <v>4238.2000000000007</v>
      </c>
      <c r="F67" s="747"/>
      <c r="G67" s="757"/>
      <c r="H67" s="771">
        <v>381.78</v>
      </c>
      <c r="I67" s="747"/>
      <c r="J67" s="757"/>
      <c r="K67" s="771">
        <v>318.49</v>
      </c>
      <c r="L67" s="747"/>
      <c r="M67" s="757"/>
      <c r="N67" s="771">
        <v>360.77</v>
      </c>
      <c r="O67" s="747"/>
      <c r="P67" s="757"/>
      <c r="Q67" s="771">
        <v>318.89999999999998</v>
      </c>
      <c r="R67" s="747"/>
      <c r="S67" s="757"/>
      <c r="T67" s="771">
        <v>340.16</v>
      </c>
      <c r="U67" s="747"/>
      <c r="V67" s="757"/>
      <c r="W67" s="771">
        <v>326.92</v>
      </c>
      <c r="X67" s="747"/>
      <c r="Y67" s="757"/>
      <c r="Z67" s="771">
        <v>330.97</v>
      </c>
      <c r="AA67" s="747"/>
      <c r="AB67" s="757"/>
      <c r="AC67" s="771">
        <v>440.89</v>
      </c>
      <c r="AD67" s="747"/>
      <c r="AE67" s="757"/>
      <c r="AF67" s="771">
        <v>345.76</v>
      </c>
      <c r="AG67" s="747"/>
      <c r="AH67" s="757"/>
      <c r="AI67" s="771">
        <v>393.48</v>
      </c>
      <c r="AJ67" s="747"/>
      <c r="AK67" s="757"/>
      <c r="AL67" s="771">
        <v>351.63</v>
      </c>
      <c r="AM67" s="747"/>
      <c r="AN67" s="757"/>
      <c r="AO67" s="771">
        <v>328.45</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139</v>
      </c>
      <c r="C68" s="747"/>
      <c r="D68" s="757"/>
      <c r="E68" s="758">
        <v>896.29000000000008</v>
      </c>
      <c r="F68" s="747"/>
      <c r="G68" s="757"/>
      <c r="H68" s="771">
        <v>159.30000000000001</v>
      </c>
      <c r="I68" s="747"/>
      <c r="J68" s="757"/>
      <c r="K68" s="771">
        <v>222.02</v>
      </c>
      <c r="L68" s="747"/>
      <c r="M68" s="757"/>
      <c r="N68" s="771">
        <v>278.24</v>
      </c>
      <c r="O68" s="747"/>
      <c r="P68" s="757"/>
      <c r="Q68" s="771">
        <v>10.56</v>
      </c>
      <c r="R68" s="747"/>
      <c r="S68" s="757"/>
      <c r="T68" s="771">
        <v>10.56</v>
      </c>
      <c r="U68" s="747"/>
      <c r="V68" s="757"/>
      <c r="W68" s="771">
        <v>32.96</v>
      </c>
      <c r="X68" s="747"/>
      <c r="Y68" s="757"/>
      <c r="Z68" s="771">
        <v>32.96</v>
      </c>
      <c r="AA68" s="747"/>
      <c r="AB68" s="757"/>
      <c r="AC68" s="771">
        <v>10.56</v>
      </c>
      <c r="AD68" s="747"/>
      <c r="AE68" s="757"/>
      <c r="AF68" s="771">
        <v>32.96</v>
      </c>
      <c r="AG68" s="747"/>
      <c r="AH68" s="757"/>
      <c r="AI68" s="771">
        <v>32.96</v>
      </c>
      <c r="AJ68" s="747"/>
      <c r="AK68" s="757"/>
      <c r="AL68" s="771">
        <v>40.25</v>
      </c>
      <c r="AM68" s="747"/>
      <c r="AN68" s="757"/>
      <c r="AO68" s="771">
        <v>32.96</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140</v>
      </c>
      <c r="C69" s="747"/>
      <c r="D69" s="757"/>
      <c r="E69" s="758">
        <v>2165.7800000000002</v>
      </c>
      <c r="F69" s="747"/>
      <c r="G69" s="757"/>
      <c r="H69" s="771">
        <v>103.25</v>
      </c>
      <c r="I69" s="747"/>
      <c r="J69" s="757"/>
      <c r="K69" s="771">
        <v>205.65</v>
      </c>
      <c r="L69" s="747"/>
      <c r="M69" s="757"/>
      <c r="N69" s="771">
        <v>255.97</v>
      </c>
      <c r="O69" s="747"/>
      <c r="P69" s="757"/>
      <c r="Q69" s="771">
        <v>201.95</v>
      </c>
      <c r="R69" s="747"/>
      <c r="S69" s="757"/>
      <c r="T69" s="771">
        <v>105.31</v>
      </c>
      <c r="U69" s="747"/>
      <c r="V69" s="757"/>
      <c r="W69" s="771">
        <v>123.77</v>
      </c>
      <c r="X69" s="747"/>
      <c r="Y69" s="757"/>
      <c r="Z69" s="771">
        <v>188.48</v>
      </c>
      <c r="AA69" s="747"/>
      <c r="AB69" s="757"/>
      <c r="AC69" s="771">
        <v>52.48</v>
      </c>
      <c r="AD69" s="747"/>
      <c r="AE69" s="757"/>
      <c r="AF69" s="771">
        <v>152.01</v>
      </c>
      <c r="AG69" s="747"/>
      <c r="AH69" s="757"/>
      <c r="AI69" s="771">
        <v>234.47</v>
      </c>
      <c r="AJ69" s="747"/>
      <c r="AK69" s="757"/>
      <c r="AL69" s="771">
        <v>446.81</v>
      </c>
      <c r="AM69" s="747"/>
      <c r="AN69" s="757"/>
      <c r="AO69" s="771">
        <v>95.63</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141</v>
      </c>
      <c r="C70" s="747"/>
      <c r="D70" s="757"/>
      <c r="E70" s="758">
        <v>22094.760000000002</v>
      </c>
      <c r="F70" s="747"/>
      <c r="G70" s="757"/>
      <c r="H70" s="771">
        <v>1844</v>
      </c>
      <c r="I70" s="747"/>
      <c r="J70" s="757"/>
      <c r="K70" s="771">
        <v>1135.45</v>
      </c>
      <c r="L70" s="747"/>
      <c r="M70" s="757"/>
      <c r="N70" s="771">
        <v>1407.34</v>
      </c>
      <c r="O70" s="747"/>
      <c r="P70" s="757"/>
      <c r="Q70" s="771">
        <v>1147.3499999999999</v>
      </c>
      <c r="R70" s="747"/>
      <c r="S70" s="757"/>
      <c r="T70" s="771">
        <v>1174.1300000000001</v>
      </c>
      <c r="U70" s="747"/>
      <c r="V70" s="757"/>
      <c r="W70" s="771">
        <v>1391.4</v>
      </c>
      <c r="X70" s="747"/>
      <c r="Y70" s="757"/>
      <c r="Z70" s="771">
        <v>3488.07</v>
      </c>
      <c r="AA70" s="747"/>
      <c r="AB70" s="757"/>
      <c r="AC70" s="771">
        <v>3577.08</v>
      </c>
      <c r="AD70" s="747"/>
      <c r="AE70" s="757"/>
      <c r="AF70" s="771">
        <v>2675.45</v>
      </c>
      <c r="AG70" s="747"/>
      <c r="AH70" s="757"/>
      <c r="AI70" s="771">
        <v>2366.96</v>
      </c>
      <c r="AJ70" s="747"/>
      <c r="AK70" s="757"/>
      <c r="AL70" s="771">
        <v>1785.45</v>
      </c>
      <c r="AM70" s="747"/>
      <c r="AN70" s="757"/>
      <c r="AO70" s="771">
        <v>102.08</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142</v>
      </c>
      <c r="C71" s="747"/>
      <c r="D71" s="757"/>
      <c r="E71" s="758">
        <v>47376.41</v>
      </c>
      <c r="F71" s="747"/>
      <c r="G71" s="757"/>
      <c r="H71" s="771">
        <v>3087.92</v>
      </c>
      <c r="I71" s="747"/>
      <c r="J71" s="757"/>
      <c r="K71" s="771">
        <v>2438.09</v>
      </c>
      <c r="L71" s="747"/>
      <c r="M71" s="757"/>
      <c r="N71" s="771">
        <v>3214.1</v>
      </c>
      <c r="O71" s="747"/>
      <c r="P71" s="757"/>
      <c r="Q71" s="771">
        <v>4277.07</v>
      </c>
      <c r="R71" s="747"/>
      <c r="S71" s="757"/>
      <c r="T71" s="771">
        <v>4750.5</v>
      </c>
      <c r="U71" s="747"/>
      <c r="V71" s="757"/>
      <c r="W71" s="771">
        <v>3357.81</v>
      </c>
      <c r="X71" s="747"/>
      <c r="Y71" s="757"/>
      <c r="Z71" s="771">
        <v>3718.78</v>
      </c>
      <c r="AA71" s="747"/>
      <c r="AB71" s="757"/>
      <c r="AC71" s="771">
        <v>3576.25</v>
      </c>
      <c r="AD71" s="747"/>
      <c r="AE71" s="757"/>
      <c r="AF71" s="771">
        <v>3267.11</v>
      </c>
      <c r="AG71" s="747"/>
      <c r="AH71" s="757"/>
      <c r="AI71" s="771">
        <v>4782.88</v>
      </c>
      <c r="AJ71" s="747"/>
      <c r="AK71" s="757"/>
      <c r="AL71" s="771">
        <v>6767.49</v>
      </c>
      <c r="AM71" s="747"/>
      <c r="AN71" s="757"/>
      <c r="AO71" s="771">
        <v>4138.41</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59</v>
      </c>
      <c r="C72" s="747"/>
      <c r="D72" s="757"/>
      <c r="E72" s="758">
        <v>0</v>
      </c>
      <c r="F72" s="747"/>
      <c r="G72" s="757"/>
      <c r="H72" s="758"/>
      <c r="I72" s="747"/>
      <c r="J72" s="757"/>
      <c r="K72" s="758"/>
      <c r="L72" s="747"/>
      <c r="M72" s="757"/>
      <c r="N72" s="758"/>
      <c r="O72" s="747"/>
      <c r="P72" s="757"/>
      <c r="Q72" s="758"/>
      <c r="R72" s="747"/>
      <c r="S72" s="757"/>
      <c r="T72" s="758"/>
      <c r="U72" s="747"/>
      <c r="V72" s="757"/>
      <c r="W72" s="758"/>
      <c r="X72" s="747"/>
      <c r="Y72" s="757"/>
      <c r="Z72" s="758"/>
      <c r="AA72" s="747"/>
      <c r="AB72" s="757"/>
      <c r="AC72" s="758"/>
      <c r="AD72" s="747"/>
      <c r="AE72" s="757"/>
      <c r="AF72" s="758"/>
      <c r="AG72" s="747"/>
      <c r="AH72" s="757"/>
      <c r="AI72" s="758"/>
      <c r="AJ72" s="747"/>
      <c r="AK72" s="757"/>
      <c r="AL72" s="758"/>
      <c r="AM72" s="747"/>
      <c r="AN72" s="757"/>
      <c r="AO72" s="758"/>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59</v>
      </c>
      <c r="C73" s="747"/>
      <c r="D73" s="757"/>
      <c r="E73" s="758">
        <v>0</v>
      </c>
      <c r="F73" s="747"/>
      <c r="G73" s="757"/>
      <c r="H73" s="758"/>
      <c r="I73" s="747"/>
      <c r="J73" s="757"/>
      <c r="K73" s="758"/>
      <c r="L73" s="747"/>
      <c r="M73" s="757"/>
      <c r="N73" s="758"/>
      <c r="O73" s="747"/>
      <c r="P73" s="757"/>
      <c r="Q73" s="758"/>
      <c r="R73" s="747"/>
      <c r="S73" s="757"/>
      <c r="T73" s="758"/>
      <c r="U73" s="747"/>
      <c r="V73" s="757"/>
      <c r="W73" s="758"/>
      <c r="X73" s="747"/>
      <c r="Y73" s="757"/>
      <c r="Z73" s="758"/>
      <c r="AA73" s="747"/>
      <c r="AB73" s="757"/>
      <c r="AC73" s="758"/>
      <c r="AD73" s="747"/>
      <c r="AE73" s="757"/>
      <c r="AF73" s="758"/>
      <c r="AG73" s="747"/>
      <c r="AH73" s="757"/>
      <c r="AI73" s="758"/>
      <c r="AJ73" s="747"/>
      <c r="AK73" s="757"/>
      <c r="AL73" s="758"/>
      <c r="AM73" s="747"/>
      <c r="AN73" s="757"/>
      <c r="AO73" s="758"/>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59</v>
      </c>
      <c r="C74" s="776"/>
      <c r="D74" s="784"/>
      <c r="E74" s="758">
        <v>0</v>
      </c>
      <c r="F74" s="776"/>
      <c r="G74" s="784"/>
      <c r="H74" s="758"/>
      <c r="I74" s="776"/>
      <c r="J74" s="784"/>
      <c r="K74" s="758"/>
      <c r="L74" s="776"/>
      <c r="M74" s="784"/>
      <c r="N74" s="758"/>
      <c r="O74" s="776"/>
      <c r="P74" s="784"/>
      <c r="Q74" s="758"/>
      <c r="R74" s="776"/>
      <c r="S74" s="784"/>
      <c r="T74" s="758"/>
      <c r="U74" s="776"/>
      <c r="V74" s="784"/>
      <c r="W74" s="758"/>
      <c r="X74" s="776"/>
      <c r="Y74" s="784"/>
      <c r="Z74" s="758"/>
      <c r="AA74" s="776"/>
      <c r="AB74" s="784"/>
      <c r="AC74" s="758"/>
      <c r="AD74" s="776"/>
      <c r="AE74" s="784"/>
      <c r="AF74" s="758"/>
      <c r="AG74" s="776"/>
      <c r="AH74" s="784"/>
      <c r="AI74" s="758"/>
      <c r="AJ74" s="776"/>
      <c r="AK74" s="784"/>
      <c r="AL74" s="758"/>
      <c r="AM74" s="776"/>
      <c r="AN74" s="784"/>
      <c r="AO74" s="758"/>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143</v>
      </c>
      <c r="C75" s="777" t="s">
        <v>119</v>
      </c>
      <c r="D75" s="778">
        <v>0.16497808496599617</v>
      </c>
      <c r="E75" s="779">
        <v>387919.60000000009</v>
      </c>
      <c r="F75" s="777" t="s">
        <v>119</v>
      </c>
      <c r="G75" s="778">
        <v>0.19889158728945275</v>
      </c>
      <c r="H75" s="779">
        <v>28279.82</v>
      </c>
      <c r="I75" s="777" t="s">
        <v>119</v>
      </c>
      <c r="J75" s="778">
        <v>0.10677816731590938</v>
      </c>
      <c r="K75" s="779">
        <v>27066.400000000005</v>
      </c>
      <c r="L75" s="777" t="s">
        <v>119</v>
      </c>
      <c r="M75" s="778">
        <v>0.10190043051667726</v>
      </c>
      <c r="N75" s="779">
        <v>28691.020000000004</v>
      </c>
      <c r="O75" s="777" t="s">
        <v>119</v>
      </c>
      <c r="P75" s="778">
        <v>0.13469403524758453</v>
      </c>
      <c r="Q75" s="779">
        <v>34967.21</v>
      </c>
      <c r="R75" s="777" t="s">
        <v>119</v>
      </c>
      <c r="S75" s="778">
        <v>0.12965551825895325</v>
      </c>
      <c r="T75" s="779">
        <v>30550.040000000005</v>
      </c>
      <c r="U75" s="777" t="s">
        <v>119</v>
      </c>
      <c r="V75" s="778">
        <v>0.22968153262758106</v>
      </c>
      <c r="W75" s="779">
        <v>28704.190000000002</v>
      </c>
      <c r="X75" s="777" t="s">
        <v>119</v>
      </c>
      <c r="Y75" s="778">
        <v>0.12862569341992847</v>
      </c>
      <c r="Z75" s="779">
        <v>32692.969999999998</v>
      </c>
      <c r="AA75" s="777" t="s">
        <v>119</v>
      </c>
      <c r="AB75" s="778">
        <v>0.13551749133170701</v>
      </c>
      <c r="AC75" s="779">
        <v>35875.040000000001</v>
      </c>
      <c r="AD75" s="777" t="s">
        <v>119</v>
      </c>
      <c r="AE75" s="778">
        <v>0.23494142512921112</v>
      </c>
      <c r="AF75" s="779">
        <v>36485.089999999989</v>
      </c>
      <c r="AG75" s="777" t="s">
        <v>119</v>
      </c>
      <c r="AH75" s="778">
        <v>0.26669297483386356</v>
      </c>
      <c r="AI75" s="779">
        <v>34635.67</v>
      </c>
      <c r="AJ75" s="777" t="s">
        <v>119</v>
      </c>
      <c r="AK75" s="778">
        <v>0.27970177559108012</v>
      </c>
      <c r="AL75" s="779">
        <v>35673.97</v>
      </c>
      <c r="AM75" s="777" t="s">
        <v>119</v>
      </c>
      <c r="AN75" s="778">
        <v>0.28043842292031212</v>
      </c>
      <c r="AO75" s="779">
        <v>34298.18</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776"/>
      <c r="D76" s="784"/>
      <c r="E76" s="774"/>
      <c r="F76" s="776"/>
      <c r="G76" s="784"/>
      <c r="H76" s="774"/>
      <c r="I76" s="776"/>
      <c r="J76" s="784"/>
      <c r="K76" s="774"/>
      <c r="L76" s="776"/>
      <c r="M76" s="784"/>
      <c r="N76" s="774"/>
      <c r="O76" s="776"/>
      <c r="P76" s="784"/>
      <c r="Q76" s="774"/>
      <c r="R76" s="776"/>
      <c r="S76" s="784"/>
      <c r="T76" s="774"/>
      <c r="U76" s="776"/>
      <c r="V76" s="784"/>
      <c r="W76" s="774"/>
      <c r="X76" s="776"/>
      <c r="Y76" s="784"/>
      <c r="Z76" s="774"/>
      <c r="AA76" s="776"/>
      <c r="AB76" s="784"/>
      <c r="AC76" s="774"/>
      <c r="AD76" s="776"/>
      <c r="AE76" s="784"/>
      <c r="AF76" s="774"/>
      <c r="AG76" s="776"/>
      <c r="AH76" s="784"/>
      <c r="AI76" s="774"/>
      <c r="AJ76" s="776"/>
      <c r="AK76" s="784"/>
      <c r="AL76" s="774"/>
      <c r="AM76" s="776"/>
      <c r="AN76" s="784"/>
      <c r="AO76" s="774"/>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144</v>
      </c>
      <c r="C77" s="777" t="s">
        <v>119</v>
      </c>
      <c r="D77" s="778">
        <v>1.025502252081621</v>
      </c>
      <c r="E77" s="789">
        <v>2411304.65</v>
      </c>
      <c r="F77" s="777" t="s">
        <v>119</v>
      </c>
      <c r="G77" s="778">
        <v>1.2843739492278881</v>
      </c>
      <c r="H77" s="789">
        <v>182621.42</v>
      </c>
      <c r="I77" s="777" t="s">
        <v>119</v>
      </c>
      <c r="J77" s="778">
        <v>0.79237283137421777</v>
      </c>
      <c r="K77" s="789">
        <v>200852.67</v>
      </c>
      <c r="L77" s="777" t="s">
        <v>119</v>
      </c>
      <c r="M77" s="778">
        <v>0.89833014253193721</v>
      </c>
      <c r="N77" s="789">
        <v>252933.26</v>
      </c>
      <c r="O77" s="777" t="s">
        <v>119</v>
      </c>
      <c r="P77" s="778">
        <v>0.88313298902015458</v>
      </c>
      <c r="Q77" s="789">
        <v>229265.50999999998</v>
      </c>
      <c r="R77" s="777" t="s">
        <v>119</v>
      </c>
      <c r="S77" s="778">
        <v>0.99310912592008649</v>
      </c>
      <c r="T77" s="789">
        <v>234001.02</v>
      </c>
      <c r="U77" s="777" t="s">
        <v>119</v>
      </c>
      <c r="V77" s="778">
        <v>1.3871485295286152</v>
      </c>
      <c r="W77" s="789">
        <v>173357.31999999989</v>
      </c>
      <c r="X77" s="777" t="s">
        <v>119</v>
      </c>
      <c r="Y77" s="778">
        <v>0.90534968964641482</v>
      </c>
      <c r="Z77" s="789">
        <v>230113.97999999998</v>
      </c>
      <c r="AA77" s="777" t="s">
        <v>119</v>
      </c>
      <c r="AB77" s="778">
        <v>0.91929440927793415</v>
      </c>
      <c r="AC77" s="789">
        <v>243361.38</v>
      </c>
      <c r="AD77" s="777" t="s">
        <v>119</v>
      </c>
      <c r="AE77" s="778">
        <v>1.2802719685789086</v>
      </c>
      <c r="AF77" s="789">
        <v>198819.08</v>
      </c>
      <c r="AG77" s="777" t="s">
        <v>119</v>
      </c>
      <c r="AH77" s="778">
        <v>1.4181949850986673</v>
      </c>
      <c r="AI77" s="789">
        <v>184182.33000000002</v>
      </c>
      <c r="AJ77" s="777" t="s">
        <v>119</v>
      </c>
      <c r="AK77" s="778">
        <v>1.1104185510002613</v>
      </c>
      <c r="AL77" s="789">
        <v>141625.97999999998</v>
      </c>
      <c r="AM77" s="777" t="s">
        <v>119</v>
      </c>
      <c r="AN77" s="778">
        <v>1.1461030890745854</v>
      </c>
      <c r="AO77" s="789">
        <v>140170.6999999999</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145</v>
      </c>
      <c r="C78" s="747"/>
      <c r="D78" s="757"/>
      <c r="E78" s="758">
        <v>87295</v>
      </c>
      <c r="F78" s="747"/>
      <c r="G78" s="757"/>
      <c r="H78" s="771">
        <v>0</v>
      </c>
      <c r="I78" s="747"/>
      <c r="J78" s="757"/>
      <c r="K78" s="771">
        <v>0</v>
      </c>
      <c r="L78" s="747"/>
      <c r="M78" s="757"/>
      <c r="N78" s="771">
        <v>0</v>
      </c>
      <c r="O78" s="747"/>
      <c r="P78" s="757"/>
      <c r="Q78" s="771">
        <v>695</v>
      </c>
      <c r="R78" s="747"/>
      <c r="S78" s="757"/>
      <c r="T78" s="771">
        <v>0</v>
      </c>
      <c r="U78" s="747"/>
      <c r="V78" s="757"/>
      <c r="W78" s="771">
        <v>20000</v>
      </c>
      <c r="X78" s="747"/>
      <c r="Y78" s="757"/>
      <c r="Z78" s="771">
        <v>18100</v>
      </c>
      <c r="AA78" s="747"/>
      <c r="AB78" s="757"/>
      <c r="AC78" s="771">
        <v>0</v>
      </c>
      <c r="AD78" s="747"/>
      <c r="AE78" s="757"/>
      <c r="AF78" s="771">
        <v>16000</v>
      </c>
      <c r="AG78" s="747"/>
      <c r="AH78" s="757"/>
      <c r="AI78" s="771">
        <v>0</v>
      </c>
      <c r="AJ78" s="747"/>
      <c r="AK78" s="757"/>
      <c r="AL78" s="771">
        <v>12500</v>
      </c>
      <c r="AM78" s="747"/>
      <c r="AN78" s="757"/>
      <c r="AO78" s="771">
        <v>20000</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146</v>
      </c>
      <c r="C79" s="747"/>
      <c r="D79" s="757"/>
      <c r="E79" s="758">
        <v>0</v>
      </c>
      <c r="F79" s="747"/>
      <c r="G79" s="757"/>
      <c r="H79" s="771">
        <v>0</v>
      </c>
      <c r="I79" s="747"/>
      <c r="J79" s="757"/>
      <c r="K79" s="771">
        <v>0</v>
      </c>
      <c r="L79" s="747"/>
      <c r="M79" s="757"/>
      <c r="N79" s="771">
        <v>0</v>
      </c>
      <c r="O79" s="747"/>
      <c r="P79" s="757"/>
      <c r="Q79" s="771">
        <v>0</v>
      </c>
      <c r="R79" s="747"/>
      <c r="S79" s="757"/>
      <c r="T79" s="771">
        <v>0</v>
      </c>
      <c r="U79" s="747"/>
      <c r="V79" s="757"/>
      <c r="W79" s="771">
        <v>0</v>
      </c>
      <c r="X79" s="747"/>
      <c r="Y79" s="757"/>
      <c r="Z79" s="771">
        <v>0</v>
      </c>
      <c r="AA79" s="747"/>
      <c r="AB79" s="757"/>
      <c r="AC79" s="771">
        <v>0</v>
      </c>
      <c r="AD79" s="747"/>
      <c r="AE79" s="757"/>
      <c r="AF79" s="771">
        <v>0</v>
      </c>
      <c r="AG79" s="747"/>
      <c r="AH79" s="757"/>
      <c r="AI79" s="771">
        <v>0</v>
      </c>
      <c r="AJ79" s="747"/>
      <c r="AK79" s="757"/>
      <c r="AL79" s="771">
        <v>0</v>
      </c>
      <c r="AM79" s="747"/>
      <c r="AN79" s="757"/>
      <c r="AO79" s="771">
        <v>0</v>
      </c>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147</v>
      </c>
      <c r="C80" s="747"/>
      <c r="D80" s="757"/>
      <c r="E80" s="758">
        <v>0</v>
      </c>
      <c r="F80" s="747"/>
      <c r="G80" s="757"/>
      <c r="H80" s="771">
        <v>0</v>
      </c>
      <c r="I80" s="747"/>
      <c r="J80" s="757"/>
      <c r="K80" s="771">
        <v>0</v>
      </c>
      <c r="L80" s="747"/>
      <c r="M80" s="757"/>
      <c r="N80" s="771">
        <v>0</v>
      </c>
      <c r="O80" s="747"/>
      <c r="P80" s="757"/>
      <c r="Q80" s="771">
        <v>0</v>
      </c>
      <c r="R80" s="747"/>
      <c r="S80" s="757"/>
      <c r="T80" s="771">
        <v>0</v>
      </c>
      <c r="U80" s="747"/>
      <c r="V80" s="757"/>
      <c r="W80" s="771">
        <v>0</v>
      </c>
      <c r="X80" s="747"/>
      <c r="Y80" s="757"/>
      <c r="Z80" s="771">
        <v>0</v>
      </c>
      <c r="AA80" s="747"/>
      <c r="AB80" s="757"/>
      <c r="AC80" s="771">
        <v>0</v>
      </c>
      <c r="AD80" s="747"/>
      <c r="AE80" s="757"/>
      <c r="AF80" s="771">
        <v>0</v>
      </c>
      <c r="AG80" s="747"/>
      <c r="AH80" s="757"/>
      <c r="AI80" s="771">
        <v>0</v>
      </c>
      <c r="AJ80" s="747"/>
      <c r="AK80" s="757"/>
      <c r="AL80" s="771">
        <v>0</v>
      </c>
      <c r="AM80" s="747"/>
      <c r="AN80" s="757"/>
      <c r="AO80" s="771">
        <v>0</v>
      </c>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148</v>
      </c>
      <c r="C81" s="747"/>
      <c r="D81" s="757"/>
      <c r="E81" s="758">
        <v>953913.25</v>
      </c>
      <c r="F81" s="747"/>
      <c r="G81" s="757"/>
      <c r="H81" s="771">
        <v>51590</v>
      </c>
      <c r="I81" s="747"/>
      <c r="J81" s="757"/>
      <c r="K81" s="771">
        <v>91804.85</v>
      </c>
      <c r="L81" s="747"/>
      <c r="M81" s="757"/>
      <c r="N81" s="771">
        <v>83565</v>
      </c>
      <c r="O81" s="747"/>
      <c r="P81" s="757"/>
      <c r="Q81" s="771">
        <v>106078.85</v>
      </c>
      <c r="R81" s="747"/>
      <c r="S81" s="757"/>
      <c r="T81" s="771">
        <v>99044.7</v>
      </c>
      <c r="U81" s="747"/>
      <c r="V81" s="757"/>
      <c r="W81" s="771">
        <v>55522</v>
      </c>
      <c r="X81" s="747"/>
      <c r="Y81" s="757"/>
      <c r="Z81" s="771">
        <v>127510</v>
      </c>
      <c r="AA81" s="747"/>
      <c r="AB81" s="757"/>
      <c r="AC81" s="771">
        <v>110039</v>
      </c>
      <c r="AD81" s="747"/>
      <c r="AE81" s="757"/>
      <c r="AF81" s="771">
        <v>52835</v>
      </c>
      <c r="AG81" s="747"/>
      <c r="AH81" s="757"/>
      <c r="AI81" s="771">
        <v>66750.850000000006</v>
      </c>
      <c r="AJ81" s="747"/>
      <c r="AK81" s="757"/>
      <c r="AL81" s="771">
        <v>55120</v>
      </c>
      <c r="AM81" s="747"/>
      <c r="AN81" s="757"/>
      <c r="AO81" s="771">
        <v>54053</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59</v>
      </c>
      <c r="C82" s="747"/>
      <c r="D82" s="757"/>
      <c r="E82" s="758">
        <v>0</v>
      </c>
      <c r="F82" s="747"/>
      <c r="G82" s="757"/>
      <c r="H82" s="771">
        <v>0</v>
      </c>
      <c r="I82" s="747"/>
      <c r="J82" s="757"/>
      <c r="K82" s="771">
        <v>0</v>
      </c>
      <c r="L82" s="747"/>
      <c r="M82" s="757"/>
      <c r="N82" s="771">
        <v>0</v>
      </c>
      <c r="O82" s="747"/>
      <c r="P82" s="757"/>
      <c r="Q82" s="771">
        <v>0</v>
      </c>
      <c r="R82" s="747"/>
      <c r="S82" s="757"/>
      <c r="T82" s="771">
        <v>0</v>
      </c>
      <c r="U82" s="747"/>
      <c r="V82" s="757"/>
      <c r="W82" s="771">
        <v>0</v>
      </c>
      <c r="X82" s="747"/>
      <c r="Y82" s="757"/>
      <c r="Z82" s="771">
        <v>0</v>
      </c>
      <c r="AA82" s="747"/>
      <c r="AB82" s="757"/>
      <c r="AC82" s="771">
        <v>0</v>
      </c>
      <c r="AD82" s="747"/>
      <c r="AE82" s="757"/>
      <c r="AF82" s="771">
        <v>0</v>
      </c>
      <c r="AG82" s="747"/>
      <c r="AH82" s="757"/>
      <c r="AI82" s="771">
        <v>0</v>
      </c>
      <c r="AJ82" s="747"/>
      <c r="AK82" s="757"/>
      <c r="AL82" s="771">
        <v>0</v>
      </c>
      <c r="AM82" s="747"/>
      <c r="AN82" s="757"/>
      <c r="AO82" s="771">
        <v>0</v>
      </c>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59</v>
      </c>
      <c r="C83" s="747"/>
      <c r="D83" s="757"/>
      <c r="E83" s="758">
        <v>0</v>
      </c>
      <c r="F83" s="747"/>
      <c r="G83" s="757"/>
      <c r="H83" s="771">
        <v>0</v>
      </c>
      <c r="I83" s="747"/>
      <c r="J83" s="757"/>
      <c r="K83" s="771">
        <v>0</v>
      </c>
      <c r="L83" s="747"/>
      <c r="M83" s="757"/>
      <c r="N83" s="771">
        <v>0</v>
      </c>
      <c r="O83" s="747"/>
      <c r="P83" s="757"/>
      <c r="Q83" s="771">
        <v>0</v>
      </c>
      <c r="R83" s="747"/>
      <c r="S83" s="757"/>
      <c r="T83" s="771">
        <v>0</v>
      </c>
      <c r="U83" s="747"/>
      <c r="V83" s="757"/>
      <c r="W83" s="771">
        <v>0</v>
      </c>
      <c r="X83" s="747"/>
      <c r="Y83" s="757"/>
      <c r="Z83" s="771">
        <v>0</v>
      </c>
      <c r="AA83" s="747"/>
      <c r="AB83" s="757"/>
      <c r="AC83" s="771">
        <v>0</v>
      </c>
      <c r="AD83" s="747"/>
      <c r="AE83" s="757"/>
      <c r="AF83" s="771">
        <v>0</v>
      </c>
      <c r="AG83" s="747"/>
      <c r="AH83" s="757"/>
      <c r="AI83" s="771">
        <v>0</v>
      </c>
      <c r="AJ83" s="747"/>
      <c r="AK83" s="757"/>
      <c r="AL83" s="771">
        <v>0</v>
      </c>
      <c r="AM83" s="747"/>
      <c r="AN83" s="757"/>
      <c r="AO83" s="771">
        <v>0</v>
      </c>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59</v>
      </c>
      <c r="C84" s="747"/>
      <c r="D84" s="757"/>
      <c r="E84" s="758">
        <v>0</v>
      </c>
      <c r="F84" s="747"/>
      <c r="G84" s="757"/>
      <c r="H84" s="771">
        <v>0</v>
      </c>
      <c r="I84" s="747"/>
      <c r="J84" s="757"/>
      <c r="K84" s="771">
        <v>0</v>
      </c>
      <c r="L84" s="747"/>
      <c r="M84" s="757"/>
      <c r="N84" s="771">
        <v>0</v>
      </c>
      <c r="O84" s="747"/>
      <c r="P84" s="757"/>
      <c r="Q84" s="771">
        <v>0</v>
      </c>
      <c r="R84" s="747"/>
      <c r="S84" s="757"/>
      <c r="T84" s="771">
        <v>0</v>
      </c>
      <c r="U84" s="747"/>
      <c r="V84" s="757"/>
      <c r="W84" s="771">
        <v>0</v>
      </c>
      <c r="X84" s="747"/>
      <c r="Y84" s="757"/>
      <c r="Z84" s="771">
        <v>0</v>
      </c>
      <c r="AA84" s="747"/>
      <c r="AB84" s="757"/>
      <c r="AC84" s="771">
        <v>0</v>
      </c>
      <c r="AD84" s="747"/>
      <c r="AE84" s="757"/>
      <c r="AF84" s="771">
        <v>0</v>
      </c>
      <c r="AG84" s="747"/>
      <c r="AH84" s="757"/>
      <c r="AI84" s="771">
        <v>0</v>
      </c>
      <c r="AJ84" s="747"/>
      <c r="AK84" s="757"/>
      <c r="AL84" s="771">
        <v>0</v>
      </c>
      <c r="AM84" s="747"/>
      <c r="AN84" s="757"/>
      <c r="AO84" s="771">
        <v>0</v>
      </c>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149</v>
      </c>
      <c r="C85" s="747"/>
      <c r="D85" s="757"/>
      <c r="E85" s="758">
        <v>330462.5</v>
      </c>
      <c r="F85" s="747"/>
      <c r="G85" s="757"/>
      <c r="H85" s="771">
        <v>24336</v>
      </c>
      <c r="I85" s="747"/>
      <c r="J85" s="757"/>
      <c r="K85" s="771">
        <v>30949</v>
      </c>
      <c r="L85" s="747"/>
      <c r="M85" s="757"/>
      <c r="N85" s="771">
        <v>34491</v>
      </c>
      <c r="O85" s="747"/>
      <c r="P85" s="757"/>
      <c r="Q85" s="771">
        <v>36038</v>
      </c>
      <c r="R85" s="747"/>
      <c r="S85" s="757"/>
      <c r="T85" s="771">
        <v>32586</v>
      </c>
      <c r="U85" s="747"/>
      <c r="V85" s="757"/>
      <c r="W85" s="771">
        <v>19532.5</v>
      </c>
      <c r="X85" s="747"/>
      <c r="Y85" s="757"/>
      <c r="Z85" s="771">
        <v>35590</v>
      </c>
      <c r="AA85" s="747"/>
      <c r="AB85" s="757"/>
      <c r="AC85" s="771">
        <v>39816</v>
      </c>
      <c r="AD85" s="747"/>
      <c r="AE85" s="757"/>
      <c r="AF85" s="771">
        <v>19467</v>
      </c>
      <c r="AG85" s="747"/>
      <c r="AH85" s="757"/>
      <c r="AI85" s="771">
        <v>24378</v>
      </c>
      <c r="AJ85" s="747"/>
      <c r="AK85" s="757"/>
      <c r="AL85" s="771">
        <v>16782</v>
      </c>
      <c r="AM85" s="747"/>
      <c r="AN85" s="757"/>
      <c r="AO85" s="771">
        <v>16497</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150</v>
      </c>
      <c r="C86" s="790"/>
      <c r="D86" s="791"/>
      <c r="E86" s="792">
        <v>1371670.75</v>
      </c>
      <c r="F86" s="790"/>
      <c r="G86" s="791"/>
      <c r="H86" s="792">
        <v>75926</v>
      </c>
      <c r="I86" s="790"/>
      <c r="J86" s="791"/>
      <c r="K86" s="792">
        <v>122753.85</v>
      </c>
      <c r="L86" s="790"/>
      <c r="M86" s="791"/>
      <c r="N86" s="792">
        <v>118056</v>
      </c>
      <c r="O86" s="790"/>
      <c r="P86" s="791"/>
      <c r="Q86" s="792">
        <v>142811.85</v>
      </c>
      <c r="R86" s="790"/>
      <c r="S86" s="791"/>
      <c r="T86" s="792">
        <v>131630.70000000001</v>
      </c>
      <c r="U86" s="790"/>
      <c r="V86" s="791"/>
      <c r="W86" s="792">
        <v>95054.5</v>
      </c>
      <c r="X86" s="790"/>
      <c r="Y86" s="791"/>
      <c r="Z86" s="792">
        <v>181200</v>
      </c>
      <c r="AA86" s="790"/>
      <c r="AB86" s="791"/>
      <c r="AC86" s="792">
        <v>149855</v>
      </c>
      <c r="AD86" s="790"/>
      <c r="AE86" s="791"/>
      <c r="AF86" s="792">
        <v>88302</v>
      </c>
      <c r="AG86" s="790"/>
      <c r="AH86" s="791"/>
      <c r="AI86" s="792">
        <v>91128.85</v>
      </c>
      <c r="AJ86" s="790"/>
      <c r="AK86" s="791"/>
      <c r="AL86" s="792">
        <v>84402</v>
      </c>
      <c r="AM86" s="790"/>
      <c r="AN86" s="791"/>
      <c r="AO86" s="792">
        <v>90550</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793"/>
      <c r="D87" s="794"/>
      <c r="E87" s="795"/>
      <c r="F87" s="793"/>
      <c r="G87" s="794"/>
      <c r="H87" s="795"/>
      <c r="I87" s="793"/>
      <c r="J87" s="794"/>
      <c r="K87" s="795"/>
      <c r="L87" s="793"/>
      <c r="M87" s="794"/>
      <c r="N87" s="795"/>
      <c r="O87" s="793"/>
      <c r="P87" s="794"/>
      <c r="Q87" s="795"/>
      <c r="R87" s="793"/>
      <c r="S87" s="794"/>
      <c r="T87" s="795"/>
      <c r="U87" s="793"/>
      <c r="V87" s="794"/>
      <c r="W87" s="795"/>
      <c r="X87" s="793"/>
      <c r="Y87" s="794"/>
      <c r="Z87" s="795"/>
      <c r="AA87" s="793"/>
      <c r="AB87" s="794"/>
      <c r="AC87" s="795"/>
      <c r="AD87" s="793"/>
      <c r="AE87" s="794"/>
      <c r="AF87" s="795"/>
      <c r="AG87" s="793"/>
      <c r="AH87" s="794"/>
      <c r="AI87" s="795"/>
      <c r="AJ87" s="793"/>
      <c r="AK87" s="794"/>
      <c r="AL87" s="795"/>
      <c r="AM87" s="793"/>
      <c r="AN87" s="794"/>
      <c r="AO87" s="795"/>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thickBot="1">
      <c r="A88" s="39" t="str">
        <f t="shared" si="0"/>
        <v>Véhicules neufsPROFIT DÉPARTEMENTAL</v>
      </c>
      <c r="B88" s="57" t="s">
        <v>151</v>
      </c>
      <c r="C88" s="796"/>
      <c r="D88" s="797"/>
      <c r="E88" s="798">
        <v>1311706.2799999961</v>
      </c>
      <c r="F88" s="796"/>
      <c r="G88" s="797"/>
      <c r="H88" s="798">
        <v>35491.689999999886</v>
      </c>
      <c r="I88" s="796"/>
      <c r="J88" s="797"/>
      <c r="K88" s="798">
        <v>175383.70999999988</v>
      </c>
      <c r="L88" s="796"/>
      <c r="M88" s="797"/>
      <c r="N88" s="798">
        <v>146682.09999999887</v>
      </c>
      <c r="O88" s="796"/>
      <c r="P88" s="797"/>
      <c r="Q88" s="798">
        <v>173151.0799999999</v>
      </c>
      <c r="R88" s="796"/>
      <c r="S88" s="797"/>
      <c r="T88" s="798">
        <v>133254.35999999993</v>
      </c>
      <c r="U88" s="796"/>
      <c r="V88" s="797"/>
      <c r="W88" s="798">
        <v>46671.049999999799</v>
      </c>
      <c r="X88" s="796"/>
      <c r="Y88" s="797"/>
      <c r="Z88" s="798">
        <v>205257.39999999892</v>
      </c>
      <c r="AA88" s="796"/>
      <c r="AB88" s="797"/>
      <c r="AC88" s="798">
        <v>171219.88999999902</v>
      </c>
      <c r="AD88" s="796"/>
      <c r="AE88" s="797"/>
      <c r="AF88" s="798">
        <v>44777.3299999999</v>
      </c>
      <c r="AG88" s="796"/>
      <c r="AH88" s="797"/>
      <c r="AI88" s="798">
        <v>36817.470000000161</v>
      </c>
      <c r="AJ88" s="796"/>
      <c r="AK88" s="797"/>
      <c r="AL88" s="798">
        <v>70318.89999999982</v>
      </c>
      <c r="AM88" s="796"/>
      <c r="AN88" s="797"/>
      <c r="AO88" s="798">
        <v>72681.300000000061</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799"/>
      <c r="D89" s="799"/>
      <c r="E89" s="800"/>
      <c r="F89" s="799"/>
      <c r="G89" s="799"/>
      <c r="H89" s="800"/>
      <c r="I89" s="799"/>
      <c r="J89" s="799"/>
      <c r="K89" s="800"/>
      <c r="L89" s="799"/>
      <c r="M89" s="799"/>
      <c r="N89" s="800"/>
      <c r="O89" s="799"/>
      <c r="P89" s="799"/>
      <c r="Q89" s="800"/>
      <c r="R89" s="799"/>
      <c r="S89" s="799"/>
      <c r="T89" s="800"/>
      <c r="U89" s="799"/>
      <c r="V89" s="799"/>
      <c r="W89" s="800"/>
      <c r="X89" s="799"/>
      <c r="Y89" s="799"/>
      <c r="Z89" s="800"/>
      <c r="AA89" s="799"/>
      <c r="AB89" s="799"/>
      <c r="AC89" s="800"/>
      <c r="AD89" s="799"/>
      <c r="AE89" s="799"/>
      <c r="AF89" s="800"/>
      <c r="AG89" s="799"/>
      <c r="AH89" s="799"/>
      <c r="AI89" s="800"/>
      <c r="AJ89" s="799"/>
      <c r="AK89" s="799"/>
      <c r="AL89" s="800"/>
      <c r="AM89" s="799"/>
      <c r="AN89" s="799"/>
      <c r="AO89" s="800"/>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799"/>
      <c r="D90" s="799"/>
      <c r="E90" s="799"/>
      <c r="F90" s="799"/>
      <c r="G90" s="799"/>
      <c r="H90" s="799"/>
      <c r="I90" s="799"/>
      <c r="J90" s="799"/>
      <c r="K90" s="799"/>
      <c r="L90" s="799"/>
      <c r="M90" s="799"/>
      <c r="N90" s="799"/>
      <c r="O90" s="799"/>
      <c r="P90" s="799"/>
      <c r="Q90" s="799"/>
      <c r="R90" s="799"/>
      <c r="S90" s="799"/>
      <c r="T90" s="799"/>
      <c r="U90" s="799"/>
      <c r="V90" s="799"/>
      <c r="W90" s="799"/>
      <c r="X90" s="799"/>
      <c r="Y90" s="799"/>
      <c r="Z90" s="799"/>
      <c r="AA90" s="799"/>
      <c r="AB90" s="799"/>
      <c r="AC90" s="799"/>
      <c r="AD90" s="799"/>
      <c r="AE90" s="799"/>
      <c r="AF90" s="799"/>
      <c r="AG90" s="799"/>
      <c r="AH90" s="799"/>
      <c r="AI90" s="799"/>
      <c r="AJ90" s="799"/>
      <c r="AK90" s="799"/>
      <c r="AL90" s="799"/>
      <c r="AM90" s="799"/>
      <c r="AN90" s="799"/>
      <c r="AO90" s="799"/>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801"/>
      <c r="D91" s="801"/>
      <c r="E91" s="801"/>
      <c r="F91" s="801"/>
      <c r="G91" s="801"/>
      <c r="H91" s="801"/>
      <c r="I91" s="801"/>
      <c r="J91" s="801"/>
      <c r="K91" s="801"/>
      <c r="L91" s="801"/>
      <c r="M91" s="801"/>
      <c r="N91" s="801"/>
      <c r="O91" s="801"/>
      <c r="P91" s="801"/>
      <c r="Q91" s="801"/>
      <c r="R91" s="801"/>
      <c r="S91" s="801"/>
      <c r="T91" s="801"/>
      <c r="U91" s="801"/>
      <c r="V91" s="801"/>
      <c r="W91" s="801"/>
      <c r="X91" s="801"/>
      <c r="Y91" s="801"/>
      <c r="Z91" s="801"/>
      <c r="AA91" s="801"/>
      <c r="AB91" s="801"/>
      <c r="AC91" s="801"/>
      <c r="AD91" s="801"/>
      <c r="AE91" s="801"/>
      <c r="AF91" s="801"/>
      <c r="AG91" s="801"/>
      <c r="AH91" s="801"/>
      <c r="AI91" s="801"/>
      <c r="AJ91" s="801"/>
      <c r="AK91" s="801"/>
      <c r="AL91" s="801"/>
      <c r="AM91" s="801"/>
      <c r="AN91" s="801"/>
      <c r="AO91" s="801"/>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3937</v>
      </c>
      <c r="C92" s="802" t="s">
        <v>152</v>
      </c>
      <c r="D92" s="802"/>
      <c r="E92" s="802"/>
      <c r="F92" s="802"/>
      <c r="G92" s="802"/>
      <c r="H92" s="802"/>
      <c r="I92" s="802"/>
      <c r="J92" s="802"/>
      <c r="K92" s="802"/>
      <c r="L92" s="802"/>
      <c r="M92" s="802"/>
      <c r="N92" s="802"/>
      <c r="O92" s="802"/>
      <c r="P92" s="802"/>
      <c r="Q92" s="802"/>
      <c r="R92" s="802"/>
      <c r="S92" s="802"/>
      <c r="T92" s="802"/>
      <c r="U92" s="802"/>
      <c r="V92" s="802"/>
      <c r="W92" s="802"/>
      <c r="X92" s="802"/>
      <c r="Y92" s="802"/>
      <c r="Z92" s="802"/>
      <c r="AA92" s="802"/>
      <c r="AB92" s="802"/>
      <c r="AC92" s="802"/>
      <c r="AD92" s="802"/>
      <c r="AE92" s="802"/>
      <c r="AF92" s="802"/>
      <c r="AG92" s="802"/>
      <c r="AH92" s="802"/>
      <c r="AI92" s="802"/>
      <c r="AJ92" s="802"/>
      <c r="AK92" s="802"/>
      <c r="AL92" s="802"/>
      <c r="AM92" s="802"/>
      <c r="AN92" s="802"/>
      <c r="AO92" s="802"/>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thickBot="1">
      <c r="A93" s="39"/>
      <c r="B93" s="62"/>
      <c r="C93" s="801"/>
      <c r="D93" s="801"/>
      <c r="E93" s="801"/>
      <c r="F93" s="801"/>
      <c r="G93" s="801"/>
      <c r="H93" s="801"/>
      <c r="I93" s="801"/>
      <c r="J93" s="801"/>
      <c r="K93" s="801"/>
      <c r="L93" s="801"/>
      <c r="M93" s="801"/>
      <c r="N93" s="801"/>
      <c r="O93" s="801"/>
      <c r="P93" s="801"/>
      <c r="Q93" s="801"/>
      <c r="R93" s="801"/>
      <c r="S93" s="801"/>
      <c r="T93" s="801"/>
      <c r="U93" s="801"/>
      <c r="V93" s="801"/>
      <c r="W93" s="801"/>
      <c r="X93" s="801"/>
      <c r="Y93" s="801"/>
      <c r="Z93" s="801"/>
      <c r="AA93" s="801"/>
      <c r="AB93" s="801"/>
      <c r="AC93" s="801"/>
      <c r="AD93" s="801"/>
      <c r="AE93" s="801"/>
      <c r="AF93" s="801"/>
      <c r="AG93" s="801"/>
      <c r="AH93" s="801"/>
      <c r="AI93" s="801"/>
      <c r="AJ93" s="801"/>
      <c r="AK93" s="801"/>
      <c r="AL93" s="801"/>
      <c r="AM93" s="801"/>
      <c r="AN93" s="801"/>
      <c r="AO93" s="801"/>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thickTop="1">
      <c r="A94" s="39"/>
      <c r="B94" s="40" t="s">
        <v>3</v>
      </c>
      <c r="C94" s="969">
        <v>2024</v>
      </c>
      <c r="D94" s="970"/>
      <c r="E94" s="971"/>
      <c r="F94" s="729" t="s">
        <v>8</v>
      </c>
      <c r="G94" s="730"/>
      <c r="H94" s="731"/>
      <c r="I94" s="729" t="s">
        <v>10</v>
      </c>
      <c r="J94" s="730"/>
      <c r="K94" s="731"/>
      <c r="L94" s="729" t="s">
        <v>11</v>
      </c>
      <c r="M94" s="730"/>
      <c r="N94" s="731"/>
      <c r="O94" s="729" t="s">
        <v>12</v>
      </c>
      <c r="P94" s="730"/>
      <c r="Q94" s="731"/>
      <c r="R94" s="729" t="s">
        <v>13</v>
      </c>
      <c r="S94" s="730"/>
      <c r="T94" s="731"/>
      <c r="U94" s="729" t="s">
        <v>14</v>
      </c>
      <c r="V94" s="730"/>
      <c r="W94" s="731"/>
      <c r="X94" s="729" t="s">
        <v>16</v>
      </c>
      <c r="Y94" s="730"/>
      <c r="Z94" s="731"/>
      <c r="AA94" s="729" t="s">
        <v>18</v>
      </c>
      <c r="AB94" s="730"/>
      <c r="AC94" s="731"/>
      <c r="AD94" s="729" t="s">
        <v>20</v>
      </c>
      <c r="AE94" s="730"/>
      <c r="AF94" s="731"/>
      <c r="AG94" s="729" t="s">
        <v>22</v>
      </c>
      <c r="AH94" s="730"/>
      <c r="AI94" s="731"/>
      <c r="AJ94" s="729" t="s">
        <v>23</v>
      </c>
      <c r="AK94" s="730"/>
      <c r="AL94" s="731"/>
      <c r="AM94" s="729" t="s">
        <v>6</v>
      </c>
      <c r="AN94" s="730"/>
      <c r="AO94" s="731"/>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803" t="s">
        <v>93</v>
      </c>
      <c r="D95" s="768" t="s">
        <v>94</v>
      </c>
      <c r="E95" s="804" t="s">
        <v>95</v>
      </c>
      <c r="F95" s="803" t="s">
        <v>93</v>
      </c>
      <c r="G95" s="768" t="s">
        <v>94</v>
      </c>
      <c r="H95" s="804" t="s">
        <v>95</v>
      </c>
      <c r="I95" s="803" t="s">
        <v>93</v>
      </c>
      <c r="J95" s="768" t="s">
        <v>94</v>
      </c>
      <c r="K95" s="804" t="s">
        <v>95</v>
      </c>
      <c r="L95" s="803" t="s">
        <v>93</v>
      </c>
      <c r="M95" s="768" t="s">
        <v>94</v>
      </c>
      <c r="N95" s="804" t="s">
        <v>95</v>
      </c>
      <c r="O95" s="803" t="s">
        <v>93</v>
      </c>
      <c r="P95" s="768" t="s">
        <v>94</v>
      </c>
      <c r="Q95" s="804" t="s">
        <v>95</v>
      </c>
      <c r="R95" s="803" t="s">
        <v>93</v>
      </c>
      <c r="S95" s="768" t="s">
        <v>94</v>
      </c>
      <c r="T95" s="804" t="s">
        <v>95</v>
      </c>
      <c r="U95" s="803" t="s">
        <v>93</v>
      </c>
      <c r="V95" s="768" t="s">
        <v>94</v>
      </c>
      <c r="W95" s="804" t="s">
        <v>95</v>
      </c>
      <c r="X95" s="803" t="s">
        <v>93</v>
      </c>
      <c r="Y95" s="768" t="s">
        <v>94</v>
      </c>
      <c r="Z95" s="804" t="s">
        <v>95</v>
      </c>
      <c r="AA95" s="803" t="s">
        <v>93</v>
      </c>
      <c r="AB95" s="768" t="s">
        <v>94</v>
      </c>
      <c r="AC95" s="804" t="s">
        <v>95</v>
      </c>
      <c r="AD95" s="803" t="s">
        <v>93</v>
      </c>
      <c r="AE95" s="768" t="s">
        <v>94</v>
      </c>
      <c r="AF95" s="804" t="s">
        <v>95</v>
      </c>
      <c r="AG95" s="803" t="s">
        <v>93</v>
      </c>
      <c r="AH95" s="768" t="s">
        <v>94</v>
      </c>
      <c r="AI95" s="804" t="s">
        <v>95</v>
      </c>
      <c r="AJ95" s="803" t="s">
        <v>93</v>
      </c>
      <c r="AK95" s="768" t="s">
        <v>94</v>
      </c>
      <c r="AL95" s="804" t="s">
        <v>95</v>
      </c>
      <c r="AM95" s="803" t="s">
        <v>93</v>
      </c>
      <c r="AN95" s="768" t="s">
        <v>94</v>
      </c>
      <c r="AO95" s="804"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43" t="s">
        <v>96</v>
      </c>
      <c r="C96" s="735"/>
      <c r="D96" s="736"/>
      <c r="E96" s="737">
        <v>15217940.239999957</v>
      </c>
      <c r="F96" s="735"/>
      <c r="G96" s="736"/>
      <c r="H96" s="805">
        <v>1261256.23</v>
      </c>
      <c r="I96" s="735"/>
      <c r="J96" s="736"/>
      <c r="K96" s="805">
        <v>1454969.42</v>
      </c>
      <c r="L96" s="735"/>
      <c r="M96" s="736"/>
      <c r="N96" s="805">
        <v>1441390.13</v>
      </c>
      <c r="O96" s="735"/>
      <c r="P96" s="736"/>
      <c r="Q96" s="805">
        <v>1101235.54999999</v>
      </c>
      <c r="R96" s="735"/>
      <c r="S96" s="736"/>
      <c r="T96" s="805">
        <v>1785178.63</v>
      </c>
      <c r="U96" s="735"/>
      <c r="V96" s="736"/>
      <c r="W96" s="805">
        <v>1325634.6399999999</v>
      </c>
      <c r="X96" s="735"/>
      <c r="Y96" s="736"/>
      <c r="Z96" s="805">
        <v>1416483.5799999901</v>
      </c>
      <c r="AA96" s="735"/>
      <c r="AB96" s="736"/>
      <c r="AC96" s="805">
        <v>1094286.6100000001</v>
      </c>
      <c r="AD96" s="735"/>
      <c r="AE96" s="736"/>
      <c r="AF96" s="805">
        <v>1166915.49999999</v>
      </c>
      <c r="AG96" s="735"/>
      <c r="AH96" s="736"/>
      <c r="AI96" s="805">
        <v>1341799.54</v>
      </c>
      <c r="AJ96" s="735"/>
      <c r="AK96" s="736"/>
      <c r="AL96" s="805">
        <v>1025214.04999999</v>
      </c>
      <c r="AM96" s="735"/>
      <c r="AN96" s="736"/>
      <c r="AO96" s="805">
        <v>803576.36</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153</v>
      </c>
      <c r="C97" s="739">
        <v>304</v>
      </c>
      <c r="D97" s="740">
        <v>949.22845394736669</v>
      </c>
      <c r="E97" s="741">
        <v>288565.44999999949</v>
      </c>
      <c r="F97" s="742">
        <v>11</v>
      </c>
      <c r="G97" s="740">
        <v>311.87272727272637</v>
      </c>
      <c r="H97" s="743">
        <v>3430.5999999999899</v>
      </c>
      <c r="I97" s="742">
        <v>25</v>
      </c>
      <c r="J97" s="740">
        <v>127.26040000000359</v>
      </c>
      <c r="K97" s="743">
        <v>3181.5100000000898</v>
      </c>
      <c r="L97" s="742">
        <v>22</v>
      </c>
      <c r="M97" s="740">
        <v>1225.9168181818181</v>
      </c>
      <c r="N97" s="743">
        <v>26970.17</v>
      </c>
      <c r="O97" s="742">
        <v>22</v>
      </c>
      <c r="P97" s="740">
        <v>1680.7486363636317</v>
      </c>
      <c r="Q97" s="743">
        <v>36976.469999999899</v>
      </c>
      <c r="R97" s="742">
        <v>38</v>
      </c>
      <c r="S97" s="740">
        <v>23.055789473685028</v>
      </c>
      <c r="T97" s="743">
        <v>876.12000000003104</v>
      </c>
      <c r="U97" s="742">
        <v>31</v>
      </c>
      <c r="V97" s="740">
        <v>599.35870967741619</v>
      </c>
      <c r="W97" s="743">
        <v>18580.119999999901</v>
      </c>
      <c r="X97" s="742">
        <v>25</v>
      </c>
      <c r="Y97" s="740">
        <v>1627.894399999996</v>
      </c>
      <c r="Z97" s="743">
        <v>40697.359999999899</v>
      </c>
      <c r="AA97" s="742">
        <v>19</v>
      </c>
      <c r="AB97" s="740">
        <v>922.09052631578959</v>
      </c>
      <c r="AC97" s="743">
        <v>17519.72</v>
      </c>
      <c r="AD97" s="742">
        <v>27</v>
      </c>
      <c r="AE97" s="740">
        <v>1293.3581481481442</v>
      </c>
      <c r="AF97" s="743">
        <v>34920.669999999896</v>
      </c>
      <c r="AG97" s="742">
        <v>37</v>
      </c>
      <c r="AH97" s="740">
        <v>1033.9343243243243</v>
      </c>
      <c r="AI97" s="743">
        <v>38255.57</v>
      </c>
      <c r="AJ97" s="742">
        <v>30</v>
      </c>
      <c r="AK97" s="740">
        <v>1597.6809999999966</v>
      </c>
      <c r="AL97" s="743">
        <v>47930.429999999898</v>
      </c>
      <c r="AM97" s="742">
        <v>17</v>
      </c>
      <c r="AN97" s="740">
        <v>1130.9829411764647</v>
      </c>
      <c r="AO97" s="743">
        <v>19226.709999999901</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154</v>
      </c>
      <c r="C98" s="739">
        <v>11</v>
      </c>
      <c r="D98" s="740">
        <v>-2135.6709090909094</v>
      </c>
      <c r="E98" s="741">
        <v>-23492.38</v>
      </c>
      <c r="F98" s="742">
        <v>1</v>
      </c>
      <c r="G98" s="740">
        <v>450</v>
      </c>
      <c r="H98" s="743">
        <v>450</v>
      </c>
      <c r="I98" s="742">
        <v>2</v>
      </c>
      <c r="J98" s="740">
        <v>-4595.2099999999946</v>
      </c>
      <c r="K98" s="743">
        <v>-9190.4199999999892</v>
      </c>
      <c r="L98" s="742">
        <v>0</v>
      </c>
      <c r="M98" s="740">
        <v>0</v>
      </c>
      <c r="N98" s="743">
        <v>0</v>
      </c>
      <c r="O98" s="742">
        <v>1</v>
      </c>
      <c r="P98" s="740">
        <v>1000</v>
      </c>
      <c r="Q98" s="743">
        <v>1000</v>
      </c>
      <c r="R98" s="742">
        <v>2</v>
      </c>
      <c r="S98" s="740">
        <v>-811.44999999999504</v>
      </c>
      <c r="T98" s="743">
        <v>-1622.8999999999901</v>
      </c>
      <c r="U98" s="742">
        <v>2</v>
      </c>
      <c r="V98" s="740">
        <v>1491.0899999999949</v>
      </c>
      <c r="W98" s="743">
        <v>2982.1799999999898</v>
      </c>
      <c r="X98" s="742">
        <v>5</v>
      </c>
      <c r="Y98" s="740">
        <v>1346.9039999999982</v>
      </c>
      <c r="Z98" s="743">
        <v>6734.5199999999904</v>
      </c>
      <c r="AA98" s="742">
        <v>6</v>
      </c>
      <c r="AB98" s="740">
        <v>615.43666666666661</v>
      </c>
      <c r="AC98" s="743">
        <v>3692.62</v>
      </c>
      <c r="AD98" s="742">
        <v>-13</v>
      </c>
      <c r="AE98" s="740">
        <v>1650.3969230769239</v>
      </c>
      <c r="AF98" s="743">
        <v>-21455.160000000011</v>
      </c>
      <c r="AG98" s="742">
        <v>3</v>
      </c>
      <c r="AH98" s="740">
        <v>-1128.6233333333332</v>
      </c>
      <c r="AI98" s="743">
        <v>-3385.87</v>
      </c>
      <c r="AJ98" s="742">
        <v>2</v>
      </c>
      <c r="AK98" s="740">
        <v>-1112.959999999995</v>
      </c>
      <c r="AL98" s="743">
        <v>-2225.9199999999901</v>
      </c>
      <c r="AM98" s="742">
        <v>0</v>
      </c>
      <c r="AN98" s="740">
        <v>0</v>
      </c>
      <c r="AO98" s="743">
        <v>-471.43</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44" t="s">
        <v>3859</v>
      </c>
      <c r="C99" s="739">
        <v>7</v>
      </c>
      <c r="D99" s="740">
        <v>5686.2242857142837</v>
      </c>
      <c r="E99" s="741">
        <v>39803.569999999985</v>
      </c>
      <c r="F99" s="742">
        <v>0</v>
      </c>
      <c r="G99" s="740">
        <v>0</v>
      </c>
      <c r="H99" s="743">
        <v>0</v>
      </c>
      <c r="I99" s="742">
        <v>0</v>
      </c>
      <c r="J99" s="740">
        <v>0</v>
      </c>
      <c r="K99" s="743">
        <v>0</v>
      </c>
      <c r="L99" s="742">
        <v>0</v>
      </c>
      <c r="M99" s="740">
        <v>0</v>
      </c>
      <c r="N99" s="743">
        <v>0</v>
      </c>
      <c r="O99" s="742">
        <v>0</v>
      </c>
      <c r="P99" s="740">
        <v>0</v>
      </c>
      <c r="Q99" s="743">
        <v>0</v>
      </c>
      <c r="R99" s="742">
        <v>0</v>
      </c>
      <c r="S99" s="740">
        <v>0</v>
      </c>
      <c r="T99" s="743">
        <v>0</v>
      </c>
      <c r="U99" s="742">
        <v>0</v>
      </c>
      <c r="V99" s="740">
        <v>0</v>
      </c>
      <c r="W99" s="743">
        <v>0</v>
      </c>
      <c r="X99" s="742">
        <v>0</v>
      </c>
      <c r="Y99" s="740">
        <v>0</v>
      </c>
      <c r="Z99" s="743">
        <v>0</v>
      </c>
      <c r="AA99" s="742">
        <v>0</v>
      </c>
      <c r="AB99" s="740">
        <v>0</v>
      </c>
      <c r="AC99" s="743">
        <v>0</v>
      </c>
      <c r="AD99" s="742">
        <v>0</v>
      </c>
      <c r="AE99" s="740">
        <v>0</v>
      </c>
      <c r="AF99" s="743">
        <v>24564.57</v>
      </c>
      <c r="AG99" s="742">
        <v>3</v>
      </c>
      <c r="AH99" s="740">
        <v>2230.9333333333334</v>
      </c>
      <c r="AI99" s="743">
        <v>6692.8</v>
      </c>
      <c r="AJ99" s="742">
        <v>3</v>
      </c>
      <c r="AK99" s="740">
        <v>2132.8666666666636</v>
      </c>
      <c r="AL99" s="743">
        <v>6398.5999999999904</v>
      </c>
      <c r="AM99" s="742">
        <v>1</v>
      </c>
      <c r="AN99" s="740">
        <v>2147.6</v>
      </c>
      <c r="AO99" s="743">
        <v>2147.6</v>
      </c>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45" t="s">
        <v>155</v>
      </c>
      <c r="C100" s="744">
        <v>322</v>
      </c>
      <c r="D100" s="745">
        <v>946.82186335403571</v>
      </c>
      <c r="E100" s="746">
        <v>304876.63999999949</v>
      </c>
      <c r="F100" s="744">
        <v>12</v>
      </c>
      <c r="G100" s="745">
        <v>323.38333333333247</v>
      </c>
      <c r="H100" s="746">
        <v>3880.5999999999899</v>
      </c>
      <c r="I100" s="744">
        <v>27</v>
      </c>
      <c r="J100" s="745">
        <v>-222.55222222221852</v>
      </c>
      <c r="K100" s="746">
        <v>-6008.9099999998998</v>
      </c>
      <c r="L100" s="744">
        <v>22</v>
      </c>
      <c r="M100" s="745">
        <v>1225.9168181818181</v>
      </c>
      <c r="N100" s="746">
        <v>26970.17</v>
      </c>
      <c r="O100" s="744">
        <v>23</v>
      </c>
      <c r="P100" s="745">
        <v>1651.150869565213</v>
      </c>
      <c r="Q100" s="746">
        <v>37976.469999999899</v>
      </c>
      <c r="R100" s="744">
        <v>40</v>
      </c>
      <c r="S100" s="745">
        <v>-18.669499999998976</v>
      </c>
      <c r="T100" s="746">
        <v>-746.77999999995905</v>
      </c>
      <c r="U100" s="744">
        <v>33</v>
      </c>
      <c r="V100" s="745">
        <v>653.40303030302698</v>
      </c>
      <c r="W100" s="746">
        <v>21562.29999999989</v>
      </c>
      <c r="X100" s="744">
        <v>30</v>
      </c>
      <c r="Y100" s="745">
        <v>1581.0626666666628</v>
      </c>
      <c r="Z100" s="746">
        <v>47431.879999999888</v>
      </c>
      <c r="AA100" s="744">
        <v>25</v>
      </c>
      <c r="AB100" s="745">
        <v>848.49360000000001</v>
      </c>
      <c r="AC100" s="746">
        <v>21212.34</v>
      </c>
      <c r="AD100" s="744">
        <v>14</v>
      </c>
      <c r="AE100" s="745">
        <v>2716.4342857142774</v>
      </c>
      <c r="AF100" s="746">
        <v>38030.079999999885</v>
      </c>
      <c r="AG100" s="744">
        <v>43</v>
      </c>
      <c r="AH100" s="745">
        <v>966.56976744186045</v>
      </c>
      <c r="AI100" s="746">
        <v>41562.5</v>
      </c>
      <c r="AJ100" s="744">
        <v>35</v>
      </c>
      <c r="AK100" s="745">
        <v>1488.6602857142827</v>
      </c>
      <c r="AL100" s="746">
        <v>52103.109999999899</v>
      </c>
      <c r="AM100" s="744">
        <v>18</v>
      </c>
      <c r="AN100" s="745">
        <v>1161.2711111111055</v>
      </c>
      <c r="AO100" s="746">
        <v>20902.879999999899</v>
      </c>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747"/>
      <c r="D101" s="757"/>
      <c r="E101" s="748"/>
      <c r="F101" s="747"/>
      <c r="G101" s="757"/>
      <c r="H101" s="748"/>
      <c r="I101" s="747"/>
      <c r="J101" s="757"/>
      <c r="K101" s="748"/>
      <c r="L101" s="747"/>
      <c r="M101" s="757"/>
      <c r="N101" s="748"/>
      <c r="O101" s="747"/>
      <c r="P101" s="757"/>
      <c r="Q101" s="748"/>
      <c r="R101" s="747"/>
      <c r="S101" s="757"/>
      <c r="T101" s="748"/>
      <c r="U101" s="747"/>
      <c r="V101" s="757"/>
      <c r="W101" s="748"/>
      <c r="X101" s="747"/>
      <c r="Y101" s="757"/>
      <c r="Z101" s="748"/>
      <c r="AA101" s="747"/>
      <c r="AB101" s="757"/>
      <c r="AC101" s="748"/>
      <c r="AD101" s="747"/>
      <c r="AE101" s="757"/>
      <c r="AF101" s="748"/>
      <c r="AG101" s="747"/>
      <c r="AH101" s="757"/>
      <c r="AI101" s="748"/>
      <c r="AJ101" s="747"/>
      <c r="AK101" s="757"/>
      <c r="AL101" s="748"/>
      <c r="AM101" s="747"/>
      <c r="AN101" s="757"/>
      <c r="AO101" s="748"/>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44"/>
      <c r="C102" s="747"/>
      <c r="D102" s="757"/>
      <c r="E102" s="748"/>
      <c r="F102" s="747"/>
      <c r="G102" s="757"/>
      <c r="H102" s="748"/>
      <c r="I102" s="747"/>
      <c r="J102" s="757"/>
      <c r="K102" s="748"/>
      <c r="L102" s="747"/>
      <c r="M102" s="757"/>
      <c r="N102" s="748"/>
      <c r="O102" s="747"/>
      <c r="P102" s="757"/>
      <c r="Q102" s="748"/>
      <c r="R102" s="747"/>
      <c r="S102" s="757"/>
      <c r="T102" s="748"/>
      <c r="U102" s="747"/>
      <c r="V102" s="757"/>
      <c r="W102" s="748"/>
      <c r="X102" s="747"/>
      <c r="Y102" s="757"/>
      <c r="Z102" s="748"/>
      <c r="AA102" s="747"/>
      <c r="AB102" s="757"/>
      <c r="AC102" s="748"/>
      <c r="AD102" s="747"/>
      <c r="AE102" s="757"/>
      <c r="AF102" s="748"/>
      <c r="AG102" s="747"/>
      <c r="AH102" s="757"/>
      <c r="AI102" s="748"/>
      <c r="AJ102" s="747"/>
      <c r="AK102" s="757"/>
      <c r="AL102" s="748"/>
      <c r="AM102" s="747"/>
      <c r="AN102" s="757"/>
      <c r="AO102" s="748"/>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44" t="s">
        <v>156</v>
      </c>
      <c r="C103" s="739">
        <v>394</v>
      </c>
      <c r="D103" s="740">
        <v>-49.915126903553222</v>
      </c>
      <c r="E103" s="741">
        <v>-19666.559999999969</v>
      </c>
      <c r="F103" s="742">
        <v>40</v>
      </c>
      <c r="G103" s="740">
        <v>5.7499999995343247E-3</v>
      </c>
      <c r="H103" s="743">
        <v>0.22999999998137299</v>
      </c>
      <c r="I103" s="742">
        <v>37</v>
      </c>
      <c r="J103" s="740">
        <v>-55.195405405404863</v>
      </c>
      <c r="K103" s="743">
        <v>-2042.22999999998</v>
      </c>
      <c r="L103" s="742">
        <v>35</v>
      </c>
      <c r="M103" s="740">
        <v>494.95057142857144</v>
      </c>
      <c r="N103" s="743">
        <v>17323.27</v>
      </c>
      <c r="O103" s="742">
        <v>31</v>
      </c>
      <c r="P103" s="740">
        <v>-367.32290322580644</v>
      </c>
      <c r="Q103" s="743">
        <v>-11387.01</v>
      </c>
      <c r="R103" s="742">
        <v>47</v>
      </c>
      <c r="S103" s="740">
        <v>-663.50468085106388</v>
      </c>
      <c r="T103" s="743">
        <v>-31184.720000000001</v>
      </c>
      <c r="U103" s="742">
        <v>29</v>
      </c>
      <c r="V103" s="740">
        <v>144.9951724137924</v>
      </c>
      <c r="W103" s="743">
        <v>4204.8599999999797</v>
      </c>
      <c r="X103" s="742">
        <v>37</v>
      </c>
      <c r="Y103" s="740">
        <v>-125.19594594594595</v>
      </c>
      <c r="Z103" s="743">
        <v>-4632.25</v>
      </c>
      <c r="AA103" s="742">
        <v>42</v>
      </c>
      <c r="AB103" s="740">
        <v>10.700238095238857</v>
      </c>
      <c r="AC103" s="743">
        <v>449.41000000003203</v>
      </c>
      <c r="AD103" s="742">
        <v>32</v>
      </c>
      <c r="AE103" s="740">
        <v>218.91062500000032</v>
      </c>
      <c r="AF103" s="743">
        <v>7005.1400000000103</v>
      </c>
      <c r="AG103" s="742">
        <v>23</v>
      </c>
      <c r="AH103" s="740">
        <v>251.70434782608737</v>
      </c>
      <c r="AI103" s="743">
        <v>5789.2000000000098</v>
      </c>
      <c r="AJ103" s="742">
        <v>19</v>
      </c>
      <c r="AK103" s="740">
        <v>279.54947368421051</v>
      </c>
      <c r="AL103" s="743">
        <v>5311.44</v>
      </c>
      <c r="AM103" s="742">
        <v>22</v>
      </c>
      <c r="AN103" s="740">
        <v>-477.45</v>
      </c>
      <c r="AO103" s="743">
        <v>-10503.9</v>
      </c>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43"/>
      <c r="C104" s="806"/>
      <c r="D104" s="807"/>
      <c r="E104" s="808"/>
      <c r="F104" s="806"/>
      <c r="G104" s="807"/>
      <c r="H104" s="808"/>
      <c r="I104" s="806"/>
      <c r="J104" s="807"/>
      <c r="K104" s="808"/>
      <c r="L104" s="806"/>
      <c r="M104" s="807"/>
      <c r="N104" s="808"/>
      <c r="O104" s="806"/>
      <c r="P104" s="807"/>
      <c r="Q104" s="808"/>
      <c r="R104" s="806"/>
      <c r="S104" s="807"/>
      <c r="T104" s="808"/>
      <c r="U104" s="806"/>
      <c r="V104" s="807"/>
      <c r="W104" s="808"/>
      <c r="X104" s="806"/>
      <c r="Y104" s="807"/>
      <c r="Z104" s="808"/>
      <c r="AA104" s="806"/>
      <c r="AB104" s="807"/>
      <c r="AC104" s="808"/>
      <c r="AD104" s="806"/>
      <c r="AE104" s="807"/>
      <c r="AF104" s="808"/>
      <c r="AG104" s="806"/>
      <c r="AH104" s="807"/>
      <c r="AI104" s="808"/>
      <c r="AJ104" s="806"/>
      <c r="AK104" s="807"/>
      <c r="AL104" s="808"/>
      <c r="AM104" s="806"/>
      <c r="AN104" s="807"/>
      <c r="AO104" s="808"/>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44" t="s">
        <v>105</v>
      </c>
      <c r="C105" s="739"/>
      <c r="D105" s="740">
        <v>267.29987577639753</v>
      </c>
      <c r="E105" s="741">
        <v>86070.56</v>
      </c>
      <c r="F105" s="742"/>
      <c r="G105" s="740">
        <v>-316.30833333333334</v>
      </c>
      <c r="H105" s="743">
        <v>-3795.7</v>
      </c>
      <c r="I105" s="742"/>
      <c r="J105" s="740">
        <v>126.87666666666667</v>
      </c>
      <c r="K105" s="743">
        <v>3425.67</v>
      </c>
      <c r="L105" s="742"/>
      <c r="M105" s="740">
        <v>304.22363636363639</v>
      </c>
      <c r="N105" s="743">
        <v>6692.92</v>
      </c>
      <c r="O105" s="742"/>
      <c r="P105" s="740">
        <v>360.09913043478264</v>
      </c>
      <c r="Q105" s="743">
        <v>8282.2800000000007</v>
      </c>
      <c r="R105" s="742"/>
      <c r="S105" s="740">
        <v>264.23649999999998</v>
      </c>
      <c r="T105" s="743">
        <v>10569.46</v>
      </c>
      <c r="U105" s="742"/>
      <c r="V105" s="740">
        <v>273.09787878787876</v>
      </c>
      <c r="W105" s="743">
        <v>9012.23</v>
      </c>
      <c r="X105" s="742"/>
      <c r="Y105" s="740">
        <v>275.55500000000001</v>
      </c>
      <c r="Z105" s="743">
        <v>8266.65</v>
      </c>
      <c r="AA105" s="742"/>
      <c r="AB105" s="740">
        <v>109.0996</v>
      </c>
      <c r="AC105" s="743">
        <v>2727.49</v>
      </c>
      <c r="AD105" s="742"/>
      <c r="AE105" s="740">
        <v>845.18214285714282</v>
      </c>
      <c r="AF105" s="743">
        <v>11832.55</v>
      </c>
      <c r="AG105" s="742"/>
      <c r="AH105" s="740">
        <v>354.06837209302324</v>
      </c>
      <c r="AI105" s="743">
        <v>15224.94</v>
      </c>
      <c r="AJ105" s="742"/>
      <c r="AK105" s="740">
        <v>283.59714285714284</v>
      </c>
      <c r="AL105" s="743">
        <v>9925.9</v>
      </c>
      <c r="AM105" s="742"/>
      <c r="AN105" s="740">
        <v>217.00944444444445</v>
      </c>
      <c r="AO105" s="743">
        <v>3906.17</v>
      </c>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44" t="s">
        <v>106</v>
      </c>
      <c r="C106" s="739"/>
      <c r="D106" s="740">
        <v>1438.4532608695647</v>
      </c>
      <c r="E106" s="741">
        <v>463181.94999999984</v>
      </c>
      <c r="F106" s="742"/>
      <c r="G106" s="740">
        <v>1480.4991666666583</v>
      </c>
      <c r="H106" s="743">
        <v>17765.9899999999</v>
      </c>
      <c r="I106" s="742"/>
      <c r="J106" s="740">
        <v>636.58629629629638</v>
      </c>
      <c r="K106" s="743">
        <v>17187.830000000002</v>
      </c>
      <c r="L106" s="742"/>
      <c r="M106" s="740">
        <v>1189.284090909091</v>
      </c>
      <c r="N106" s="743">
        <v>26164.25</v>
      </c>
      <c r="O106" s="742"/>
      <c r="P106" s="740">
        <v>1173.4047826086912</v>
      </c>
      <c r="Q106" s="743">
        <v>26988.309999999899</v>
      </c>
      <c r="R106" s="742"/>
      <c r="S106" s="740">
        <v>1738.2057499999999</v>
      </c>
      <c r="T106" s="743">
        <v>69528.23</v>
      </c>
      <c r="U106" s="742"/>
      <c r="V106" s="740">
        <v>1518.8015151515151</v>
      </c>
      <c r="W106" s="743">
        <v>50120.45</v>
      </c>
      <c r="X106" s="742"/>
      <c r="Y106" s="740">
        <v>1564.6716666666666</v>
      </c>
      <c r="Z106" s="743">
        <v>46940.15</v>
      </c>
      <c r="AA106" s="742"/>
      <c r="AB106" s="740">
        <v>1018.2744</v>
      </c>
      <c r="AC106" s="743">
        <v>25456.86</v>
      </c>
      <c r="AD106" s="742"/>
      <c r="AE106" s="740">
        <v>3171.2949999999996</v>
      </c>
      <c r="AF106" s="743">
        <v>44398.13</v>
      </c>
      <c r="AG106" s="742"/>
      <c r="AH106" s="740">
        <v>1561.193953488372</v>
      </c>
      <c r="AI106" s="743">
        <v>67131.34</v>
      </c>
      <c r="AJ106" s="742"/>
      <c r="AK106" s="740">
        <v>1232.4862857142857</v>
      </c>
      <c r="AL106" s="743">
        <v>43137.02</v>
      </c>
      <c r="AM106" s="742"/>
      <c r="AN106" s="740">
        <v>1575.7438888888889</v>
      </c>
      <c r="AO106" s="743">
        <v>28363.39</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44" t="s">
        <v>107</v>
      </c>
      <c r="C107" s="739"/>
      <c r="D107" s="807">
        <v>30.501180124223598</v>
      </c>
      <c r="E107" s="741">
        <v>9821.3799999999992</v>
      </c>
      <c r="F107" s="742">
        <v>0</v>
      </c>
      <c r="G107" s="807">
        <v>45.385833333333331</v>
      </c>
      <c r="H107" s="743">
        <v>544.63</v>
      </c>
      <c r="I107" s="742">
        <v>0</v>
      </c>
      <c r="J107" s="807">
        <v>0</v>
      </c>
      <c r="K107" s="743">
        <v>0</v>
      </c>
      <c r="L107" s="742">
        <v>0</v>
      </c>
      <c r="M107" s="807">
        <v>0</v>
      </c>
      <c r="N107" s="743">
        <v>0</v>
      </c>
      <c r="O107" s="742">
        <v>0</v>
      </c>
      <c r="P107" s="807">
        <v>28.495217391304347</v>
      </c>
      <c r="Q107" s="743">
        <v>655.39</v>
      </c>
      <c r="R107" s="742">
        <v>0</v>
      </c>
      <c r="S107" s="807">
        <v>32.940249999999999</v>
      </c>
      <c r="T107" s="743">
        <v>1317.61</v>
      </c>
      <c r="U107" s="742">
        <v>0</v>
      </c>
      <c r="V107" s="807">
        <v>0</v>
      </c>
      <c r="W107" s="743">
        <v>0</v>
      </c>
      <c r="X107" s="742">
        <v>0</v>
      </c>
      <c r="Y107" s="807">
        <v>67.894666666666666</v>
      </c>
      <c r="Z107" s="743">
        <v>2036.84</v>
      </c>
      <c r="AA107" s="742">
        <v>0</v>
      </c>
      <c r="AB107" s="807">
        <v>63.497600000000006</v>
      </c>
      <c r="AC107" s="743">
        <v>1587.44</v>
      </c>
      <c r="AD107" s="742">
        <v>0</v>
      </c>
      <c r="AE107" s="807">
        <v>140.98499999999999</v>
      </c>
      <c r="AF107" s="743">
        <v>1973.79</v>
      </c>
      <c r="AG107" s="742">
        <v>3</v>
      </c>
      <c r="AH107" s="807">
        <v>26.634651162790696</v>
      </c>
      <c r="AI107" s="743">
        <v>1145.29</v>
      </c>
      <c r="AJ107" s="742">
        <v>3</v>
      </c>
      <c r="AK107" s="807">
        <v>16.011142857142858</v>
      </c>
      <c r="AL107" s="743">
        <v>560.39</v>
      </c>
      <c r="AM107" s="742">
        <v>1</v>
      </c>
      <c r="AN107" s="807">
        <v>0</v>
      </c>
      <c r="AO107" s="743">
        <v>0</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45" t="s">
        <v>108</v>
      </c>
      <c r="C108" s="744">
        <v>322</v>
      </c>
      <c r="D108" s="745">
        <v>1736.2543167701856</v>
      </c>
      <c r="E108" s="746">
        <v>559073.88999999978</v>
      </c>
      <c r="F108" s="744">
        <v>12</v>
      </c>
      <c r="G108" s="745">
        <v>1209.5766666666582</v>
      </c>
      <c r="H108" s="746">
        <v>14514.919999999898</v>
      </c>
      <c r="I108" s="744">
        <v>27</v>
      </c>
      <c r="J108" s="745">
        <v>763.46296296296293</v>
      </c>
      <c r="K108" s="746">
        <v>20613.5</v>
      </c>
      <c r="L108" s="744">
        <v>22</v>
      </c>
      <c r="M108" s="745">
        <v>1493.5077272727272</v>
      </c>
      <c r="N108" s="746">
        <v>32857.17</v>
      </c>
      <c r="O108" s="744">
        <v>23</v>
      </c>
      <c r="P108" s="745">
        <v>1561.9991304347784</v>
      </c>
      <c r="Q108" s="746">
        <v>35925.979999999901</v>
      </c>
      <c r="R108" s="744">
        <v>40</v>
      </c>
      <c r="S108" s="745">
        <v>2035.3825000000002</v>
      </c>
      <c r="T108" s="746">
        <v>81415.3</v>
      </c>
      <c r="U108" s="744">
        <v>33</v>
      </c>
      <c r="V108" s="745">
        <v>1791.8993939393938</v>
      </c>
      <c r="W108" s="746">
        <v>59132.679999999993</v>
      </c>
      <c r="X108" s="744">
        <v>30</v>
      </c>
      <c r="Y108" s="745">
        <v>1908.1213333333333</v>
      </c>
      <c r="Z108" s="746">
        <v>57243.64</v>
      </c>
      <c r="AA108" s="744">
        <v>25</v>
      </c>
      <c r="AB108" s="745">
        <v>1190.8715999999999</v>
      </c>
      <c r="AC108" s="746">
        <v>29771.789999999997</v>
      </c>
      <c r="AD108" s="744">
        <v>14</v>
      </c>
      <c r="AE108" s="745">
        <v>4157.4621428571427</v>
      </c>
      <c r="AF108" s="746">
        <v>58204.469999999994</v>
      </c>
      <c r="AG108" s="744">
        <v>43</v>
      </c>
      <c r="AH108" s="745">
        <v>1941.8969767441858</v>
      </c>
      <c r="AI108" s="746">
        <v>83501.569999999992</v>
      </c>
      <c r="AJ108" s="744">
        <v>35</v>
      </c>
      <c r="AK108" s="745">
        <v>1532.0945714285713</v>
      </c>
      <c r="AL108" s="746">
        <v>53623.31</v>
      </c>
      <c r="AM108" s="744">
        <v>18</v>
      </c>
      <c r="AN108" s="745">
        <v>1792.7533333333331</v>
      </c>
      <c r="AO108" s="746">
        <v>32269.559999999998</v>
      </c>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747"/>
      <c r="D109" s="757"/>
      <c r="E109" s="758"/>
      <c r="F109" s="747"/>
      <c r="G109" s="757"/>
      <c r="H109" s="758"/>
      <c r="I109" s="747"/>
      <c r="J109" s="757"/>
      <c r="K109" s="758"/>
      <c r="L109" s="747"/>
      <c r="M109" s="757"/>
      <c r="N109" s="758"/>
      <c r="O109" s="747"/>
      <c r="P109" s="757"/>
      <c r="Q109" s="758"/>
      <c r="R109" s="747"/>
      <c r="S109" s="757"/>
      <c r="T109" s="758"/>
      <c r="U109" s="747"/>
      <c r="V109" s="757"/>
      <c r="W109" s="758"/>
      <c r="X109" s="747"/>
      <c r="Y109" s="757"/>
      <c r="Z109" s="758"/>
      <c r="AA109" s="747"/>
      <c r="AB109" s="757"/>
      <c r="AC109" s="758"/>
      <c r="AD109" s="747"/>
      <c r="AE109" s="757"/>
      <c r="AF109" s="758"/>
      <c r="AG109" s="747"/>
      <c r="AH109" s="757"/>
      <c r="AI109" s="758"/>
      <c r="AJ109" s="747"/>
      <c r="AK109" s="757"/>
      <c r="AL109" s="758"/>
      <c r="AM109" s="747"/>
      <c r="AN109" s="757"/>
      <c r="AO109" s="758"/>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thickBot="1">
      <c r="A110" s="39" t="str">
        <f t="shared" si="1"/>
        <v>Véhicules usagés</v>
      </c>
      <c r="B110" s="44"/>
      <c r="C110" s="747"/>
      <c r="D110" s="757"/>
      <c r="E110" s="758"/>
      <c r="F110" s="747"/>
      <c r="G110" s="757"/>
      <c r="H110" s="758"/>
      <c r="I110" s="747"/>
      <c r="J110" s="757"/>
      <c r="K110" s="758"/>
      <c r="L110" s="747"/>
      <c r="M110" s="757"/>
      <c r="N110" s="758"/>
      <c r="O110" s="747"/>
      <c r="P110" s="757"/>
      <c r="Q110" s="758"/>
      <c r="R110" s="747"/>
      <c r="S110" s="757"/>
      <c r="T110" s="758"/>
      <c r="U110" s="747"/>
      <c r="V110" s="757"/>
      <c r="W110" s="758"/>
      <c r="X110" s="747"/>
      <c r="Y110" s="757"/>
      <c r="Z110" s="758"/>
      <c r="AA110" s="747"/>
      <c r="AB110" s="757"/>
      <c r="AC110" s="758"/>
      <c r="AD110" s="747"/>
      <c r="AE110" s="757"/>
      <c r="AF110" s="758"/>
      <c r="AG110" s="747"/>
      <c r="AH110" s="757"/>
      <c r="AI110" s="758"/>
      <c r="AJ110" s="747"/>
      <c r="AK110" s="757"/>
      <c r="AL110" s="758"/>
      <c r="AM110" s="747"/>
      <c r="AN110" s="757"/>
      <c r="AO110" s="758"/>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thickTop="1">
      <c r="A111" s="39" t="str">
        <f t="shared" si="1"/>
        <v>Véhicules usagésTotal Dépt. Usagés</v>
      </c>
      <c r="B111" s="49" t="s">
        <v>157</v>
      </c>
      <c r="C111" s="759">
        <v>716</v>
      </c>
      <c r="D111" s="760">
        <v>1179.167555865921</v>
      </c>
      <c r="E111" s="761">
        <v>844283.96999999939</v>
      </c>
      <c r="F111" s="759">
        <v>52</v>
      </c>
      <c r="G111" s="760">
        <v>353.76442307692054</v>
      </c>
      <c r="H111" s="761">
        <v>18395.749999999869</v>
      </c>
      <c r="I111" s="759">
        <v>64</v>
      </c>
      <c r="J111" s="760">
        <v>196.28687500000188</v>
      </c>
      <c r="K111" s="761">
        <v>12562.360000000121</v>
      </c>
      <c r="L111" s="759">
        <v>57</v>
      </c>
      <c r="M111" s="760">
        <v>1353.5194736842104</v>
      </c>
      <c r="N111" s="761">
        <v>77150.61</v>
      </c>
      <c r="O111" s="759">
        <v>54</v>
      </c>
      <c r="P111" s="760">
        <v>1157.6933333333297</v>
      </c>
      <c r="Q111" s="761">
        <v>62515.439999999806</v>
      </c>
      <c r="R111" s="759">
        <v>87</v>
      </c>
      <c r="S111" s="760">
        <v>568.7793103448281</v>
      </c>
      <c r="T111" s="761">
        <v>49483.800000000047</v>
      </c>
      <c r="U111" s="759">
        <v>62</v>
      </c>
      <c r="V111" s="760">
        <v>1369.352258064514</v>
      </c>
      <c r="W111" s="761">
        <v>84899.839999999866</v>
      </c>
      <c r="X111" s="759">
        <v>67</v>
      </c>
      <c r="Y111" s="760">
        <v>1493.1831343283566</v>
      </c>
      <c r="Z111" s="761">
        <v>100043.26999999989</v>
      </c>
      <c r="AA111" s="759">
        <v>67</v>
      </c>
      <c r="AB111" s="760">
        <v>767.66477611940343</v>
      </c>
      <c r="AC111" s="761">
        <v>51433.54000000003</v>
      </c>
      <c r="AD111" s="759">
        <v>46</v>
      </c>
      <c r="AE111" s="760">
        <v>2244.3410869565191</v>
      </c>
      <c r="AF111" s="761">
        <v>103239.68999999989</v>
      </c>
      <c r="AG111" s="759">
        <v>66</v>
      </c>
      <c r="AH111" s="760">
        <v>1982.625303030303</v>
      </c>
      <c r="AI111" s="761">
        <v>130853.27</v>
      </c>
      <c r="AJ111" s="759">
        <v>54</v>
      </c>
      <c r="AK111" s="760">
        <v>2056.2566666666648</v>
      </c>
      <c r="AL111" s="761">
        <v>111037.8599999999</v>
      </c>
      <c r="AM111" s="759">
        <v>40</v>
      </c>
      <c r="AN111" s="760">
        <v>1066.7134999999976</v>
      </c>
      <c r="AO111" s="761">
        <v>42668.539999999899</v>
      </c>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thickBot="1">
      <c r="A112" s="39" t="str">
        <f t="shared" si="1"/>
        <v>Véhicules usagés</v>
      </c>
      <c r="B112" s="50"/>
      <c r="C112" s="762"/>
      <c r="D112" s="763"/>
      <c r="E112" s="764"/>
      <c r="F112" s="762"/>
      <c r="G112" s="763"/>
      <c r="H112" s="764"/>
      <c r="I112" s="762"/>
      <c r="J112" s="763"/>
      <c r="K112" s="764"/>
      <c r="L112" s="762"/>
      <c r="M112" s="763"/>
      <c r="N112" s="764"/>
      <c r="O112" s="762"/>
      <c r="P112" s="763"/>
      <c r="Q112" s="764"/>
      <c r="R112" s="762"/>
      <c r="S112" s="763"/>
      <c r="T112" s="764"/>
      <c r="U112" s="762"/>
      <c r="V112" s="763"/>
      <c r="W112" s="764"/>
      <c r="X112" s="762"/>
      <c r="Y112" s="763"/>
      <c r="Z112" s="764"/>
      <c r="AA112" s="762"/>
      <c r="AB112" s="763"/>
      <c r="AC112" s="764"/>
      <c r="AD112" s="762"/>
      <c r="AE112" s="763"/>
      <c r="AF112" s="764"/>
      <c r="AG112" s="762"/>
      <c r="AH112" s="763"/>
      <c r="AI112" s="764"/>
      <c r="AJ112" s="762"/>
      <c r="AK112" s="763"/>
      <c r="AL112" s="764"/>
      <c r="AM112" s="762"/>
      <c r="AN112" s="763"/>
      <c r="AO112" s="764"/>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thickTop="1">
      <c r="A113" s="39" t="str">
        <f t="shared" si="1"/>
        <v>Véhicules usagés</v>
      </c>
      <c r="B113" s="47"/>
      <c r="C113" s="809"/>
      <c r="D113" s="810"/>
      <c r="E113" s="811"/>
      <c r="F113" s="809"/>
      <c r="G113" s="810"/>
      <c r="H113" s="811"/>
      <c r="I113" s="809"/>
      <c r="J113" s="810"/>
      <c r="K113" s="811"/>
      <c r="L113" s="809"/>
      <c r="M113" s="810"/>
      <c r="N113" s="811"/>
      <c r="O113" s="809"/>
      <c r="P113" s="810"/>
      <c r="Q113" s="811"/>
      <c r="R113" s="809"/>
      <c r="S113" s="810"/>
      <c r="T113" s="811"/>
      <c r="U113" s="809"/>
      <c r="V113" s="810"/>
      <c r="W113" s="811"/>
      <c r="X113" s="809"/>
      <c r="Y113" s="810"/>
      <c r="Z113" s="811"/>
      <c r="AA113" s="809"/>
      <c r="AB113" s="810"/>
      <c r="AC113" s="811"/>
      <c r="AD113" s="809"/>
      <c r="AE113" s="810"/>
      <c r="AF113" s="811"/>
      <c r="AG113" s="809"/>
      <c r="AH113" s="810"/>
      <c r="AI113" s="811"/>
      <c r="AJ113" s="809"/>
      <c r="AK113" s="810"/>
      <c r="AL113" s="811"/>
      <c r="AM113" s="809"/>
      <c r="AN113" s="810"/>
      <c r="AO113" s="811"/>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52" t="s">
        <v>110</v>
      </c>
      <c r="C114" s="747"/>
      <c r="D114" s="768"/>
      <c r="E114" s="748"/>
      <c r="F114" s="747"/>
      <c r="G114" s="768"/>
      <c r="H114" s="748"/>
      <c r="I114" s="747"/>
      <c r="J114" s="768"/>
      <c r="K114" s="748"/>
      <c r="L114" s="747"/>
      <c r="M114" s="768"/>
      <c r="N114" s="748"/>
      <c r="O114" s="747"/>
      <c r="P114" s="768"/>
      <c r="Q114" s="748"/>
      <c r="R114" s="747"/>
      <c r="S114" s="768"/>
      <c r="T114" s="748"/>
      <c r="U114" s="747"/>
      <c r="V114" s="768"/>
      <c r="W114" s="748"/>
      <c r="X114" s="747"/>
      <c r="Y114" s="768"/>
      <c r="Z114" s="748"/>
      <c r="AA114" s="747"/>
      <c r="AB114" s="768"/>
      <c r="AC114" s="748"/>
      <c r="AD114" s="747"/>
      <c r="AE114" s="768"/>
      <c r="AF114" s="748"/>
      <c r="AG114" s="747"/>
      <c r="AH114" s="768"/>
      <c r="AI114" s="748"/>
      <c r="AJ114" s="747"/>
      <c r="AK114" s="768"/>
      <c r="AL114" s="748"/>
      <c r="AM114" s="747"/>
      <c r="AN114" s="768"/>
      <c r="AO114" s="748"/>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44" t="s">
        <v>111</v>
      </c>
      <c r="C115" s="769">
        <v>0.65579458629562548</v>
      </c>
      <c r="D115" s="770">
        <v>634.71888888888896</v>
      </c>
      <c r="E115" s="758">
        <v>199936.45</v>
      </c>
      <c r="F115" s="769">
        <v>0.49508436836028374</v>
      </c>
      <c r="G115" s="770">
        <v>0</v>
      </c>
      <c r="H115" s="771">
        <v>7186.11</v>
      </c>
      <c r="I115" s="769">
        <v>0.60701627574162564</v>
      </c>
      <c r="J115" s="770">
        <v>0</v>
      </c>
      <c r="K115" s="771">
        <v>12512.73</v>
      </c>
      <c r="L115" s="769">
        <v>0.46562196318185656</v>
      </c>
      <c r="M115" s="770">
        <v>0</v>
      </c>
      <c r="N115" s="771">
        <v>15299.02</v>
      </c>
      <c r="O115" s="769">
        <v>0.35793233754514242</v>
      </c>
      <c r="P115" s="770">
        <v>0</v>
      </c>
      <c r="Q115" s="771">
        <v>12859.07</v>
      </c>
      <c r="R115" s="769">
        <v>0.26825228181926491</v>
      </c>
      <c r="S115" s="770">
        <v>0</v>
      </c>
      <c r="T115" s="771">
        <v>21839.84</v>
      </c>
      <c r="U115" s="769">
        <v>0.29120547216868914</v>
      </c>
      <c r="V115" s="770">
        <v>0</v>
      </c>
      <c r="W115" s="771">
        <v>17219.759999999998</v>
      </c>
      <c r="X115" s="769">
        <v>0.26273905712494872</v>
      </c>
      <c r="Y115" s="770">
        <v>0</v>
      </c>
      <c r="Z115" s="771">
        <v>15040.14</v>
      </c>
      <c r="AA115" s="769">
        <v>0.47119571916905234</v>
      </c>
      <c r="AB115" s="770">
        <v>0</v>
      </c>
      <c r="AC115" s="771">
        <v>14028.34</v>
      </c>
      <c r="AD115" s="769">
        <v>0.32499050330670487</v>
      </c>
      <c r="AE115" s="770">
        <v>0</v>
      </c>
      <c r="AF115" s="771">
        <v>18915.900000000001</v>
      </c>
      <c r="AG115" s="769">
        <v>0.30544862809166345</v>
      </c>
      <c r="AH115" s="770">
        <v>637.63599999999997</v>
      </c>
      <c r="AI115" s="771">
        <v>25505.439999999999</v>
      </c>
      <c r="AJ115" s="769">
        <v>0.48050222934764752</v>
      </c>
      <c r="AK115" s="770">
        <v>805.19124999999997</v>
      </c>
      <c r="AL115" s="771">
        <v>25766.12</v>
      </c>
      <c r="AM115" s="769">
        <v>0.42653138127696816</v>
      </c>
      <c r="AN115" s="770">
        <v>809.64588235294116</v>
      </c>
      <c r="AO115" s="771">
        <v>13763.98</v>
      </c>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43" t="s">
        <v>112</v>
      </c>
      <c r="C116" s="772">
        <v>0.29558794097860674</v>
      </c>
      <c r="D116" s="773">
        <v>524.62063492063487</v>
      </c>
      <c r="E116" s="774">
        <v>165255.5</v>
      </c>
      <c r="F116" s="772"/>
      <c r="G116" s="773">
        <v>0</v>
      </c>
      <c r="H116" s="775">
        <v>4354.24</v>
      </c>
      <c r="I116" s="772"/>
      <c r="J116" s="773">
        <v>0</v>
      </c>
      <c r="K116" s="775">
        <v>7384.61</v>
      </c>
      <c r="L116" s="772"/>
      <c r="M116" s="773">
        <v>0</v>
      </c>
      <c r="N116" s="775">
        <v>9856.4500000000007</v>
      </c>
      <c r="O116" s="772"/>
      <c r="P116" s="773">
        <v>0</v>
      </c>
      <c r="Q116" s="775">
        <v>10777.44</v>
      </c>
      <c r="R116" s="772"/>
      <c r="S116" s="773">
        <v>0</v>
      </c>
      <c r="T116" s="775">
        <v>24424.86</v>
      </c>
      <c r="U116" s="772"/>
      <c r="V116" s="773">
        <v>0</v>
      </c>
      <c r="W116" s="775">
        <v>17739.740000000002</v>
      </c>
      <c r="X116" s="772"/>
      <c r="Y116" s="773">
        <v>0</v>
      </c>
      <c r="Z116" s="775">
        <v>17173.36</v>
      </c>
      <c r="AA116" s="772"/>
      <c r="AB116" s="773">
        <v>0</v>
      </c>
      <c r="AC116" s="775">
        <v>8038.1</v>
      </c>
      <c r="AD116" s="772"/>
      <c r="AE116" s="773">
        <v>0</v>
      </c>
      <c r="AF116" s="775">
        <v>16297.29</v>
      </c>
      <c r="AG116" s="772"/>
      <c r="AH116" s="773">
        <v>626.25874999999996</v>
      </c>
      <c r="AI116" s="775">
        <v>25050.35</v>
      </c>
      <c r="AJ116" s="772"/>
      <c r="AK116" s="773">
        <v>452.44687499999998</v>
      </c>
      <c r="AL116" s="775">
        <v>14478.3</v>
      </c>
      <c r="AM116" s="772"/>
      <c r="AN116" s="773">
        <v>569.45647058823533</v>
      </c>
      <c r="AO116" s="775">
        <v>9680.76</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44" t="s">
        <v>113</v>
      </c>
      <c r="C117" s="747"/>
      <c r="D117" s="770">
        <v>8.1553333333333349</v>
      </c>
      <c r="E117" s="758">
        <v>2568.9300000000003</v>
      </c>
      <c r="F117" s="747"/>
      <c r="G117" s="770">
        <v>0</v>
      </c>
      <c r="H117" s="771">
        <v>1519.72</v>
      </c>
      <c r="I117" s="747"/>
      <c r="J117" s="770">
        <v>0</v>
      </c>
      <c r="K117" s="771">
        <v>613.33000000000004</v>
      </c>
      <c r="L117" s="747"/>
      <c r="M117" s="770">
        <v>0</v>
      </c>
      <c r="N117" s="771">
        <v>-2228.54</v>
      </c>
      <c r="O117" s="747"/>
      <c r="P117" s="770">
        <v>0</v>
      </c>
      <c r="Q117" s="771">
        <v>1892.94</v>
      </c>
      <c r="R117" s="747"/>
      <c r="S117" s="770">
        <v>0</v>
      </c>
      <c r="T117" s="771">
        <v>2739.55</v>
      </c>
      <c r="U117" s="747"/>
      <c r="V117" s="770">
        <v>0</v>
      </c>
      <c r="W117" s="771">
        <v>-623.27</v>
      </c>
      <c r="X117" s="747"/>
      <c r="Y117" s="770">
        <v>0</v>
      </c>
      <c r="Z117" s="771">
        <v>-1287.99</v>
      </c>
      <c r="AA117" s="747"/>
      <c r="AB117" s="770">
        <v>0</v>
      </c>
      <c r="AC117" s="771">
        <v>-15.31</v>
      </c>
      <c r="AD117" s="747"/>
      <c r="AE117" s="770">
        <v>0</v>
      </c>
      <c r="AF117" s="771">
        <v>1797.65</v>
      </c>
      <c r="AG117" s="747"/>
      <c r="AH117" s="770">
        <v>-50.030999999999999</v>
      </c>
      <c r="AI117" s="771">
        <v>-2001.24</v>
      </c>
      <c r="AJ117" s="747"/>
      <c r="AK117" s="770">
        <v>-40.971562499999997</v>
      </c>
      <c r="AL117" s="771">
        <v>-1311.09</v>
      </c>
      <c r="AM117" s="747"/>
      <c r="AN117" s="770">
        <v>86.657647058823528</v>
      </c>
      <c r="AO117" s="771">
        <v>1473.18</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44" t="s">
        <v>114</v>
      </c>
      <c r="C118" s="747"/>
      <c r="D118" s="770">
        <v>59.857587301587309</v>
      </c>
      <c r="E118" s="758">
        <v>18855.140000000003</v>
      </c>
      <c r="F118" s="747"/>
      <c r="G118" s="770">
        <v>0</v>
      </c>
      <c r="H118" s="771">
        <v>38</v>
      </c>
      <c r="I118" s="747"/>
      <c r="J118" s="770">
        <v>0</v>
      </c>
      <c r="K118" s="771">
        <v>1400.79</v>
      </c>
      <c r="L118" s="747"/>
      <c r="M118" s="770">
        <v>0</v>
      </c>
      <c r="N118" s="771">
        <v>1117.03</v>
      </c>
      <c r="O118" s="747"/>
      <c r="P118" s="770">
        <v>0</v>
      </c>
      <c r="Q118" s="771">
        <v>2887.8</v>
      </c>
      <c r="R118" s="747"/>
      <c r="S118" s="770">
        <v>0</v>
      </c>
      <c r="T118" s="771">
        <v>-389.85</v>
      </c>
      <c r="U118" s="747"/>
      <c r="V118" s="770">
        <v>0</v>
      </c>
      <c r="W118" s="771">
        <v>2268.5700000000002</v>
      </c>
      <c r="X118" s="747"/>
      <c r="Y118" s="770">
        <v>0</v>
      </c>
      <c r="Z118" s="771">
        <v>2653.11</v>
      </c>
      <c r="AA118" s="747"/>
      <c r="AB118" s="770">
        <v>0</v>
      </c>
      <c r="AC118" s="771">
        <v>2272.79</v>
      </c>
      <c r="AD118" s="747"/>
      <c r="AE118" s="770">
        <v>0</v>
      </c>
      <c r="AF118" s="771">
        <v>3035.17</v>
      </c>
      <c r="AG118" s="747"/>
      <c r="AH118" s="770">
        <v>58.542250000000003</v>
      </c>
      <c r="AI118" s="771">
        <v>2341.69</v>
      </c>
      <c r="AJ118" s="747"/>
      <c r="AK118" s="770">
        <v>90.801249999999996</v>
      </c>
      <c r="AL118" s="771">
        <v>2905.64</v>
      </c>
      <c r="AM118" s="747"/>
      <c r="AN118" s="770">
        <v>-98.564705882352939</v>
      </c>
      <c r="AO118" s="771">
        <v>-1675.6</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43" t="s">
        <v>115</v>
      </c>
      <c r="C119" s="776"/>
      <c r="D119" s="773">
        <v>173.05390476190476</v>
      </c>
      <c r="E119" s="774">
        <v>54511.979999999996</v>
      </c>
      <c r="F119" s="776"/>
      <c r="G119" s="773">
        <v>0</v>
      </c>
      <c r="H119" s="775">
        <v>3177.35</v>
      </c>
      <c r="I119" s="776"/>
      <c r="J119" s="773">
        <v>0</v>
      </c>
      <c r="K119" s="775">
        <v>3492.9</v>
      </c>
      <c r="L119" s="776"/>
      <c r="M119" s="773">
        <v>0</v>
      </c>
      <c r="N119" s="775">
        <v>4489.08</v>
      </c>
      <c r="O119" s="776"/>
      <c r="P119" s="773">
        <v>0</v>
      </c>
      <c r="Q119" s="775">
        <v>4108.42</v>
      </c>
      <c r="R119" s="776"/>
      <c r="S119" s="773">
        <v>0</v>
      </c>
      <c r="T119" s="775">
        <v>5020.07</v>
      </c>
      <c r="U119" s="776"/>
      <c r="V119" s="773">
        <v>0</v>
      </c>
      <c r="W119" s="775">
        <v>4851.47</v>
      </c>
      <c r="X119" s="776"/>
      <c r="Y119" s="773">
        <v>0</v>
      </c>
      <c r="Z119" s="775">
        <v>4778.57</v>
      </c>
      <c r="AA119" s="776"/>
      <c r="AB119" s="773">
        <v>0</v>
      </c>
      <c r="AC119" s="775">
        <v>4665.32</v>
      </c>
      <c r="AD119" s="776"/>
      <c r="AE119" s="773">
        <v>0</v>
      </c>
      <c r="AF119" s="775">
        <v>5256.57</v>
      </c>
      <c r="AG119" s="776"/>
      <c r="AH119" s="773">
        <v>146.48475000000002</v>
      </c>
      <c r="AI119" s="775">
        <v>5859.39</v>
      </c>
      <c r="AJ119" s="776"/>
      <c r="AK119" s="773">
        <v>157.16593750000001</v>
      </c>
      <c r="AL119" s="775">
        <v>5029.3100000000004</v>
      </c>
      <c r="AM119" s="776"/>
      <c r="AN119" s="773">
        <v>222.56058823529412</v>
      </c>
      <c r="AO119" s="775">
        <v>3783.53</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44" t="s">
        <v>116</v>
      </c>
      <c r="C120" s="747"/>
      <c r="D120" s="770">
        <v>457.91799999999967</v>
      </c>
      <c r="E120" s="758">
        <v>144244.1699999999</v>
      </c>
      <c r="F120" s="747"/>
      <c r="G120" s="770">
        <v>0</v>
      </c>
      <c r="H120" s="771">
        <v>11560.44</v>
      </c>
      <c r="I120" s="747"/>
      <c r="J120" s="770">
        <v>0</v>
      </c>
      <c r="K120" s="771">
        <v>12871.78</v>
      </c>
      <c r="L120" s="747"/>
      <c r="M120" s="770">
        <v>0</v>
      </c>
      <c r="N120" s="771">
        <v>12312.14</v>
      </c>
      <c r="O120" s="747"/>
      <c r="P120" s="770">
        <v>0</v>
      </c>
      <c r="Q120" s="771">
        <v>11494.23</v>
      </c>
      <c r="R120" s="747"/>
      <c r="S120" s="770">
        <v>0</v>
      </c>
      <c r="T120" s="771">
        <v>10158.41</v>
      </c>
      <c r="U120" s="747"/>
      <c r="V120" s="770">
        <v>0</v>
      </c>
      <c r="W120" s="771">
        <v>10839.77</v>
      </c>
      <c r="X120" s="747"/>
      <c r="Y120" s="770">
        <v>0</v>
      </c>
      <c r="Z120" s="771">
        <v>12539.65</v>
      </c>
      <c r="AA120" s="747"/>
      <c r="AB120" s="770">
        <v>0</v>
      </c>
      <c r="AC120" s="771">
        <v>10623.51</v>
      </c>
      <c r="AD120" s="747"/>
      <c r="AE120" s="770">
        <v>0</v>
      </c>
      <c r="AF120" s="771">
        <v>13942.8499999999</v>
      </c>
      <c r="AG120" s="747"/>
      <c r="AH120" s="770">
        <v>325.66075000000001</v>
      </c>
      <c r="AI120" s="771">
        <v>13026.43</v>
      </c>
      <c r="AJ120" s="747"/>
      <c r="AK120" s="770">
        <v>338.94093750000002</v>
      </c>
      <c r="AL120" s="771">
        <v>10846.11</v>
      </c>
      <c r="AM120" s="747"/>
      <c r="AN120" s="770">
        <v>825.22647058823532</v>
      </c>
      <c r="AO120" s="771">
        <v>14028.85</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44" t="s">
        <v>117</v>
      </c>
      <c r="C121" s="747"/>
      <c r="D121" s="770">
        <v>187.92057142857144</v>
      </c>
      <c r="E121" s="758">
        <v>59194.98</v>
      </c>
      <c r="F121" s="747"/>
      <c r="G121" s="770">
        <v>0</v>
      </c>
      <c r="H121" s="771">
        <v>6519.7</v>
      </c>
      <c r="I121" s="747"/>
      <c r="J121" s="770">
        <v>0</v>
      </c>
      <c r="K121" s="771">
        <v>8259.52</v>
      </c>
      <c r="L121" s="747"/>
      <c r="M121" s="770">
        <v>0</v>
      </c>
      <c r="N121" s="771">
        <v>8077.79</v>
      </c>
      <c r="O121" s="747"/>
      <c r="P121" s="770">
        <v>0</v>
      </c>
      <c r="Q121" s="771">
        <v>8719.49</v>
      </c>
      <c r="R121" s="747"/>
      <c r="S121" s="770">
        <v>0</v>
      </c>
      <c r="T121" s="771">
        <v>4128.1499999999996</v>
      </c>
      <c r="U121" s="747"/>
      <c r="V121" s="770">
        <v>0</v>
      </c>
      <c r="W121" s="771">
        <v>7155.41</v>
      </c>
      <c r="X121" s="747"/>
      <c r="Y121" s="770">
        <v>0</v>
      </c>
      <c r="Z121" s="771">
        <v>3775.53</v>
      </c>
      <c r="AA121" s="747"/>
      <c r="AB121" s="770">
        <v>0</v>
      </c>
      <c r="AC121" s="771">
        <v>1951.41</v>
      </c>
      <c r="AD121" s="747"/>
      <c r="AE121" s="770">
        <v>0</v>
      </c>
      <c r="AF121" s="771">
        <v>2583.41</v>
      </c>
      <c r="AG121" s="747"/>
      <c r="AH121" s="770">
        <v>80.372500000000002</v>
      </c>
      <c r="AI121" s="771">
        <v>3214.9</v>
      </c>
      <c r="AJ121" s="747"/>
      <c r="AK121" s="770">
        <v>71.833749999999995</v>
      </c>
      <c r="AL121" s="771">
        <v>2298.6799999999998</v>
      </c>
      <c r="AM121" s="747"/>
      <c r="AN121" s="770">
        <v>147.70529411764704</v>
      </c>
      <c r="AO121" s="771">
        <v>2510.9899999999998</v>
      </c>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59</v>
      </c>
      <c r="C122" s="812"/>
      <c r="D122" s="770">
        <v>0</v>
      </c>
      <c r="E122" s="758">
        <v>0</v>
      </c>
      <c r="F122" s="812"/>
      <c r="G122" s="770">
        <v>0</v>
      </c>
      <c r="H122" s="758">
        <v>0</v>
      </c>
      <c r="I122" s="812"/>
      <c r="J122" s="770">
        <v>0</v>
      </c>
      <c r="K122" s="758">
        <v>0</v>
      </c>
      <c r="L122" s="812"/>
      <c r="M122" s="770">
        <v>0</v>
      </c>
      <c r="N122" s="758">
        <v>0</v>
      </c>
      <c r="O122" s="812"/>
      <c r="P122" s="770">
        <v>0</v>
      </c>
      <c r="Q122" s="758">
        <v>0</v>
      </c>
      <c r="R122" s="812"/>
      <c r="S122" s="770">
        <v>0</v>
      </c>
      <c r="T122" s="758">
        <v>0</v>
      </c>
      <c r="U122" s="812"/>
      <c r="V122" s="770">
        <v>0</v>
      </c>
      <c r="W122" s="758">
        <v>0</v>
      </c>
      <c r="X122" s="812"/>
      <c r="Y122" s="770">
        <v>0</v>
      </c>
      <c r="Z122" s="758">
        <v>0</v>
      </c>
      <c r="AA122" s="812"/>
      <c r="AB122" s="770">
        <v>0</v>
      </c>
      <c r="AC122" s="758">
        <v>0</v>
      </c>
      <c r="AD122" s="812"/>
      <c r="AE122" s="770">
        <v>0</v>
      </c>
      <c r="AF122" s="758">
        <v>0</v>
      </c>
      <c r="AG122" s="812"/>
      <c r="AH122" s="770">
        <v>0</v>
      </c>
      <c r="AI122" s="758">
        <v>0</v>
      </c>
      <c r="AJ122" s="812"/>
      <c r="AK122" s="770">
        <v>0</v>
      </c>
      <c r="AL122" s="758">
        <v>0</v>
      </c>
      <c r="AM122" s="812"/>
      <c r="AN122" s="770">
        <v>0</v>
      </c>
      <c r="AO122" s="758">
        <v>0</v>
      </c>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59</v>
      </c>
      <c r="C123" s="812"/>
      <c r="D123" s="770">
        <v>0</v>
      </c>
      <c r="E123" s="758">
        <v>0</v>
      </c>
      <c r="F123" s="812"/>
      <c r="G123" s="770">
        <v>0</v>
      </c>
      <c r="H123" s="758">
        <v>0</v>
      </c>
      <c r="I123" s="812"/>
      <c r="J123" s="770">
        <v>0</v>
      </c>
      <c r="K123" s="758">
        <v>0</v>
      </c>
      <c r="L123" s="812"/>
      <c r="M123" s="770">
        <v>0</v>
      </c>
      <c r="N123" s="758">
        <v>0</v>
      </c>
      <c r="O123" s="812"/>
      <c r="P123" s="770">
        <v>0</v>
      </c>
      <c r="Q123" s="758">
        <v>0</v>
      </c>
      <c r="R123" s="812"/>
      <c r="S123" s="770">
        <v>0</v>
      </c>
      <c r="T123" s="758">
        <v>0</v>
      </c>
      <c r="U123" s="812"/>
      <c r="V123" s="770">
        <v>0</v>
      </c>
      <c r="W123" s="758">
        <v>0</v>
      </c>
      <c r="X123" s="812"/>
      <c r="Y123" s="770">
        <v>0</v>
      </c>
      <c r="Z123" s="758">
        <v>0</v>
      </c>
      <c r="AA123" s="812"/>
      <c r="AB123" s="770">
        <v>0</v>
      </c>
      <c r="AC123" s="758">
        <v>0</v>
      </c>
      <c r="AD123" s="812"/>
      <c r="AE123" s="770">
        <v>0</v>
      </c>
      <c r="AF123" s="758">
        <v>0</v>
      </c>
      <c r="AG123" s="812"/>
      <c r="AH123" s="770">
        <v>0</v>
      </c>
      <c r="AI123" s="758">
        <v>0</v>
      </c>
      <c r="AJ123" s="812"/>
      <c r="AK123" s="770">
        <v>0</v>
      </c>
      <c r="AL123" s="758">
        <v>0</v>
      </c>
      <c r="AM123" s="812"/>
      <c r="AN123" s="770">
        <v>0</v>
      </c>
      <c r="AO123" s="758">
        <v>0</v>
      </c>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44" t="s">
        <v>59</v>
      </c>
      <c r="C124" s="812"/>
      <c r="D124" s="770">
        <v>0</v>
      </c>
      <c r="E124" s="758">
        <v>0</v>
      </c>
      <c r="F124" s="812" t="s">
        <v>119</v>
      </c>
      <c r="G124" s="770">
        <v>0</v>
      </c>
      <c r="H124" s="758">
        <v>0</v>
      </c>
      <c r="I124" s="812" t="s">
        <v>119</v>
      </c>
      <c r="J124" s="770">
        <v>0</v>
      </c>
      <c r="K124" s="758">
        <v>0</v>
      </c>
      <c r="L124" s="812" t="s">
        <v>119</v>
      </c>
      <c r="M124" s="770">
        <v>0</v>
      </c>
      <c r="N124" s="758">
        <v>0</v>
      </c>
      <c r="O124" s="812" t="s">
        <v>119</v>
      </c>
      <c r="P124" s="770">
        <v>0</v>
      </c>
      <c r="Q124" s="758">
        <v>0</v>
      </c>
      <c r="R124" s="812"/>
      <c r="S124" s="770">
        <v>0</v>
      </c>
      <c r="T124" s="758">
        <v>0</v>
      </c>
      <c r="U124" s="812"/>
      <c r="V124" s="770">
        <v>0</v>
      </c>
      <c r="W124" s="758">
        <v>0</v>
      </c>
      <c r="X124" s="812"/>
      <c r="Y124" s="770">
        <v>0</v>
      </c>
      <c r="Z124" s="758">
        <v>0</v>
      </c>
      <c r="AA124" s="812"/>
      <c r="AB124" s="770">
        <v>0</v>
      </c>
      <c r="AC124" s="758">
        <v>0</v>
      </c>
      <c r="AD124" s="812"/>
      <c r="AE124" s="770">
        <v>0</v>
      </c>
      <c r="AF124" s="758">
        <v>0</v>
      </c>
      <c r="AG124" s="812"/>
      <c r="AH124" s="770">
        <v>0</v>
      </c>
      <c r="AI124" s="758">
        <v>0</v>
      </c>
      <c r="AJ124" s="812"/>
      <c r="AK124" s="770">
        <v>0</v>
      </c>
      <c r="AL124" s="758">
        <v>0</v>
      </c>
      <c r="AM124" s="812"/>
      <c r="AN124" s="770">
        <v>0</v>
      </c>
      <c r="AO124" s="758">
        <v>0</v>
      </c>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53" t="s">
        <v>118</v>
      </c>
      <c r="C125" s="777" t="s">
        <v>119</v>
      </c>
      <c r="D125" s="778">
        <v>0.7634482862442602</v>
      </c>
      <c r="E125" s="779">
        <v>644567.14999999991</v>
      </c>
      <c r="F125" s="777"/>
      <c r="G125" s="778"/>
      <c r="H125" s="779">
        <v>34355.56</v>
      </c>
      <c r="I125" s="777"/>
      <c r="J125" s="778"/>
      <c r="K125" s="779">
        <v>46535.66</v>
      </c>
      <c r="L125" s="777"/>
      <c r="M125" s="778"/>
      <c r="N125" s="779">
        <v>48922.97</v>
      </c>
      <c r="O125" s="777"/>
      <c r="P125" s="778"/>
      <c r="Q125" s="779">
        <v>52739.389999999898</v>
      </c>
      <c r="R125" s="777" t="s">
        <v>119</v>
      </c>
      <c r="S125" s="778"/>
      <c r="T125" s="779">
        <v>67921.03</v>
      </c>
      <c r="U125" s="777" t="s">
        <v>119</v>
      </c>
      <c r="V125" s="778"/>
      <c r="W125" s="779">
        <v>59451.45</v>
      </c>
      <c r="X125" s="777" t="s">
        <v>119</v>
      </c>
      <c r="Y125" s="778"/>
      <c r="Z125" s="779">
        <v>54672.369999999901</v>
      </c>
      <c r="AA125" s="777" t="s">
        <v>119</v>
      </c>
      <c r="AB125" s="778"/>
      <c r="AC125" s="779">
        <v>41564.160000000003</v>
      </c>
      <c r="AD125" s="777" t="s">
        <v>119</v>
      </c>
      <c r="AE125" s="778"/>
      <c r="AF125" s="779">
        <v>61828.84</v>
      </c>
      <c r="AG125" s="777" t="s">
        <v>119</v>
      </c>
      <c r="AH125" s="778"/>
      <c r="AI125" s="779">
        <v>72996.959999999905</v>
      </c>
      <c r="AJ125" s="777" t="s">
        <v>119</v>
      </c>
      <c r="AK125" s="778"/>
      <c r="AL125" s="779">
        <v>60013.07</v>
      </c>
      <c r="AM125" s="777" t="s">
        <v>119</v>
      </c>
      <c r="AN125" s="778"/>
      <c r="AO125" s="779">
        <v>43565.6899999999</v>
      </c>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54" t="s">
        <v>120</v>
      </c>
      <c r="C126" s="747"/>
      <c r="D126" s="757"/>
      <c r="E126" s="758">
        <v>130571.64000000001</v>
      </c>
      <c r="F126" s="747"/>
      <c r="G126" s="757"/>
      <c r="H126" s="771">
        <v>4705.9799999999996</v>
      </c>
      <c r="I126" s="747"/>
      <c r="J126" s="757"/>
      <c r="K126" s="771">
        <v>13022.98</v>
      </c>
      <c r="L126" s="747"/>
      <c r="M126" s="757"/>
      <c r="N126" s="771">
        <v>15981.84</v>
      </c>
      <c r="O126" s="747"/>
      <c r="P126" s="757"/>
      <c r="Q126" s="771">
        <v>9398.39</v>
      </c>
      <c r="R126" s="747"/>
      <c r="S126" s="757"/>
      <c r="T126" s="771">
        <v>11393</v>
      </c>
      <c r="U126" s="747"/>
      <c r="V126" s="757"/>
      <c r="W126" s="771">
        <v>12701.48</v>
      </c>
      <c r="X126" s="747"/>
      <c r="Y126" s="757"/>
      <c r="Z126" s="771">
        <v>11356.48</v>
      </c>
      <c r="AA126" s="747"/>
      <c r="AB126" s="757"/>
      <c r="AC126" s="771">
        <v>9767.6299999999992</v>
      </c>
      <c r="AD126" s="747"/>
      <c r="AE126" s="757"/>
      <c r="AF126" s="771">
        <v>9656.08</v>
      </c>
      <c r="AG126" s="747"/>
      <c r="AH126" s="757"/>
      <c r="AI126" s="771">
        <v>8898.24</v>
      </c>
      <c r="AJ126" s="747"/>
      <c r="AK126" s="757"/>
      <c r="AL126" s="771">
        <v>12581.58</v>
      </c>
      <c r="AM126" s="747"/>
      <c r="AN126" s="757"/>
      <c r="AO126" s="771">
        <v>11107.96</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55" t="s">
        <v>121</v>
      </c>
      <c r="C127" s="747"/>
      <c r="D127" s="757"/>
      <c r="E127" s="758">
        <v>22209.699999999997</v>
      </c>
      <c r="F127" s="747"/>
      <c r="G127" s="757"/>
      <c r="H127" s="771">
        <v>1808.02</v>
      </c>
      <c r="I127" s="747"/>
      <c r="J127" s="757"/>
      <c r="K127" s="771">
        <v>1638.43</v>
      </c>
      <c r="L127" s="747"/>
      <c r="M127" s="757"/>
      <c r="N127" s="771">
        <v>1954.17</v>
      </c>
      <c r="O127" s="747"/>
      <c r="P127" s="757"/>
      <c r="Q127" s="771">
        <v>1810.72</v>
      </c>
      <c r="R127" s="747"/>
      <c r="S127" s="757"/>
      <c r="T127" s="771">
        <v>1971.71</v>
      </c>
      <c r="U127" s="747"/>
      <c r="V127" s="757"/>
      <c r="W127" s="771">
        <v>1795.65</v>
      </c>
      <c r="X127" s="747"/>
      <c r="Y127" s="757"/>
      <c r="Z127" s="771">
        <v>1797.53</v>
      </c>
      <c r="AA127" s="747"/>
      <c r="AB127" s="757"/>
      <c r="AC127" s="771">
        <v>1850.37</v>
      </c>
      <c r="AD127" s="747"/>
      <c r="AE127" s="757"/>
      <c r="AF127" s="771">
        <v>1787.27</v>
      </c>
      <c r="AG127" s="747"/>
      <c r="AH127" s="757"/>
      <c r="AI127" s="771">
        <v>1857.41</v>
      </c>
      <c r="AJ127" s="747"/>
      <c r="AK127" s="757"/>
      <c r="AL127" s="771">
        <v>2096.35</v>
      </c>
      <c r="AM127" s="747"/>
      <c r="AN127" s="757"/>
      <c r="AO127" s="771">
        <v>1842.07</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54" t="s">
        <v>122</v>
      </c>
      <c r="C128" s="780"/>
      <c r="D128" s="781"/>
      <c r="E128" s="782">
        <v>73077.89</v>
      </c>
      <c r="F128" s="780"/>
      <c r="G128" s="781"/>
      <c r="H128" s="783">
        <v>5541.73</v>
      </c>
      <c r="I128" s="780"/>
      <c r="J128" s="781"/>
      <c r="K128" s="783">
        <v>6160.24</v>
      </c>
      <c r="L128" s="780"/>
      <c r="M128" s="781"/>
      <c r="N128" s="783">
        <v>6493.19</v>
      </c>
      <c r="O128" s="780"/>
      <c r="P128" s="781"/>
      <c r="Q128" s="783">
        <v>7173.33</v>
      </c>
      <c r="R128" s="780"/>
      <c r="S128" s="781"/>
      <c r="T128" s="783">
        <v>6473.02</v>
      </c>
      <c r="U128" s="780"/>
      <c r="V128" s="781"/>
      <c r="W128" s="783">
        <v>5382.63</v>
      </c>
      <c r="X128" s="780"/>
      <c r="Y128" s="781"/>
      <c r="Z128" s="783">
        <v>5422.58</v>
      </c>
      <c r="AA128" s="780"/>
      <c r="AB128" s="781"/>
      <c r="AC128" s="783">
        <v>5075.26</v>
      </c>
      <c r="AD128" s="780"/>
      <c r="AE128" s="781"/>
      <c r="AF128" s="783">
        <v>5390.74</v>
      </c>
      <c r="AG128" s="780"/>
      <c r="AH128" s="781"/>
      <c r="AI128" s="783">
        <v>5694.09</v>
      </c>
      <c r="AJ128" s="780"/>
      <c r="AK128" s="781"/>
      <c r="AL128" s="783">
        <v>7887.5</v>
      </c>
      <c r="AM128" s="780"/>
      <c r="AN128" s="781"/>
      <c r="AO128" s="783">
        <v>6383.58</v>
      </c>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54" t="s">
        <v>123</v>
      </c>
      <c r="C129" s="747"/>
      <c r="D129" s="757"/>
      <c r="E129" s="758">
        <v>0</v>
      </c>
      <c r="F129" s="747"/>
      <c r="G129" s="757"/>
      <c r="H129" s="771">
        <v>0</v>
      </c>
      <c r="I129" s="747"/>
      <c r="J129" s="757"/>
      <c r="K129" s="771">
        <v>0</v>
      </c>
      <c r="L129" s="747"/>
      <c r="M129" s="757"/>
      <c r="N129" s="771">
        <v>0</v>
      </c>
      <c r="O129" s="747"/>
      <c r="P129" s="757"/>
      <c r="Q129" s="771">
        <v>0</v>
      </c>
      <c r="R129" s="747"/>
      <c r="S129" s="757"/>
      <c r="T129" s="771">
        <v>0</v>
      </c>
      <c r="U129" s="747"/>
      <c r="V129" s="757"/>
      <c r="W129" s="771">
        <v>0</v>
      </c>
      <c r="X129" s="747"/>
      <c r="Y129" s="757"/>
      <c r="Z129" s="771">
        <v>0</v>
      </c>
      <c r="AA129" s="747"/>
      <c r="AB129" s="757"/>
      <c r="AC129" s="771">
        <v>0</v>
      </c>
      <c r="AD129" s="747"/>
      <c r="AE129" s="757"/>
      <c r="AF129" s="771">
        <v>0</v>
      </c>
      <c r="AG129" s="747"/>
      <c r="AH129" s="757"/>
      <c r="AI129" s="771">
        <v>0</v>
      </c>
      <c r="AJ129" s="747"/>
      <c r="AK129" s="757"/>
      <c r="AL129" s="771">
        <v>0</v>
      </c>
      <c r="AM129" s="747"/>
      <c r="AN129" s="757"/>
      <c r="AO129" s="771">
        <v>0</v>
      </c>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59</v>
      </c>
      <c r="C130" s="747"/>
      <c r="D130" s="757"/>
      <c r="E130" s="758">
        <v>0</v>
      </c>
      <c r="F130" s="747"/>
      <c r="G130" s="757"/>
      <c r="H130" s="771">
        <v>0</v>
      </c>
      <c r="I130" s="747"/>
      <c r="J130" s="757"/>
      <c r="K130" s="771">
        <v>0</v>
      </c>
      <c r="L130" s="747"/>
      <c r="M130" s="757"/>
      <c r="N130" s="771">
        <v>0</v>
      </c>
      <c r="O130" s="747"/>
      <c r="P130" s="757"/>
      <c r="Q130" s="771">
        <v>0</v>
      </c>
      <c r="R130" s="747"/>
      <c r="S130" s="757"/>
      <c r="T130" s="771">
        <v>0</v>
      </c>
      <c r="U130" s="747"/>
      <c r="V130" s="757"/>
      <c r="W130" s="771">
        <v>0</v>
      </c>
      <c r="X130" s="747"/>
      <c r="Y130" s="757"/>
      <c r="Z130" s="771">
        <v>0</v>
      </c>
      <c r="AA130" s="747"/>
      <c r="AB130" s="757"/>
      <c r="AC130" s="771">
        <v>0</v>
      </c>
      <c r="AD130" s="747"/>
      <c r="AE130" s="757"/>
      <c r="AF130" s="771">
        <v>0</v>
      </c>
      <c r="AG130" s="747"/>
      <c r="AH130" s="757"/>
      <c r="AI130" s="771">
        <v>0</v>
      </c>
      <c r="AJ130" s="747"/>
      <c r="AK130" s="757"/>
      <c r="AL130" s="771">
        <v>0</v>
      </c>
      <c r="AM130" s="747"/>
      <c r="AN130" s="757"/>
      <c r="AO130" s="771">
        <v>0</v>
      </c>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59</v>
      </c>
      <c r="C131" s="747"/>
      <c r="D131" s="757"/>
      <c r="E131" s="758">
        <v>0</v>
      </c>
      <c r="F131" s="747"/>
      <c r="G131" s="757"/>
      <c r="H131" s="771">
        <v>0</v>
      </c>
      <c r="I131" s="747"/>
      <c r="J131" s="757"/>
      <c r="K131" s="771">
        <v>0</v>
      </c>
      <c r="L131" s="747"/>
      <c r="M131" s="757"/>
      <c r="N131" s="771">
        <v>0</v>
      </c>
      <c r="O131" s="747"/>
      <c r="P131" s="757"/>
      <c r="Q131" s="771">
        <v>0</v>
      </c>
      <c r="R131" s="747"/>
      <c r="S131" s="757"/>
      <c r="T131" s="771">
        <v>0</v>
      </c>
      <c r="U131" s="747"/>
      <c r="V131" s="757"/>
      <c r="W131" s="771">
        <v>0</v>
      </c>
      <c r="X131" s="747"/>
      <c r="Y131" s="757"/>
      <c r="Z131" s="771">
        <v>0</v>
      </c>
      <c r="AA131" s="747"/>
      <c r="AB131" s="757"/>
      <c r="AC131" s="771">
        <v>0</v>
      </c>
      <c r="AD131" s="747"/>
      <c r="AE131" s="757"/>
      <c r="AF131" s="771">
        <v>0</v>
      </c>
      <c r="AG131" s="747"/>
      <c r="AH131" s="757"/>
      <c r="AI131" s="771">
        <v>0</v>
      </c>
      <c r="AJ131" s="747"/>
      <c r="AK131" s="757"/>
      <c r="AL131" s="771">
        <v>0</v>
      </c>
      <c r="AM131" s="747"/>
      <c r="AN131" s="757"/>
      <c r="AO131" s="771">
        <v>0</v>
      </c>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44" t="s">
        <v>59</v>
      </c>
      <c r="C132" s="747"/>
      <c r="D132" s="757"/>
      <c r="E132" s="758">
        <v>0</v>
      </c>
      <c r="F132" s="747"/>
      <c r="G132" s="757"/>
      <c r="H132" s="771">
        <v>0</v>
      </c>
      <c r="I132" s="747"/>
      <c r="J132" s="757"/>
      <c r="K132" s="771">
        <v>0</v>
      </c>
      <c r="L132" s="747"/>
      <c r="M132" s="757"/>
      <c r="N132" s="771">
        <v>0</v>
      </c>
      <c r="O132" s="747"/>
      <c r="P132" s="757"/>
      <c r="Q132" s="771">
        <v>0</v>
      </c>
      <c r="R132" s="747"/>
      <c r="S132" s="757"/>
      <c r="T132" s="771">
        <v>0</v>
      </c>
      <c r="U132" s="747"/>
      <c r="V132" s="757"/>
      <c r="W132" s="771">
        <v>0</v>
      </c>
      <c r="X132" s="747"/>
      <c r="Y132" s="757"/>
      <c r="Z132" s="771">
        <v>0</v>
      </c>
      <c r="AA132" s="747"/>
      <c r="AB132" s="757"/>
      <c r="AC132" s="771">
        <v>0</v>
      </c>
      <c r="AD132" s="747"/>
      <c r="AE132" s="757"/>
      <c r="AF132" s="771">
        <v>0</v>
      </c>
      <c r="AG132" s="747"/>
      <c r="AH132" s="757"/>
      <c r="AI132" s="771">
        <v>0</v>
      </c>
      <c r="AJ132" s="747"/>
      <c r="AK132" s="757"/>
      <c r="AL132" s="771">
        <v>0</v>
      </c>
      <c r="AM132" s="747"/>
      <c r="AN132" s="757"/>
      <c r="AO132" s="771">
        <v>0</v>
      </c>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55" t="s">
        <v>124</v>
      </c>
      <c r="C133" s="747"/>
      <c r="D133" s="757"/>
      <c r="E133" s="758">
        <v>76747.64</v>
      </c>
      <c r="F133" s="747"/>
      <c r="G133" s="757"/>
      <c r="H133" s="771">
        <v>7350.32</v>
      </c>
      <c r="I133" s="747"/>
      <c r="J133" s="757"/>
      <c r="K133" s="771">
        <v>7392.1</v>
      </c>
      <c r="L133" s="747"/>
      <c r="M133" s="757"/>
      <c r="N133" s="771">
        <v>2150.4899999999998</v>
      </c>
      <c r="O133" s="747"/>
      <c r="P133" s="757"/>
      <c r="Q133" s="771">
        <v>6719.86</v>
      </c>
      <c r="R133" s="747"/>
      <c r="S133" s="757"/>
      <c r="T133" s="771">
        <v>9125.73</v>
      </c>
      <c r="U133" s="747"/>
      <c r="V133" s="757"/>
      <c r="W133" s="771">
        <v>7290.8</v>
      </c>
      <c r="X133" s="747"/>
      <c r="Y133" s="757"/>
      <c r="Z133" s="771">
        <v>7069.51</v>
      </c>
      <c r="AA133" s="747"/>
      <c r="AB133" s="757"/>
      <c r="AC133" s="771">
        <v>6688.13</v>
      </c>
      <c r="AD133" s="747"/>
      <c r="AE133" s="757"/>
      <c r="AF133" s="771">
        <v>7525.08</v>
      </c>
      <c r="AG133" s="747"/>
      <c r="AH133" s="757"/>
      <c r="AI133" s="771">
        <v>6393.9</v>
      </c>
      <c r="AJ133" s="747"/>
      <c r="AK133" s="757"/>
      <c r="AL133" s="771">
        <v>2561.98</v>
      </c>
      <c r="AM133" s="747"/>
      <c r="AN133" s="757"/>
      <c r="AO133" s="771">
        <v>6479.74</v>
      </c>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54" t="s">
        <v>125</v>
      </c>
      <c r="C134" s="780"/>
      <c r="D134" s="781"/>
      <c r="E134" s="782">
        <v>85430.969999999987</v>
      </c>
      <c r="F134" s="780"/>
      <c r="G134" s="781"/>
      <c r="H134" s="783">
        <v>4537.38</v>
      </c>
      <c r="I134" s="780"/>
      <c r="J134" s="781"/>
      <c r="K134" s="783">
        <v>7456.71</v>
      </c>
      <c r="L134" s="780"/>
      <c r="M134" s="781"/>
      <c r="N134" s="783">
        <v>6516.38</v>
      </c>
      <c r="O134" s="780"/>
      <c r="P134" s="781"/>
      <c r="Q134" s="783">
        <v>6401.3</v>
      </c>
      <c r="R134" s="780"/>
      <c r="S134" s="781"/>
      <c r="T134" s="783">
        <v>6559.76</v>
      </c>
      <c r="U134" s="780"/>
      <c r="V134" s="781"/>
      <c r="W134" s="783">
        <v>7365.92</v>
      </c>
      <c r="X134" s="780"/>
      <c r="Y134" s="781"/>
      <c r="Z134" s="783">
        <v>5534.23</v>
      </c>
      <c r="AA134" s="780"/>
      <c r="AB134" s="781"/>
      <c r="AC134" s="783">
        <v>9928.68</v>
      </c>
      <c r="AD134" s="780"/>
      <c r="AE134" s="781"/>
      <c r="AF134" s="783">
        <v>9219.9699999999993</v>
      </c>
      <c r="AG134" s="780"/>
      <c r="AH134" s="781"/>
      <c r="AI134" s="783">
        <v>9019.32</v>
      </c>
      <c r="AJ134" s="780"/>
      <c r="AK134" s="781"/>
      <c r="AL134" s="783">
        <v>7576.78</v>
      </c>
      <c r="AM134" s="780"/>
      <c r="AN134" s="781"/>
      <c r="AO134" s="783">
        <v>5314.54</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54" t="s">
        <v>126</v>
      </c>
      <c r="C135" s="747"/>
      <c r="D135" s="757"/>
      <c r="E135" s="758">
        <v>22252.829999999998</v>
      </c>
      <c r="F135" s="747"/>
      <c r="G135" s="757"/>
      <c r="H135" s="771">
        <v>879.77</v>
      </c>
      <c r="I135" s="747"/>
      <c r="J135" s="757"/>
      <c r="K135" s="771">
        <v>1052.78</v>
      </c>
      <c r="L135" s="747"/>
      <c r="M135" s="757"/>
      <c r="N135" s="771">
        <v>1261.54</v>
      </c>
      <c r="O135" s="747"/>
      <c r="P135" s="757"/>
      <c r="Q135" s="771">
        <v>999.32999999999902</v>
      </c>
      <c r="R135" s="747"/>
      <c r="S135" s="757"/>
      <c r="T135" s="771">
        <v>1379</v>
      </c>
      <c r="U135" s="747"/>
      <c r="V135" s="757"/>
      <c r="W135" s="771">
        <v>1319.4</v>
      </c>
      <c r="X135" s="747"/>
      <c r="Y135" s="757"/>
      <c r="Z135" s="771">
        <v>1332.74</v>
      </c>
      <c r="AA135" s="747"/>
      <c r="AB135" s="757"/>
      <c r="AC135" s="771">
        <v>5406.85</v>
      </c>
      <c r="AD135" s="747"/>
      <c r="AE135" s="757"/>
      <c r="AF135" s="771">
        <v>4844.01</v>
      </c>
      <c r="AG135" s="747"/>
      <c r="AH135" s="757"/>
      <c r="AI135" s="771">
        <v>4744.38</v>
      </c>
      <c r="AJ135" s="747"/>
      <c r="AK135" s="757"/>
      <c r="AL135" s="771">
        <v>-1684.7</v>
      </c>
      <c r="AM135" s="747"/>
      <c r="AN135" s="757"/>
      <c r="AO135" s="771">
        <v>717.73</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54" t="s">
        <v>127</v>
      </c>
      <c r="C136" s="747"/>
      <c r="D136" s="757"/>
      <c r="E136" s="758">
        <v>12236.51</v>
      </c>
      <c r="F136" s="747"/>
      <c r="G136" s="757"/>
      <c r="H136" s="771">
        <v>608.91</v>
      </c>
      <c r="I136" s="747"/>
      <c r="J136" s="757"/>
      <c r="K136" s="771">
        <v>637.33000000000004</v>
      </c>
      <c r="L136" s="747"/>
      <c r="M136" s="757"/>
      <c r="N136" s="771">
        <v>1137.53</v>
      </c>
      <c r="O136" s="747"/>
      <c r="P136" s="757"/>
      <c r="Q136" s="771">
        <v>1212.53</v>
      </c>
      <c r="R136" s="747"/>
      <c r="S136" s="757"/>
      <c r="T136" s="771">
        <v>1120.67</v>
      </c>
      <c r="U136" s="747"/>
      <c r="V136" s="757"/>
      <c r="W136" s="771">
        <v>1262.81</v>
      </c>
      <c r="X136" s="747"/>
      <c r="Y136" s="757"/>
      <c r="Z136" s="771">
        <v>970.23</v>
      </c>
      <c r="AA136" s="747"/>
      <c r="AB136" s="757"/>
      <c r="AC136" s="771">
        <v>1127.8900000000001</v>
      </c>
      <c r="AD136" s="747"/>
      <c r="AE136" s="757"/>
      <c r="AF136" s="771">
        <v>808.62</v>
      </c>
      <c r="AG136" s="747"/>
      <c r="AH136" s="757"/>
      <c r="AI136" s="771">
        <v>590.89</v>
      </c>
      <c r="AJ136" s="747"/>
      <c r="AK136" s="757"/>
      <c r="AL136" s="771">
        <v>1318.85</v>
      </c>
      <c r="AM136" s="747"/>
      <c r="AN136" s="757"/>
      <c r="AO136" s="771">
        <v>1440.25</v>
      </c>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c r="B137" s="44"/>
      <c r="C137" s="776"/>
      <c r="D137" s="784"/>
      <c r="E137" s="774"/>
      <c r="F137" s="776"/>
      <c r="G137" s="784"/>
      <c r="H137" s="774"/>
      <c r="I137" s="776"/>
      <c r="J137" s="784"/>
      <c r="K137" s="774"/>
      <c r="L137" s="776"/>
      <c r="M137" s="784"/>
      <c r="N137" s="774"/>
      <c r="O137" s="776"/>
      <c r="P137" s="784"/>
      <c r="Q137" s="774"/>
      <c r="R137" s="776"/>
      <c r="S137" s="784"/>
      <c r="T137" s="774"/>
      <c r="U137" s="776"/>
      <c r="V137" s="784"/>
      <c r="W137" s="774"/>
      <c r="X137" s="776"/>
      <c r="Y137" s="784"/>
      <c r="Z137" s="774"/>
      <c r="AA137" s="776"/>
      <c r="AB137" s="784"/>
      <c r="AC137" s="774"/>
      <c r="AD137" s="776"/>
      <c r="AE137" s="784"/>
      <c r="AF137" s="774"/>
      <c r="AG137" s="776"/>
      <c r="AH137" s="784"/>
      <c r="AI137" s="774"/>
      <c r="AJ137" s="776"/>
      <c r="AK137" s="784"/>
      <c r="AL137" s="774"/>
      <c r="AM137" s="776"/>
      <c r="AN137" s="784"/>
      <c r="AO137" s="774"/>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53" t="s">
        <v>128</v>
      </c>
      <c r="C138" s="777" t="s">
        <v>119</v>
      </c>
      <c r="D138" s="778">
        <v>0.50045623867524136</v>
      </c>
      <c r="E138" s="779">
        <v>422527.18000000005</v>
      </c>
      <c r="F138" s="777"/>
      <c r="G138" s="778"/>
      <c r="H138" s="779">
        <v>25432.11</v>
      </c>
      <c r="I138" s="777"/>
      <c r="J138" s="778"/>
      <c r="K138" s="779">
        <v>37360.57</v>
      </c>
      <c r="L138" s="777"/>
      <c r="M138" s="778"/>
      <c r="N138" s="779">
        <v>35495.14</v>
      </c>
      <c r="O138" s="777"/>
      <c r="P138" s="778"/>
      <c r="Q138" s="779">
        <v>33715.46</v>
      </c>
      <c r="R138" s="777"/>
      <c r="S138" s="778"/>
      <c r="T138" s="779">
        <v>38022.89</v>
      </c>
      <c r="U138" s="777"/>
      <c r="V138" s="778"/>
      <c r="W138" s="779">
        <v>37118.6899999999</v>
      </c>
      <c r="X138" s="777"/>
      <c r="Y138" s="778"/>
      <c r="Z138" s="779">
        <v>33483.300000000003</v>
      </c>
      <c r="AA138" s="777"/>
      <c r="AB138" s="778"/>
      <c r="AC138" s="779">
        <v>39844.81</v>
      </c>
      <c r="AD138" s="777"/>
      <c r="AE138" s="778"/>
      <c r="AF138" s="779">
        <v>39231.769999999997</v>
      </c>
      <c r="AG138" s="777"/>
      <c r="AH138" s="778"/>
      <c r="AI138" s="779">
        <v>37198.229999999901</v>
      </c>
      <c r="AJ138" s="777"/>
      <c r="AK138" s="778"/>
      <c r="AL138" s="779">
        <v>32338.339999999898</v>
      </c>
      <c r="AM138" s="777"/>
      <c r="AN138" s="778"/>
      <c r="AO138" s="779">
        <v>33285.869999999901</v>
      </c>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44" t="s">
        <v>129</v>
      </c>
      <c r="C139" s="747"/>
      <c r="D139" s="757"/>
      <c r="E139" s="758">
        <v>0</v>
      </c>
      <c r="F139" s="747"/>
      <c r="G139" s="757"/>
      <c r="H139" s="771">
        <v>0</v>
      </c>
      <c r="I139" s="747"/>
      <c r="J139" s="757"/>
      <c r="K139" s="771">
        <v>0</v>
      </c>
      <c r="L139" s="747"/>
      <c r="M139" s="757"/>
      <c r="N139" s="771">
        <v>0</v>
      </c>
      <c r="O139" s="747"/>
      <c r="P139" s="757"/>
      <c r="Q139" s="771">
        <v>0</v>
      </c>
      <c r="R139" s="747"/>
      <c r="S139" s="757"/>
      <c r="T139" s="771">
        <v>0</v>
      </c>
      <c r="U139" s="747"/>
      <c r="V139" s="757"/>
      <c r="W139" s="771">
        <v>0</v>
      </c>
      <c r="X139" s="747"/>
      <c r="Y139" s="757"/>
      <c r="Z139" s="771">
        <v>0</v>
      </c>
      <c r="AA139" s="747"/>
      <c r="AB139" s="757"/>
      <c r="AC139" s="771">
        <v>0</v>
      </c>
      <c r="AD139" s="747"/>
      <c r="AE139" s="757"/>
      <c r="AF139" s="771">
        <v>0</v>
      </c>
      <c r="AG139" s="747"/>
      <c r="AH139" s="757"/>
      <c r="AI139" s="771">
        <v>0</v>
      </c>
      <c r="AJ139" s="747"/>
      <c r="AK139" s="757"/>
      <c r="AL139" s="771">
        <v>0</v>
      </c>
      <c r="AM139" s="747"/>
      <c r="AN139" s="757"/>
      <c r="AO139" s="771">
        <v>0</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44" t="s">
        <v>130</v>
      </c>
      <c r="C140" s="747"/>
      <c r="D140" s="757"/>
      <c r="E140" s="758">
        <v>0</v>
      </c>
      <c r="F140" s="747"/>
      <c r="G140" s="757"/>
      <c r="H140" s="771">
        <v>0</v>
      </c>
      <c r="I140" s="747"/>
      <c r="J140" s="757"/>
      <c r="K140" s="771">
        <v>0</v>
      </c>
      <c r="L140" s="747"/>
      <c r="M140" s="757"/>
      <c r="N140" s="771">
        <v>0</v>
      </c>
      <c r="O140" s="747"/>
      <c r="P140" s="757"/>
      <c r="Q140" s="771">
        <v>0</v>
      </c>
      <c r="R140" s="747"/>
      <c r="S140" s="757"/>
      <c r="T140" s="771">
        <v>0</v>
      </c>
      <c r="U140" s="747"/>
      <c r="V140" s="757"/>
      <c r="W140" s="771">
        <v>0</v>
      </c>
      <c r="X140" s="747"/>
      <c r="Y140" s="757"/>
      <c r="Z140" s="771">
        <v>0</v>
      </c>
      <c r="AA140" s="747"/>
      <c r="AB140" s="757"/>
      <c r="AC140" s="771">
        <v>0</v>
      </c>
      <c r="AD140" s="747"/>
      <c r="AE140" s="757"/>
      <c r="AF140" s="771">
        <v>0</v>
      </c>
      <c r="AG140" s="747"/>
      <c r="AH140" s="757"/>
      <c r="AI140" s="771">
        <v>0</v>
      </c>
      <c r="AJ140" s="747"/>
      <c r="AK140" s="757"/>
      <c r="AL140" s="771">
        <v>0</v>
      </c>
      <c r="AM140" s="747"/>
      <c r="AN140" s="757"/>
      <c r="AO140" s="771">
        <v>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43" t="s">
        <v>131</v>
      </c>
      <c r="C141" s="785"/>
      <c r="D141" s="786"/>
      <c r="E141" s="787">
        <v>13482.14</v>
      </c>
      <c r="F141" s="785"/>
      <c r="G141" s="786"/>
      <c r="H141" s="788">
        <v>328.72</v>
      </c>
      <c r="I141" s="785"/>
      <c r="J141" s="786"/>
      <c r="K141" s="788">
        <v>375.25</v>
      </c>
      <c r="L141" s="785"/>
      <c r="M141" s="786"/>
      <c r="N141" s="788">
        <v>652.4</v>
      </c>
      <c r="O141" s="785"/>
      <c r="P141" s="786"/>
      <c r="Q141" s="788">
        <v>625</v>
      </c>
      <c r="R141" s="785"/>
      <c r="S141" s="786"/>
      <c r="T141" s="788">
        <v>829.56</v>
      </c>
      <c r="U141" s="785"/>
      <c r="V141" s="786"/>
      <c r="W141" s="788">
        <v>734.6</v>
      </c>
      <c r="X141" s="785"/>
      <c r="Y141" s="786"/>
      <c r="Z141" s="788">
        <v>673.78</v>
      </c>
      <c r="AA141" s="785"/>
      <c r="AB141" s="786"/>
      <c r="AC141" s="788">
        <v>764.51</v>
      </c>
      <c r="AD141" s="785"/>
      <c r="AE141" s="786"/>
      <c r="AF141" s="788">
        <v>865.26</v>
      </c>
      <c r="AG141" s="785"/>
      <c r="AH141" s="786"/>
      <c r="AI141" s="788">
        <v>1048.82</v>
      </c>
      <c r="AJ141" s="785"/>
      <c r="AK141" s="786"/>
      <c r="AL141" s="788">
        <v>3842.56</v>
      </c>
      <c r="AM141" s="785"/>
      <c r="AN141" s="786"/>
      <c r="AO141" s="788">
        <v>2741.68</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44" t="s">
        <v>132</v>
      </c>
      <c r="C142" s="747"/>
      <c r="D142" s="757"/>
      <c r="E142" s="758">
        <v>44654.03</v>
      </c>
      <c r="F142" s="747"/>
      <c r="G142" s="757"/>
      <c r="H142" s="771">
        <v>3420.4</v>
      </c>
      <c r="I142" s="747"/>
      <c r="J142" s="757"/>
      <c r="K142" s="771">
        <v>3464.52</v>
      </c>
      <c r="L142" s="747"/>
      <c r="M142" s="757"/>
      <c r="N142" s="771">
        <v>3799.07</v>
      </c>
      <c r="O142" s="747"/>
      <c r="P142" s="757"/>
      <c r="Q142" s="771">
        <v>3778.28</v>
      </c>
      <c r="R142" s="747"/>
      <c r="S142" s="757"/>
      <c r="T142" s="771">
        <v>4193.7</v>
      </c>
      <c r="U142" s="747"/>
      <c r="V142" s="757"/>
      <c r="W142" s="771">
        <v>3748.21</v>
      </c>
      <c r="X142" s="747"/>
      <c r="Y142" s="757"/>
      <c r="Z142" s="771">
        <v>2790.26</v>
      </c>
      <c r="AA142" s="747"/>
      <c r="AB142" s="757"/>
      <c r="AC142" s="771">
        <v>4505.46</v>
      </c>
      <c r="AD142" s="747"/>
      <c r="AE142" s="757"/>
      <c r="AF142" s="771">
        <v>4362.13</v>
      </c>
      <c r="AG142" s="747"/>
      <c r="AH142" s="757"/>
      <c r="AI142" s="771">
        <v>3313.84</v>
      </c>
      <c r="AJ142" s="747"/>
      <c r="AK142" s="757"/>
      <c r="AL142" s="771">
        <v>3362.33</v>
      </c>
      <c r="AM142" s="747"/>
      <c r="AN142" s="757"/>
      <c r="AO142" s="771">
        <v>3915.83</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44" t="s">
        <v>133</v>
      </c>
      <c r="C143" s="747"/>
      <c r="D143" s="757"/>
      <c r="E143" s="758">
        <v>7395.2400000000007</v>
      </c>
      <c r="F143" s="747"/>
      <c r="G143" s="757"/>
      <c r="H143" s="771">
        <v>740.35</v>
      </c>
      <c r="I143" s="747"/>
      <c r="J143" s="757"/>
      <c r="K143" s="771">
        <v>86.55</v>
      </c>
      <c r="L143" s="747"/>
      <c r="M143" s="757"/>
      <c r="N143" s="771">
        <v>313.27999999999997</v>
      </c>
      <c r="O143" s="747"/>
      <c r="P143" s="757"/>
      <c r="Q143" s="771">
        <v>874.21</v>
      </c>
      <c r="R143" s="747"/>
      <c r="S143" s="757"/>
      <c r="T143" s="771">
        <v>280.52</v>
      </c>
      <c r="U143" s="747"/>
      <c r="V143" s="757"/>
      <c r="W143" s="771">
        <v>686.51</v>
      </c>
      <c r="X143" s="747"/>
      <c r="Y143" s="757"/>
      <c r="Z143" s="771">
        <v>703.86</v>
      </c>
      <c r="AA143" s="747"/>
      <c r="AB143" s="757"/>
      <c r="AC143" s="771">
        <v>767.58</v>
      </c>
      <c r="AD143" s="747"/>
      <c r="AE143" s="757"/>
      <c r="AF143" s="771">
        <v>1206.18</v>
      </c>
      <c r="AG143" s="747"/>
      <c r="AH143" s="757"/>
      <c r="AI143" s="771">
        <v>615.11</v>
      </c>
      <c r="AJ143" s="747"/>
      <c r="AK143" s="757"/>
      <c r="AL143" s="771">
        <v>701.68</v>
      </c>
      <c r="AM143" s="747"/>
      <c r="AN143" s="757"/>
      <c r="AO143" s="771">
        <v>419.41</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43" t="s">
        <v>134</v>
      </c>
      <c r="C144" s="785"/>
      <c r="D144" s="786"/>
      <c r="E144" s="787">
        <v>19349.86</v>
      </c>
      <c r="F144" s="785"/>
      <c r="G144" s="786"/>
      <c r="H144" s="788">
        <v>1428.07</v>
      </c>
      <c r="I144" s="785"/>
      <c r="J144" s="786"/>
      <c r="K144" s="788">
        <v>1043.29</v>
      </c>
      <c r="L144" s="785"/>
      <c r="M144" s="786"/>
      <c r="N144" s="788">
        <v>964.95</v>
      </c>
      <c r="O144" s="785"/>
      <c r="P144" s="786"/>
      <c r="Q144" s="788">
        <v>1058.31</v>
      </c>
      <c r="R144" s="785"/>
      <c r="S144" s="786"/>
      <c r="T144" s="788">
        <v>1199.7</v>
      </c>
      <c r="U144" s="785"/>
      <c r="V144" s="786"/>
      <c r="W144" s="788">
        <v>1327.35</v>
      </c>
      <c r="X144" s="785"/>
      <c r="Y144" s="786"/>
      <c r="Z144" s="788">
        <v>1512.86</v>
      </c>
      <c r="AA144" s="785"/>
      <c r="AB144" s="786"/>
      <c r="AC144" s="788">
        <v>1883.88</v>
      </c>
      <c r="AD144" s="785"/>
      <c r="AE144" s="786"/>
      <c r="AF144" s="788">
        <v>2301.71</v>
      </c>
      <c r="AG144" s="785"/>
      <c r="AH144" s="786"/>
      <c r="AI144" s="788">
        <v>1598.14</v>
      </c>
      <c r="AJ144" s="785"/>
      <c r="AK144" s="786"/>
      <c r="AL144" s="788">
        <v>2428.6999999999998</v>
      </c>
      <c r="AM144" s="785"/>
      <c r="AN144" s="786"/>
      <c r="AO144" s="788">
        <v>2602.9</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44" t="s">
        <v>135</v>
      </c>
      <c r="C145" s="747"/>
      <c r="D145" s="757"/>
      <c r="E145" s="758">
        <v>564.54</v>
      </c>
      <c r="F145" s="747"/>
      <c r="G145" s="757"/>
      <c r="H145" s="771">
        <v>104.39</v>
      </c>
      <c r="I145" s="747"/>
      <c r="J145" s="757"/>
      <c r="K145" s="771">
        <v>0</v>
      </c>
      <c r="L145" s="747"/>
      <c r="M145" s="757"/>
      <c r="N145" s="771">
        <v>0</v>
      </c>
      <c r="O145" s="747"/>
      <c r="P145" s="757"/>
      <c r="Q145" s="771">
        <v>13.6</v>
      </c>
      <c r="R145" s="747"/>
      <c r="S145" s="757"/>
      <c r="T145" s="771">
        <v>0</v>
      </c>
      <c r="U145" s="747"/>
      <c r="V145" s="757"/>
      <c r="W145" s="771">
        <v>1.71</v>
      </c>
      <c r="X145" s="747"/>
      <c r="Y145" s="757"/>
      <c r="Z145" s="771">
        <v>259.11</v>
      </c>
      <c r="AA145" s="747"/>
      <c r="AB145" s="757"/>
      <c r="AC145" s="771">
        <v>89.1</v>
      </c>
      <c r="AD145" s="747"/>
      <c r="AE145" s="757"/>
      <c r="AF145" s="771">
        <v>74.7</v>
      </c>
      <c r="AG145" s="747"/>
      <c r="AH145" s="757"/>
      <c r="AI145" s="771">
        <v>0</v>
      </c>
      <c r="AJ145" s="747"/>
      <c r="AK145" s="757"/>
      <c r="AL145" s="771">
        <v>0</v>
      </c>
      <c r="AM145" s="747"/>
      <c r="AN145" s="757"/>
      <c r="AO145" s="771">
        <v>21.93</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44" t="s">
        <v>136</v>
      </c>
      <c r="C146" s="747"/>
      <c r="D146" s="757"/>
      <c r="E146" s="758">
        <v>434.88</v>
      </c>
      <c r="F146" s="747"/>
      <c r="G146" s="757"/>
      <c r="H146" s="771">
        <v>0</v>
      </c>
      <c r="I146" s="747"/>
      <c r="J146" s="757"/>
      <c r="K146" s="771">
        <v>0</v>
      </c>
      <c r="L146" s="747"/>
      <c r="M146" s="757"/>
      <c r="N146" s="771">
        <v>0</v>
      </c>
      <c r="O146" s="747"/>
      <c r="P146" s="757"/>
      <c r="Q146" s="771">
        <v>0</v>
      </c>
      <c r="R146" s="747"/>
      <c r="S146" s="757"/>
      <c r="T146" s="771">
        <v>0</v>
      </c>
      <c r="U146" s="747"/>
      <c r="V146" s="757"/>
      <c r="W146" s="771">
        <v>0</v>
      </c>
      <c r="X146" s="747"/>
      <c r="Y146" s="757"/>
      <c r="Z146" s="771">
        <v>0</v>
      </c>
      <c r="AA146" s="747"/>
      <c r="AB146" s="757"/>
      <c r="AC146" s="771">
        <v>0</v>
      </c>
      <c r="AD146" s="747"/>
      <c r="AE146" s="757"/>
      <c r="AF146" s="771">
        <v>0</v>
      </c>
      <c r="AG146" s="747"/>
      <c r="AH146" s="757"/>
      <c r="AI146" s="771">
        <v>434.88</v>
      </c>
      <c r="AJ146" s="747"/>
      <c r="AK146" s="757"/>
      <c r="AL146" s="771">
        <v>0</v>
      </c>
      <c r="AM146" s="747"/>
      <c r="AN146" s="757"/>
      <c r="AO146" s="771">
        <v>0</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44" t="s">
        <v>137</v>
      </c>
      <c r="C147" s="747"/>
      <c r="D147" s="757"/>
      <c r="E147" s="758">
        <v>3863.85</v>
      </c>
      <c r="F147" s="747"/>
      <c r="G147" s="757"/>
      <c r="H147" s="771">
        <v>159.46</v>
      </c>
      <c r="I147" s="747"/>
      <c r="J147" s="757"/>
      <c r="K147" s="771">
        <v>499.31</v>
      </c>
      <c r="L147" s="747"/>
      <c r="M147" s="757"/>
      <c r="N147" s="771">
        <v>435.69</v>
      </c>
      <c r="O147" s="747"/>
      <c r="P147" s="757"/>
      <c r="Q147" s="771">
        <v>142.91</v>
      </c>
      <c r="R147" s="747"/>
      <c r="S147" s="757"/>
      <c r="T147" s="771">
        <v>332.05</v>
      </c>
      <c r="U147" s="747"/>
      <c r="V147" s="757"/>
      <c r="W147" s="771">
        <v>145.5</v>
      </c>
      <c r="X147" s="747"/>
      <c r="Y147" s="757"/>
      <c r="Z147" s="771">
        <v>133.69999999999999</v>
      </c>
      <c r="AA147" s="747"/>
      <c r="AB147" s="757"/>
      <c r="AC147" s="771">
        <v>731.53</v>
      </c>
      <c r="AD147" s="747"/>
      <c r="AE147" s="757"/>
      <c r="AF147" s="771">
        <v>235.61</v>
      </c>
      <c r="AG147" s="747"/>
      <c r="AH147" s="757"/>
      <c r="AI147" s="771">
        <v>141.58000000000001</v>
      </c>
      <c r="AJ147" s="747"/>
      <c r="AK147" s="757"/>
      <c r="AL147" s="771">
        <v>473.37</v>
      </c>
      <c r="AM147" s="747"/>
      <c r="AN147" s="757"/>
      <c r="AO147" s="771">
        <v>433.14</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44" t="s">
        <v>138</v>
      </c>
      <c r="C148" s="747"/>
      <c r="D148" s="757"/>
      <c r="E148" s="758">
        <v>763.03</v>
      </c>
      <c r="F148" s="747"/>
      <c r="G148" s="757"/>
      <c r="H148" s="771">
        <v>64.12</v>
      </c>
      <c r="I148" s="747"/>
      <c r="J148" s="757"/>
      <c r="K148" s="771">
        <v>40.380000000000003</v>
      </c>
      <c r="L148" s="747"/>
      <c r="M148" s="757"/>
      <c r="N148" s="771">
        <v>49.32</v>
      </c>
      <c r="O148" s="747"/>
      <c r="P148" s="757"/>
      <c r="Q148" s="771">
        <v>40.54</v>
      </c>
      <c r="R148" s="747"/>
      <c r="S148" s="757"/>
      <c r="T148" s="771">
        <v>41.59</v>
      </c>
      <c r="U148" s="747"/>
      <c r="V148" s="757"/>
      <c r="W148" s="771">
        <v>43.55</v>
      </c>
      <c r="X148" s="747"/>
      <c r="Y148" s="757"/>
      <c r="Z148" s="771">
        <v>45.06</v>
      </c>
      <c r="AA148" s="747"/>
      <c r="AB148" s="757"/>
      <c r="AC148" s="771">
        <v>75.900000000000006</v>
      </c>
      <c r="AD148" s="747"/>
      <c r="AE148" s="757"/>
      <c r="AF148" s="771">
        <v>84.07</v>
      </c>
      <c r="AG148" s="747"/>
      <c r="AH148" s="757"/>
      <c r="AI148" s="771">
        <v>105.42</v>
      </c>
      <c r="AJ148" s="747"/>
      <c r="AK148" s="757"/>
      <c r="AL148" s="771">
        <v>92.04</v>
      </c>
      <c r="AM148" s="747"/>
      <c r="AN148" s="757"/>
      <c r="AO148" s="771">
        <v>81.040000000000006</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44" t="s">
        <v>139</v>
      </c>
      <c r="C149" s="747"/>
      <c r="D149" s="757"/>
      <c r="E149" s="758">
        <v>378.12</v>
      </c>
      <c r="F149" s="747"/>
      <c r="G149" s="757"/>
      <c r="H149" s="771">
        <v>79.709999999999994</v>
      </c>
      <c r="I149" s="747"/>
      <c r="J149" s="757"/>
      <c r="K149" s="771">
        <v>105.3</v>
      </c>
      <c r="L149" s="747"/>
      <c r="M149" s="757"/>
      <c r="N149" s="771">
        <v>104.34</v>
      </c>
      <c r="O149" s="747"/>
      <c r="P149" s="757"/>
      <c r="Q149" s="771">
        <v>3.96</v>
      </c>
      <c r="R149" s="747"/>
      <c r="S149" s="757"/>
      <c r="T149" s="771">
        <v>3.96</v>
      </c>
      <c r="U149" s="747"/>
      <c r="V149" s="757"/>
      <c r="W149" s="771">
        <v>12.36</v>
      </c>
      <c r="X149" s="747"/>
      <c r="Y149" s="757"/>
      <c r="Z149" s="771">
        <v>12.36</v>
      </c>
      <c r="AA149" s="747"/>
      <c r="AB149" s="757"/>
      <c r="AC149" s="771">
        <v>3.96</v>
      </c>
      <c r="AD149" s="747"/>
      <c r="AE149" s="757"/>
      <c r="AF149" s="771">
        <v>12.36</v>
      </c>
      <c r="AG149" s="747"/>
      <c r="AH149" s="757"/>
      <c r="AI149" s="771">
        <v>12.36</v>
      </c>
      <c r="AJ149" s="747"/>
      <c r="AK149" s="757"/>
      <c r="AL149" s="771">
        <v>15.09</v>
      </c>
      <c r="AM149" s="747"/>
      <c r="AN149" s="757"/>
      <c r="AO149" s="771">
        <v>12.36</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44" t="s">
        <v>140</v>
      </c>
      <c r="C150" s="747"/>
      <c r="D150" s="757"/>
      <c r="E150" s="758">
        <v>812.15</v>
      </c>
      <c r="F150" s="747"/>
      <c r="G150" s="757"/>
      <c r="H150" s="771">
        <v>38.72</v>
      </c>
      <c r="I150" s="747"/>
      <c r="J150" s="757"/>
      <c r="K150" s="771">
        <v>77.12</v>
      </c>
      <c r="L150" s="747"/>
      <c r="M150" s="757"/>
      <c r="N150" s="771">
        <v>95.99</v>
      </c>
      <c r="O150" s="747"/>
      <c r="P150" s="757"/>
      <c r="Q150" s="771">
        <v>75.75</v>
      </c>
      <c r="R150" s="747"/>
      <c r="S150" s="757"/>
      <c r="T150" s="771">
        <v>39.49</v>
      </c>
      <c r="U150" s="747"/>
      <c r="V150" s="757"/>
      <c r="W150" s="771">
        <v>46.42</v>
      </c>
      <c r="X150" s="747"/>
      <c r="Y150" s="757"/>
      <c r="Z150" s="771">
        <v>70.680000000000007</v>
      </c>
      <c r="AA150" s="747"/>
      <c r="AB150" s="757"/>
      <c r="AC150" s="771">
        <v>19.670000000000002</v>
      </c>
      <c r="AD150" s="747"/>
      <c r="AE150" s="757"/>
      <c r="AF150" s="771">
        <v>56.99</v>
      </c>
      <c r="AG150" s="747"/>
      <c r="AH150" s="757"/>
      <c r="AI150" s="771">
        <v>87.91</v>
      </c>
      <c r="AJ150" s="747"/>
      <c r="AK150" s="757"/>
      <c r="AL150" s="771">
        <v>167.55</v>
      </c>
      <c r="AM150" s="747"/>
      <c r="AN150" s="757"/>
      <c r="AO150" s="771">
        <v>35.86</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44" t="s">
        <v>141</v>
      </c>
      <c r="C151" s="747"/>
      <c r="D151" s="757"/>
      <c r="E151" s="758">
        <v>1615.79</v>
      </c>
      <c r="F151" s="747"/>
      <c r="G151" s="757"/>
      <c r="H151" s="771">
        <v>92.28</v>
      </c>
      <c r="I151" s="747"/>
      <c r="J151" s="757"/>
      <c r="K151" s="771">
        <v>38.28</v>
      </c>
      <c r="L151" s="747"/>
      <c r="M151" s="757"/>
      <c r="N151" s="771">
        <v>158.28</v>
      </c>
      <c r="O151" s="747"/>
      <c r="P151" s="757"/>
      <c r="Q151" s="771">
        <v>38.28</v>
      </c>
      <c r="R151" s="747"/>
      <c r="S151" s="757"/>
      <c r="T151" s="771">
        <v>119.28</v>
      </c>
      <c r="U151" s="747"/>
      <c r="V151" s="757"/>
      <c r="W151" s="771">
        <v>38.28</v>
      </c>
      <c r="X151" s="747"/>
      <c r="Y151" s="757"/>
      <c r="Z151" s="771">
        <v>38.28</v>
      </c>
      <c r="AA151" s="747"/>
      <c r="AB151" s="757"/>
      <c r="AC151" s="771">
        <v>38.28</v>
      </c>
      <c r="AD151" s="747"/>
      <c r="AE151" s="757"/>
      <c r="AF151" s="771">
        <v>250.46</v>
      </c>
      <c r="AG151" s="747"/>
      <c r="AH151" s="757"/>
      <c r="AI151" s="771">
        <v>498.39</v>
      </c>
      <c r="AJ151" s="747"/>
      <c r="AK151" s="757"/>
      <c r="AL151" s="771">
        <v>267.42</v>
      </c>
      <c r="AM151" s="747"/>
      <c r="AN151" s="757"/>
      <c r="AO151" s="771">
        <v>38.28</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44" t="s">
        <v>142</v>
      </c>
      <c r="C152" s="747"/>
      <c r="D152" s="757"/>
      <c r="E152" s="758">
        <v>10690.91</v>
      </c>
      <c r="F152" s="747"/>
      <c r="G152" s="757"/>
      <c r="H152" s="771">
        <v>686.2</v>
      </c>
      <c r="I152" s="747"/>
      <c r="J152" s="757"/>
      <c r="K152" s="771">
        <v>556.61</v>
      </c>
      <c r="L152" s="747"/>
      <c r="M152" s="757"/>
      <c r="N152" s="771">
        <v>729.04</v>
      </c>
      <c r="O152" s="747"/>
      <c r="P152" s="757"/>
      <c r="Q152" s="771">
        <v>950.46</v>
      </c>
      <c r="R152" s="747"/>
      <c r="S152" s="757"/>
      <c r="T152" s="771">
        <v>1070.47</v>
      </c>
      <c r="U152" s="747"/>
      <c r="V152" s="757"/>
      <c r="W152" s="771">
        <v>746.19</v>
      </c>
      <c r="X152" s="747"/>
      <c r="Y152" s="757"/>
      <c r="Z152" s="771">
        <v>855.99</v>
      </c>
      <c r="AA152" s="747"/>
      <c r="AB152" s="757"/>
      <c r="AC152" s="771">
        <v>809.53</v>
      </c>
      <c r="AD152" s="747"/>
      <c r="AE152" s="757"/>
      <c r="AF152" s="771">
        <v>726.02</v>
      </c>
      <c r="AG152" s="747"/>
      <c r="AH152" s="757"/>
      <c r="AI152" s="771">
        <v>1077.6600000000001</v>
      </c>
      <c r="AJ152" s="747"/>
      <c r="AK152" s="757"/>
      <c r="AL152" s="771">
        <v>1548.29</v>
      </c>
      <c r="AM152" s="747"/>
      <c r="AN152" s="757"/>
      <c r="AO152" s="771">
        <v>934.45</v>
      </c>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59</v>
      </c>
      <c r="C153" s="747"/>
      <c r="D153" s="757"/>
      <c r="E153" s="758">
        <v>0</v>
      </c>
      <c r="F153" s="747"/>
      <c r="G153" s="757"/>
      <c r="H153" s="758"/>
      <c r="I153" s="747"/>
      <c r="J153" s="757"/>
      <c r="K153" s="758"/>
      <c r="L153" s="747"/>
      <c r="M153" s="757"/>
      <c r="N153" s="758"/>
      <c r="O153" s="747"/>
      <c r="P153" s="757"/>
      <c r="Q153" s="758"/>
      <c r="R153" s="747"/>
      <c r="S153" s="757"/>
      <c r="T153" s="758"/>
      <c r="U153" s="747"/>
      <c r="V153" s="757"/>
      <c r="W153" s="758"/>
      <c r="X153" s="747"/>
      <c r="Y153" s="757"/>
      <c r="Z153" s="758"/>
      <c r="AA153" s="747"/>
      <c r="AB153" s="757"/>
      <c r="AC153" s="758"/>
      <c r="AD153" s="747"/>
      <c r="AE153" s="757"/>
      <c r="AF153" s="758"/>
      <c r="AG153" s="747"/>
      <c r="AH153" s="757"/>
      <c r="AI153" s="758"/>
      <c r="AJ153" s="747"/>
      <c r="AK153" s="757"/>
      <c r="AL153" s="758"/>
      <c r="AM153" s="747"/>
      <c r="AN153" s="757"/>
      <c r="AO153" s="758"/>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59</v>
      </c>
      <c r="C154" s="747"/>
      <c r="D154" s="757"/>
      <c r="E154" s="758">
        <v>0</v>
      </c>
      <c r="F154" s="747"/>
      <c r="G154" s="757"/>
      <c r="H154" s="758"/>
      <c r="I154" s="747"/>
      <c r="J154" s="757"/>
      <c r="K154" s="758"/>
      <c r="L154" s="747"/>
      <c r="M154" s="757"/>
      <c r="N154" s="758"/>
      <c r="O154" s="747"/>
      <c r="P154" s="757"/>
      <c r="Q154" s="758"/>
      <c r="R154" s="747"/>
      <c r="S154" s="757"/>
      <c r="T154" s="758"/>
      <c r="U154" s="747"/>
      <c r="V154" s="757"/>
      <c r="W154" s="758"/>
      <c r="X154" s="747"/>
      <c r="Y154" s="757"/>
      <c r="Z154" s="758"/>
      <c r="AA154" s="747"/>
      <c r="AB154" s="757"/>
      <c r="AC154" s="758"/>
      <c r="AD154" s="747"/>
      <c r="AE154" s="757"/>
      <c r="AF154" s="758"/>
      <c r="AG154" s="747"/>
      <c r="AH154" s="757"/>
      <c r="AI154" s="758"/>
      <c r="AJ154" s="747"/>
      <c r="AK154" s="757"/>
      <c r="AL154" s="758"/>
      <c r="AM154" s="747"/>
      <c r="AN154" s="757"/>
      <c r="AO154" s="758"/>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44" t="s">
        <v>59</v>
      </c>
      <c r="C155" s="776"/>
      <c r="D155" s="784"/>
      <c r="E155" s="758">
        <v>0</v>
      </c>
      <c r="F155" s="776" t="s">
        <v>119</v>
      </c>
      <c r="G155" s="784">
        <v>0</v>
      </c>
      <c r="H155" s="758"/>
      <c r="I155" s="776" t="s">
        <v>119</v>
      </c>
      <c r="J155" s="784">
        <v>0</v>
      </c>
      <c r="K155" s="758"/>
      <c r="L155" s="776" t="s">
        <v>119</v>
      </c>
      <c r="M155" s="784">
        <v>0</v>
      </c>
      <c r="N155" s="758"/>
      <c r="O155" s="776" t="s">
        <v>119</v>
      </c>
      <c r="P155" s="784">
        <v>0</v>
      </c>
      <c r="Q155" s="758"/>
      <c r="R155" s="776" t="s">
        <v>119</v>
      </c>
      <c r="S155" s="784">
        <v>0</v>
      </c>
      <c r="T155" s="758"/>
      <c r="U155" s="776" t="s">
        <v>119</v>
      </c>
      <c r="V155" s="784">
        <v>0</v>
      </c>
      <c r="W155" s="758"/>
      <c r="X155" s="776" t="s">
        <v>119</v>
      </c>
      <c r="Y155" s="784">
        <v>0</v>
      </c>
      <c r="Z155" s="758"/>
      <c r="AA155" s="776" t="s">
        <v>119</v>
      </c>
      <c r="AB155" s="784">
        <v>0</v>
      </c>
      <c r="AC155" s="758"/>
      <c r="AD155" s="776" t="s">
        <v>119</v>
      </c>
      <c r="AE155" s="784">
        <v>0</v>
      </c>
      <c r="AF155" s="758"/>
      <c r="AG155" s="776" t="s">
        <v>119</v>
      </c>
      <c r="AH155" s="784">
        <v>0</v>
      </c>
      <c r="AI155" s="758"/>
      <c r="AJ155" s="776" t="s">
        <v>119</v>
      </c>
      <c r="AK155" s="784">
        <v>0</v>
      </c>
      <c r="AL155" s="758"/>
      <c r="AM155" s="776" t="s">
        <v>119</v>
      </c>
      <c r="AN155" s="784">
        <v>0</v>
      </c>
      <c r="AO155" s="758"/>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53" t="s">
        <v>143</v>
      </c>
      <c r="C156" s="777" t="s">
        <v>119</v>
      </c>
      <c r="D156" s="778">
        <v>0.12318668089837126</v>
      </c>
      <c r="E156" s="779">
        <v>104004.53999999998</v>
      </c>
      <c r="F156" s="777"/>
      <c r="G156" s="778"/>
      <c r="H156" s="779">
        <v>7142.42</v>
      </c>
      <c r="I156" s="777"/>
      <c r="J156" s="778"/>
      <c r="K156" s="779">
        <v>6286.61</v>
      </c>
      <c r="L156" s="777"/>
      <c r="M156" s="778"/>
      <c r="N156" s="779">
        <v>7302.3599999999897</v>
      </c>
      <c r="O156" s="777"/>
      <c r="P156" s="778"/>
      <c r="Q156" s="779">
        <v>7601.3</v>
      </c>
      <c r="R156" s="777"/>
      <c r="S156" s="778"/>
      <c r="T156" s="779">
        <v>8110.32</v>
      </c>
      <c r="U156" s="777"/>
      <c r="V156" s="778"/>
      <c r="W156" s="779">
        <v>7530.68</v>
      </c>
      <c r="X156" s="777"/>
      <c r="Y156" s="778"/>
      <c r="Z156" s="779">
        <v>7095.9399999999896</v>
      </c>
      <c r="AA156" s="777"/>
      <c r="AB156" s="778"/>
      <c r="AC156" s="779">
        <v>9689.4</v>
      </c>
      <c r="AD156" s="777"/>
      <c r="AE156" s="778"/>
      <c r="AF156" s="779">
        <v>10175.49</v>
      </c>
      <c r="AG156" s="777"/>
      <c r="AH156" s="778"/>
      <c r="AI156" s="779">
        <v>8934.11</v>
      </c>
      <c r="AJ156" s="777"/>
      <c r="AK156" s="778"/>
      <c r="AL156" s="779">
        <v>12899.03</v>
      </c>
      <c r="AM156" s="777"/>
      <c r="AN156" s="778"/>
      <c r="AO156" s="779">
        <v>11236.88</v>
      </c>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43"/>
      <c r="C157" s="776"/>
      <c r="D157" s="784"/>
      <c r="E157" s="774"/>
      <c r="F157" s="776" t="s">
        <v>119</v>
      </c>
      <c r="G157" s="784">
        <v>0</v>
      </c>
      <c r="H157" s="774"/>
      <c r="I157" s="776" t="s">
        <v>119</v>
      </c>
      <c r="J157" s="784">
        <v>0</v>
      </c>
      <c r="K157" s="774"/>
      <c r="L157" s="776" t="s">
        <v>119</v>
      </c>
      <c r="M157" s="784">
        <v>0</v>
      </c>
      <c r="N157" s="774"/>
      <c r="O157" s="776" t="s">
        <v>119</v>
      </c>
      <c r="P157" s="784">
        <v>0</v>
      </c>
      <c r="Q157" s="774"/>
      <c r="R157" s="776" t="s">
        <v>119</v>
      </c>
      <c r="S157" s="784">
        <v>0</v>
      </c>
      <c r="T157" s="774"/>
      <c r="U157" s="776" t="s">
        <v>119</v>
      </c>
      <c r="V157" s="784">
        <v>0</v>
      </c>
      <c r="W157" s="774"/>
      <c r="X157" s="776" t="s">
        <v>119</v>
      </c>
      <c r="Y157" s="784">
        <v>0</v>
      </c>
      <c r="Z157" s="774"/>
      <c r="AA157" s="776" t="s">
        <v>119</v>
      </c>
      <c r="AB157" s="784">
        <v>0</v>
      </c>
      <c r="AC157" s="774"/>
      <c r="AD157" s="776" t="s">
        <v>119</v>
      </c>
      <c r="AE157" s="784">
        <v>0</v>
      </c>
      <c r="AF157" s="774"/>
      <c r="AG157" s="776" t="s">
        <v>119</v>
      </c>
      <c r="AH157" s="784">
        <v>0</v>
      </c>
      <c r="AI157" s="774"/>
      <c r="AJ157" s="776" t="s">
        <v>119</v>
      </c>
      <c r="AK157" s="784">
        <v>0</v>
      </c>
      <c r="AL157" s="774"/>
      <c r="AM157" s="776" t="s">
        <v>119</v>
      </c>
      <c r="AN157" s="784">
        <v>0</v>
      </c>
      <c r="AO157" s="774"/>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53" t="s">
        <v>144</v>
      </c>
      <c r="C158" s="777" t="s">
        <v>119</v>
      </c>
      <c r="D158" s="778">
        <v>1.387091205817873</v>
      </c>
      <c r="E158" s="789">
        <v>1171098.8700000001</v>
      </c>
      <c r="F158" s="777"/>
      <c r="G158" s="778"/>
      <c r="H158" s="789">
        <v>66930.09</v>
      </c>
      <c r="I158" s="777"/>
      <c r="J158" s="778"/>
      <c r="K158" s="789">
        <v>90182.840000000011</v>
      </c>
      <c r="L158" s="777"/>
      <c r="M158" s="778"/>
      <c r="N158" s="789">
        <v>91720.469999999987</v>
      </c>
      <c r="O158" s="777"/>
      <c r="P158" s="778"/>
      <c r="Q158" s="789">
        <v>94056.149999999892</v>
      </c>
      <c r="R158" s="777"/>
      <c r="S158" s="778"/>
      <c r="T158" s="789">
        <v>114054.23999999999</v>
      </c>
      <c r="U158" s="777"/>
      <c r="V158" s="778"/>
      <c r="W158" s="789">
        <v>104100.81999999989</v>
      </c>
      <c r="X158" s="777"/>
      <c r="Y158" s="778"/>
      <c r="Z158" s="789">
        <v>95251.609999999884</v>
      </c>
      <c r="AA158" s="777"/>
      <c r="AB158" s="778"/>
      <c r="AC158" s="789">
        <v>91098.37</v>
      </c>
      <c r="AD158" s="777"/>
      <c r="AE158" s="778"/>
      <c r="AF158" s="789">
        <v>111236.09999999999</v>
      </c>
      <c r="AG158" s="777"/>
      <c r="AH158" s="778"/>
      <c r="AI158" s="789">
        <v>119129.2999999998</v>
      </c>
      <c r="AJ158" s="777"/>
      <c r="AK158" s="778"/>
      <c r="AL158" s="789">
        <v>105250.4399999999</v>
      </c>
      <c r="AM158" s="777"/>
      <c r="AN158" s="778"/>
      <c r="AO158" s="789">
        <v>88088.439999999799</v>
      </c>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44" t="s">
        <v>158</v>
      </c>
      <c r="C159" s="803"/>
      <c r="D159" s="813"/>
      <c r="E159" s="758">
        <v>0</v>
      </c>
      <c r="F159" s="803"/>
      <c r="G159" s="813"/>
      <c r="H159" s="771">
        <v>0</v>
      </c>
      <c r="I159" s="803"/>
      <c r="J159" s="813"/>
      <c r="K159" s="771">
        <v>0</v>
      </c>
      <c r="L159" s="803"/>
      <c r="M159" s="813"/>
      <c r="N159" s="771">
        <v>0</v>
      </c>
      <c r="O159" s="803"/>
      <c r="P159" s="813"/>
      <c r="Q159" s="771">
        <v>0</v>
      </c>
      <c r="R159" s="803"/>
      <c r="S159" s="813"/>
      <c r="T159" s="771">
        <v>0</v>
      </c>
      <c r="U159" s="803"/>
      <c r="V159" s="813"/>
      <c r="W159" s="771">
        <v>0</v>
      </c>
      <c r="X159" s="803"/>
      <c r="Y159" s="813"/>
      <c r="Z159" s="771">
        <v>0</v>
      </c>
      <c r="AA159" s="803"/>
      <c r="AB159" s="813"/>
      <c r="AC159" s="771">
        <v>0</v>
      </c>
      <c r="AD159" s="803"/>
      <c r="AE159" s="813"/>
      <c r="AF159" s="771">
        <v>0</v>
      </c>
      <c r="AG159" s="803"/>
      <c r="AH159" s="813"/>
      <c r="AI159" s="771">
        <v>0</v>
      </c>
      <c r="AJ159" s="803"/>
      <c r="AK159" s="813"/>
      <c r="AL159" s="771">
        <v>0</v>
      </c>
      <c r="AM159" s="803"/>
      <c r="AN159" s="813"/>
      <c r="AO159" s="771">
        <v>0</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44" t="s">
        <v>159</v>
      </c>
      <c r="C160" s="803"/>
      <c r="D160" s="813"/>
      <c r="E160" s="758">
        <v>0</v>
      </c>
      <c r="F160" s="803"/>
      <c r="G160" s="813"/>
      <c r="H160" s="771">
        <v>0</v>
      </c>
      <c r="I160" s="803"/>
      <c r="J160" s="813"/>
      <c r="K160" s="771">
        <v>0</v>
      </c>
      <c r="L160" s="803"/>
      <c r="M160" s="813"/>
      <c r="N160" s="771">
        <v>0</v>
      </c>
      <c r="O160" s="803"/>
      <c r="P160" s="813"/>
      <c r="Q160" s="771">
        <v>0</v>
      </c>
      <c r="R160" s="803"/>
      <c r="S160" s="813"/>
      <c r="T160" s="771">
        <v>0</v>
      </c>
      <c r="U160" s="803"/>
      <c r="V160" s="813"/>
      <c r="W160" s="771">
        <v>0</v>
      </c>
      <c r="X160" s="803"/>
      <c r="Y160" s="813"/>
      <c r="Z160" s="771">
        <v>0</v>
      </c>
      <c r="AA160" s="803"/>
      <c r="AB160" s="813"/>
      <c r="AC160" s="771">
        <v>0</v>
      </c>
      <c r="AD160" s="803"/>
      <c r="AE160" s="813"/>
      <c r="AF160" s="771">
        <v>0</v>
      </c>
      <c r="AG160" s="803"/>
      <c r="AH160" s="813"/>
      <c r="AI160" s="771">
        <v>0</v>
      </c>
      <c r="AJ160" s="803"/>
      <c r="AK160" s="813"/>
      <c r="AL160" s="771">
        <v>0</v>
      </c>
      <c r="AM160" s="803"/>
      <c r="AN160" s="813"/>
      <c r="AO160" s="771">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44" t="s">
        <v>160</v>
      </c>
      <c r="C161" s="747"/>
      <c r="D161" s="757"/>
      <c r="E161" s="758">
        <v>0</v>
      </c>
      <c r="F161" s="747"/>
      <c r="G161" s="757"/>
      <c r="H161" s="771"/>
      <c r="I161" s="747"/>
      <c r="J161" s="757"/>
      <c r="K161" s="771"/>
      <c r="L161" s="747"/>
      <c r="M161" s="757"/>
      <c r="N161" s="771"/>
      <c r="O161" s="747"/>
      <c r="P161" s="757"/>
      <c r="Q161" s="771"/>
      <c r="R161" s="747"/>
      <c r="S161" s="757"/>
      <c r="T161" s="771"/>
      <c r="U161" s="747"/>
      <c r="V161" s="757"/>
      <c r="W161" s="771"/>
      <c r="X161" s="747"/>
      <c r="Y161" s="757"/>
      <c r="Z161" s="771"/>
      <c r="AA161" s="747"/>
      <c r="AB161" s="757"/>
      <c r="AC161" s="771"/>
      <c r="AD161" s="747"/>
      <c r="AE161" s="757"/>
      <c r="AF161" s="771"/>
      <c r="AG161" s="747"/>
      <c r="AH161" s="757"/>
      <c r="AI161" s="771"/>
      <c r="AJ161" s="747"/>
      <c r="AK161" s="757"/>
      <c r="AL161" s="771"/>
      <c r="AM161" s="747"/>
      <c r="AN161" s="757"/>
      <c r="AO161" s="771"/>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44"/>
      <c r="C162" s="747"/>
      <c r="D162" s="757"/>
      <c r="E162" s="758"/>
      <c r="F162" s="747"/>
      <c r="G162" s="757"/>
      <c r="H162" s="771"/>
      <c r="I162" s="747"/>
      <c r="J162" s="757"/>
      <c r="K162" s="771"/>
      <c r="L162" s="747"/>
      <c r="M162" s="757"/>
      <c r="N162" s="771"/>
      <c r="O162" s="747"/>
      <c r="P162" s="757"/>
      <c r="Q162" s="771"/>
      <c r="R162" s="747"/>
      <c r="S162" s="757"/>
      <c r="T162" s="771"/>
      <c r="U162" s="747"/>
      <c r="V162" s="757"/>
      <c r="W162" s="771"/>
      <c r="X162" s="747"/>
      <c r="Y162" s="757"/>
      <c r="Z162" s="771"/>
      <c r="AA162" s="747"/>
      <c r="AB162" s="757"/>
      <c r="AC162" s="771"/>
      <c r="AD162" s="747"/>
      <c r="AE162" s="757"/>
      <c r="AF162" s="771"/>
      <c r="AG162" s="747"/>
      <c r="AH162" s="757"/>
      <c r="AI162" s="771"/>
      <c r="AJ162" s="747"/>
      <c r="AK162" s="757"/>
      <c r="AL162" s="771"/>
      <c r="AM162" s="747"/>
      <c r="AN162" s="757"/>
      <c r="AO162" s="771"/>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44" t="s">
        <v>59</v>
      </c>
      <c r="C163" s="747"/>
      <c r="D163" s="757"/>
      <c r="E163" s="758">
        <v>0</v>
      </c>
      <c r="F163" s="747"/>
      <c r="G163" s="757"/>
      <c r="H163" s="771"/>
      <c r="I163" s="747"/>
      <c r="J163" s="757"/>
      <c r="K163" s="771"/>
      <c r="L163" s="747"/>
      <c r="M163" s="757"/>
      <c r="N163" s="771"/>
      <c r="O163" s="747"/>
      <c r="P163" s="757"/>
      <c r="Q163" s="771"/>
      <c r="R163" s="747"/>
      <c r="S163" s="757"/>
      <c r="T163" s="771"/>
      <c r="U163" s="747"/>
      <c r="V163" s="757"/>
      <c r="W163" s="771"/>
      <c r="X163" s="747"/>
      <c r="Y163" s="757"/>
      <c r="Z163" s="771"/>
      <c r="AA163" s="747"/>
      <c r="AB163" s="757"/>
      <c r="AC163" s="771"/>
      <c r="AD163" s="747"/>
      <c r="AE163" s="757"/>
      <c r="AF163" s="771"/>
      <c r="AG163" s="747"/>
      <c r="AH163" s="757"/>
      <c r="AI163" s="771"/>
      <c r="AJ163" s="747"/>
      <c r="AK163" s="757"/>
      <c r="AL163" s="771"/>
      <c r="AM163" s="747"/>
      <c r="AN163" s="757"/>
      <c r="AO163" s="771"/>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44" t="s">
        <v>59</v>
      </c>
      <c r="C164" s="747"/>
      <c r="D164" s="757"/>
      <c r="E164" s="758">
        <v>0</v>
      </c>
      <c r="F164" s="747"/>
      <c r="G164" s="757"/>
      <c r="H164" s="771">
        <v>0</v>
      </c>
      <c r="I164" s="747"/>
      <c r="J164" s="757"/>
      <c r="K164" s="771">
        <v>0</v>
      </c>
      <c r="L164" s="747"/>
      <c r="M164" s="757"/>
      <c r="N164" s="771">
        <v>0</v>
      </c>
      <c r="O164" s="747"/>
      <c r="P164" s="757"/>
      <c r="Q164" s="771">
        <v>0</v>
      </c>
      <c r="R164" s="747"/>
      <c r="S164" s="757"/>
      <c r="T164" s="771">
        <v>0</v>
      </c>
      <c r="U164" s="747"/>
      <c r="V164" s="757"/>
      <c r="W164" s="771">
        <v>0</v>
      </c>
      <c r="X164" s="747"/>
      <c r="Y164" s="757"/>
      <c r="Z164" s="771">
        <v>0</v>
      </c>
      <c r="AA164" s="747"/>
      <c r="AB164" s="757"/>
      <c r="AC164" s="771">
        <v>0</v>
      </c>
      <c r="AD164" s="747"/>
      <c r="AE164" s="757"/>
      <c r="AF164" s="771">
        <v>0</v>
      </c>
      <c r="AG164" s="747"/>
      <c r="AH164" s="757"/>
      <c r="AI164" s="771">
        <v>0</v>
      </c>
      <c r="AJ164" s="747"/>
      <c r="AK164" s="757"/>
      <c r="AL164" s="771">
        <v>0</v>
      </c>
      <c r="AM164" s="747"/>
      <c r="AN164" s="757"/>
      <c r="AO164" s="771">
        <v>0</v>
      </c>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43" t="s">
        <v>149</v>
      </c>
      <c r="C165" s="776"/>
      <c r="D165" s="784"/>
      <c r="E165" s="774">
        <v>129475</v>
      </c>
      <c r="F165" s="776"/>
      <c r="G165" s="784"/>
      <c r="H165" s="775">
        <v>4326</v>
      </c>
      <c r="I165" s="776"/>
      <c r="J165" s="784"/>
      <c r="K165" s="775">
        <v>7365</v>
      </c>
      <c r="L165" s="776"/>
      <c r="M165" s="784"/>
      <c r="N165" s="775">
        <v>6054</v>
      </c>
      <c r="O165" s="776"/>
      <c r="P165" s="784"/>
      <c r="Q165" s="775">
        <v>6428</v>
      </c>
      <c r="R165" s="776"/>
      <c r="S165" s="784"/>
      <c r="T165" s="775">
        <v>10877</v>
      </c>
      <c r="U165" s="776"/>
      <c r="V165" s="784"/>
      <c r="W165" s="775">
        <v>13467</v>
      </c>
      <c r="X165" s="776"/>
      <c r="Y165" s="784"/>
      <c r="Z165" s="775">
        <v>12594</v>
      </c>
      <c r="AA165" s="776"/>
      <c r="AB165" s="784"/>
      <c r="AC165" s="775">
        <v>11112</v>
      </c>
      <c r="AD165" s="776"/>
      <c r="AE165" s="784"/>
      <c r="AF165" s="775">
        <v>13128</v>
      </c>
      <c r="AG165" s="776"/>
      <c r="AH165" s="784"/>
      <c r="AI165" s="775">
        <v>20328</v>
      </c>
      <c r="AJ165" s="776"/>
      <c r="AK165" s="784"/>
      <c r="AL165" s="775">
        <v>15069</v>
      </c>
      <c r="AM165" s="776"/>
      <c r="AN165" s="784"/>
      <c r="AO165" s="775">
        <v>8727</v>
      </c>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53" t="s">
        <v>150</v>
      </c>
      <c r="C166" s="814"/>
      <c r="D166" s="815"/>
      <c r="E166" s="789">
        <v>129475</v>
      </c>
      <c r="F166" s="814"/>
      <c r="G166" s="815"/>
      <c r="H166" s="789">
        <v>4326</v>
      </c>
      <c r="I166" s="814"/>
      <c r="J166" s="815"/>
      <c r="K166" s="789">
        <v>7365</v>
      </c>
      <c r="L166" s="814"/>
      <c r="M166" s="815"/>
      <c r="N166" s="789">
        <v>6054</v>
      </c>
      <c r="O166" s="814"/>
      <c r="P166" s="815"/>
      <c r="Q166" s="789">
        <v>6428</v>
      </c>
      <c r="R166" s="814"/>
      <c r="S166" s="815"/>
      <c r="T166" s="789">
        <v>10877</v>
      </c>
      <c r="U166" s="814"/>
      <c r="V166" s="815"/>
      <c r="W166" s="789">
        <v>13467</v>
      </c>
      <c r="X166" s="814"/>
      <c r="Y166" s="815"/>
      <c r="Z166" s="789">
        <v>12594</v>
      </c>
      <c r="AA166" s="814"/>
      <c r="AB166" s="815"/>
      <c r="AC166" s="789">
        <v>11112</v>
      </c>
      <c r="AD166" s="814"/>
      <c r="AE166" s="815"/>
      <c r="AF166" s="789">
        <v>13128</v>
      </c>
      <c r="AG166" s="814"/>
      <c r="AH166" s="815"/>
      <c r="AI166" s="789">
        <v>20328</v>
      </c>
      <c r="AJ166" s="814"/>
      <c r="AK166" s="815"/>
      <c r="AL166" s="789">
        <v>15069</v>
      </c>
      <c r="AM166" s="814"/>
      <c r="AN166" s="815"/>
      <c r="AO166" s="789">
        <v>8727</v>
      </c>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44"/>
      <c r="C167" s="747"/>
      <c r="D167" s="757"/>
      <c r="E167" s="758"/>
      <c r="F167" s="747"/>
      <c r="G167" s="757"/>
      <c r="H167" s="758"/>
      <c r="I167" s="747"/>
      <c r="J167" s="757"/>
      <c r="K167" s="758"/>
      <c r="L167" s="747"/>
      <c r="M167" s="757"/>
      <c r="N167" s="758"/>
      <c r="O167" s="747"/>
      <c r="P167" s="757"/>
      <c r="Q167" s="758"/>
      <c r="R167" s="747"/>
      <c r="S167" s="757"/>
      <c r="T167" s="758"/>
      <c r="U167" s="747"/>
      <c r="V167" s="757"/>
      <c r="W167" s="758"/>
      <c r="X167" s="747"/>
      <c r="Y167" s="757"/>
      <c r="Z167" s="758"/>
      <c r="AA167" s="747"/>
      <c r="AB167" s="757"/>
      <c r="AC167" s="758"/>
      <c r="AD167" s="747"/>
      <c r="AE167" s="757"/>
      <c r="AF167" s="758"/>
      <c r="AG167" s="747"/>
      <c r="AH167" s="757"/>
      <c r="AI167" s="758"/>
      <c r="AJ167" s="747"/>
      <c r="AK167" s="757"/>
      <c r="AL167" s="758"/>
      <c r="AM167" s="747"/>
      <c r="AN167" s="757"/>
      <c r="AO167" s="758"/>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thickBot="1">
      <c r="A168" s="39" t="str">
        <f t="shared" si="1"/>
        <v>Véhicules usagésPROFIT DÉPARTEMENTAL</v>
      </c>
      <c r="B168" s="57" t="s">
        <v>151</v>
      </c>
      <c r="C168" s="816"/>
      <c r="D168" s="817"/>
      <c r="E168" s="798">
        <v>-197339.90000000072</v>
      </c>
      <c r="F168" s="816"/>
      <c r="G168" s="817"/>
      <c r="H168" s="798">
        <v>-44208.340000000127</v>
      </c>
      <c r="I168" s="816"/>
      <c r="J168" s="817"/>
      <c r="K168" s="798">
        <v>-70255.479999999894</v>
      </c>
      <c r="L168" s="816"/>
      <c r="M168" s="817"/>
      <c r="N168" s="798">
        <v>-8515.859999999986</v>
      </c>
      <c r="O168" s="816"/>
      <c r="P168" s="817"/>
      <c r="Q168" s="798">
        <v>-25112.710000000086</v>
      </c>
      <c r="R168" s="816"/>
      <c r="S168" s="817"/>
      <c r="T168" s="798">
        <v>-53693.439999999944</v>
      </c>
      <c r="U168" s="816"/>
      <c r="V168" s="817"/>
      <c r="W168" s="798">
        <v>-5733.980000000025</v>
      </c>
      <c r="X168" s="816"/>
      <c r="Y168" s="817"/>
      <c r="Z168" s="798">
        <v>17385.660000000003</v>
      </c>
      <c r="AA168" s="816"/>
      <c r="AB168" s="817"/>
      <c r="AC168" s="798">
        <v>-28552.829999999965</v>
      </c>
      <c r="AD168" s="816"/>
      <c r="AE168" s="817"/>
      <c r="AF168" s="798">
        <v>5131.5899999998946</v>
      </c>
      <c r="AG168" s="816"/>
      <c r="AH168" s="817"/>
      <c r="AI168" s="798">
        <v>32051.970000000205</v>
      </c>
      <c r="AJ168" s="816"/>
      <c r="AK168" s="817"/>
      <c r="AL168" s="798">
        <v>20856.419999999998</v>
      </c>
      <c r="AM168" s="816"/>
      <c r="AN168" s="817"/>
      <c r="AO168" s="798">
        <v>-36692.8999999999</v>
      </c>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0"/>
      <c r="C169" s="801"/>
      <c r="D169" s="801"/>
      <c r="E169" s="818"/>
      <c r="F169" s="801"/>
      <c r="G169" s="801"/>
      <c r="H169" s="818"/>
      <c r="I169" s="801"/>
      <c r="J169" s="801"/>
      <c r="K169" s="818"/>
      <c r="L169" s="801"/>
      <c r="M169" s="801"/>
      <c r="N169" s="818"/>
      <c r="O169" s="801"/>
      <c r="P169" s="801"/>
      <c r="Q169" s="818"/>
      <c r="R169" s="801"/>
      <c r="S169" s="801"/>
      <c r="T169" s="818"/>
      <c r="U169" s="801"/>
      <c r="V169" s="801"/>
      <c r="W169" s="818"/>
      <c r="X169" s="801"/>
      <c r="Y169" s="801"/>
      <c r="Z169" s="818"/>
      <c r="AA169" s="801"/>
      <c r="AB169" s="801"/>
      <c r="AC169" s="818"/>
      <c r="AD169" s="801"/>
      <c r="AE169" s="801"/>
      <c r="AF169" s="818"/>
      <c r="AG169" s="801"/>
      <c r="AH169" s="801"/>
      <c r="AI169" s="818"/>
      <c r="AJ169" s="801"/>
      <c r="AK169" s="801"/>
      <c r="AL169" s="818"/>
      <c r="AM169" s="801"/>
      <c r="AN169" s="801"/>
      <c r="AO169" s="818"/>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0"/>
      <c r="C170" s="801"/>
      <c r="D170" s="801"/>
      <c r="E170" s="801"/>
      <c r="F170" s="801"/>
      <c r="G170" s="801"/>
      <c r="H170" s="801"/>
      <c r="I170" s="801"/>
      <c r="J170" s="801"/>
      <c r="K170" s="801"/>
      <c r="L170" s="801"/>
      <c r="M170" s="801"/>
      <c r="N170" s="801"/>
      <c r="O170" s="801"/>
      <c r="P170" s="801"/>
      <c r="Q170" s="801"/>
      <c r="R170" s="801"/>
      <c r="S170" s="801"/>
      <c r="T170" s="801"/>
      <c r="U170" s="801"/>
      <c r="V170" s="801"/>
      <c r="W170" s="801"/>
      <c r="X170" s="801"/>
      <c r="Y170" s="801"/>
      <c r="Z170" s="801"/>
      <c r="AA170" s="801"/>
      <c r="AB170" s="801"/>
      <c r="AC170" s="801"/>
      <c r="AD170" s="801"/>
      <c r="AE170" s="801"/>
      <c r="AF170" s="801"/>
      <c r="AG170" s="801"/>
      <c r="AH170" s="801"/>
      <c r="AI170" s="801"/>
      <c r="AJ170" s="801"/>
      <c r="AK170" s="801"/>
      <c r="AL170" s="801"/>
      <c r="AM170" s="801"/>
      <c r="AN170" s="801"/>
      <c r="AO170" s="801"/>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61" t="s">
        <v>3937</v>
      </c>
      <c r="C171" s="802" t="s">
        <v>161</v>
      </c>
      <c r="D171" s="802"/>
      <c r="E171" s="802"/>
      <c r="F171" s="802"/>
      <c r="G171" s="802"/>
      <c r="H171" s="802"/>
      <c r="I171" s="802"/>
      <c r="J171" s="802"/>
      <c r="K171" s="802"/>
      <c r="L171" s="802"/>
      <c r="M171" s="802"/>
      <c r="N171" s="802"/>
      <c r="O171" s="802"/>
      <c r="P171" s="802"/>
      <c r="Q171" s="802"/>
      <c r="R171" s="802"/>
      <c r="S171" s="802"/>
      <c r="T171" s="802"/>
      <c r="U171" s="802"/>
      <c r="V171" s="802"/>
      <c r="W171" s="802"/>
      <c r="X171" s="802"/>
      <c r="Y171" s="802"/>
      <c r="Z171" s="802"/>
      <c r="AA171" s="802"/>
      <c r="AB171" s="802"/>
      <c r="AC171" s="802"/>
      <c r="AD171" s="802"/>
      <c r="AE171" s="802"/>
      <c r="AF171" s="802"/>
      <c r="AG171" s="802"/>
      <c r="AH171" s="802"/>
      <c r="AI171" s="802"/>
      <c r="AJ171" s="802"/>
      <c r="AK171" s="802"/>
      <c r="AL171" s="802"/>
      <c r="AM171" s="802"/>
      <c r="AN171" s="802"/>
      <c r="AO171" s="802"/>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thickBot="1">
      <c r="A172" s="39"/>
      <c r="B172" s="62"/>
      <c r="C172" s="801"/>
      <c r="D172" s="801"/>
      <c r="E172" s="801"/>
      <c r="F172" s="801"/>
      <c r="G172" s="801"/>
      <c r="H172" s="801"/>
      <c r="I172" s="801"/>
      <c r="J172" s="801"/>
      <c r="K172" s="801"/>
      <c r="L172" s="801"/>
      <c r="M172" s="801"/>
      <c r="N172" s="801"/>
      <c r="O172" s="801"/>
      <c r="P172" s="801"/>
      <c r="Q172" s="801"/>
      <c r="R172" s="801"/>
      <c r="S172" s="801"/>
      <c r="T172" s="801"/>
      <c r="U172" s="801"/>
      <c r="V172" s="801"/>
      <c r="W172" s="801"/>
      <c r="X172" s="801"/>
      <c r="Y172" s="801"/>
      <c r="Z172" s="801"/>
      <c r="AA172" s="801"/>
      <c r="AB172" s="801"/>
      <c r="AC172" s="801"/>
      <c r="AD172" s="801"/>
      <c r="AE172" s="801"/>
      <c r="AF172" s="801"/>
      <c r="AG172" s="801"/>
      <c r="AH172" s="801"/>
      <c r="AI172" s="801"/>
      <c r="AJ172" s="801"/>
      <c r="AK172" s="801"/>
      <c r="AL172" s="801"/>
      <c r="AM172" s="801"/>
      <c r="AN172" s="801"/>
      <c r="AO172" s="801"/>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thickTop="1">
      <c r="A173" s="39"/>
      <c r="B173" s="40" t="s">
        <v>3</v>
      </c>
      <c r="C173" s="969">
        <v>2024</v>
      </c>
      <c r="D173" s="970"/>
      <c r="E173" s="971"/>
      <c r="F173" s="729" t="s">
        <v>8</v>
      </c>
      <c r="G173" s="730"/>
      <c r="H173" s="731"/>
      <c r="I173" s="729" t="s">
        <v>10</v>
      </c>
      <c r="J173" s="730"/>
      <c r="K173" s="731"/>
      <c r="L173" s="729" t="s">
        <v>11</v>
      </c>
      <c r="M173" s="730"/>
      <c r="N173" s="731"/>
      <c r="O173" s="729" t="s">
        <v>12</v>
      </c>
      <c r="P173" s="730"/>
      <c r="Q173" s="731"/>
      <c r="R173" s="729" t="s">
        <v>13</v>
      </c>
      <c r="S173" s="730"/>
      <c r="T173" s="731"/>
      <c r="U173" s="729" t="s">
        <v>14</v>
      </c>
      <c r="V173" s="730"/>
      <c r="W173" s="731"/>
      <c r="X173" s="729" t="s">
        <v>16</v>
      </c>
      <c r="Y173" s="730"/>
      <c r="Z173" s="731"/>
      <c r="AA173" s="729" t="s">
        <v>18</v>
      </c>
      <c r="AB173" s="730"/>
      <c r="AC173" s="731"/>
      <c r="AD173" s="729" t="s">
        <v>20</v>
      </c>
      <c r="AE173" s="730"/>
      <c r="AF173" s="731"/>
      <c r="AG173" s="729" t="s">
        <v>22</v>
      </c>
      <c r="AH173" s="730"/>
      <c r="AI173" s="731"/>
      <c r="AJ173" s="729" t="s">
        <v>23</v>
      </c>
      <c r="AK173" s="730"/>
      <c r="AL173" s="731"/>
      <c r="AM173" s="729" t="s">
        <v>6</v>
      </c>
      <c r="AN173" s="730"/>
      <c r="AO173" s="731"/>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36" si="2">+$C$171&amp;B174</f>
        <v>Service</v>
      </c>
      <c r="B174" s="44"/>
      <c r="C174" s="803" t="s">
        <v>162</v>
      </c>
      <c r="D174" s="768" t="s">
        <v>163</v>
      </c>
      <c r="E174" s="804" t="s">
        <v>95</v>
      </c>
      <c r="F174" s="803" t="s">
        <v>162</v>
      </c>
      <c r="G174" s="768" t="s">
        <v>163</v>
      </c>
      <c r="H174" s="804" t="s">
        <v>95</v>
      </c>
      <c r="I174" s="803" t="s">
        <v>162</v>
      </c>
      <c r="J174" s="768" t="s">
        <v>163</v>
      </c>
      <c r="K174" s="804" t="s">
        <v>95</v>
      </c>
      <c r="L174" s="803" t="s">
        <v>162</v>
      </c>
      <c r="M174" s="768" t="s">
        <v>163</v>
      </c>
      <c r="N174" s="804" t="s">
        <v>95</v>
      </c>
      <c r="O174" s="803" t="s">
        <v>162</v>
      </c>
      <c r="P174" s="768" t="s">
        <v>163</v>
      </c>
      <c r="Q174" s="804" t="s">
        <v>95</v>
      </c>
      <c r="R174" s="803" t="s">
        <v>162</v>
      </c>
      <c r="S174" s="768" t="s">
        <v>163</v>
      </c>
      <c r="T174" s="804" t="s">
        <v>95</v>
      </c>
      <c r="U174" s="803" t="s">
        <v>162</v>
      </c>
      <c r="V174" s="768" t="s">
        <v>163</v>
      </c>
      <c r="W174" s="804" t="s">
        <v>95</v>
      </c>
      <c r="X174" s="803" t="s">
        <v>162</v>
      </c>
      <c r="Y174" s="768" t="s">
        <v>163</v>
      </c>
      <c r="Z174" s="804" t="s">
        <v>95</v>
      </c>
      <c r="AA174" s="803" t="s">
        <v>162</v>
      </c>
      <c r="AB174" s="768" t="s">
        <v>163</v>
      </c>
      <c r="AC174" s="804" t="s">
        <v>95</v>
      </c>
      <c r="AD174" s="803" t="s">
        <v>162</v>
      </c>
      <c r="AE174" s="768" t="s">
        <v>163</v>
      </c>
      <c r="AF174" s="804" t="s">
        <v>95</v>
      </c>
      <c r="AG174" s="803" t="s">
        <v>162</v>
      </c>
      <c r="AH174" s="768" t="s">
        <v>163</v>
      </c>
      <c r="AI174" s="804" t="s">
        <v>95</v>
      </c>
      <c r="AJ174" s="803" t="s">
        <v>162</v>
      </c>
      <c r="AK174" s="768" t="s">
        <v>163</v>
      </c>
      <c r="AL174" s="804" t="s">
        <v>95</v>
      </c>
      <c r="AM174" s="803" t="s">
        <v>162</v>
      </c>
      <c r="AN174" s="768" t="s">
        <v>163</v>
      </c>
      <c r="AO174" s="804" t="s">
        <v>95</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44" t="s">
        <v>164</v>
      </c>
      <c r="C175" s="819">
        <v>5524</v>
      </c>
      <c r="D175" s="770">
        <v>1837538.4399999978</v>
      </c>
      <c r="E175" s="758">
        <v>1465539.3699999969</v>
      </c>
      <c r="F175" s="820">
        <v>315</v>
      </c>
      <c r="G175" s="821">
        <v>102930.01</v>
      </c>
      <c r="H175" s="771">
        <v>79585.179999999993</v>
      </c>
      <c r="I175" s="820">
        <v>225</v>
      </c>
      <c r="J175" s="821">
        <v>73859.0799999999</v>
      </c>
      <c r="K175" s="771">
        <v>57922.9399999999</v>
      </c>
      <c r="L175" s="820">
        <v>364</v>
      </c>
      <c r="M175" s="821">
        <v>114838.39</v>
      </c>
      <c r="N175" s="771">
        <v>90220.62</v>
      </c>
      <c r="O175" s="820">
        <v>724</v>
      </c>
      <c r="P175" s="821">
        <v>213462.55</v>
      </c>
      <c r="Q175" s="771">
        <v>161811.37</v>
      </c>
      <c r="R175" s="820">
        <v>672</v>
      </c>
      <c r="S175" s="821">
        <v>204973.06</v>
      </c>
      <c r="T175" s="771">
        <v>164440.97</v>
      </c>
      <c r="U175" s="820">
        <v>358</v>
      </c>
      <c r="V175" s="821">
        <v>123531.16</v>
      </c>
      <c r="W175" s="771">
        <v>99674.89</v>
      </c>
      <c r="X175" s="820">
        <v>332</v>
      </c>
      <c r="Y175" s="821">
        <v>128489.54</v>
      </c>
      <c r="Z175" s="771">
        <v>104017.37</v>
      </c>
      <c r="AA175" s="820">
        <v>335</v>
      </c>
      <c r="AB175" s="821">
        <v>130604.099999999</v>
      </c>
      <c r="AC175" s="771">
        <v>105174.099999999</v>
      </c>
      <c r="AD175" s="820">
        <v>342</v>
      </c>
      <c r="AE175" s="821">
        <v>125119.18</v>
      </c>
      <c r="AF175" s="771">
        <v>100910.53</v>
      </c>
      <c r="AG175" s="820">
        <v>551</v>
      </c>
      <c r="AH175" s="821">
        <v>205605.56999999899</v>
      </c>
      <c r="AI175" s="771">
        <v>166621.21999999901</v>
      </c>
      <c r="AJ175" s="820">
        <v>965</v>
      </c>
      <c r="AK175" s="821">
        <v>297786.23</v>
      </c>
      <c r="AL175" s="771">
        <v>242253.66999999899</v>
      </c>
      <c r="AM175" s="820">
        <v>341</v>
      </c>
      <c r="AN175" s="821">
        <v>116339.57</v>
      </c>
      <c r="AO175" s="771">
        <v>92906.51</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44" t="s">
        <v>165</v>
      </c>
      <c r="C176" s="819"/>
      <c r="D176" s="757"/>
      <c r="E176" s="822">
        <v>0.79755576160899178</v>
      </c>
      <c r="F176" s="819"/>
      <c r="G176" s="757"/>
      <c r="H176" s="822">
        <v>0.77319704914047904</v>
      </c>
      <c r="I176" s="819"/>
      <c r="J176" s="757"/>
      <c r="K176" s="822">
        <v>0.78423587187925947</v>
      </c>
      <c r="L176" s="819"/>
      <c r="M176" s="757"/>
      <c r="N176" s="822">
        <v>0.7856311813497211</v>
      </c>
      <c r="O176" s="819"/>
      <c r="P176" s="757"/>
      <c r="Q176" s="822">
        <v>0.75803165473287937</v>
      </c>
      <c r="R176" s="819"/>
      <c r="S176" s="757"/>
      <c r="T176" s="822">
        <v>0.80225650141535676</v>
      </c>
      <c r="U176" s="819"/>
      <c r="V176" s="757"/>
      <c r="W176" s="822">
        <v>0.80688054738577697</v>
      </c>
      <c r="X176" s="819"/>
      <c r="Y176" s="757"/>
      <c r="Z176" s="822">
        <v>0.80953959365096961</v>
      </c>
      <c r="AA176" s="819"/>
      <c r="AB176" s="757"/>
      <c r="AC176" s="822">
        <v>0.80528942046995311</v>
      </c>
      <c r="AD176" s="819"/>
      <c r="AE176" s="757"/>
      <c r="AF176" s="822">
        <v>0.80651527607517892</v>
      </c>
      <c r="AG176" s="819"/>
      <c r="AH176" s="757"/>
      <c r="AI176" s="822">
        <v>0.81039253946281631</v>
      </c>
      <c r="AJ176" s="819"/>
      <c r="AK176" s="757"/>
      <c r="AL176" s="822">
        <v>0.81351535294294508</v>
      </c>
      <c r="AM176" s="819"/>
      <c r="AN176" s="757"/>
      <c r="AO176" s="822">
        <v>0.79858048297754569</v>
      </c>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43"/>
      <c r="C177" s="823"/>
      <c r="D177" s="824">
        <v>332.64635047067304</v>
      </c>
      <c r="E177" s="825"/>
      <c r="F177" s="823"/>
      <c r="G177" s="824">
        <v>326.76193650793647</v>
      </c>
      <c r="H177" s="825"/>
      <c r="I177" s="823"/>
      <c r="J177" s="824">
        <v>328.26257777777732</v>
      </c>
      <c r="K177" s="825"/>
      <c r="L177" s="823"/>
      <c r="M177" s="824">
        <v>315.49008241758241</v>
      </c>
      <c r="N177" s="825"/>
      <c r="O177" s="823"/>
      <c r="P177" s="824">
        <v>294.83777624309391</v>
      </c>
      <c r="Q177" s="825"/>
      <c r="R177" s="823"/>
      <c r="S177" s="824">
        <v>305.01943452380954</v>
      </c>
      <c r="T177" s="825"/>
      <c r="U177" s="823"/>
      <c r="V177" s="824">
        <v>345.05910614525141</v>
      </c>
      <c r="W177" s="825"/>
      <c r="X177" s="823"/>
      <c r="Y177" s="824">
        <v>387.01668674698794</v>
      </c>
      <c r="Z177" s="825"/>
      <c r="AA177" s="823"/>
      <c r="AB177" s="824">
        <v>389.86298507462391</v>
      </c>
      <c r="AC177" s="825"/>
      <c r="AD177" s="823"/>
      <c r="AE177" s="824">
        <v>365.84555555555556</v>
      </c>
      <c r="AF177" s="825"/>
      <c r="AG177" s="823"/>
      <c r="AH177" s="824">
        <v>373.14985480943557</v>
      </c>
      <c r="AI177" s="825"/>
      <c r="AJ177" s="823"/>
      <c r="AK177" s="824">
        <v>308.58676683937824</v>
      </c>
      <c r="AL177" s="825"/>
      <c r="AM177" s="823"/>
      <c r="AN177" s="824">
        <v>341.1717595307918</v>
      </c>
      <c r="AO177" s="825"/>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42" t="s">
        <v>166</v>
      </c>
      <c r="C178" s="826">
        <v>1618</v>
      </c>
      <c r="D178" s="827">
        <v>424139.19000000006</v>
      </c>
      <c r="E178" s="782">
        <v>279554.93999999948</v>
      </c>
      <c r="F178" s="828">
        <v>92</v>
      </c>
      <c r="G178" s="829">
        <v>19158.25</v>
      </c>
      <c r="H178" s="783">
        <v>11239.6</v>
      </c>
      <c r="I178" s="828">
        <v>112</v>
      </c>
      <c r="J178" s="829">
        <v>23094.17</v>
      </c>
      <c r="K178" s="783">
        <v>13946.969999999899</v>
      </c>
      <c r="L178" s="828">
        <v>83</v>
      </c>
      <c r="M178" s="829">
        <v>17291.53</v>
      </c>
      <c r="N178" s="783">
        <v>9841.98</v>
      </c>
      <c r="O178" s="828">
        <v>99</v>
      </c>
      <c r="P178" s="829">
        <v>23543.040000000001</v>
      </c>
      <c r="Q178" s="783">
        <v>13888.54</v>
      </c>
      <c r="R178" s="828">
        <v>121</v>
      </c>
      <c r="S178" s="829">
        <v>35390.559999999998</v>
      </c>
      <c r="T178" s="783">
        <v>23971.609999999899</v>
      </c>
      <c r="U178" s="828">
        <v>97</v>
      </c>
      <c r="V178" s="829">
        <v>37099.949999999997</v>
      </c>
      <c r="W178" s="783">
        <v>25433.3999999999</v>
      </c>
      <c r="X178" s="828">
        <v>127</v>
      </c>
      <c r="Y178" s="829">
        <v>43175.59</v>
      </c>
      <c r="Z178" s="783">
        <v>29221.799999999901</v>
      </c>
      <c r="AA178" s="828">
        <v>177</v>
      </c>
      <c r="AB178" s="829">
        <v>47773.13</v>
      </c>
      <c r="AC178" s="783">
        <v>32481.53</v>
      </c>
      <c r="AD178" s="828">
        <v>196</v>
      </c>
      <c r="AE178" s="829">
        <v>45706.49</v>
      </c>
      <c r="AF178" s="783">
        <v>31099.46</v>
      </c>
      <c r="AG178" s="828">
        <v>182</v>
      </c>
      <c r="AH178" s="829">
        <v>48010.05</v>
      </c>
      <c r="AI178" s="783">
        <v>31856.11</v>
      </c>
      <c r="AJ178" s="828">
        <v>155</v>
      </c>
      <c r="AK178" s="829">
        <v>33909.660000000003</v>
      </c>
      <c r="AL178" s="783">
        <v>21381.65</v>
      </c>
      <c r="AM178" s="828">
        <v>177</v>
      </c>
      <c r="AN178" s="829">
        <v>49986.77</v>
      </c>
      <c r="AO178" s="783">
        <v>35192.289999999899</v>
      </c>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44" t="s">
        <v>165</v>
      </c>
      <c r="C179" s="747"/>
      <c r="D179" s="757"/>
      <c r="E179" s="822">
        <v>0.65911131673543166</v>
      </c>
      <c r="F179" s="747"/>
      <c r="G179" s="757"/>
      <c r="H179" s="822">
        <v>0.58667153837119779</v>
      </c>
      <c r="I179" s="747"/>
      <c r="J179" s="757"/>
      <c r="K179" s="822">
        <v>0.60391735230146393</v>
      </c>
      <c r="L179" s="747"/>
      <c r="M179" s="757"/>
      <c r="N179" s="822">
        <v>0.56917924556126609</v>
      </c>
      <c r="O179" s="747"/>
      <c r="P179" s="757"/>
      <c r="Q179" s="822">
        <v>0.58992126760180508</v>
      </c>
      <c r="R179" s="747"/>
      <c r="S179" s="757"/>
      <c r="T179" s="822">
        <v>0.67734474956033197</v>
      </c>
      <c r="U179" s="747"/>
      <c r="V179" s="757"/>
      <c r="W179" s="822">
        <v>0.68553731204489232</v>
      </c>
      <c r="X179" s="747"/>
      <c r="Y179" s="757"/>
      <c r="Z179" s="822">
        <v>0.67681298622670594</v>
      </c>
      <c r="AA179" s="747"/>
      <c r="AB179" s="757"/>
      <c r="AC179" s="822">
        <v>0.67991211796254503</v>
      </c>
      <c r="AD179" s="747"/>
      <c r="AE179" s="757"/>
      <c r="AF179" s="822">
        <v>0.68041671981375074</v>
      </c>
      <c r="AG179" s="747"/>
      <c r="AH179" s="757"/>
      <c r="AI179" s="822">
        <v>0.66353003173293923</v>
      </c>
      <c r="AJ179" s="747"/>
      <c r="AK179" s="757"/>
      <c r="AL179" s="822">
        <v>0.63054746051715049</v>
      </c>
      <c r="AM179" s="747"/>
      <c r="AN179" s="757"/>
      <c r="AO179" s="822">
        <v>0.70403208689018915</v>
      </c>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43"/>
      <c r="C180" s="776"/>
      <c r="D180" s="824">
        <v>262.1379419035847</v>
      </c>
      <c r="E180" s="825"/>
      <c r="F180" s="776"/>
      <c r="G180" s="824">
        <v>208.24184782608697</v>
      </c>
      <c r="H180" s="825"/>
      <c r="I180" s="776"/>
      <c r="J180" s="824">
        <v>206.19794642857141</v>
      </c>
      <c r="K180" s="825"/>
      <c r="L180" s="776"/>
      <c r="M180" s="824">
        <v>208.33168674698794</v>
      </c>
      <c r="N180" s="825"/>
      <c r="O180" s="776"/>
      <c r="P180" s="824">
        <v>237.80848484848485</v>
      </c>
      <c r="Q180" s="825"/>
      <c r="R180" s="776"/>
      <c r="S180" s="824">
        <v>292.48396694214875</v>
      </c>
      <c r="T180" s="825"/>
      <c r="U180" s="776"/>
      <c r="V180" s="824">
        <v>382.47371134020614</v>
      </c>
      <c r="W180" s="825"/>
      <c r="X180" s="776"/>
      <c r="Y180" s="824">
        <v>339.96527559055113</v>
      </c>
      <c r="Z180" s="825"/>
      <c r="AA180" s="776"/>
      <c r="AB180" s="824">
        <v>269.90468926553672</v>
      </c>
      <c r="AC180" s="825"/>
      <c r="AD180" s="776"/>
      <c r="AE180" s="824">
        <v>233.19637755102039</v>
      </c>
      <c r="AF180" s="825"/>
      <c r="AG180" s="776"/>
      <c r="AH180" s="824">
        <v>263.79148351648354</v>
      </c>
      <c r="AI180" s="825"/>
      <c r="AJ180" s="776"/>
      <c r="AK180" s="824">
        <v>218.77200000000002</v>
      </c>
      <c r="AL180" s="825"/>
      <c r="AM180" s="776"/>
      <c r="AN180" s="824">
        <v>282.41112994350283</v>
      </c>
      <c r="AO180" s="825"/>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44" t="s">
        <v>167</v>
      </c>
      <c r="C181" s="819">
        <v>2892</v>
      </c>
      <c r="D181" s="770">
        <v>887241.35999999987</v>
      </c>
      <c r="E181" s="758">
        <v>671228.47999999952</v>
      </c>
      <c r="F181" s="820">
        <v>251</v>
      </c>
      <c r="G181" s="821">
        <v>78307.44</v>
      </c>
      <c r="H181" s="771">
        <v>56822.06</v>
      </c>
      <c r="I181" s="820">
        <v>247</v>
      </c>
      <c r="J181" s="821">
        <v>78247.239999999903</v>
      </c>
      <c r="K181" s="771">
        <v>57870.859999999899</v>
      </c>
      <c r="L181" s="820">
        <v>256</v>
      </c>
      <c r="M181" s="821">
        <v>70263.11</v>
      </c>
      <c r="N181" s="771">
        <v>53052.27</v>
      </c>
      <c r="O181" s="820">
        <v>232</v>
      </c>
      <c r="P181" s="821">
        <v>68576.179999999993</v>
      </c>
      <c r="Q181" s="771">
        <v>51620.109999999899</v>
      </c>
      <c r="R181" s="820">
        <v>264</v>
      </c>
      <c r="S181" s="821">
        <v>81821.48</v>
      </c>
      <c r="T181" s="771">
        <v>63739.039999999899</v>
      </c>
      <c r="U181" s="820">
        <v>209</v>
      </c>
      <c r="V181" s="821">
        <v>53994.7</v>
      </c>
      <c r="W181" s="771">
        <v>41482.18</v>
      </c>
      <c r="X181" s="820">
        <v>231</v>
      </c>
      <c r="Y181" s="821">
        <v>78242.6899999999</v>
      </c>
      <c r="Z181" s="771">
        <v>57114.249999999898</v>
      </c>
      <c r="AA181" s="820">
        <v>267</v>
      </c>
      <c r="AB181" s="821">
        <v>87515.68</v>
      </c>
      <c r="AC181" s="771">
        <v>65368.46</v>
      </c>
      <c r="AD181" s="820">
        <v>202</v>
      </c>
      <c r="AE181" s="821">
        <v>69014.759999999995</v>
      </c>
      <c r="AF181" s="771">
        <v>52711.83</v>
      </c>
      <c r="AG181" s="820">
        <v>214</v>
      </c>
      <c r="AH181" s="821">
        <v>69981.490000000005</v>
      </c>
      <c r="AI181" s="771">
        <v>54592.47</v>
      </c>
      <c r="AJ181" s="820">
        <v>285</v>
      </c>
      <c r="AK181" s="821">
        <v>85492.57</v>
      </c>
      <c r="AL181" s="771">
        <v>65968.960000000006</v>
      </c>
      <c r="AM181" s="820">
        <v>234</v>
      </c>
      <c r="AN181" s="821">
        <v>65784.02</v>
      </c>
      <c r="AO181" s="771">
        <v>50885.99</v>
      </c>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44" t="s">
        <v>165</v>
      </c>
      <c r="C182" s="819"/>
      <c r="D182" s="830"/>
      <c r="E182" s="822">
        <v>0.7565342535429137</v>
      </c>
      <c r="F182" s="819"/>
      <c r="G182" s="830"/>
      <c r="H182" s="822">
        <v>0.7256278586044953</v>
      </c>
      <c r="I182" s="819"/>
      <c r="J182" s="830"/>
      <c r="K182" s="822">
        <v>0.73958979256009505</v>
      </c>
      <c r="L182" s="819"/>
      <c r="M182" s="830"/>
      <c r="N182" s="822">
        <v>0.75505154838719768</v>
      </c>
      <c r="O182" s="819"/>
      <c r="P182" s="830"/>
      <c r="Q182" s="822">
        <v>0.75274111214710271</v>
      </c>
      <c r="R182" s="819"/>
      <c r="S182" s="830"/>
      <c r="T182" s="822">
        <v>0.77900130870279904</v>
      </c>
      <c r="U182" s="819"/>
      <c r="V182" s="830"/>
      <c r="W182" s="822">
        <v>0.76826392219977147</v>
      </c>
      <c r="X182" s="819"/>
      <c r="Y182" s="830"/>
      <c r="Z182" s="822">
        <v>0.72996276073841493</v>
      </c>
      <c r="AA182" s="819"/>
      <c r="AB182" s="830"/>
      <c r="AC182" s="822">
        <v>0.7469342636656654</v>
      </c>
      <c r="AD182" s="819"/>
      <c r="AE182" s="830"/>
      <c r="AF182" s="822">
        <v>0.76377618352943644</v>
      </c>
      <c r="AG182" s="819"/>
      <c r="AH182" s="830"/>
      <c r="AI182" s="822">
        <v>0.78009870895861178</v>
      </c>
      <c r="AJ182" s="819"/>
      <c r="AK182" s="830"/>
      <c r="AL182" s="822">
        <v>0.77163383905759297</v>
      </c>
      <c r="AM182" s="819"/>
      <c r="AN182" s="830"/>
      <c r="AO182" s="822">
        <v>0.77353117063992127</v>
      </c>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44"/>
      <c r="C183" s="819"/>
      <c r="D183" s="831">
        <v>306.79161825726135</v>
      </c>
      <c r="E183" s="822"/>
      <c r="F183" s="819"/>
      <c r="G183" s="831">
        <v>311.98183266932273</v>
      </c>
      <c r="H183" s="822"/>
      <c r="I183" s="819"/>
      <c r="J183" s="831">
        <v>316.79044534412918</v>
      </c>
      <c r="K183" s="822"/>
      <c r="L183" s="819"/>
      <c r="M183" s="831">
        <v>274.4652734375</v>
      </c>
      <c r="N183" s="822"/>
      <c r="O183" s="819"/>
      <c r="P183" s="831">
        <v>295.58698275862065</v>
      </c>
      <c r="Q183" s="822"/>
      <c r="R183" s="819"/>
      <c r="S183" s="831">
        <v>309.92984848484849</v>
      </c>
      <c r="T183" s="822"/>
      <c r="U183" s="819"/>
      <c r="V183" s="831">
        <v>258.34784688995217</v>
      </c>
      <c r="W183" s="822"/>
      <c r="X183" s="819"/>
      <c r="Y183" s="831">
        <v>338.71294372294329</v>
      </c>
      <c r="Z183" s="822"/>
      <c r="AA183" s="819"/>
      <c r="AB183" s="831">
        <v>327.77408239700372</v>
      </c>
      <c r="AC183" s="822"/>
      <c r="AD183" s="819"/>
      <c r="AE183" s="831">
        <v>341.65722772277223</v>
      </c>
      <c r="AF183" s="822"/>
      <c r="AG183" s="819"/>
      <c r="AH183" s="831">
        <v>327.01630841121499</v>
      </c>
      <c r="AI183" s="822"/>
      <c r="AJ183" s="819"/>
      <c r="AK183" s="831">
        <v>299.97392982456142</v>
      </c>
      <c r="AL183" s="822"/>
      <c r="AM183" s="819"/>
      <c r="AN183" s="831">
        <v>281.12829059829062</v>
      </c>
      <c r="AO183" s="822"/>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42" t="s">
        <v>168</v>
      </c>
      <c r="C184" s="826">
        <v>0</v>
      </c>
      <c r="D184" s="827">
        <v>156423.36000000002</v>
      </c>
      <c r="E184" s="782">
        <v>116846.5599999999</v>
      </c>
      <c r="F184" s="828">
        <v>0</v>
      </c>
      <c r="G184" s="829">
        <v>5936.97</v>
      </c>
      <c r="H184" s="783">
        <v>4072.98</v>
      </c>
      <c r="I184" s="828">
        <v>0</v>
      </c>
      <c r="J184" s="829">
        <v>5587.2</v>
      </c>
      <c r="K184" s="783">
        <v>4448.12</v>
      </c>
      <c r="L184" s="828">
        <v>0</v>
      </c>
      <c r="M184" s="829">
        <v>13853.15</v>
      </c>
      <c r="N184" s="783">
        <v>10899.9</v>
      </c>
      <c r="O184" s="828">
        <v>0</v>
      </c>
      <c r="P184" s="829">
        <v>31075.29</v>
      </c>
      <c r="Q184" s="783">
        <v>24885.31</v>
      </c>
      <c r="R184" s="828">
        <v>0</v>
      </c>
      <c r="S184" s="829">
        <v>27206.52</v>
      </c>
      <c r="T184" s="783">
        <v>17588.689999999999</v>
      </c>
      <c r="U184" s="828">
        <v>0</v>
      </c>
      <c r="V184" s="829">
        <v>9321.7000000000007</v>
      </c>
      <c r="W184" s="783">
        <v>6357.61</v>
      </c>
      <c r="X184" s="828">
        <v>0</v>
      </c>
      <c r="Y184" s="829">
        <v>9823.68</v>
      </c>
      <c r="Z184" s="783">
        <v>8360.49</v>
      </c>
      <c r="AA184" s="828">
        <v>0</v>
      </c>
      <c r="AB184" s="829">
        <v>7368.85</v>
      </c>
      <c r="AC184" s="783">
        <v>5618.83</v>
      </c>
      <c r="AD184" s="828">
        <v>0</v>
      </c>
      <c r="AE184" s="829">
        <v>6965.21</v>
      </c>
      <c r="AF184" s="783">
        <v>5414.05</v>
      </c>
      <c r="AG184" s="828">
        <v>0</v>
      </c>
      <c r="AH184" s="829">
        <v>11017.45</v>
      </c>
      <c r="AI184" s="783">
        <v>8671.2099999999991</v>
      </c>
      <c r="AJ184" s="828">
        <v>0</v>
      </c>
      <c r="AK184" s="829">
        <v>21385.759999999998</v>
      </c>
      <c r="AL184" s="783">
        <v>15606.1699999999</v>
      </c>
      <c r="AM184" s="828">
        <v>0</v>
      </c>
      <c r="AN184" s="829">
        <v>6881.58</v>
      </c>
      <c r="AO184" s="783">
        <v>4923.2</v>
      </c>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44" t="s">
        <v>165</v>
      </c>
      <c r="C185" s="832"/>
      <c r="D185" s="833">
        <v>0</v>
      </c>
      <c r="E185" s="822">
        <v>0.74698919649852735</v>
      </c>
      <c r="F185" s="832"/>
      <c r="G185" s="833">
        <v>0</v>
      </c>
      <c r="H185" s="822">
        <v>0.68603681676006445</v>
      </c>
      <c r="I185" s="832"/>
      <c r="J185" s="833">
        <v>0</v>
      </c>
      <c r="K185" s="822">
        <v>0.79612686139748001</v>
      </c>
      <c r="L185" s="832"/>
      <c r="M185" s="833">
        <v>0</v>
      </c>
      <c r="N185" s="822">
        <v>0.78681743863309062</v>
      </c>
      <c r="O185" s="832"/>
      <c r="P185" s="833">
        <v>0</v>
      </c>
      <c r="Q185" s="822">
        <v>0.80080700775439262</v>
      </c>
      <c r="R185" s="832"/>
      <c r="S185" s="833">
        <v>0</v>
      </c>
      <c r="T185" s="822">
        <v>0.64648804771797341</v>
      </c>
      <c r="U185" s="832"/>
      <c r="V185" s="833">
        <v>0</v>
      </c>
      <c r="W185" s="822">
        <v>0.68202259244558383</v>
      </c>
      <c r="X185" s="832"/>
      <c r="Y185" s="833">
        <v>0</v>
      </c>
      <c r="Z185" s="822">
        <v>0.85105479820189578</v>
      </c>
      <c r="AA185" s="832"/>
      <c r="AB185" s="833">
        <v>0</v>
      </c>
      <c r="AC185" s="822">
        <v>0.7625111109603262</v>
      </c>
      <c r="AD185" s="832"/>
      <c r="AE185" s="833">
        <v>0</v>
      </c>
      <c r="AF185" s="822">
        <v>0.77729888976786055</v>
      </c>
      <c r="AG185" s="832"/>
      <c r="AH185" s="833">
        <v>0</v>
      </c>
      <c r="AI185" s="822">
        <v>0.78704328134005586</v>
      </c>
      <c r="AJ185" s="832"/>
      <c r="AK185" s="833">
        <v>0</v>
      </c>
      <c r="AL185" s="822">
        <v>0.72974586827870047</v>
      </c>
      <c r="AM185" s="832"/>
      <c r="AN185" s="833">
        <v>0</v>
      </c>
      <c r="AO185" s="822">
        <v>0.71541709898017602</v>
      </c>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43"/>
      <c r="C186" s="834"/>
      <c r="D186" s="835">
        <v>0</v>
      </c>
      <c r="E186" s="825"/>
      <c r="F186" s="834"/>
      <c r="G186" s="835">
        <v>0</v>
      </c>
      <c r="H186" s="825"/>
      <c r="I186" s="834"/>
      <c r="J186" s="835">
        <v>0</v>
      </c>
      <c r="K186" s="825"/>
      <c r="L186" s="834"/>
      <c r="M186" s="835">
        <v>0</v>
      </c>
      <c r="N186" s="825"/>
      <c r="O186" s="834"/>
      <c r="P186" s="835">
        <v>0</v>
      </c>
      <c r="Q186" s="825"/>
      <c r="R186" s="834"/>
      <c r="S186" s="835">
        <v>0</v>
      </c>
      <c r="T186" s="825"/>
      <c r="U186" s="834"/>
      <c r="V186" s="835">
        <v>0</v>
      </c>
      <c r="W186" s="825"/>
      <c r="X186" s="834"/>
      <c r="Y186" s="835">
        <v>0</v>
      </c>
      <c r="Z186" s="825"/>
      <c r="AA186" s="834"/>
      <c r="AB186" s="835">
        <v>0</v>
      </c>
      <c r="AC186" s="825"/>
      <c r="AD186" s="834"/>
      <c r="AE186" s="835">
        <v>0</v>
      </c>
      <c r="AF186" s="825"/>
      <c r="AG186" s="834"/>
      <c r="AH186" s="835">
        <v>0</v>
      </c>
      <c r="AI186" s="825"/>
      <c r="AJ186" s="834"/>
      <c r="AK186" s="835">
        <v>0</v>
      </c>
      <c r="AL186" s="825"/>
      <c r="AM186" s="834"/>
      <c r="AN186" s="835">
        <v>0</v>
      </c>
      <c r="AO186" s="825"/>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thickBot="1">
      <c r="A187" s="39" t="str">
        <f t="shared" si="2"/>
        <v>ServiceAjustement M/O</v>
      </c>
      <c r="B187" s="44" t="s">
        <v>169</v>
      </c>
      <c r="C187" s="819"/>
      <c r="D187" s="770"/>
      <c r="E187" s="758">
        <v>-32078.400000000001</v>
      </c>
      <c r="F187" s="820"/>
      <c r="G187" s="821"/>
      <c r="H187" s="771">
        <v>-4825.76</v>
      </c>
      <c r="I187" s="820"/>
      <c r="J187" s="821"/>
      <c r="K187" s="771">
        <v>-1515.7</v>
      </c>
      <c r="L187" s="820"/>
      <c r="M187" s="821"/>
      <c r="N187" s="771">
        <v>-5865.37</v>
      </c>
      <c r="O187" s="820"/>
      <c r="P187" s="821"/>
      <c r="Q187" s="771">
        <v>-3446.54</v>
      </c>
      <c r="R187" s="820"/>
      <c r="S187" s="821"/>
      <c r="T187" s="771">
        <v>-2141.9499999999998</v>
      </c>
      <c r="U187" s="820"/>
      <c r="V187" s="821"/>
      <c r="W187" s="771">
        <v>-2037.51</v>
      </c>
      <c r="X187" s="820"/>
      <c r="Y187" s="821"/>
      <c r="Z187" s="771">
        <v>-1170.23</v>
      </c>
      <c r="AA187" s="820"/>
      <c r="AB187" s="821"/>
      <c r="AC187" s="771">
        <v>-2029.15</v>
      </c>
      <c r="AD187" s="820"/>
      <c r="AE187" s="821"/>
      <c r="AF187" s="771">
        <v>-1692.49</v>
      </c>
      <c r="AG187" s="820"/>
      <c r="AH187" s="821"/>
      <c r="AI187" s="771">
        <v>-3610.57</v>
      </c>
      <c r="AJ187" s="820"/>
      <c r="AK187" s="821"/>
      <c r="AL187" s="771">
        <v>-1452.11</v>
      </c>
      <c r="AM187" s="820"/>
      <c r="AN187" s="821"/>
      <c r="AO187" s="771">
        <v>-2291.02</v>
      </c>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thickTop="1">
      <c r="A188" s="39" t="str">
        <f t="shared" si="2"/>
        <v>ServiceSous-total M/O</v>
      </c>
      <c r="B188" s="49" t="s">
        <v>170</v>
      </c>
      <c r="C188" s="836">
        <v>10034</v>
      </c>
      <c r="D188" s="837">
        <v>3305342.3499999978</v>
      </c>
      <c r="E188" s="838">
        <v>2501090.949999996</v>
      </c>
      <c r="F188" s="836">
        <v>658</v>
      </c>
      <c r="G188" s="837">
        <v>206332.67</v>
      </c>
      <c r="H188" s="838">
        <v>146894.06</v>
      </c>
      <c r="I188" s="836">
        <v>584</v>
      </c>
      <c r="J188" s="837">
        <v>180787.68999999983</v>
      </c>
      <c r="K188" s="838">
        <v>132673.18999999968</v>
      </c>
      <c r="L188" s="836">
        <v>703</v>
      </c>
      <c r="M188" s="837">
        <v>216246.17999999996</v>
      </c>
      <c r="N188" s="838">
        <v>158149.4</v>
      </c>
      <c r="O188" s="836">
        <v>1055</v>
      </c>
      <c r="P188" s="837">
        <v>336657.06</v>
      </c>
      <c r="Q188" s="838">
        <v>248758.78999999989</v>
      </c>
      <c r="R188" s="836">
        <v>1057</v>
      </c>
      <c r="S188" s="837">
        <v>349391.62</v>
      </c>
      <c r="T188" s="838">
        <v>267598.35999999975</v>
      </c>
      <c r="U188" s="836">
        <v>664</v>
      </c>
      <c r="V188" s="837">
        <v>223947.51</v>
      </c>
      <c r="W188" s="838">
        <v>170910.56999999986</v>
      </c>
      <c r="X188" s="836">
        <v>690</v>
      </c>
      <c r="Y188" s="837">
        <v>259731.49999999988</v>
      </c>
      <c r="Z188" s="838">
        <v>197543.67999999979</v>
      </c>
      <c r="AA188" s="836">
        <v>779</v>
      </c>
      <c r="AB188" s="837">
        <v>273261.75999999896</v>
      </c>
      <c r="AC188" s="838">
        <v>206613.769999999</v>
      </c>
      <c r="AD188" s="836">
        <v>740</v>
      </c>
      <c r="AE188" s="837">
        <v>246805.63999999998</v>
      </c>
      <c r="AF188" s="838">
        <v>188443.38</v>
      </c>
      <c r="AG188" s="836">
        <v>947</v>
      </c>
      <c r="AH188" s="837">
        <v>334614.55999999901</v>
      </c>
      <c r="AI188" s="838">
        <v>258130.43999999901</v>
      </c>
      <c r="AJ188" s="836">
        <v>1405</v>
      </c>
      <c r="AK188" s="837">
        <v>438574.22000000003</v>
      </c>
      <c r="AL188" s="838">
        <v>343758.33999999898</v>
      </c>
      <c r="AM188" s="836">
        <v>752</v>
      </c>
      <c r="AN188" s="837">
        <v>238991.93999999997</v>
      </c>
      <c r="AO188" s="838">
        <v>181616.96999999991</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46" t="s">
        <v>171</v>
      </c>
      <c r="C189" s="839"/>
      <c r="D189" s="840">
        <v>329.41422662945962</v>
      </c>
      <c r="E189" s="841">
        <v>0.75668136161447774</v>
      </c>
      <c r="F189" s="839"/>
      <c r="G189" s="840">
        <v>313.57548632218845</v>
      </c>
      <c r="H189" s="841">
        <v>0.71192826613449045</v>
      </c>
      <c r="I189" s="839"/>
      <c r="J189" s="840">
        <v>309.56796232876684</v>
      </c>
      <c r="K189" s="841">
        <v>0.73386185751916966</v>
      </c>
      <c r="L189" s="839"/>
      <c r="M189" s="840">
        <v>307.60480796586057</v>
      </c>
      <c r="N189" s="841">
        <v>0.73133962412653963</v>
      </c>
      <c r="O189" s="839"/>
      <c r="P189" s="840">
        <v>319.10621800947865</v>
      </c>
      <c r="Q189" s="841">
        <v>0.73890857954976463</v>
      </c>
      <c r="R189" s="839"/>
      <c r="S189" s="840">
        <v>330.55025543992429</v>
      </c>
      <c r="T189" s="841">
        <v>0.76589804872824296</v>
      </c>
      <c r="U189" s="839"/>
      <c r="V189" s="840">
        <v>337.27034638554215</v>
      </c>
      <c r="W189" s="841">
        <v>0.76317245054432559</v>
      </c>
      <c r="X189" s="839"/>
      <c r="Y189" s="840">
        <v>376.42246376811579</v>
      </c>
      <c r="Z189" s="841">
        <v>0.76056881818339273</v>
      </c>
      <c r="AA189" s="839"/>
      <c r="AB189" s="840">
        <v>350.78531450577532</v>
      </c>
      <c r="AC189" s="841">
        <v>0.75610202466675103</v>
      </c>
      <c r="AD189" s="839"/>
      <c r="AE189" s="840">
        <v>333.52113513513513</v>
      </c>
      <c r="AF189" s="841">
        <v>0.763529472016928</v>
      </c>
      <c r="AG189" s="839"/>
      <c r="AH189" s="840">
        <v>353.34166842660932</v>
      </c>
      <c r="AI189" s="841">
        <v>0.77142620452618615</v>
      </c>
      <c r="AJ189" s="839"/>
      <c r="AK189" s="840">
        <v>312.15246975088968</v>
      </c>
      <c r="AL189" s="841">
        <v>0.78380881575756767</v>
      </c>
      <c r="AM189" s="839"/>
      <c r="AN189" s="840">
        <v>317.8084308510638</v>
      </c>
      <c r="AO189" s="841">
        <v>0.75992926790752835</v>
      </c>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45"/>
      <c r="C190" s="819"/>
      <c r="D190" s="770"/>
      <c r="E190" s="842"/>
      <c r="F190" s="819"/>
      <c r="G190" s="770"/>
      <c r="H190" s="842"/>
      <c r="I190" s="819"/>
      <c r="J190" s="770"/>
      <c r="K190" s="842"/>
      <c r="L190" s="819"/>
      <c r="M190" s="770"/>
      <c r="N190" s="842"/>
      <c r="O190" s="819"/>
      <c r="P190" s="770"/>
      <c r="Q190" s="842"/>
      <c r="R190" s="819"/>
      <c r="S190" s="770"/>
      <c r="T190" s="842"/>
      <c r="U190" s="819"/>
      <c r="V190" s="770"/>
      <c r="W190" s="842"/>
      <c r="X190" s="819"/>
      <c r="Y190" s="770"/>
      <c r="Z190" s="842"/>
      <c r="AA190" s="819"/>
      <c r="AB190" s="770"/>
      <c r="AC190" s="842"/>
      <c r="AD190" s="819"/>
      <c r="AE190" s="770"/>
      <c r="AF190" s="842"/>
      <c r="AG190" s="819"/>
      <c r="AH190" s="770"/>
      <c r="AI190" s="842"/>
      <c r="AJ190" s="819"/>
      <c r="AK190" s="770"/>
      <c r="AL190" s="842"/>
      <c r="AM190" s="819"/>
      <c r="AN190" s="770"/>
      <c r="AO190" s="842"/>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44" t="s">
        <v>172</v>
      </c>
      <c r="C191" s="819">
        <v>0</v>
      </c>
      <c r="D191" s="830">
        <v>193449.25999999998</v>
      </c>
      <c r="E191" s="758">
        <v>36117.039999999964</v>
      </c>
      <c r="F191" s="820">
        <v>0</v>
      </c>
      <c r="G191" s="843">
        <v>7853.74</v>
      </c>
      <c r="H191" s="771">
        <v>-11.929999999999801</v>
      </c>
      <c r="I191" s="820">
        <v>0</v>
      </c>
      <c r="J191" s="843">
        <v>19315.099999999999</v>
      </c>
      <c r="K191" s="771">
        <v>1457.99999999999</v>
      </c>
      <c r="L191" s="820">
        <v>0</v>
      </c>
      <c r="M191" s="843">
        <v>12081.49</v>
      </c>
      <c r="N191" s="771">
        <v>2541.5299999999902</v>
      </c>
      <c r="O191" s="820">
        <v>0</v>
      </c>
      <c r="P191" s="843">
        <v>21634.6</v>
      </c>
      <c r="Q191" s="771">
        <v>4449.5999999999904</v>
      </c>
      <c r="R191" s="820">
        <v>0</v>
      </c>
      <c r="S191" s="843">
        <v>31330.82</v>
      </c>
      <c r="T191" s="771">
        <v>5707.76</v>
      </c>
      <c r="U191" s="820">
        <v>0</v>
      </c>
      <c r="V191" s="843">
        <v>13598.58</v>
      </c>
      <c r="W191" s="771">
        <v>2943</v>
      </c>
      <c r="X191" s="820">
        <v>0</v>
      </c>
      <c r="Y191" s="843">
        <v>23727.87</v>
      </c>
      <c r="Z191" s="771">
        <v>4904.13</v>
      </c>
      <c r="AA191" s="820">
        <v>0</v>
      </c>
      <c r="AB191" s="843">
        <v>9800.6899999999896</v>
      </c>
      <c r="AC191" s="771">
        <v>3056.6899999999901</v>
      </c>
      <c r="AD191" s="820">
        <v>0</v>
      </c>
      <c r="AE191" s="843">
        <v>13150.5</v>
      </c>
      <c r="AF191" s="771">
        <v>2801.5</v>
      </c>
      <c r="AG191" s="820">
        <v>0</v>
      </c>
      <c r="AH191" s="843">
        <v>17305.09</v>
      </c>
      <c r="AI191" s="771">
        <v>3325.7</v>
      </c>
      <c r="AJ191" s="820">
        <v>0</v>
      </c>
      <c r="AK191" s="843">
        <v>13819.95</v>
      </c>
      <c r="AL191" s="771">
        <v>2749.25</v>
      </c>
      <c r="AM191" s="820">
        <v>0</v>
      </c>
      <c r="AN191" s="843">
        <v>9830.83</v>
      </c>
      <c r="AO191" s="771">
        <v>2191.81</v>
      </c>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44" t="s">
        <v>165</v>
      </c>
      <c r="C192" s="819"/>
      <c r="D192" s="830"/>
      <c r="E192" s="822">
        <v>0.1867003264835439</v>
      </c>
      <c r="F192" s="819"/>
      <c r="G192" s="830"/>
      <c r="H192" s="822">
        <v>-1.5190215107706393E-3</v>
      </c>
      <c r="I192" s="819"/>
      <c r="J192" s="830"/>
      <c r="K192" s="822">
        <v>7.5484983251445245E-2</v>
      </c>
      <c r="L192" s="819"/>
      <c r="M192" s="830"/>
      <c r="N192" s="822">
        <v>0.21036560887771213</v>
      </c>
      <c r="O192" s="819"/>
      <c r="P192" s="830"/>
      <c r="Q192" s="822">
        <v>0.20567054625461023</v>
      </c>
      <c r="R192" s="819"/>
      <c r="S192" s="830"/>
      <c r="T192" s="822">
        <v>0.18217716612587861</v>
      </c>
      <c r="U192" s="819"/>
      <c r="V192" s="830"/>
      <c r="W192" s="822">
        <v>0.21641965558168574</v>
      </c>
      <c r="X192" s="819"/>
      <c r="Y192" s="830"/>
      <c r="Z192" s="822">
        <v>0.20668226857277963</v>
      </c>
      <c r="AA192" s="819"/>
      <c r="AB192" s="830"/>
      <c r="AC192" s="822">
        <v>0.31188518359421563</v>
      </c>
      <c r="AD192" s="819"/>
      <c r="AE192" s="830"/>
      <c r="AF192" s="822">
        <v>0.21303372495342382</v>
      </c>
      <c r="AG192" s="819"/>
      <c r="AH192" s="830"/>
      <c r="AI192" s="822">
        <v>0.19218045095402567</v>
      </c>
      <c r="AJ192" s="819"/>
      <c r="AK192" s="830"/>
      <c r="AL192" s="822">
        <v>0.1989334259530606</v>
      </c>
      <c r="AM192" s="819"/>
      <c r="AN192" s="830"/>
      <c r="AO192" s="822">
        <v>0.22295269066803108</v>
      </c>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44"/>
      <c r="C193" s="819"/>
      <c r="D193" s="830"/>
      <c r="E193" s="822"/>
      <c r="F193" s="819"/>
      <c r="G193" s="830"/>
      <c r="H193" s="822"/>
      <c r="I193" s="819"/>
      <c r="J193" s="830"/>
      <c r="K193" s="822"/>
      <c r="L193" s="819"/>
      <c r="M193" s="830"/>
      <c r="N193" s="822"/>
      <c r="O193" s="819"/>
      <c r="P193" s="830"/>
      <c r="Q193" s="822"/>
      <c r="R193" s="819"/>
      <c r="S193" s="830"/>
      <c r="T193" s="822"/>
      <c r="U193" s="819"/>
      <c r="V193" s="830"/>
      <c r="W193" s="822"/>
      <c r="X193" s="819"/>
      <c r="Y193" s="830"/>
      <c r="Z193" s="822"/>
      <c r="AA193" s="819"/>
      <c r="AB193" s="830"/>
      <c r="AC193" s="822"/>
      <c r="AD193" s="819"/>
      <c r="AE193" s="830"/>
      <c r="AF193" s="822"/>
      <c r="AG193" s="819"/>
      <c r="AH193" s="830"/>
      <c r="AI193" s="822"/>
      <c r="AJ193" s="819"/>
      <c r="AK193" s="830"/>
      <c r="AL193" s="822"/>
      <c r="AM193" s="819"/>
      <c r="AN193" s="830"/>
      <c r="AO193" s="822"/>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42" t="s">
        <v>173</v>
      </c>
      <c r="C194" s="826">
        <v>0</v>
      </c>
      <c r="D194" s="844">
        <v>102829.93999999999</v>
      </c>
      <c r="E194" s="782">
        <v>73354.189999999988</v>
      </c>
      <c r="F194" s="828">
        <v>0</v>
      </c>
      <c r="G194" s="845">
        <v>6185.25</v>
      </c>
      <c r="H194" s="783">
        <v>4595.3999999999996</v>
      </c>
      <c r="I194" s="828">
        <v>0</v>
      </c>
      <c r="J194" s="845">
        <v>5335.05</v>
      </c>
      <c r="K194" s="783">
        <v>3998.39</v>
      </c>
      <c r="L194" s="828">
        <v>0</v>
      </c>
      <c r="M194" s="845">
        <v>5051</v>
      </c>
      <c r="N194" s="783">
        <v>3763.74</v>
      </c>
      <c r="O194" s="828">
        <v>0</v>
      </c>
      <c r="P194" s="845">
        <v>8946.15</v>
      </c>
      <c r="Q194" s="783">
        <v>7163.79</v>
      </c>
      <c r="R194" s="828">
        <v>0</v>
      </c>
      <c r="S194" s="845">
        <v>15244.65</v>
      </c>
      <c r="T194" s="783">
        <v>8650.89</v>
      </c>
      <c r="U194" s="828">
        <v>0</v>
      </c>
      <c r="V194" s="845">
        <v>13554.44</v>
      </c>
      <c r="W194" s="783">
        <v>10654.58</v>
      </c>
      <c r="X194" s="828">
        <v>0</v>
      </c>
      <c r="Y194" s="845">
        <v>6372.75</v>
      </c>
      <c r="Z194" s="783">
        <v>4669.1499999999996</v>
      </c>
      <c r="AA194" s="828">
        <v>0</v>
      </c>
      <c r="AB194" s="845">
        <v>8945.9</v>
      </c>
      <c r="AC194" s="783">
        <v>7361.42</v>
      </c>
      <c r="AD194" s="828">
        <v>0</v>
      </c>
      <c r="AE194" s="845">
        <v>8854.9500000000007</v>
      </c>
      <c r="AF194" s="783">
        <v>5544.1</v>
      </c>
      <c r="AG194" s="828">
        <v>0</v>
      </c>
      <c r="AH194" s="845">
        <v>10359.950000000001</v>
      </c>
      <c r="AI194" s="783">
        <v>7081.85</v>
      </c>
      <c r="AJ194" s="828">
        <v>0</v>
      </c>
      <c r="AK194" s="845">
        <v>8099.9</v>
      </c>
      <c r="AL194" s="783">
        <v>5810.28999999999</v>
      </c>
      <c r="AM194" s="828">
        <v>0</v>
      </c>
      <c r="AN194" s="845">
        <v>5879.95</v>
      </c>
      <c r="AO194" s="783">
        <v>4060.59</v>
      </c>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43" t="s">
        <v>165</v>
      </c>
      <c r="C195" s="823"/>
      <c r="D195" s="846"/>
      <c r="E195" s="825">
        <v>0.71335439853412341</v>
      </c>
      <c r="F195" s="823"/>
      <c r="G195" s="846"/>
      <c r="H195" s="825">
        <v>0.74296107675518364</v>
      </c>
      <c r="I195" s="823"/>
      <c r="J195" s="846"/>
      <c r="K195" s="825">
        <v>0.74945689356238454</v>
      </c>
      <c r="L195" s="823"/>
      <c r="M195" s="846"/>
      <c r="N195" s="825">
        <v>0.74514749554543647</v>
      </c>
      <c r="O195" s="823"/>
      <c r="P195" s="846"/>
      <c r="Q195" s="825">
        <v>0.80076792810315056</v>
      </c>
      <c r="R195" s="823"/>
      <c r="S195" s="846"/>
      <c r="T195" s="825">
        <v>0.56747055524397083</v>
      </c>
      <c r="U195" s="823"/>
      <c r="V195" s="846"/>
      <c r="W195" s="825">
        <v>0.78605829528921889</v>
      </c>
      <c r="X195" s="823"/>
      <c r="Y195" s="846"/>
      <c r="Z195" s="825">
        <v>0.73267427719587297</v>
      </c>
      <c r="AA195" s="823"/>
      <c r="AB195" s="846"/>
      <c r="AC195" s="825">
        <v>0.82288199063258038</v>
      </c>
      <c r="AD195" s="823"/>
      <c r="AE195" s="846"/>
      <c r="AF195" s="825">
        <v>0.62610178487738499</v>
      </c>
      <c r="AG195" s="823"/>
      <c r="AH195" s="846"/>
      <c r="AI195" s="825">
        <v>0.68357955395537617</v>
      </c>
      <c r="AJ195" s="823"/>
      <c r="AK195" s="846"/>
      <c r="AL195" s="825">
        <v>0.71732860899517159</v>
      </c>
      <c r="AM195" s="823"/>
      <c r="AN195" s="846"/>
      <c r="AO195" s="825">
        <v>0.69058240291158945</v>
      </c>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thickBot="1">
      <c r="A196" s="39" t="str">
        <f t="shared" si="2"/>
        <v>Service</v>
      </c>
      <c r="B196" s="45"/>
      <c r="C196" s="847"/>
      <c r="D196" s="848"/>
      <c r="E196" s="849"/>
      <c r="F196" s="847"/>
      <c r="G196" s="848"/>
      <c r="H196" s="849"/>
      <c r="I196" s="847"/>
      <c r="J196" s="848"/>
      <c r="K196" s="849"/>
      <c r="L196" s="847"/>
      <c r="M196" s="848"/>
      <c r="N196" s="849"/>
      <c r="O196" s="847"/>
      <c r="P196" s="848"/>
      <c r="Q196" s="849"/>
      <c r="R196" s="847"/>
      <c r="S196" s="848"/>
      <c r="T196" s="849"/>
      <c r="U196" s="847"/>
      <c r="V196" s="848"/>
      <c r="W196" s="849"/>
      <c r="X196" s="847"/>
      <c r="Y196" s="848"/>
      <c r="Z196" s="849"/>
      <c r="AA196" s="847"/>
      <c r="AB196" s="848"/>
      <c r="AC196" s="849"/>
      <c r="AD196" s="847"/>
      <c r="AE196" s="848"/>
      <c r="AF196" s="849"/>
      <c r="AG196" s="847"/>
      <c r="AH196" s="848"/>
      <c r="AI196" s="849"/>
      <c r="AJ196" s="847"/>
      <c r="AK196" s="848"/>
      <c r="AL196" s="849"/>
      <c r="AM196" s="847"/>
      <c r="AN196" s="848"/>
      <c r="AO196" s="849"/>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thickTop="1">
      <c r="A197" s="39" t="str">
        <f t="shared" si="2"/>
        <v>ServiceTotal Mécanique</v>
      </c>
      <c r="B197" s="49" t="s">
        <v>174</v>
      </c>
      <c r="C197" s="759"/>
      <c r="D197" s="850">
        <v>3601621.5499999975</v>
      </c>
      <c r="E197" s="761">
        <v>2610562.179999996</v>
      </c>
      <c r="F197" s="759"/>
      <c r="G197" s="850">
        <v>220371.66</v>
      </c>
      <c r="H197" s="761">
        <v>151477.53</v>
      </c>
      <c r="I197" s="759"/>
      <c r="J197" s="850">
        <v>205437.83999999982</v>
      </c>
      <c r="K197" s="761">
        <v>138129.5799999997</v>
      </c>
      <c r="L197" s="759"/>
      <c r="M197" s="850">
        <v>233378.66999999995</v>
      </c>
      <c r="N197" s="761">
        <v>164454.66999999998</v>
      </c>
      <c r="O197" s="759"/>
      <c r="P197" s="850">
        <v>367237.81</v>
      </c>
      <c r="Q197" s="761">
        <v>260372.17999999988</v>
      </c>
      <c r="R197" s="759"/>
      <c r="S197" s="850">
        <v>395967.09</v>
      </c>
      <c r="T197" s="761">
        <v>281957.00999999978</v>
      </c>
      <c r="U197" s="759"/>
      <c r="V197" s="850">
        <v>251100.53</v>
      </c>
      <c r="W197" s="761">
        <v>184508.14999999985</v>
      </c>
      <c r="X197" s="759"/>
      <c r="Y197" s="850">
        <v>289832.11999999988</v>
      </c>
      <c r="Z197" s="761">
        <v>207116.95999999979</v>
      </c>
      <c r="AA197" s="759"/>
      <c r="AB197" s="850">
        <v>292008.34999999899</v>
      </c>
      <c r="AC197" s="761">
        <v>217031.87999999902</v>
      </c>
      <c r="AD197" s="759"/>
      <c r="AE197" s="850">
        <v>268811.08999999997</v>
      </c>
      <c r="AF197" s="761">
        <v>196788.98</v>
      </c>
      <c r="AG197" s="759"/>
      <c r="AH197" s="850">
        <v>362279.59999999905</v>
      </c>
      <c r="AI197" s="761">
        <v>268537.989999999</v>
      </c>
      <c r="AJ197" s="759"/>
      <c r="AK197" s="850">
        <v>460494.07000000007</v>
      </c>
      <c r="AL197" s="761">
        <v>352317.87999999896</v>
      </c>
      <c r="AM197" s="759"/>
      <c r="AN197" s="850">
        <v>254702.71999999997</v>
      </c>
      <c r="AO197" s="761">
        <v>187869.36999999991</v>
      </c>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thickBot="1">
      <c r="A198" s="39" t="str">
        <f t="shared" si="2"/>
        <v>Service</v>
      </c>
      <c r="B198" s="50"/>
      <c r="C198" s="762"/>
      <c r="D198" s="763"/>
      <c r="E198" s="851">
        <v>0.72482967567761192</v>
      </c>
      <c r="F198" s="762"/>
      <c r="G198" s="763"/>
      <c r="H198" s="851">
        <v>0.68737300431462012</v>
      </c>
      <c r="I198" s="762"/>
      <c r="J198" s="763"/>
      <c r="K198" s="851">
        <v>0.67236678500903146</v>
      </c>
      <c r="L198" s="762"/>
      <c r="M198" s="763"/>
      <c r="N198" s="851">
        <v>0.7046688114213695</v>
      </c>
      <c r="O198" s="762"/>
      <c r="P198" s="763"/>
      <c r="Q198" s="851">
        <v>0.70900155950717569</v>
      </c>
      <c r="R198" s="762"/>
      <c r="S198" s="763"/>
      <c r="T198" s="851">
        <v>0.71207182899972765</v>
      </c>
      <c r="U198" s="762"/>
      <c r="V198" s="763"/>
      <c r="W198" s="851">
        <v>0.73479793133053062</v>
      </c>
      <c r="X198" s="762"/>
      <c r="Y198" s="763"/>
      <c r="Z198" s="851">
        <v>0.71461009911530815</v>
      </c>
      <c r="AA198" s="762"/>
      <c r="AB198" s="763"/>
      <c r="AC198" s="851">
        <v>0.74323860944387299</v>
      </c>
      <c r="AD198" s="762"/>
      <c r="AE198" s="763"/>
      <c r="AF198" s="851">
        <v>0.73207165671624652</v>
      </c>
      <c r="AG198" s="762"/>
      <c r="AH198" s="763"/>
      <c r="AI198" s="851">
        <v>0.74124513221279842</v>
      </c>
      <c r="AJ198" s="762"/>
      <c r="AK198" s="763"/>
      <c r="AL198" s="851">
        <v>0.76508668178940697</v>
      </c>
      <c r="AM198" s="762"/>
      <c r="AN198" s="763"/>
      <c r="AO198" s="851">
        <v>0.73760252736994691</v>
      </c>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thickTop="1">
      <c r="A199" s="39" t="str">
        <f t="shared" si="2"/>
        <v>Service</v>
      </c>
      <c r="B199" s="47"/>
      <c r="C199" s="765"/>
      <c r="D199" s="766"/>
      <c r="E199" s="852"/>
      <c r="F199" s="765"/>
      <c r="G199" s="766"/>
      <c r="H199" s="852"/>
      <c r="I199" s="765"/>
      <c r="J199" s="766"/>
      <c r="K199" s="852"/>
      <c r="L199" s="765"/>
      <c r="M199" s="766"/>
      <c r="N199" s="852"/>
      <c r="O199" s="765"/>
      <c r="P199" s="766"/>
      <c r="Q199" s="852"/>
      <c r="R199" s="765"/>
      <c r="S199" s="766"/>
      <c r="T199" s="852"/>
      <c r="U199" s="765"/>
      <c r="V199" s="766"/>
      <c r="W199" s="852"/>
      <c r="X199" s="765"/>
      <c r="Y199" s="766"/>
      <c r="Z199" s="852"/>
      <c r="AA199" s="765"/>
      <c r="AB199" s="766"/>
      <c r="AC199" s="852"/>
      <c r="AD199" s="765"/>
      <c r="AE199" s="766"/>
      <c r="AF199" s="852"/>
      <c r="AG199" s="765"/>
      <c r="AH199" s="766"/>
      <c r="AI199" s="852"/>
      <c r="AJ199" s="765"/>
      <c r="AK199" s="766"/>
      <c r="AL199" s="852"/>
      <c r="AM199" s="765"/>
      <c r="AN199" s="766"/>
      <c r="AO199" s="852"/>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52" t="s">
        <v>110</v>
      </c>
      <c r="C200" s="747"/>
      <c r="D200" s="757"/>
      <c r="E200" s="748"/>
      <c r="F200" s="747"/>
      <c r="G200" s="757"/>
      <c r="H200" s="748"/>
      <c r="I200" s="747"/>
      <c r="J200" s="757"/>
      <c r="K200" s="748"/>
      <c r="L200" s="747"/>
      <c r="M200" s="757"/>
      <c r="N200" s="748"/>
      <c r="O200" s="747"/>
      <c r="P200" s="757"/>
      <c r="Q200" s="748"/>
      <c r="R200" s="747"/>
      <c r="S200" s="757"/>
      <c r="T200" s="748"/>
      <c r="U200" s="747"/>
      <c r="V200" s="757"/>
      <c r="W200" s="748"/>
      <c r="X200" s="747"/>
      <c r="Y200" s="757"/>
      <c r="Z200" s="748"/>
      <c r="AA200" s="747"/>
      <c r="AB200" s="757"/>
      <c r="AC200" s="748"/>
      <c r="AD200" s="747"/>
      <c r="AE200" s="757"/>
      <c r="AF200" s="748"/>
      <c r="AG200" s="747"/>
      <c r="AH200" s="757"/>
      <c r="AI200" s="748"/>
      <c r="AJ200" s="747"/>
      <c r="AK200" s="757"/>
      <c r="AL200" s="748"/>
      <c r="AM200" s="747"/>
      <c r="AN200" s="757"/>
      <c r="AO200" s="748"/>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54" t="s">
        <v>120</v>
      </c>
      <c r="C201" s="747"/>
      <c r="D201" s="757"/>
      <c r="E201" s="758">
        <v>175057.22</v>
      </c>
      <c r="F201" s="747"/>
      <c r="G201" s="757"/>
      <c r="H201" s="771">
        <v>16964.599999999999</v>
      </c>
      <c r="I201" s="747"/>
      <c r="J201" s="757"/>
      <c r="K201" s="771">
        <v>15728.24</v>
      </c>
      <c r="L201" s="747"/>
      <c r="M201" s="757"/>
      <c r="N201" s="771">
        <v>13303.65</v>
      </c>
      <c r="O201" s="747"/>
      <c r="P201" s="757"/>
      <c r="Q201" s="771">
        <v>9367.5400000000009</v>
      </c>
      <c r="R201" s="747"/>
      <c r="S201" s="757"/>
      <c r="T201" s="771">
        <v>12594.56</v>
      </c>
      <c r="U201" s="747"/>
      <c r="V201" s="757"/>
      <c r="W201" s="771">
        <v>20405.86</v>
      </c>
      <c r="X201" s="747"/>
      <c r="Y201" s="757"/>
      <c r="Z201" s="771">
        <v>11834.22</v>
      </c>
      <c r="AA201" s="747"/>
      <c r="AB201" s="757"/>
      <c r="AC201" s="771">
        <v>16240.75</v>
      </c>
      <c r="AD201" s="747"/>
      <c r="AE201" s="757"/>
      <c r="AF201" s="771">
        <v>13328.14</v>
      </c>
      <c r="AG201" s="747"/>
      <c r="AH201" s="757"/>
      <c r="AI201" s="771">
        <v>11607.04</v>
      </c>
      <c r="AJ201" s="747"/>
      <c r="AK201" s="757"/>
      <c r="AL201" s="771">
        <v>15943.06</v>
      </c>
      <c r="AM201" s="747"/>
      <c r="AN201" s="757"/>
      <c r="AO201" s="771">
        <v>17739.560000000001</v>
      </c>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55" t="s">
        <v>121</v>
      </c>
      <c r="C202" s="747"/>
      <c r="D202" s="757"/>
      <c r="E202" s="758">
        <v>94910.8</v>
      </c>
      <c r="F202" s="747"/>
      <c r="G202" s="757"/>
      <c r="H202" s="771">
        <v>6399.76</v>
      </c>
      <c r="I202" s="747"/>
      <c r="J202" s="757"/>
      <c r="K202" s="771">
        <v>7380.73</v>
      </c>
      <c r="L202" s="747"/>
      <c r="M202" s="757"/>
      <c r="N202" s="771">
        <v>8424.61</v>
      </c>
      <c r="O202" s="747"/>
      <c r="P202" s="757"/>
      <c r="Q202" s="771">
        <v>8321.08</v>
      </c>
      <c r="R202" s="747"/>
      <c r="S202" s="757"/>
      <c r="T202" s="771">
        <v>9538.9</v>
      </c>
      <c r="U202" s="747"/>
      <c r="V202" s="757"/>
      <c r="W202" s="771">
        <v>4908.57</v>
      </c>
      <c r="X202" s="747"/>
      <c r="Y202" s="757"/>
      <c r="Z202" s="771">
        <v>8017.89</v>
      </c>
      <c r="AA202" s="747"/>
      <c r="AB202" s="757"/>
      <c r="AC202" s="771">
        <v>9477.77</v>
      </c>
      <c r="AD202" s="747"/>
      <c r="AE202" s="757"/>
      <c r="AF202" s="771">
        <v>8059.49</v>
      </c>
      <c r="AG202" s="747"/>
      <c r="AH202" s="757"/>
      <c r="AI202" s="771">
        <v>7162.09</v>
      </c>
      <c r="AJ202" s="747"/>
      <c r="AK202" s="757"/>
      <c r="AL202" s="771">
        <v>9929.2199999999993</v>
      </c>
      <c r="AM202" s="747"/>
      <c r="AN202" s="757"/>
      <c r="AO202" s="771">
        <v>7290.69</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54" t="s">
        <v>122</v>
      </c>
      <c r="C203" s="780"/>
      <c r="D203" s="781"/>
      <c r="E203" s="782">
        <v>216486.09</v>
      </c>
      <c r="F203" s="780"/>
      <c r="G203" s="781"/>
      <c r="H203" s="783">
        <v>13927.95</v>
      </c>
      <c r="I203" s="780"/>
      <c r="J203" s="781"/>
      <c r="K203" s="783">
        <v>15210.72</v>
      </c>
      <c r="L203" s="780"/>
      <c r="M203" s="781"/>
      <c r="N203" s="783">
        <v>12271.11</v>
      </c>
      <c r="O203" s="780"/>
      <c r="P203" s="781"/>
      <c r="Q203" s="783">
        <v>20320.27</v>
      </c>
      <c r="R203" s="780"/>
      <c r="S203" s="781"/>
      <c r="T203" s="783">
        <v>22496.47</v>
      </c>
      <c r="U203" s="780"/>
      <c r="V203" s="781"/>
      <c r="W203" s="783">
        <v>17670.88</v>
      </c>
      <c r="X203" s="780"/>
      <c r="Y203" s="781"/>
      <c r="Z203" s="783">
        <v>13760.3</v>
      </c>
      <c r="AA203" s="780"/>
      <c r="AB203" s="781"/>
      <c r="AC203" s="783">
        <v>18669.21</v>
      </c>
      <c r="AD203" s="780"/>
      <c r="AE203" s="781"/>
      <c r="AF203" s="783">
        <v>14095.06</v>
      </c>
      <c r="AG203" s="780"/>
      <c r="AH203" s="781"/>
      <c r="AI203" s="783">
        <v>17131.98</v>
      </c>
      <c r="AJ203" s="780"/>
      <c r="AK203" s="781"/>
      <c r="AL203" s="783">
        <v>39324.92</v>
      </c>
      <c r="AM203" s="780"/>
      <c r="AN203" s="781"/>
      <c r="AO203" s="783">
        <v>11607.22</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54" t="s">
        <v>123</v>
      </c>
      <c r="C204" s="747"/>
      <c r="D204" s="757"/>
      <c r="E204" s="758">
        <v>347460.79000000004</v>
      </c>
      <c r="F204" s="747"/>
      <c r="G204" s="757"/>
      <c r="H204" s="771">
        <v>23791.11</v>
      </c>
      <c r="I204" s="747"/>
      <c r="J204" s="757"/>
      <c r="K204" s="771">
        <v>19491.41</v>
      </c>
      <c r="L204" s="747"/>
      <c r="M204" s="757"/>
      <c r="N204" s="771">
        <v>20859.560000000001</v>
      </c>
      <c r="O204" s="747"/>
      <c r="P204" s="757"/>
      <c r="Q204" s="771">
        <v>43948.92</v>
      </c>
      <c r="R204" s="747"/>
      <c r="S204" s="757"/>
      <c r="T204" s="771">
        <v>37414.44</v>
      </c>
      <c r="U204" s="747"/>
      <c r="V204" s="757"/>
      <c r="W204" s="771">
        <v>26139.54</v>
      </c>
      <c r="X204" s="747"/>
      <c r="Y204" s="757"/>
      <c r="Z204" s="771">
        <v>25122.77</v>
      </c>
      <c r="AA204" s="747"/>
      <c r="AB204" s="757"/>
      <c r="AC204" s="771">
        <v>32163.66</v>
      </c>
      <c r="AD204" s="747"/>
      <c r="AE204" s="757"/>
      <c r="AF204" s="771">
        <v>29269.82</v>
      </c>
      <c r="AG204" s="747"/>
      <c r="AH204" s="757"/>
      <c r="AI204" s="771">
        <v>29317.81</v>
      </c>
      <c r="AJ204" s="747"/>
      <c r="AK204" s="757"/>
      <c r="AL204" s="771">
        <v>39319.25</v>
      </c>
      <c r="AM204" s="747"/>
      <c r="AN204" s="757"/>
      <c r="AO204" s="771">
        <v>20622.5</v>
      </c>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59</v>
      </c>
      <c r="C205" s="747"/>
      <c r="D205" s="757"/>
      <c r="E205" s="758">
        <v>0</v>
      </c>
      <c r="F205" s="747"/>
      <c r="G205" s="757"/>
      <c r="H205" s="771"/>
      <c r="I205" s="747"/>
      <c r="J205" s="757"/>
      <c r="K205" s="771"/>
      <c r="L205" s="747"/>
      <c r="M205" s="757"/>
      <c r="N205" s="771"/>
      <c r="O205" s="747"/>
      <c r="P205" s="757"/>
      <c r="Q205" s="771"/>
      <c r="R205" s="747"/>
      <c r="S205" s="757"/>
      <c r="T205" s="771"/>
      <c r="U205" s="747"/>
      <c r="V205" s="757"/>
      <c r="W205" s="771"/>
      <c r="X205" s="747"/>
      <c r="Y205" s="757"/>
      <c r="Z205" s="771"/>
      <c r="AA205" s="747"/>
      <c r="AB205" s="757"/>
      <c r="AC205" s="771"/>
      <c r="AD205" s="747"/>
      <c r="AE205" s="757"/>
      <c r="AF205" s="771"/>
      <c r="AG205" s="747"/>
      <c r="AH205" s="757"/>
      <c r="AI205" s="771"/>
      <c r="AJ205" s="747"/>
      <c r="AK205" s="757"/>
      <c r="AL205" s="771"/>
      <c r="AM205" s="747"/>
      <c r="AN205" s="757"/>
      <c r="AO205" s="771"/>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59</v>
      </c>
      <c r="C206" s="747"/>
      <c r="D206" s="757"/>
      <c r="E206" s="758">
        <v>0</v>
      </c>
      <c r="F206" s="747"/>
      <c r="G206" s="757"/>
      <c r="H206" s="771">
        <v>0</v>
      </c>
      <c r="I206" s="747"/>
      <c r="J206" s="757"/>
      <c r="K206" s="771">
        <v>0</v>
      </c>
      <c r="L206" s="747"/>
      <c r="M206" s="757"/>
      <c r="N206" s="771">
        <v>0</v>
      </c>
      <c r="O206" s="747"/>
      <c r="P206" s="757"/>
      <c r="Q206" s="771">
        <v>0</v>
      </c>
      <c r="R206" s="747"/>
      <c r="S206" s="757"/>
      <c r="T206" s="771">
        <v>0</v>
      </c>
      <c r="U206" s="747"/>
      <c r="V206" s="757"/>
      <c r="W206" s="771">
        <v>0</v>
      </c>
      <c r="X206" s="747"/>
      <c r="Y206" s="757"/>
      <c r="Z206" s="771">
        <v>0</v>
      </c>
      <c r="AA206" s="747"/>
      <c r="AB206" s="757"/>
      <c r="AC206" s="771">
        <v>0</v>
      </c>
      <c r="AD206" s="747"/>
      <c r="AE206" s="757"/>
      <c r="AF206" s="771">
        <v>0</v>
      </c>
      <c r="AG206" s="747"/>
      <c r="AH206" s="757"/>
      <c r="AI206" s="771">
        <v>0</v>
      </c>
      <c r="AJ206" s="747"/>
      <c r="AK206" s="757"/>
      <c r="AL206" s="771">
        <v>0</v>
      </c>
      <c r="AM206" s="747"/>
      <c r="AN206" s="757"/>
      <c r="AO206" s="771">
        <v>0</v>
      </c>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44" t="s">
        <v>59</v>
      </c>
      <c r="C207" s="747"/>
      <c r="D207" s="757"/>
      <c r="E207" s="758">
        <v>0</v>
      </c>
      <c r="F207" s="747"/>
      <c r="G207" s="757"/>
      <c r="H207" s="771">
        <v>0</v>
      </c>
      <c r="I207" s="747"/>
      <c r="J207" s="757"/>
      <c r="K207" s="771">
        <v>0</v>
      </c>
      <c r="L207" s="747"/>
      <c r="M207" s="757"/>
      <c r="N207" s="771">
        <v>0</v>
      </c>
      <c r="O207" s="747"/>
      <c r="P207" s="757"/>
      <c r="Q207" s="771">
        <v>0</v>
      </c>
      <c r="R207" s="747"/>
      <c r="S207" s="757"/>
      <c r="T207" s="771">
        <v>0</v>
      </c>
      <c r="U207" s="747"/>
      <c r="V207" s="757"/>
      <c r="W207" s="771">
        <v>0</v>
      </c>
      <c r="X207" s="747"/>
      <c r="Y207" s="757"/>
      <c r="Z207" s="771">
        <v>0</v>
      </c>
      <c r="AA207" s="747"/>
      <c r="AB207" s="757"/>
      <c r="AC207" s="771">
        <v>0</v>
      </c>
      <c r="AD207" s="747"/>
      <c r="AE207" s="757"/>
      <c r="AF207" s="771">
        <v>0</v>
      </c>
      <c r="AG207" s="747"/>
      <c r="AH207" s="757"/>
      <c r="AI207" s="771">
        <v>0</v>
      </c>
      <c r="AJ207" s="747"/>
      <c r="AK207" s="757"/>
      <c r="AL207" s="771">
        <v>0</v>
      </c>
      <c r="AM207" s="747"/>
      <c r="AN207" s="757"/>
      <c r="AO207" s="771">
        <v>0</v>
      </c>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55" t="s">
        <v>124</v>
      </c>
      <c r="C208" s="747"/>
      <c r="D208" s="757"/>
      <c r="E208" s="758">
        <v>198730.3</v>
      </c>
      <c r="F208" s="747"/>
      <c r="G208" s="757"/>
      <c r="H208" s="771">
        <v>12658.39</v>
      </c>
      <c r="I208" s="747"/>
      <c r="J208" s="757"/>
      <c r="K208" s="771">
        <v>12362.3</v>
      </c>
      <c r="L208" s="747"/>
      <c r="M208" s="757"/>
      <c r="N208" s="771">
        <v>18254.18</v>
      </c>
      <c r="O208" s="747"/>
      <c r="P208" s="757"/>
      <c r="Q208" s="771">
        <v>20422.400000000001</v>
      </c>
      <c r="R208" s="747"/>
      <c r="S208" s="757"/>
      <c r="T208" s="771">
        <v>25829.47</v>
      </c>
      <c r="U208" s="747"/>
      <c r="V208" s="757"/>
      <c r="W208" s="771">
        <v>13952.53</v>
      </c>
      <c r="X208" s="747"/>
      <c r="Y208" s="757"/>
      <c r="Z208" s="771">
        <v>16428.09</v>
      </c>
      <c r="AA208" s="747"/>
      <c r="AB208" s="757"/>
      <c r="AC208" s="771">
        <v>16486.689999999999</v>
      </c>
      <c r="AD208" s="747"/>
      <c r="AE208" s="757"/>
      <c r="AF208" s="771">
        <v>14344.17</v>
      </c>
      <c r="AG208" s="747"/>
      <c r="AH208" s="757"/>
      <c r="AI208" s="771">
        <v>20132.439999999999</v>
      </c>
      <c r="AJ208" s="747"/>
      <c r="AK208" s="757"/>
      <c r="AL208" s="771">
        <v>13701.18</v>
      </c>
      <c r="AM208" s="747"/>
      <c r="AN208" s="757"/>
      <c r="AO208" s="771">
        <v>14158.46</v>
      </c>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54" t="s">
        <v>125</v>
      </c>
      <c r="C209" s="780"/>
      <c r="D209" s="781"/>
      <c r="E209" s="782">
        <v>254898.48</v>
      </c>
      <c r="F209" s="780"/>
      <c r="G209" s="781"/>
      <c r="H209" s="783">
        <v>22420.61</v>
      </c>
      <c r="I209" s="780"/>
      <c r="J209" s="781"/>
      <c r="K209" s="783">
        <v>19960.57</v>
      </c>
      <c r="L209" s="780"/>
      <c r="M209" s="781"/>
      <c r="N209" s="783">
        <v>22659.759999999998</v>
      </c>
      <c r="O209" s="780"/>
      <c r="P209" s="781"/>
      <c r="Q209" s="783">
        <v>22408.44</v>
      </c>
      <c r="R209" s="780"/>
      <c r="S209" s="781"/>
      <c r="T209" s="783">
        <v>26288.97</v>
      </c>
      <c r="U209" s="780"/>
      <c r="V209" s="781"/>
      <c r="W209" s="783">
        <v>20166.349999999999</v>
      </c>
      <c r="X209" s="780"/>
      <c r="Y209" s="781"/>
      <c r="Z209" s="783">
        <v>19262.22</v>
      </c>
      <c r="AA209" s="780"/>
      <c r="AB209" s="781"/>
      <c r="AC209" s="783">
        <v>20021.5</v>
      </c>
      <c r="AD209" s="780"/>
      <c r="AE209" s="781"/>
      <c r="AF209" s="783">
        <v>17350.25</v>
      </c>
      <c r="AG209" s="780"/>
      <c r="AH209" s="781"/>
      <c r="AI209" s="783">
        <v>24038.78</v>
      </c>
      <c r="AJ209" s="780"/>
      <c r="AK209" s="781"/>
      <c r="AL209" s="783">
        <v>23066.27</v>
      </c>
      <c r="AM209" s="780"/>
      <c r="AN209" s="781"/>
      <c r="AO209" s="783">
        <v>17254.759999999998</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54" t="s">
        <v>126</v>
      </c>
      <c r="C210" s="747"/>
      <c r="D210" s="757"/>
      <c r="E210" s="758">
        <v>129390.36999999998</v>
      </c>
      <c r="F210" s="747"/>
      <c r="G210" s="757"/>
      <c r="H210" s="771">
        <v>11364.32</v>
      </c>
      <c r="I210" s="747"/>
      <c r="J210" s="757"/>
      <c r="K210" s="771">
        <v>11195.25</v>
      </c>
      <c r="L210" s="747"/>
      <c r="M210" s="757"/>
      <c r="N210" s="771">
        <v>11881.89</v>
      </c>
      <c r="O210" s="747"/>
      <c r="P210" s="757"/>
      <c r="Q210" s="771">
        <v>11244.77</v>
      </c>
      <c r="R210" s="747"/>
      <c r="S210" s="757"/>
      <c r="T210" s="771">
        <v>13775.33</v>
      </c>
      <c r="U210" s="747"/>
      <c r="V210" s="757"/>
      <c r="W210" s="771">
        <v>10992.65</v>
      </c>
      <c r="X210" s="747"/>
      <c r="Y210" s="757"/>
      <c r="Z210" s="771">
        <v>11101.57</v>
      </c>
      <c r="AA210" s="747"/>
      <c r="AB210" s="757"/>
      <c r="AC210" s="771">
        <v>10473.36</v>
      </c>
      <c r="AD210" s="747"/>
      <c r="AE210" s="757"/>
      <c r="AF210" s="771">
        <v>9093.58</v>
      </c>
      <c r="AG210" s="747"/>
      <c r="AH210" s="757"/>
      <c r="AI210" s="771">
        <v>11427.23</v>
      </c>
      <c r="AJ210" s="747"/>
      <c r="AK210" s="757"/>
      <c r="AL210" s="771">
        <v>7838.14</v>
      </c>
      <c r="AM210" s="747"/>
      <c r="AN210" s="757"/>
      <c r="AO210" s="771">
        <v>9002.2799999999897</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54" t="s">
        <v>127</v>
      </c>
      <c r="C211" s="747"/>
      <c r="D211" s="757"/>
      <c r="E211" s="758">
        <v>49504.6</v>
      </c>
      <c r="F211" s="747"/>
      <c r="G211" s="757"/>
      <c r="H211" s="771">
        <v>3797.34</v>
      </c>
      <c r="I211" s="747"/>
      <c r="J211" s="757"/>
      <c r="K211" s="771">
        <v>3520.04</v>
      </c>
      <c r="L211" s="747"/>
      <c r="M211" s="757"/>
      <c r="N211" s="771">
        <v>4247.74</v>
      </c>
      <c r="O211" s="747"/>
      <c r="P211" s="757"/>
      <c r="Q211" s="771">
        <v>4370.88</v>
      </c>
      <c r="R211" s="747"/>
      <c r="S211" s="757"/>
      <c r="T211" s="771">
        <v>4899.96</v>
      </c>
      <c r="U211" s="747"/>
      <c r="V211" s="757"/>
      <c r="W211" s="771">
        <v>3657.36</v>
      </c>
      <c r="X211" s="747"/>
      <c r="Y211" s="757"/>
      <c r="Z211" s="771">
        <v>3705.23</v>
      </c>
      <c r="AA211" s="747"/>
      <c r="AB211" s="757"/>
      <c r="AC211" s="771">
        <v>5322.67</v>
      </c>
      <c r="AD211" s="747"/>
      <c r="AE211" s="757"/>
      <c r="AF211" s="771">
        <v>3769.52</v>
      </c>
      <c r="AG211" s="747"/>
      <c r="AH211" s="757"/>
      <c r="AI211" s="771">
        <v>3283.11</v>
      </c>
      <c r="AJ211" s="747"/>
      <c r="AK211" s="757"/>
      <c r="AL211" s="771">
        <v>4479.8999999999996</v>
      </c>
      <c r="AM211" s="747"/>
      <c r="AN211" s="757"/>
      <c r="AO211" s="771">
        <v>4450.8500000000004</v>
      </c>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44" t="s">
        <v>59</v>
      </c>
      <c r="C212" s="776"/>
      <c r="D212" s="784"/>
      <c r="E212" s="774">
        <v>0</v>
      </c>
      <c r="F212" s="776"/>
      <c r="G212" s="784"/>
      <c r="H212" s="774"/>
      <c r="I212" s="776"/>
      <c r="J212" s="784"/>
      <c r="K212" s="774"/>
      <c r="L212" s="776"/>
      <c r="M212" s="784"/>
      <c r="N212" s="774"/>
      <c r="O212" s="776"/>
      <c r="P212" s="784"/>
      <c r="Q212" s="774"/>
      <c r="R212" s="776"/>
      <c r="S212" s="784"/>
      <c r="T212" s="774"/>
      <c r="U212" s="776"/>
      <c r="V212" s="784"/>
      <c r="W212" s="774"/>
      <c r="X212" s="776"/>
      <c r="Y212" s="784"/>
      <c r="Z212" s="774"/>
      <c r="AA212" s="776"/>
      <c r="AB212" s="784"/>
      <c r="AC212" s="774"/>
      <c r="AD212" s="776"/>
      <c r="AE212" s="784"/>
      <c r="AF212" s="774"/>
      <c r="AG212" s="776"/>
      <c r="AH212" s="784"/>
      <c r="AI212" s="774"/>
      <c r="AJ212" s="776"/>
      <c r="AK212" s="784"/>
      <c r="AL212" s="774"/>
      <c r="AM212" s="776"/>
      <c r="AN212" s="784"/>
      <c r="AO212" s="774"/>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53" t="s">
        <v>128</v>
      </c>
      <c r="C213" s="777" t="s">
        <v>175</v>
      </c>
      <c r="D213" s="778">
        <v>0.56173289463651166</v>
      </c>
      <c r="E213" s="779">
        <v>1466438.65</v>
      </c>
      <c r="F213" s="777" t="s">
        <v>175</v>
      </c>
      <c r="G213" s="778">
        <v>0</v>
      </c>
      <c r="H213" s="779">
        <v>111324.07999999999</v>
      </c>
      <c r="I213" s="777" t="s">
        <v>175</v>
      </c>
      <c r="J213" s="778">
        <v>0</v>
      </c>
      <c r="K213" s="779">
        <v>104849.26</v>
      </c>
      <c r="L213" s="777" t="s">
        <v>175</v>
      </c>
      <c r="M213" s="778">
        <v>0</v>
      </c>
      <c r="N213" s="779">
        <v>111902.50000000001</v>
      </c>
      <c r="O213" s="777" t="s">
        <v>175</v>
      </c>
      <c r="P213" s="778">
        <v>0</v>
      </c>
      <c r="Q213" s="779">
        <v>140404.29999999999</v>
      </c>
      <c r="R213" s="777" t="s">
        <v>175</v>
      </c>
      <c r="S213" s="778">
        <v>0</v>
      </c>
      <c r="T213" s="779">
        <v>152838.09999999998</v>
      </c>
      <c r="U213" s="777" t="s">
        <v>175</v>
      </c>
      <c r="V213" s="778">
        <v>0</v>
      </c>
      <c r="W213" s="779">
        <v>117893.74</v>
      </c>
      <c r="X213" s="777" t="s">
        <v>175</v>
      </c>
      <c r="Y213" s="778">
        <v>0</v>
      </c>
      <c r="Z213" s="779">
        <v>109232.29</v>
      </c>
      <c r="AA213" s="777" t="s">
        <v>175</v>
      </c>
      <c r="AB213" s="778">
        <v>0</v>
      </c>
      <c r="AC213" s="779">
        <v>128855.61</v>
      </c>
      <c r="AD213" s="777" t="s">
        <v>175</v>
      </c>
      <c r="AE213" s="778">
        <v>0</v>
      </c>
      <c r="AF213" s="779">
        <v>109310.03</v>
      </c>
      <c r="AG213" s="777" t="s">
        <v>175</v>
      </c>
      <c r="AH213" s="778">
        <v>0</v>
      </c>
      <c r="AI213" s="779">
        <v>124100.48</v>
      </c>
      <c r="AJ213" s="777" t="s">
        <v>175</v>
      </c>
      <c r="AK213" s="778">
        <v>0</v>
      </c>
      <c r="AL213" s="779">
        <v>153601.94</v>
      </c>
      <c r="AM213" s="777" t="s">
        <v>175</v>
      </c>
      <c r="AN213" s="778">
        <v>0</v>
      </c>
      <c r="AO213" s="779">
        <v>102126.31999999998</v>
      </c>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44" t="s">
        <v>129</v>
      </c>
      <c r="C214" s="747"/>
      <c r="D214" s="757"/>
      <c r="E214" s="758">
        <v>134306.92000000001</v>
      </c>
      <c r="F214" s="747"/>
      <c r="G214" s="757"/>
      <c r="H214" s="771">
        <v>11707.26</v>
      </c>
      <c r="I214" s="747"/>
      <c r="J214" s="757"/>
      <c r="K214" s="771">
        <v>12169.45</v>
      </c>
      <c r="L214" s="747"/>
      <c r="M214" s="757"/>
      <c r="N214" s="771">
        <v>12896.45</v>
      </c>
      <c r="O214" s="747"/>
      <c r="P214" s="757"/>
      <c r="Q214" s="771">
        <v>11076.5</v>
      </c>
      <c r="R214" s="747"/>
      <c r="S214" s="757"/>
      <c r="T214" s="771">
        <v>11204.43</v>
      </c>
      <c r="U214" s="747"/>
      <c r="V214" s="757"/>
      <c r="W214" s="771">
        <v>10541.92</v>
      </c>
      <c r="X214" s="747"/>
      <c r="Y214" s="757"/>
      <c r="Z214" s="771">
        <v>10338.09</v>
      </c>
      <c r="AA214" s="747"/>
      <c r="AB214" s="757"/>
      <c r="AC214" s="771">
        <v>9968.24</v>
      </c>
      <c r="AD214" s="747"/>
      <c r="AE214" s="757"/>
      <c r="AF214" s="771">
        <v>9535.4699999999993</v>
      </c>
      <c r="AG214" s="747"/>
      <c r="AH214" s="757"/>
      <c r="AI214" s="771">
        <v>11040.12</v>
      </c>
      <c r="AJ214" s="747"/>
      <c r="AK214" s="757"/>
      <c r="AL214" s="771">
        <v>11959.51</v>
      </c>
      <c r="AM214" s="747"/>
      <c r="AN214" s="757"/>
      <c r="AO214" s="771">
        <v>11869.48</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44" t="s">
        <v>130</v>
      </c>
      <c r="C215" s="747"/>
      <c r="D215" s="757"/>
      <c r="E215" s="758">
        <v>55524.079999999965</v>
      </c>
      <c r="F215" s="747"/>
      <c r="G215" s="757"/>
      <c r="H215" s="771">
        <v>2429.98</v>
      </c>
      <c r="I215" s="747"/>
      <c r="J215" s="757"/>
      <c r="K215" s="771">
        <v>2002.19</v>
      </c>
      <c r="L215" s="747"/>
      <c r="M215" s="757"/>
      <c r="N215" s="771">
        <v>1419.78</v>
      </c>
      <c r="O215" s="747"/>
      <c r="P215" s="757"/>
      <c r="Q215" s="771">
        <v>2109.5300000000002</v>
      </c>
      <c r="R215" s="747"/>
      <c r="S215" s="757"/>
      <c r="T215" s="771">
        <v>3949.0899999999901</v>
      </c>
      <c r="U215" s="747"/>
      <c r="V215" s="757"/>
      <c r="W215" s="771">
        <v>4649.09</v>
      </c>
      <c r="X215" s="747"/>
      <c r="Y215" s="757"/>
      <c r="Z215" s="771">
        <v>5248.5599999999904</v>
      </c>
      <c r="AA215" s="747"/>
      <c r="AB215" s="757"/>
      <c r="AC215" s="771">
        <v>3011.12</v>
      </c>
      <c r="AD215" s="747"/>
      <c r="AE215" s="757"/>
      <c r="AF215" s="771">
        <v>4245.42</v>
      </c>
      <c r="AG215" s="747"/>
      <c r="AH215" s="757"/>
      <c r="AI215" s="771">
        <v>7866.81</v>
      </c>
      <c r="AJ215" s="747"/>
      <c r="AK215" s="757"/>
      <c r="AL215" s="771">
        <v>5712.0099999999902</v>
      </c>
      <c r="AM215" s="747"/>
      <c r="AN215" s="757"/>
      <c r="AO215" s="771">
        <v>12880.5</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43" t="s">
        <v>131</v>
      </c>
      <c r="C216" s="776"/>
      <c r="D216" s="784"/>
      <c r="E216" s="774">
        <v>142202.62</v>
      </c>
      <c r="F216" s="776"/>
      <c r="G216" s="784"/>
      <c r="H216" s="775">
        <v>10769.71</v>
      </c>
      <c r="I216" s="776"/>
      <c r="J216" s="784"/>
      <c r="K216" s="775">
        <v>8609.4599999999991</v>
      </c>
      <c r="L216" s="776"/>
      <c r="M216" s="784"/>
      <c r="N216" s="775">
        <v>9376.94</v>
      </c>
      <c r="O216" s="776"/>
      <c r="P216" s="784"/>
      <c r="Q216" s="775">
        <v>13105.98</v>
      </c>
      <c r="R216" s="776"/>
      <c r="S216" s="784"/>
      <c r="T216" s="775">
        <v>12840.8</v>
      </c>
      <c r="U216" s="776"/>
      <c r="V216" s="784"/>
      <c r="W216" s="775">
        <v>13065.45</v>
      </c>
      <c r="X216" s="776"/>
      <c r="Y216" s="784"/>
      <c r="Z216" s="775">
        <v>15457.5</v>
      </c>
      <c r="AA216" s="776"/>
      <c r="AB216" s="784"/>
      <c r="AC216" s="775">
        <v>14407.05</v>
      </c>
      <c r="AD216" s="776"/>
      <c r="AE216" s="784"/>
      <c r="AF216" s="775">
        <v>4823.2700000000004</v>
      </c>
      <c r="AG216" s="776"/>
      <c r="AH216" s="784"/>
      <c r="AI216" s="775">
        <v>9794.68</v>
      </c>
      <c r="AJ216" s="776"/>
      <c r="AK216" s="784"/>
      <c r="AL216" s="775">
        <v>17367.310000000001</v>
      </c>
      <c r="AM216" s="776"/>
      <c r="AN216" s="784"/>
      <c r="AO216" s="775">
        <v>12584.47</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44" t="s">
        <v>132</v>
      </c>
      <c r="C217" s="747"/>
      <c r="D217" s="757"/>
      <c r="E217" s="758">
        <v>60051.459999999992</v>
      </c>
      <c r="F217" s="747"/>
      <c r="G217" s="757"/>
      <c r="H217" s="771">
        <v>5033.26</v>
      </c>
      <c r="I217" s="747"/>
      <c r="J217" s="757"/>
      <c r="K217" s="771">
        <v>4874.41</v>
      </c>
      <c r="L217" s="747"/>
      <c r="M217" s="757"/>
      <c r="N217" s="771">
        <v>4779.74</v>
      </c>
      <c r="O217" s="747"/>
      <c r="P217" s="757"/>
      <c r="Q217" s="771">
        <v>4927.17</v>
      </c>
      <c r="R217" s="747"/>
      <c r="S217" s="757"/>
      <c r="T217" s="771">
        <v>4890.13</v>
      </c>
      <c r="U217" s="747"/>
      <c r="V217" s="757"/>
      <c r="W217" s="771">
        <v>4395.78</v>
      </c>
      <c r="X217" s="747"/>
      <c r="Y217" s="757"/>
      <c r="Z217" s="771">
        <v>4412.6099999999997</v>
      </c>
      <c r="AA217" s="747"/>
      <c r="AB217" s="757"/>
      <c r="AC217" s="771">
        <v>5517.68</v>
      </c>
      <c r="AD217" s="747"/>
      <c r="AE217" s="757"/>
      <c r="AF217" s="771">
        <v>5940.99</v>
      </c>
      <c r="AG217" s="747"/>
      <c r="AH217" s="757"/>
      <c r="AI217" s="771">
        <v>5132.66</v>
      </c>
      <c r="AJ217" s="747"/>
      <c r="AK217" s="757"/>
      <c r="AL217" s="771">
        <v>4203.6499999999996</v>
      </c>
      <c r="AM217" s="747"/>
      <c r="AN217" s="757"/>
      <c r="AO217" s="771">
        <v>5943.38</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44" t="s">
        <v>133</v>
      </c>
      <c r="C218" s="747"/>
      <c r="D218" s="757"/>
      <c r="E218" s="758">
        <v>13765.83</v>
      </c>
      <c r="F218" s="747"/>
      <c r="G218" s="757"/>
      <c r="H218" s="771">
        <v>871.1</v>
      </c>
      <c r="I218" s="747"/>
      <c r="J218" s="757"/>
      <c r="K218" s="771">
        <v>280.83999999999997</v>
      </c>
      <c r="L218" s="747"/>
      <c r="M218" s="757"/>
      <c r="N218" s="771">
        <v>854.47</v>
      </c>
      <c r="O218" s="747"/>
      <c r="P218" s="757"/>
      <c r="Q218" s="771">
        <v>1797.78</v>
      </c>
      <c r="R218" s="747"/>
      <c r="S218" s="757"/>
      <c r="T218" s="771">
        <v>603.02</v>
      </c>
      <c r="U218" s="747"/>
      <c r="V218" s="757"/>
      <c r="W218" s="771">
        <v>1185.33</v>
      </c>
      <c r="X218" s="747"/>
      <c r="Y218" s="757"/>
      <c r="Z218" s="771">
        <v>1503.97</v>
      </c>
      <c r="AA218" s="747"/>
      <c r="AB218" s="757"/>
      <c r="AC218" s="771">
        <v>869.2</v>
      </c>
      <c r="AD218" s="747"/>
      <c r="AE218" s="757"/>
      <c r="AF218" s="771">
        <v>1402.71</v>
      </c>
      <c r="AG218" s="747"/>
      <c r="AH218" s="757"/>
      <c r="AI218" s="771">
        <v>997.62</v>
      </c>
      <c r="AJ218" s="747"/>
      <c r="AK218" s="757"/>
      <c r="AL218" s="771">
        <v>2288.3200000000002</v>
      </c>
      <c r="AM218" s="747"/>
      <c r="AN218" s="757"/>
      <c r="AO218" s="771">
        <v>1111.47</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43" t="s">
        <v>134</v>
      </c>
      <c r="C219" s="776"/>
      <c r="D219" s="784"/>
      <c r="E219" s="774">
        <v>149992.49</v>
      </c>
      <c r="F219" s="776"/>
      <c r="G219" s="784"/>
      <c r="H219" s="775">
        <v>12192</v>
      </c>
      <c r="I219" s="776"/>
      <c r="J219" s="784"/>
      <c r="K219" s="775">
        <v>10963.92</v>
      </c>
      <c r="L219" s="776"/>
      <c r="M219" s="784"/>
      <c r="N219" s="775">
        <v>7256.24</v>
      </c>
      <c r="O219" s="776"/>
      <c r="P219" s="784"/>
      <c r="Q219" s="775">
        <v>11142.48</v>
      </c>
      <c r="R219" s="776"/>
      <c r="S219" s="784"/>
      <c r="T219" s="775">
        <v>11277.68</v>
      </c>
      <c r="U219" s="776"/>
      <c r="V219" s="784"/>
      <c r="W219" s="775">
        <v>9357.9699999999993</v>
      </c>
      <c r="X219" s="776"/>
      <c r="Y219" s="784"/>
      <c r="Z219" s="775">
        <v>10931.7</v>
      </c>
      <c r="AA219" s="776"/>
      <c r="AB219" s="784"/>
      <c r="AC219" s="775">
        <v>14092.66</v>
      </c>
      <c r="AD219" s="776"/>
      <c r="AE219" s="784"/>
      <c r="AF219" s="775">
        <v>13426.65</v>
      </c>
      <c r="AG219" s="776"/>
      <c r="AH219" s="784"/>
      <c r="AI219" s="775">
        <v>18813.41</v>
      </c>
      <c r="AJ219" s="776"/>
      <c r="AK219" s="784"/>
      <c r="AL219" s="775">
        <v>14870.17</v>
      </c>
      <c r="AM219" s="776"/>
      <c r="AN219" s="784"/>
      <c r="AO219" s="775">
        <v>15667.61</v>
      </c>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44" t="s">
        <v>490</v>
      </c>
      <c r="C220" s="747"/>
      <c r="D220" s="757"/>
      <c r="E220" s="758">
        <v>0</v>
      </c>
      <c r="F220" s="747"/>
      <c r="G220" s="757"/>
      <c r="H220" s="771">
        <v>0</v>
      </c>
      <c r="I220" s="747"/>
      <c r="J220" s="757"/>
      <c r="K220" s="771">
        <v>0</v>
      </c>
      <c r="L220" s="747"/>
      <c r="M220" s="757"/>
      <c r="N220" s="771">
        <v>0</v>
      </c>
      <c r="O220" s="747"/>
      <c r="P220" s="757"/>
      <c r="Q220" s="771">
        <v>0</v>
      </c>
      <c r="R220" s="747"/>
      <c r="S220" s="757"/>
      <c r="T220" s="771">
        <v>0</v>
      </c>
      <c r="U220" s="747"/>
      <c r="V220" s="757"/>
      <c r="W220" s="771">
        <v>0</v>
      </c>
      <c r="X220" s="747"/>
      <c r="Y220" s="757"/>
      <c r="Z220" s="771">
        <v>0</v>
      </c>
      <c r="AA220" s="747"/>
      <c r="AB220" s="757"/>
      <c r="AC220" s="771">
        <v>0</v>
      </c>
      <c r="AD220" s="747"/>
      <c r="AE220" s="757"/>
      <c r="AF220" s="771">
        <v>0</v>
      </c>
      <c r="AG220" s="747"/>
      <c r="AH220" s="757"/>
      <c r="AI220" s="771">
        <v>0</v>
      </c>
      <c r="AJ220" s="747"/>
      <c r="AK220" s="757"/>
      <c r="AL220" s="771">
        <v>0</v>
      </c>
      <c r="AM220" s="747"/>
      <c r="AN220" s="757"/>
      <c r="AO220" s="771">
        <v>0</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si="2"/>
        <v>ServiceFournitures autres</v>
      </c>
      <c r="B221" s="44" t="s">
        <v>135</v>
      </c>
      <c r="C221" s="747"/>
      <c r="D221" s="757"/>
      <c r="E221" s="758">
        <v>57317.820000000007</v>
      </c>
      <c r="F221" s="747"/>
      <c r="G221" s="757"/>
      <c r="H221" s="771">
        <v>6983.25</v>
      </c>
      <c r="I221" s="747"/>
      <c r="J221" s="757"/>
      <c r="K221" s="771">
        <v>5550.12</v>
      </c>
      <c r="L221" s="747"/>
      <c r="M221" s="757"/>
      <c r="N221" s="771">
        <v>3678.95</v>
      </c>
      <c r="O221" s="747"/>
      <c r="P221" s="757"/>
      <c r="Q221" s="771">
        <v>4529.47</v>
      </c>
      <c r="R221" s="747"/>
      <c r="S221" s="757"/>
      <c r="T221" s="771">
        <v>1539.27</v>
      </c>
      <c r="U221" s="747"/>
      <c r="V221" s="757"/>
      <c r="W221" s="771">
        <v>2780.21</v>
      </c>
      <c r="X221" s="747"/>
      <c r="Y221" s="757"/>
      <c r="Z221" s="771">
        <v>3252.8</v>
      </c>
      <c r="AA221" s="747"/>
      <c r="AB221" s="757"/>
      <c r="AC221" s="771">
        <v>4390.1400000000003</v>
      </c>
      <c r="AD221" s="747"/>
      <c r="AE221" s="757"/>
      <c r="AF221" s="771">
        <v>3918.87</v>
      </c>
      <c r="AG221" s="747"/>
      <c r="AH221" s="757"/>
      <c r="AI221" s="771">
        <v>6845.96</v>
      </c>
      <c r="AJ221" s="747"/>
      <c r="AK221" s="757"/>
      <c r="AL221" s="771">
        <v>4375.9799999999996</v>
      </c>
      <c r="AM221" s="747"/>
      <c r="AN221" s="757"/>
      <c r="AO221" s="771">
        <v>9472.7999999999993</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2"/>
        <v>ServiceUniformes</v>
      </c>
      <c r="B222" s="44" t="s">
        <v>136</v>
      </c>
      <c r="C222" s="747"/>
      <c r="D222" s="757"/>
      <c r="E222" s="758">
        <v>14535.6</v>
      </c>
      <c r="F222" s="747"/>
      <c r="G222" s="757"/>
      <c r="H222" s="771">
        <v>1327.56</v>
      </c>
      <c r="I222" s="747"/>
      <c r="J222" s="757"/>
      <c r="K222" s="771">
        <v>786.75</v>
      </c>
      <c r="L222" s="747"/>
      <c r="M222" s="757"/>
      <c r="N222" s="771">
        <v>858.19</v>
      </c>
      <c r="O222" s="747"/>
      <c r="P222" s="757"/>
      <c r="Q222" s="771">
        <v>893.35</v>
      </c>
      <c r="R222" s="747"/>
      <c r="S222" s="757"/>
      <c r="T222" s="771">
        <v>1556.43</v>
      </c>
      <c r="U222" s="747"/>
      <c r="V222" s="757"/>
      <c r="W222" s="771">
        <v>1811.25</v>
      </c>
      <c r="X222" s="747"/>
      <c r="Y222" s="757"/>
      <c r="Z222" s="771">
        <v>1654</v>
      </c>
      <c r="AA222" s="747"/>
      <c r="AB222" s="757"/>
      <c r="AC222" s="771">
        <v>583.12</v>
      </c>
      <c r="AD222" s="747"/>
      <c r="AE222" s="757"/>
      <c r="AF222" s="771">
        <v>798.78</v>
      </c>
      <c r="AG222" s="747"/>
      <c r="AH222" s="757"/>
      <c r="AI222" s="771">
        <v>2261.06</v>
      </c>
      <c r="AJ222" s="747"/>
      <c r="AK222" s="757"/>
      <c r="AL222" s="771">
        <v>960.28</v>
      </c>
      <c r="AM222" s="747"/>
      <c r="AN222" s="757"/>
      <c r="AO222" s="771">
        <v>1044.83</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2"/>
        <v>ServicePapeterie</v>
      </c>
      <c r="B223" s="44" t="s">
        <v>137</v>
      </c>
      <c r="C223" s="747"/>
      <c r="D223" s="757"/>
      <c r="E223" s="758">
        <v>12393.650000000001</v>
      </c>
      <c r="F223" s="747"/>
      <c r="G223" s="757"/>
      <c r="H223" s="771">
        <v>318.92</v>
      </c>
      <c r="I223" s="747"/>
      <c r="J223" s="757"/>
      <c r="K223" s="771">
        <v>1046.04</v>
      </c>
      <c r="L223" s="747"/>
      <c r="M223" s="757"/>
      <c r="N223" s="771">
        <v>139.71</v>
      </c>
      <c r="O223" s="747"/>
      <c r="P223" s="757"/>
      <c r="Q223" s="771">
        <v>479.88</v>
      </c>
      <c r="R223" s="747"/>
      <c r="S223" s="757"/>
      <c r="T223" s="771">
        <v>1120.67</v>
      </c>
      <c r="U223" s="747"/>
      <c r="V223" s="757"/>
      <c r="W223" s="771">
        <v>528.83000000000004</v>
      </c>
      <c r="X223" s="747"/>
      <c r="Y223" s="757"/>
      <c r="Z223" s="771">
        <v>695.18</v>
      </c>
      <c r="AA223" s="747"/>
      <c r="AB223" s="757"/>
      <c r="AC223" s="771">
        <v>2478.59</v>
      </c>
      <c r="AD223" s="747"/>
      <c r="AE223" s="757"/>
      <c r="AF223" s="771">
        <v>664.75</v>
      </c>
      <c r="AG223" s="747"/>
      <c r="AH223" s="757"/>
      <c r="AI223" s="771">
        <v>669.02</v>
      </c>
      <c r="AJ223" s="747"/>
      <c r="AK223" s="757"/>
      <c r="AL223" s="771">
        <v>1316.02</v>
      </c>
      <c r="AM223" s="747"/>
      <c r="AN223" s="757"/>
      <c r="AO223" s="771">
        <v>2936.04</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2"/>
        <v>ServiceTéléphone</v>
      </c>
      <c r="B224" s="44" t="s">
        <v>138</v>
      </c>
      <c r="C224" s="747"/>
      <c r="D224" s="757"/>
      <c r="E224" s="758">
        <v>2172.16</v>
      </c>
      <c r="F224" s="747"/>
      <c r="G224" s="757"/>
      <c r="H224" s="771">
        <v>155.93</v>
      </c>
      <c r="I224" s="747"/>
      <c r="J224" s="757"/>
      <c r="K224" s="771">
        <v>80.760000000000005</v>
      </c>
      <c r="L224" s="747"/>
      <c r="M224" s="757"/>
      <c r="N224" s="771">
        <v>98.64</v>
      </c>
      <c r="O224" s="747"/>
      <c r="P224" s="757"/>
      <c r="Q224" s="771">
        <v>330.28</v>
      </c>
      <c r="R224" s="747"/>
      <c r="S224" s="757"/>
      <c r="T224" s="771">
        <v>129.33000000000001</v>
      </c>
      <c r="U224" s="747"/>
      <c r="V224" s="757"/>
      <c r="W224" s="771">
        <v>124.01</v>
      </c>
      <c r="X224" s="747"/>
      <c r="Y224" s="757"/>
      <c r="Z224" s="771">
        <v>127.04</v>
      </c>
      <c r="AA224" s="747"/>
      <c r="AB224" s="757"/>
      <c r="AC224" s="771">
        <v>197.95</v>
      </c>
      <c r="AD224" s="747"/>
      <c r="AE224" s="757"/>
      <c r="AF224" s="771">
        <v>131.22</v>
      </c>
      <c r="AG224" s="747"/>
      <c r="AH224" s="757"/>
      <c r="AI224" s="771">
        <v>450.83</v>
      </c>
      <c r="AJ224" s="747"/>
      <c r="AK224" s="757"/>
      <c r="AL224" s="771">
        <v>184.09</v>
      </c>
      <c r="AM224" s="747"/>
      <c r="AN224" s="757"/>
      <c r="AO224" s="771">
        <v>162.08000000000001</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2"/>
        <v>ServiceFrais postaux</v>
      </c>
      <c r="B225" s="44" t="s">
        <v>139</v>
      </c>
      <c r="C225" s="747"/>
      <c r="D225" s="757"/>
      <c r="E225" s="758">
        <v>894.78</v>
      </c>
      <c r="F225" s="747"/>
      <c r="G225" s="757"/>
      <c r="H225" s="771">
        <v>200.35</v>
      </c>
      <c r="I225" s="747"/>
      <c r="J225" s="757"/>
      <c r="K225" s="771">
        <v>166.51</v>
      </c>
      <c r="L225" s="747"/>
      <c r="M225" s="757"/>
      <c r="N225" s="771">
        <v>208.68</v>
      </c>
      <c r="O225" s="747"/>
      <c r="P225" s="757"/>
      <c r="Q225" s="771">
        <v>7.92</v>
      </c>
      <c r="R225" s="747"/>
      <c r="S225" s="757"/>
      <c r="T225" s="771">
        <v>35.72</v>
      </c>
      <c r="U225" s="747"/>
      <c r="V225" s="757"/>
      <c r="W225" s="771">
        <v>24.72</v>
      </c>
      <c r="X225" s="747"/>
      <c r="Y225" s="757"/>
      <c r="Z225" s="771">
        <v>24.72</v>
      </c>
      <c r="AA225" s="747"/>
      <c r="AB225" s="757"/>
      <c r="AC225" s="771">
        <v>7.92</v>
      </c>
      <c r="AD225" s="747"/>
      <c r="AE225" s="757"/>
      <c r="AF225" s="771">
        <v>38.619999999999997</v>
      </c>
      <c r="AG225" s="747"/>
      <c r="AH225" s="757"/>
      <c r="AI225" s="771">
        <v>124.72</v>
      </c>
      <c r="AJ225" s="747"/>
      <c r="AK225" s="757"/>
      <c r="AL225" s="771">
        <v>30.18</v>
      </c>
      <c r="AM225" s="747"/>
      <c r="AN225" s="757"/>
      <c r="AO225" s="771">
        <v>24.72</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2"/>
        <v>ServiceDivers</v>
      </c>
      <c r="B226" s="44" t="s">
        <v>140</v>
      </c>
      <c r="C226" s="747"/>
      <c r="D226" s="757"/>
      <c r="E226" s="758">
        <v>1624.3500000000004</v>
      </c>
      <c r="F226" s="747"/>
      <c r="G226" s="757"/>
      <c r="H226" s="771">
        <v>77.44</v>
      </c>
      <c r="I226" s="747"/>
      <c r="J226" s="757"/>
      <c r="K226" s="771">
        <v>154.24</v>
      </c>
      <c r="L226" s="747"/>
      <c r="M226" s="757"/>
      <c r="N226" s="771">
        <v>191.99</v>
      </c>
      <c r="O226" s="747"/>
      <c r="P226" s="757"/>
      <c r="Q226" s="771">
        <v>151.44999999999999</v>
      </c>
      <c r="R226" s="747"/>
      <c r="S226" s="757"/>
      <c r="T226" s="771">
        <v>78.989999999999995</v>
      </c>
      <c r="U226" s="747"/>
      <c r="V226" s="757"/>
      <c r="W226" s="771">
        <v>92.81</v>
      </c>
      <c r="X226" s="747"/>
      <c r="Y226" s="757"/>
      <c r="Z226" s="771">
        <v>141.38</v>
      </c>
      <c r="AA226" s="747"/>
      <c r="AB226" s="757"/>
      <c r="AC226" s="771">
        <v>39.35</v>
      </c>
      <c r="AD226" s="747"/>
      <c r="AE226" s="757"/>
      <c r="AF226" s="771">
        <v>114</v>
      </c>
      <c r="AG226" s="747"/>
      <c r="AH226" s="757"/>
      <c r="AI226" s="771">
        <v>175.86</v>
      </c>
      <c r="AJ226" s="747"/>
      <c r="AK226" s="757"/>
      <c r="AL226" s="771">
        <v>335.11</v>
      </c>
      <c r="AM226" s="747"/>
      <c r="AN226" s="757"/>
      <c r="AO226" s="771">
        <v>71.73</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2"/>
        <v>ServiceFormation</v>
      </c>
      <c r="B227" s="44" t="s">
        <v>141</v>
      </c>
      <c r="C227" s="747"/>
      <c r="D227" s="757"/>
      <c r="E227" s="758">
        <v>23186.6</v>
      </c>
      <c r="F227" s="747"/>
      <c r="G227" s="757"/>
      <c r="H227" s="771">
        <v>3084.54</v>
      </c>
      <c r="I227" s="747"/>
      <c r="J227" s="757"/>
      <c r="K227" s="771">
        <v>4005.58</v>
      </c>
      <c r="L227" s="747"/>
      <c r="M227" s="757"/>
      <c r="N227" s="771">
        <v>3223.22</v>
      </c>
      <c r="O227" s="747"/>
      <c r="P227" s="757"/>
      <c r="Q227" s="771">
        <v>1114.8599999999999</v>
      </c>
      <c r="R227" s="747"/>
      <c r="S227" s="757"/>
      <c r="T227" s="771">
        <v>667.07</v>
      </c>
      <c r="U227" s="747"/>
      <c r="V227" s="757"/>
      <c r="W227" s="771">
        <v>3086.75</v>
      </c>
      <c r="X227" s="747"/>
      <c r="Y227" s="757"/>
      <c r="Z227" s="771">
        <v>2955.15</v>
      </c>
      <c r="AA227" s="747"/>
      <c r="AB227" s="757"/>
      <c r="AC227" s="771">
        <v>1993.64</v>
      </c>
      <c r="AD227" s="747"/>
      <c r="AE227" s="757"/>
      <c r="AF227" s="771">
        <v>1018.26</v>
      </c>
      <c r="AG227" s="747"/>
      <c r="AH227" s="757"/>
      <c r="AI227" s="771">
        <v>1357.17</v>
      </c>
      <c r="AJ227" s="747"/>
      <c r="AK227" s="757"/>
      <c r="AL227" s="771">
        <v>342.09</v>
      </c>
      <c r="AM227" s="747"/>
      <c r="AN227" s="757"/>
      <c r="AO227" s="771">
        <v>338.27</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2"/>
        <v>ServiceFrais bancaires</v>
      </c>
      <c r="B228" s="44" t="s">
        <v>142</v>
      </c>
      <c r="C228" s="747"/>
      <c r="D228" s="757"/>
      <c r="E228" s="758">
        <v>23688.240000000002</v>
      </c>
      <c r="F228" s="747"/>
      <c r="G228" s="757"/>
      <c r="H228" s="771">
        <v>1543.95</v>
      </c>
      <c r="I228" s="747"/>
      <c r="J228" s="757"/>
      <c r="K228" s="771">
        <v>1219.05</v>
      </c>
      <c r="L228" s="747"/>
      <c r="M228" s="757"/>
      <c r="N228" s="771">
        <v>1607.06</v>
      </c>
      <c r="O228" s="747"/>
      <c r="P228" s="757"/>
      <c r="Q228" s="771">
        <v>2138.54</v>
      </c>
      <c r="R228" s="747"/>
      <c r="S228" s="757"/>
      <c r="T228" s="771">
        <v>2375.2600000000002</v>
      </c>
      <c r="U228" s="747"/>
      <c r="V228" s="757"/>
      <c r="W228" s="771">
        <v>1678.9</v>
      </c>
      <c r="X228" s="747"/>
      <c r="Y228" s="757"/>
      <c r="Z228" s="771">
        <v>1859.4</v>
      </c>
      <c r="AA228" s="747"/>
      <c r="AB228" s="757"/>
      <c r="AC228" s="771">
        <v>1788.12</v>
      </c>
      <c r="AD228" s="747"/>
      <c r="AE228" s="757"/>
      <c r="AF228" s="771">
        <v>1633.56</v>
      </c>
      <c r="AG228" s="747"/>
      <c r="AH228" s="757"/>
      <c r="AI228" s="771">
        <v>2391.44</v>
      </c>
      <c r="AJ228" s="747"/>
      <c r="AK228" s="757"/>
      <c r="AL228" s="771">
        <v>3383.76</v>
      </c>
      <c r="AM228" s="747"/>
      <c r="AN228" s="757"/>
      <c r="AO228" s="771">
        <v>2069.1999999999998</v>
      </c>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2"/>
        <v>Service[...]</v>
      </c>
      <c r="B229" s="44" t="s">
        <v>59</v>
      </c>
      <c r="C229" s="747"/>
      <c r="D229" s="757"/>
      <c r="E229" s="758">
        <v>0</v>
      </c>
      <c r="F229" s="747"/>
      <c r="G229" s="757"/>
      <c r="H229" s="758"/>
      <c r="I229" s="747"/>
      <c r="J229" s="757"/>
      <c r="K229" s="758"/>
      <c r="L229" s="747"/>
      <c r="M229" s="757"/>
      <c r="N229" s="758"/>
      <c r="O229" s="747"/>
      <c r="P229" s="757"/>
      <c r="Q229" s="758"/>
      <c r="R229" s="747"/>
      <c r="S229" s="757"/>
      <c r="T229" s="758"/>
      <c r="U229" s="747"/>
      <c r="V229" s="757"/>
      <c r="W229" s="758"/>
      <c r="X229" s="747"/>
      <c r="Y229" s="757"/>
      <c r="Z229" s="758"/>
      <c r="AA229" s="747"/>
      <c r="AB229" s="757"/>
      <c r="AC229" s="758"/>
      <c r="AD229" s="747"/>
      <c r="AE229" s="757"/>
      <c r="AF229" s="758"/>
      <c r="AG229" s="747"/>
      <c r="AH229" s="757"/>
      <c r="AI229" s="758"/>
      <c r="AJ229" s="747"/>
      <c r="AK229" s="757"/>
      <c r="AL229" s="758"/>
      <c r="AM229" s="747"/>
      <c r="AN229" s="757"/>
      <c r="AO229" s="758"/>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2"/>
        <v>Service[...]</v>
      </c>
      <c r="B230" s="44" t="s">
        <v>59</v>
      </c>
      <c r="C230" s="747"/>
      <c r="D230" s="757"/>
      <c r="E230" s="758">
        <v>0</v>
      </c>
      <c r="F230" s="747"/>
      <c r="G230" s="757"/>
      <c r="H230" s="758"/>
      <c r="I230" s="747"/>
      <c r="J230" s="757"/>
      <c r="K230" s="758"/>
      <c r="L230" s="747"/>
      <c r="M230" s="757"/>
      <c r="N230" s="758"/>
      <c r="O230" s="747"/>
      <c r="P230" s="757"/>
      <c r="Q230" s="758"/>
      <c r="R230" s="747"/>
      <c r="S230" s="757"/>
      <c r="T230" s="758"/>
      <c r="U230" s="747"/>
      <c r="V230" s="757"/>
      <c r="W230" s="758"/>
      <c r="X230" s="747"/>
      <c r="Y230" s="757"/>
      <c r="Z230" s="758"/>
      <c r="AA230" s="747"/>
      <c r="AB230" s="757"/>
      <c r="AC230" s="758"/>
      <c r="AD230" s="747"/>
      <c r="AE230" s="757"/>
      <c r="AF230" s="758"/>
      <c r="AG230" s="747"/>
      <c r="AH230" s="757"/>
      <c r="AI230" s="758"/>
      <c r="AJ230" s="747"/>
      <c r="AK230" s="757"/>
      <c r="AL230" s="758"/>
      <c r="AM230" s="747"/>
      <c r="AN230" s="757"/>
      <c r="AO230" s="758"/>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2"/>
        <v>Service[...]</v>
      </c>
      <c r="B231" s="44" t="s">
        <v>59</v>
      </c>
      <c r="C231" s="747"/>
      <c r="D231" s="757"/>
      <c r="E231" s="758">
        <v>0</v>
      </c>
      <c r="F231" s="747"/>
      <c r="G231" s="757"/>
      <c r="H231" s="758"/>
      <c r="I231" s="747"/>
      <c r="J231" s="757"/>
      <c r="K231" s="758"/>
      <c r="L231" s="747"/>
      <c r="M231" s="757"/>
      <c r="N231" s="758"/>
      <c r="O231" s="747"/>
      <c r="P231" s="757"/>
      <c r="Q231" s="758"/>
      <c r="R231" s="747"/>
      <c r="S231" s="757"/>
      <c r="T231" s="758"/>
      <c r="U231" s="747"/>
      <c r="V231" s="757"/>
      <c r="W231" s="758"/>
      <c r="X231" s="747"/>
      <c r="Y231" s="757"/>
      <c r="Z231" s="758"/>
      <c r="AA231" s="747"/>
      <c r="AB231" s="757"/>
      <c r="AC231" s="758"/>
      <c r="AD231" s="747"/>
      <c r="AE231" s="757"/>
      <c r="AF231" s="758"/>
      <c r="AG231" s="747"/>
      <c r="AH231" s="757"/>
      <c r="AI231" s="758"/>
      <c r="AJ231" s="747"/>
      <c r="AK231" s="757"/>
      <c r="AL231" s="758"/>
      <c r="AM231" s="747"/>
      <c r="AN231" s="757"/>
      <c r="AO231" s="758"/>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2"/>
        <v>ServiceTOTAL SEMI-FIXES</v>
      </c>
      <c r="B232" s="53" t="s">
        <v>143</v>
      </c>
      <c r="C232" s="777" t="s">
        <v>175</v>
      </c>
      <c r="D232" s="778">
        <v>0.26494546090451715</v>
      </c>
      <c r="E232" s="779">
        <v>691656.6</v>
      </c>
      <c r="F232" s="777" t="s">
        <v>175</v>
      </c>
      <c r="G232" s="778">
        <v>0</v>
      </c>
      <c r="H232" s="779">
        <v>56695.249999999993</v>
      </c>
      <c r="I232" s="777" t="s">
        <v>175</v>
      </c>
      <c r="J232" s="778">
        <v>0</v>
      </c>
      <c r="K232" s="779">
        <v>51909.320000000007</v>
      </c>
      <c r="L232" s="777" t="s">
        <v>175</v>
      </c>
      <c r="M232" s="778">
        <v>0</v>
      </c>
      <c r="N232" s="779">
        <v>46590.06</v>
      </c>
      <c r="O232" s="777" t="s">
        <v>175</v>
      </c>
      <c r="P232" s="778">
        <v>0</v>
      </c>
      <c r="Q232" s="779">
        <v>53805.189999999995</v>
      </c>
      <c r="R232" s="777" t="s">
        <v>175</v>
      </c>
      <c r="S232" s="778">
        <v>0</v>
      </c>
      <c r="T232" s="779">
        <v>52267.889999999985</v>
      </c>
      <c r="U232" s="777" t="s">
        <v>175</v>
      </c>
      <c r="V232" s="778">
        <v>0</v>
      </c>
      <c r="W232" s="779">
        <v>53323.020000000004</v>
      </c>
      <c r="X232" s="777" t="s">
        <v>175</v>
      </c>
      <c r="Y232" s="778">
        <v>0</v>
      </c>
      <c r="Z232" s="779">
        <v>58602.1</v>
      </c>
      <c r="AA232" s="777" t="s">
        <v>175</v>
      </c>
      <c r="AB232" s="778">
        <v>0</v>
      </c>
      <c r="AC232" s="779">
        <v>59344.78</v>
      </c>
      <c r="AD232" s="777" t="s">
        <v>175</v>
      </c>
      <c r="AE232" s="778">
        <v>0</v>
      </c>
      <c r="AF232" s="779">
        <v>47692.570000000007</v>
      </c>
      <c r="AG232" s="777" t="s">
        <v>175</v>
      </c>
      <c r="AH232" s="778">
        <v>0</v>
      </c>
      <c r="AI232" s="779">
        <v>67921.36</v>
      </c>
      <c r="AJ232" s="777" t="s">
        <v>175</v>
      </c>
      <c r="AK232" s="778">
        <v>0</v>
      </c>
      <c r="AL232" s="779">
        <v>67328.479999999967</v>
      </c>
      <c r="AM232" s="777" t="s">
        <v>175</v>
      </c>
      <c r="AN232" s="778">
        <v>0</v>
      </c>
      <c r="AO232" s="779">
        <v>76176.579999999987</v>
      </c>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2"/>
        <v>Service</v>
      </c>
      <c r="B233" s="43"/>
      <c r="C233" s="776"/>
      <c r="D233" s="784"/>
      <c r="E233" s="774"/>
      <c r="F233" s="776"/>
      <c r="G233" s="784"/>
      <c r="H233" s="774"/>
      <c r="I233" s="776"/>
      <c r="J233" s="784"/>
      <c r="K233" s="774"/>
      <c r="L233" s="776"/>
      <c r="M233" s="784"/>
      <c r="N233" s="774"/>
      <c r="O233" s="776"/>
      <c r="P233" s="784"/>
      <c r="Q233" s="774"/>
      <c r="R233" s="776"/>
      <c r="S233" s="784"/>
      <c r="T233" s="774"/>
      <c r="U233" s="776"/>
      <c r="V233" s="784"/>
      <c r="W233" s="774"/>
      <c r="X233" s="776"/>
      <c r="Y233" s="784"/>
      <c r="Z233" s="774"/>
      <c r="AA233" s="776"/>
      <c r="AB233" s="784"/>
      <c r="AC233" s="774"/>
      <c r="AD233" s="776"/>
      <c r="AE233" s="784"/>
      <c r="AF233" s="774"/>
      <c r="AG233" s="776"/>
      <c r="AH233" s="784"/>
      <c r="AI233" s="774"/>
      <c r="AJ233" s="776"/>
      <c r="AK233" s="784"/>
      <c r="AL233" s="774"/>
      <c r="AM233" s="776"/>
      <c r="AN233" s="784"/>
      <c r="AO233" s="774"/>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2"/>
        <v>ServiceTOTAL DES DÉPENSES</v>
      </c>
      <c r="B234" s="53" t="s">
        <v>144</v>
      </c>
      <c r="C234" s="777" t="s">
        <v>119</v>
      </c>
      <c r="D234" s="815">
        <v>0.82667835554102886</v>
      </c>
      <c r="E234" s="789">
        <v>2158095.25</v>
      </c>
      <c r="F234" s="777" t="s">
        <v>119</v>
      </c>
      <c r="G234" s="815">
        <v>0</v>
      </c>
      <c r="H234" s="789">
        <v>168019.33</v>
      </c>
      <c r="I234" s="777" t="s">
        <v>119</v>
      </c>
      <c r="J234" s="815">
        <v>0</v>
      </c>
      <c r="K234" s="789">
        <v>156758.58000000002</v>
      </c>
      <c r="L234" s="777" t="s">
        <v>119</v>
      </c>
      <c r="M234" s="815">
        <v>0</v>
      </c>
      <c r="N234" s="789">
        <v>158492.56</v>
      </c>
      <c r="O234" s="777" t="s">
        <v>119</v>
      </c>
      <c r="P234" s="815">
        <v>0</v>
      </c>
      <c r="Q234" s="789">
        <v>194209.49</v>
      </c>
      <c r="R234" s="777" t="s">
        <v>119</v>
      </c>
      <c r="S234" s="815">
        <v>0</v>
      </c>
      <c r="T234" s="789">
        <v>205105.98999999996</v>
      </c>
      <c r="U234" s="777" t="s">
        <v>119</v>
      </c>
      <c r="V234" s="815">
        <v>0</v>
      </c>
      <c r="W234" s="789">
        <v>171216.76</v>
      </c>
      <c r="X234" s="777" t="s">
        <v>119</v>
      </c>
      <c r="Y234" s="815">
        <v>0</v>
      </c>
      <c r="Z234" s="789">
        <v>167834.38999999998</v>
      </c>
      <c r="AA234" s="777" t="s">
        <v>119</v>
      </c>
      <c r="AB234" s="815">
        <v>0</v>
      </c>
      <c r="AC234" s="789">
        <v>188200.39</v>
      </c>
      <c r="AD234" s="777" t="s">
        <v>119</v>
      </c>
      <c r="AE234" s="815">
        <v>0</v>
      </c>
      <c r="AF234" s="789">
        <v>157002.6</v>
      </c>
      <c r="AG234" s="777" t="s">
        <v>119</v>
      </c>
      <c r="AH234" s="815">
        <v>0</v>
      </c>
      <c r="AI234" s="789">
        <v>192021.84</v>
      </c>
      <c r="AJ234" s="777" t="s">
        <v>119</v>
      </c>
      <c r="AK234" s="815">
        <v>0</v>
      </c>
      <c r="AL234" s="789">
        <v>220930.41999999998</v>
      </c>
      <c r="AM234" s="777" t="s">
        <v>119</v>
      </c>
      <c r="AN234" s="815">
        <v>0</v>
      </c>
      <c r="AO234" s="789">
        <v>178302.89999999997</v>
      </c>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2"/>
        <v>Service</v>
      </c>
      <c r="B235" s="44"/>
      <c r="C235" s="747"/>
      <c r="D235" s="757"/>
      <c r="E235" s="758"/>
      <c r="F235" s="747"/>
      <c r="G235" s="757"/>
      <c r="H235" s="758"/>
      <c r="I235" s="747"/>
      <c r="J235" s="757"/>
      <c r="K235" s="758"/>
      <c r="L235" s="747"/>
      <c r="M235" s="757"/>
      <c r="N235" s="758"/>
      <c r="O235" s="747"/>
      <c r="P235" s="757"/>
      <c r="Q235" s="758"/>
      <c r="R235" s="747"/>
      <c r="S235" s="757"/>
      <c r="T235" s="758"/>
      <c r="U235" s="747"/>
      <c r="V235" s="757"/>
      <c r="W235" s="758"/>
      <c r="X235" s="747"/>
      <c r="Y235" s="757"/>
      <c r="Z235" s="758"/>
      <c r="AA235" s="747"/>
      <c r="AB235" s="757"/>
      <c r="AC235" s="758"/>
      <c r="AD235" s="747"/>
      <c r="AE235" s="757"/>
      <c r="AF235" s="758"/>
      <c r="AG235" s="747"/>
      <c r="AH235" s="757"/>
      <c r="AI235" s="758"/>
      <c r="AJ235" s="747"/>
      <c r="AK235" s="757"/>
      <c r="AL235" s="758"/>
      <c r="AM235" s="747"/>
      <c r="AN235" s="757"/>
      <c r="AO235" s="758"/>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thickBot="1">
      <c r="A236" s="39" t="str">
        <f t="shared" si="2"/>
        <v>ServicePROFIT DÉPARTEMENTAL</v>
      </c>
      <c r="B236" s="57" t="s">
        <v>151</v>
      </c>
      <c r="C236" s="816"/>
      <c r="D236" s="817"/>
      <c r="E236" s="798">
        <v>452466.92999999598</v>
      </c>
      <c r="F236" s="816"/>
      <c r="G236" s="817"/>
      <c r="H236" s="798">
        <v>-16541.799999999988</v>
      </c>
      <c r="I236" s="816"/>
      <c r="J236" s="817"/>
      <c r="K236" s="798">
        <v>-18629.00000000032</v>
      </c>
      <c r="L236" s="816"/>
      <c r="M236" s="817"/>
      <c r="N236" s="798">
        <v>5962.109999999986</v>
      </c>
      <c r="O236" s="816"/>
      <c r="P236" s="817"/>
      <c r="Q236" s="798">
        <v>66162.689999999886</v>
      </c>
      <c r="R236" s="816"/>
      <c r="S236" s="817"/>
      <c r="T236" s="798">
        <v>76851.019999999815</v>
      </c>
      <c r="U236" s="816"/>
      <c r="V236" s="817"/>
      <c r="W236" s="798">
        <v>13291.389999999839</v>
      </c>
      <c r="X236" s="816"/>
      <c r="Y236" s="817"/>
      <c r="Z236" s="798">
        <v>39282.569999999803</v>
      </c>
      <c r="AA236" s="816"/>
      <c r="AB236" s="817"/>
      <c r="AC236" s="798">
        <v>28831.489999999001</v>
      </c>
      <c r="AD236" s="816"/>
      <c r="AE236" s="817"/>
      <c r="AF236" s="798">
        <v>39786.380000000005</v>
      </c>
      <c r="AG236" s="816"/>
      <c r="AH236" s="817"/>
      <c r="AI236" s="798">
        <v>76516.149999999005</v>
      </c>
      <c r="AJ236" s="816"/>
      <c r="AK236" s="817"/>
      <c r="AL236" s="798">
        <v>131387.45999999897</v>
      </c>
      <c r="AM236" s="816"/>
      <c r="AN236" s="817"/>
      <c r="AO236" s="798">
        <v>9566.469999999943</v>
      </c>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48"/>
      <c r="C237" s="757"/>
      <c r="D237" s="757"/>
      <c r="E237" s="770"/>
      <c r="F237" s="757"/>
      <c r="G237" s="757"/>
      <c r="H237" s="770"/>
      <c r="I237" s="757"/>
      <c r="J237" s="757"/>
      <c r="K237" s="770"/>
      <c r="L237" s="757"/>
      <c r="M237" s="757"/>
      <c r="N237" s="770"/>
      <c r="O237" s="757"/>
      <c r="P237" s="757"/>
      <c r="Q237" s="770"/>
      <c r="R237" s="757"/>
      <c r="S237" s="757"/>
      <c r="T237" s="770"/>
      <c r="U237" s="757"/>
      <c r="V237" s="757"/>
      <c r="W237" s="770"/>
      <c r="X237" s="757"/>
      <c r="Y237" s="757"/>
      <c r="Z237" s="770"/>
      <c r="AA237" s="757"/>
      <c r="AB237" s="757"/>
      <c r="AC237" s="770"/>
      <c r="AD237" s="757"/>
      <c r="AE237" s="757"/>
      <c r="AF237" s="770"/>
      <c r="AG237" s="757"/>
      <c r="AH237" s="757"/>
      <c r="AI237" s="770"/>
      <c r="AJ237" s="757"/>
      <c r="AK237" s="757"/>
      <c r="AL237" s="770"/>
      <c r="AM237" s="757"/>
      <c r="AN237" s="757"/>
      <c r="AO237" s="770"/>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0"/>
      <c r="C238" s="801"/>
      <c r="D238" s="801"/>
      <c r="E238" s="818"/>
      <c r="F238" s="801"/>
      <c r="G238" s="801"/>
      <c r="H238" s="818"/>
      <c r="I238" s="801"/>
      <c r="J238" s="801"/>
      <c r="K238" s="818"/>
      <c r="L238" s="801"/>
      <c r="M238" s="801"/>
      <c r="N238" s="818"/>
      <c r="O238" s="801"/>
      <c r="P238" s="801"/>
      <c r="Q238" s="818"/>
      <c r="R238" s="801"/>
      <c r="S238" s="801"/>
      <c r="T238" s="818"/>
      <c r="U238" s="801"/>
      <c r="V238" s="801"/>
      <c r="W238" s="818"/>
      <c r="X238" s="801"/>
      <c r="Y238" s="801"/>
      <c r="Z238" s="818"/>
      <c r="AA238" s="801"/>
      <c r="AB238" s="801"/>
      <c r="AC238" s="818"/>
      <c r="AD238" s="801"/>
      <c r="AE238" s="801"/>
      <c r="AF238" s="818"/>
      <c r="AG238" s="801"/>
      <c r="AH238" s="801"/>
      <c r="AI238" s="818"/>
      <c r="AJ238" s="801"/>
      <c r="AK238" s="801"/>
      <c r="AL238" s="818"/>
      <c r="AM238" s="801"/>
      <c r="AN238" s="801"/>
      <c r="AO238" s="818"/>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61" t="s">
        <v>3937</v>
      </c>
      <c r="C239" s="802" t="s">
        <v>176</v>
      </c>
      <c r="D239" s="802"/>
      <c r="E239" s="802"/>
      <c r="F239" s="802"/>
      <c r="G239" s="802"/>
      <c r="H239" s="802"/>
      <c r="I239" s="802"/>
      <c r="J239" s="802"/>
      <c r="K239" s="802"/>
      <c r="L239" s="802"/>
      <c r="M239" s="802"/>
      <c r="N239" s="802"/>
      <c r="O239" s="802"/>
      <c r="P239" s="802"/>
      <c r="Q239" s="802"/>
      <c r="R239" s="802"/>
      <c r="S239" s="802"/>
      <c r="T239" s="802"/>
      <c r="U239" s="802"/>
      <c r="V239" s="802"/>
      <c r="W239" s="802"/>
      <c r="X239" s="802"/>
      <c r="Y239" s="802"/>
      <c r="Z239" s="802"/>
      <c r="AA239" s="802"/>
      <c r="AB239" s="802"/>
      <c r="AC239" s="802"/>
      <c r="AD239" s="802"/>
      <c r="AE239" s="802"/>
      <c r="AF239" s="802"/>
      <c r="AG239" s="802"/>
      <c r="AH239" s="802"/>
      <c r="AI239" s="802"/>
      <c r="AJ239" s="802"/>
      <c r="AK239" s="802"/>
      <c r="AL239" s="802"/>
      <c r="AM239" s="802"/>
      <c r="AN239" s="802"/>
      <c r="AO239" s="802"/>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thickBot="1">
      <c r="A240" s="39"/>
      <c r="B240" s="62"/>
      <c r="C240" s="801"/>
      <c r="D240" s="801"/>
      <c r="E240" s="801"/>
      <c r="F240" s="801"/>
      <c r="G240" s="801"/>
      <c r="H240" s="801"/>
      <c r="I240" s="801"/>
      <c r="J240" s="801"/>
      <c r="K240" s="801"/>
      <c r="L240" s="801"/>
      <c r="M240" s="801"/>
      <c r="N240" s="801"/>
      <c r="O240" s="801"/>
      <c r="P240" s="801"/>
      <c r="Q240" s="801"/>
      <c r="R240" s="801"/>
      <c r="S240" s="801"/>
      <c r="T240" s="801"/>
      <c r="U240" s="801"/>
      <c r="V240" s="801"/>
      <c r="W240" s="801"/>
      <c r="X240" s="801"/>
      <c r="Y240" s="801"/>
      <c r="Z240" s="801"/>
      <c r="AA240" s="801"/>
      <c r="AB240" s="801"/>
      <c r="AC240" s="801"/>
      <c r="AD240" s="801"/>
      <c r="AE240" s="801"/>
      <c r="AF240" s="801"/>
      <c r="AG240" s="801"/>
      <c r="AH240" s="801"/>
      <c r="AI240" s="801"/>
      <c r="AJ240" s="801"/>
      <c r="AK240" s="801"/>
      <c r="AL240" s="801"/>
      <c r="AM240" s="801"/>
      <c r="AN240" s="801"/>
      <c r="AO240" s="801"/>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thickTop="1">
      <c r="A241" s="39"/>
      <c r="B241" s="40" t="s">
        <v>3</v>
      </c>
      <c r="C241" s="969">
        <v>2024</v>
      </c>
      <c r="D241" s="970"/>
      <c r="E241" s="971"/>
      <c r="F241" s="729" t="s">
        <v>8</v>
      </c>
      <c r="G241" s="730"/>
      <c r="H241" s="731"/>
      <c r="I241" s="729" t="s">
        <v>10</v>
      </c>
      <c r="J241" s="730"/>
      <c r="K241" s="731"/>
      <c r="L241" s="729" t="s">
        <v>11</v>
      </c>
      <c r="M241" s="730"/>
      <c r="N241" s="731"/>
      <c r="O241" s="729" t="s">
        <v>12</v>
      </c>
      <c r="P241" s="730"/>
      <c r="Q241" s="731"/>
      <c r="R241" s="729" t="s">
        <v>13</v>
      </c>
      <c r="S241" s="730"/>
      <c r="T241" s="731"/>
      <c r="U241" s="729" t="s">
        <v>14</v>
      </c>
      <c r="V241" s="730"/>
      <c r="W241" s="731"/>
      <c r="X241" s="729" t="s">
        <v>16</v>
      </c>
      <c r="Y241" s="730"/>
      <c r="Z241" s="731"/>
      <c r="AA241" s="729" t="s">
        <v>18</v>
      </c>
      <c r="AB241" s="730"/>
      <c r="AC241" s="731"/>
      <c r="AD241" s="729" t="s">
        <v>20</v>
      </c>
      <c r="AE241" s="730"/>
      <c r="AF241" s="731"/>
      <c r="AG241" s="729" t="s">
        <v>22</v>
      </c>
      <c r="AH241" s="730"/>
      <c r="AI241" s="731"/>
      <c r="AJ241" s="729" t="s">
        <v>23</v>
      </c>
      <c r="AK241" s="730"/>
      <c r="AL241" s="731"/>
      <c r="AM241" s="729" t="s">
        <v>6</v>
      </c>
      <c r="AN241" s="730"/>
      <c r="AO241" s="731"/>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92" si="3">+$C$239&amp;B242</f>
        <v>Carrosserie</v>
      </c>
      <c r="B242" s="44"/>
      <c r="C242" s="803" t="s">
        <v>162</v>
      </c>
      <c r="D242" s="768" t="s">
        <v>163</v>
      </c>
      <c r="E242" s="804" t="s">
        <v>95</v>
      </c>
      <c r="F242" s="803" t="s">
        <v>162</v>
      </c>
      <c r="G242" s="768" t="s">
        <v>163</v>
      </c>
      <c r="H242" s="804" t="s">
        <v>95</v>
      </c>
      <c r="I242" s="803" t="s">
        <v>162</v>
      </c>
      <c r="J242" s="768" t="s">
        <v>163</v>
      </c>
      <c r="K242" s="804" t="s">
        <v>95</v>
      </c>
      <c r="L242" s="803" t="s">
        <v>162</v>
      </c>
      <c r="M242" s="768" t="s">
        <v>163</v>
      </c>
      <c r="N242" s="804" t="s">
        <v>95</v>
      </c>
      <c r="O242" s="803" t="s">
        <v>162</v>
      </c>
      <c r="P242" s="768" t="s">
        <v>163</v>
      </c>
      <c r="Q242" s="804" t="s">
        <v>95</v>
      </c>
      <c r="R242" s="803" t="s">
        <v>162</v>
      </c>
      <c r="S242" s="768" t="s">
        <v>163</v>
      </c>
      <c r="T242" s="804" t="s">
        <v>95</v>
      </c>
      <c r="U242" s="803" t="s">
        <v>162</v>
      </c>
      <c r="V242" s="768" t="s">
        <v>163</v>
      </c>
      <c r="W242" s="804" t="s">
        <v>95</v>
      </c>
      <c r="X242" s="803" t="s">
        <v>162</v>
      </c>
      <c r="Y242" s="768" t="s">
        <v>163</v>
      </c>
      <c r="Z242" s="804" t="s">
        <v>95</v>
      </c>
      <c r="AA242" s="803" t="s">
        <v>162</v>
      </c>
      <c r="AB242" s="768" t="s">
        <v>163</v>
      </c>
      <c r="AC242" s="804" t="s">
        <v>95</v>
      </c>
      <c r="AD242" s="803" t="s">
        <v>162</v>
      </c>
      <c r="AE242" s="768" t="s">
        <v>163</v>
      </c>
      <c r="AF242" s="804" t="s">
        <v>95</v>
      </c>
      <c r="AG242" s="803" t="s">
        <v>162</v>
      </c>
      <c r="AH242" s="768" t="s">
        <v>163</v>
      </c>
      <c r="AI242" s="804" t="s">
        <v>95</v>
      </c>
      <c r="AJ242" s="803" t="s">
        <v>162</v>
      </c>
      <c r="AK242" s="768" t="s">
        <v>163</v>
      </c>
      <c r="AL242" s="804" t="s">
        <v>95</v>
      </c>
      <c r="AM242" s="803" t="s">
        <v>162</v>
      </c>
      <c r="AN242" s="768" t="s">
        <v>163</v>
      </c>
      <c r="AO242" s="804" t="s">
        <v>95</v>
      </c>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3"/>
        <v>Carrosserie</v>
      </c>
      <c r="B243" s="44"/>
      <c r="C243" s="803"/>
      <c r="D243" s="768"/>
      <c r="E243" s="804"/>
      <c r="F243" s="803"/>
      <c r="G243" s="768"/>
      <c r="H243" s="804"/>
      <c r="I243" s="803"/>
      <c r="J243" s="768"/>
      <c r="K243" s="804"/>
      <c r="L243" s="803"/>
      <c r="M243" s="768"/>
      <c r="N243" s="804"/>
      <c r="O243" s="803"/>
      <c r="P243" s="768"/>
      <c r="Q243" s="804"/>
      <c r="R243" s="803"/>
      <c r="S243" s="768"/>
      <c r="T243" s="804"/>
      <c r="U243" s="803"/>
      <c r="V243" s="768"/>
      <c r="W243" s="804"/>
      <c r="X243" s="803"/>
      <c r="Y243" s="768"/>
      <c r="Z243" s="804"/>
      <c r="AA243" s="803"/>
      <c r="AB243" s="768"/>
      <c r="AC243" s="804"/>
      <c r="AD243" s="803"/>
      <c r="AE243" s="768"/>
      <c r="AF243" s="804"/>
      <c r="AG243" s="803"/>
      <c r="AH243" s="768"/>
      <c r="AI243" s="804"/>
      <c r="AJ243" s="803"/>
      <c r="AK243" s="768"/>
      <c r="AL243" s="804"/>
      <c r="AM243" s="803"/>
      <c r="AN243" s="768"/>
      <c r="AO243" s="804"/>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3"/>
        <v>CarrosserieM/O Sous-traitement</v>
      </c>
      <c r="B244" s="44" t="s">
        <v>177</v>
      </c>
      <c r="C244" s="819">
        <v>141</v>
      </c>
      <c r="D244" s="770">
        <v>325852.72999999986</v>
      </c>
      <c r="E244" s="758">
        <v>66661.97999999988</v>
      </c>
      <c r="F244" s="820">
        <v>53</v>
      </c>
      <c r="G244" s="821">
        <v>98781.13</v>
      </c>
      <c r="H244" s="771">
        <v>17818.689999999999</v>
      </c>
      <c r="I244" s="820">
        <v>26</v>
      </c>
      <c r="J244" s="821">
        <v>73373.929999999993</v>
      </c>
      <c r="K244" s="771">
        <v>7724.71</v>
      </c>
      <c r="L244" s="820">
        <v>14</v>
      </c>
      <c r="M244" s="821">
        <v>24014.21</v>
      </c>
      <c r="N244" s="771">
        <v>6434.36</v>
      </c>
      <c r="O244" s="820">
        <v>22</v>
      </c>
      <c r="P244" s="821">
        <v>71665.97</v>
      </c>
      <c r="Q244" s="771">
        <v>17236.2599999999</v>
      </c>
      <c r="R244" s="820">
        <v>1</v>
      </c>
      <c r="S244" s="821">
        <v>2841.31</v>
      </c>
      <c r="T244" s="771">
        <v>1481.92</v>
      </c>
      <c r="U244" s="820">
        <v>0</v>
      </c>
      <c r="V244" s="821">
        <v>502.19</v>
      </c>
      <c r="W244" s="771">
        <v>502.19</v>
      </c>
      <c r="X244" s="820">
        <v>0</v>
      </c>
      <c r="Y244" s="821">
        <v>866.04</v>
      </c>
      <c r="Z244" s="771">
        <v>866.04</v>
      </c>
      <c r="AA244" s="820">
        <v>3</v>
      </c>
      <c r="AB244" s="821">
        <v>5841.65</v>
      </c>
      <c r="AC244" s="771">
        <v>618.04999999999995</v>
      </c>
      <c r="AD244" s="820">
        <v>4</v>
      </c>
      <c r="AE244" s="821">
        <v>10846.7499999999</v>
      </c>
      <c r="AF244" s="771">
        <v>4670.5899999999901</v>
      </c>
      <c r="AG244" s="820">
        <v>4</v>
      </c>
      <c r="AH244" s="821">
        <v>10936.23</v>
      </c>
      <c r="AI244" s="771">
        <v>3830.0299999999902</v>
      </c>
      <c r="AJ244" s="820">
        <v>3</v>
      </c>
      <c r="AK244" s="821">
        <v>8391.06</v>
      </c>
      <c r="AL244" s="771">
        <v>2134.2399999999998</v>
      </c>
      <c r="AM244" s="820">
        <v>11</v>
      </c>
      <c r="AN244" s="821">
        <v>17792.259999999998</v>
      </c>
      <c r="AO244" s="771">
        <v>3344.9</v>
      </c>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3"/>
        <v>Carrosserie% profit / ventes</v>
      </c>
      <c r="B245" s="44" t="s">
        <v>165</v>
      </c>
      <c r="C245" s="819"/>
      <c r="D245" s="757"/>
      <c r="E245" s="822">
        <v>0.20457701858136929</v>
      </c>
      <c r="F245" s="819"/>
      <c r="G245" s="757"/>
      <c r="H245" s="822">
        <v>0.18038556554273066</v>
      </c>
      <c r="I245" s="819"/>
      <c r="J245" s="757"/>
      <c r="K245" s="822">
        <v>0.10527867322903381</v>
      </c>
      <c r="L245" s="819"/>
      <c r="M245" s="757"/>
      <c r="N245" s="822">
        <v>0.26793969070812657</v>
      </c>
      <c r="O245" s="819"/>
      <c r="P245" s="757"/>
      <c r="Q245" s="822">
        <v>0.24050829145269226</v>
      </c>
      <c r="R245" s="819"/>
      <c r="S245" s="757"/>
      <c r="T245" s="822">
        <v>0.52156223713709526</v>
      </c>
      <c r="U245" s="819"/>
      <c r="V245" s="757"/>
      <c r="W245" s="822">
        <v>1</v>
      </c>
      <c r="X245" s="819"/>
      <c r="Y245" s="757"/>
      <c r="Z245" s="822">
        <v>1</v>
      </c>
      <c r="AA245" s="819"/>
      <c r="AB245" s="757"/>
      <c r="AC245" s="822">
        <v>0.10580058716287351</v>
      </c>
      <c r="AD245" s="819"/>
      <c r="AE245" s="757"/>
      <c r="AF245" s="822">
        <v>0.43059810542328653</v>
      </c>
      <c r="AG245" s="819"/>
      <c r="AH245" s="757"/>
      <c r="AI245" s="822">
        <v>0.35021483637414269</v>
      </c>
      <c r="AJ245" s="819"/>
      <c r="AK245" s="757"/>
      <c r="AL245" s="822">
        <v>0.25434688823581286</v>
      </c>
      <c r="AM245" s="819"/>
      <c r="AN245" s="757"/>
      <c r="AO245" s="822">
        <v>0.18799747755484691</v>
      </c>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3"/>
        <v>Carrosserie</v>
      </c>
      <c r="B246" s="44"/>
      <c r="C246" s="803"/>
      <c r="D246" s="768"/>
      <c r="E246" s="804"/>
      <c r="F246" s="803"/>
      <c r="G246" s="768"/>
      <c r="H246" s="804"/>
      <c r="I246" s="803"/>
      <c r="J246" s="768"/>
      <c r="K246" s="804"/>
      <c r="L246" s="803"/>
      <c r="M246" s="768"/>
      <c r="N246" s="804"/>
      <c r="O246" s="803"/>
      <c r="P246" s="768"/>
      <c r="Q246" s="804"/>
      <c r="R246" s="803"/>
      <c r="S246" s="768"/>
      <c r="T246" s="804"/>
      <c r="U246" s="803"/>
      <c r="V246" s="768"/>
      <c r="W246" s="804"/>
      <c r="X246" s="803"/>
      <c r="Y246" s="768"/>
      <c r="Z246" s="804"/>
      <c r="AA246" s="803"/>
      <c r="AB246" s="768"/>
      <c r="AC246" s="804"/>
      <c r="AD246" s="803"/>
      <c r="AE246" s="768"/>
      <c r="AF246" s="804"/>
      <c r="AG246" s="803"/>
      <c r="AH246" s="768"/>
      <c r="AI246" s="804"/>
      <c r="AJ246" s="803"/>
      <c r="AK246" s="768"/>
      <c r="AL246" s="804"/>
      <c r="AM246" s="803"/>
      <c r="AN246" s="768"/>
      <c r="AO246" s="804"/>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3"/>
        <v>CarrosserieM/O Carrosserie</v>
      </c>
      <c r="B247" s="42" t="s">
        <v>178</v>
      </c>
      <c r="C247" s="826">
        <v>0</v>
      </c>
      <c r="D247" s="827">
        <v>0</v>
      </c>
      <c r="E247" s="782">
        <v>0</v>
      </c>
      <c r="F247" s="828">
        <v>0</v>
      </c>
      <c r="G247" s="829">
        <v>0</v>
      </c>
      <c r="H247" s="783">
        <v>0</v>
      </c>
      <c r="I247" s="828">
        <v>0</v>
      </c>
      <c r="J247" s="829">
        <v>0</v>
      </c>
      <c r="K247" s="783">
        <v>0</v>
      </c>
      <c r="L247" s="828">
        <v>0</v>
      </c>
      <c r="M247" s="829">
        <v>0</v>
      </c>
      <c r="N247" s="783">
        <v>0</v>
      </c>
      <c r="O247" s="828">
        <v>0</v>
      </c>
      <c r="P247" s="829">
        <v>0</v>
      </c>
      <c r="Q247" s="783">
        <v>0</v>
      </c>
      <c r="R247" s="828">
        <v>0</v>
      </c>
      <c r="S247" s="829">
        <v>0</v>
      </c>
      <c r="T247" s="783">
        <v>0</v>
      </c>
      <c r="U247" s="828">
        <v>0</v>
      </c>
      <c r="V247" s="829">
        <v>0</v>
      </c>
      <c r="W247" s="783">
        <v>0</v>
      </c>
      <c r="X247" s="828">
        <v>0</v>
      </c>
      <c r="Y247" s="829">
        <v>0</v>
      </c>
      <c r="Z247" s="783">
        <v>0</v>
      </c>
      <c r="AA247" s="828">
        <v>0</v>
      </c>
      <c r="AB247" s="829">
        <v>0</v>
      </c>
      <c r="AC247" s="783">
        <v>0</v>
      </c>
      <c r="AD247" s="828">
        <v>0</v>
      </c>
      <c r="AE247" s="829">
        <v>0</v>
      </c>
      <c r="AF247" s="783">
        <v>0</v>
      </c>
      <c r="AG247" s="828">
        <v>0</v>
      </c>
      <c r="AH247" s="829">
        <v>0</v>
      </c>
      <c r="AI247" s="783">
        <v>0</v>
      </c>
      <c r="AJ247" s="828">
        <v>0</v>
      </c>
      <c r="AK247" s="829">
        <v>0</v>
      </c>
      <c r="AL247" s="783">
        <v>0</v>
      </c>
      <c r="AM247" s="828">
        <v>0</v>
      </c>
      <c r="AN247" s="829">
        <v>0</v>
      </c>
      <c r="AO247" s="783">
        <v>0</v>
      </c>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3"/>
        <v>Carrosserie% profit / ventes</v>
      </c>
      <c r="B248" s="44" t="s">
        <v>165</v>
      </c>
      <c r="C248" s="819"/>
      <c r="D248" s="757"/>
      <c r="E248" s="822">
        <v>0</v>
      </c>
      <c r="F248" s="819"/>
      <c r="G248" s="757"/>
      <c r="H248" s="822">
        <v>0</v>
      </c>
      <c r="I248" s="819"/>
      <c r="J248" s="757"/>
      <c r="K248" s="822">
        <v>0</v>
      </c>
      <c r="L248" s="819"/>
      <c r="M248" s="757"/>
      <c r="N248" s="822">
        <v>0</v>
      </c>
      <c r="O248" s="819"/>
      <c r="P248" s="757"/>
      <c r="Q248" s="822">
        <v>0</v>
      </c>
      <c r="R248" s="819"/>
      <c r="S248" s="757"/>
      <c r="T248" s="822">
        <v>0</v>
      </c>
      <c r="U248" s="819"/>
      <c r="V248" s="757"/>
      <c r="W248" s="822">
        <v>0</v>
      </c>
      <c r="X248" s="819"/>
      <c r="Y248" s="757"/>
      <c r="Z248" s="822">
        <v>0</v>
      </c>
      <c r="AA248" s="819"/>
      <c r="AB248" s="757"/>
      <c r="AC248" s="822">
        <v>0</v>
      </c>
      <c r="AD248" s="819"/>
      <c r="AE248" s="757"/>
      <c r="AF248" s="822">
        <v>0</v>
      </c>
      <c r="AG248" s="819"/>
      <c r="AH248" s="757"/>
      <c r="AI248" s="822">
        <v>0</v>
      </c>
      <c r="AJ248" s="819"/>
      <c r="AK248" s="757"/>
      <c r="AL248" s="822">
        <v>0</v>
      </c>
      <c r="AM248" s="819"/>
      <c r="AN248" s="757"/>
      <c r="AO248" s="822">
        <v>0</v>
      </c>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3"/>
        <v>Carrosserie</v>
      </c>
      <c r="B249" s="43"/>
      <c r="C249" s="823"/>
      <c r="D249" s="824"/>
      <c r="E249" s="825"/>
      <c r="F249" s="823"/>
      <c r="G249" s="824"/>
      <c r="H249" s="825"/>
      <c r="I249" s="823"/>
      <c r="J249" s="824"/>
      <c r="K249" s="825"/>
      <c r="L249" s="823"/>
      <c r="M249" s="824"/>
      <c r="N249" s="825"/>
      <c r="O249" s="823"/>
      <c r="P249" s="824"/>
      <c r="Q249" s="825"/>
      <c r="R249" s="823"/>
      <c r="S249" s="824"/>
      <c r="T249" s="825"/>
      <c r="U249" s="823"/>
      <c r="V249" s="824"/>
      <c r="W249" s="825"/>
      <c r="X249" s="823"/>
      <c r="Y249" s="824"/>
      <c r="Z249" s="825"/>
      <c r="AA249" s="823"/>
      <c r="AB249" s="824"/>
      <c r="AC249" s="825"/>
      <c r="AD249" s="823"/>
      <c r="AE249" s="824"/>
      <c r="AF249" s="825"/>
      <c r="AG249" s="823"/>
      <c r="AH249" s="824"/>
      <c r="AI249" s="825"/>
      <c r="AJ249" s="823"/>
      <c r="AK249" s="824"/>
      <c r="AL249" s="825"/>
      <c r="AM249" s="823"/>
      <c r="AN249" s="824"/>
      <c r="AO249" s="825"/>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3"/>
        <v>CarrosserieM/O Esthétique Carr.</v>
      </c>
      <c r="B250" s="42" t="s">
        <v>179</v>
      </c>
      <c r="C250" s="826">
        <v>0</v>
      </c>
      <c r="D250" s="827">
        <v>0</v>
      </c>
      <c r="E250" s="782">
        <v>0</v>
      </c>
      <c r="F250" s="828">
        <v>0</v>
      </c>
      <c r="G250" s="829">
        <v>0</v>
      </c>
      <c r="H250" s="783">
        <v>0</v>
      </c>
      <c r="I250" s="828">
        <v>0</v>
      </c>
      <c r="J250" s="829">
        <v>0</v>
      </c>
      <c r="K250" s="783">
        <v>0</v>
      </c>
      <c r="L250" s="828">
        <v>0</v>
      </c>
      <c r="M250" s="829">
        <v>0</v>
      </c>
      <c r="N250" s="783">
        <v>0</v>
      </c>
      <c r="O250" s="828">
        <v>0</v>
      </c>
      <c r="P250" s="829">
        <v>0</v>
      </c>
      <c r="Q250" s="783">
        <v>0</v>
      </c>
      <c r="R250" s="828">
        <v>0</v>
      </c>
      <c r="S250" s="829">
        <v>0</v>
      </c>
      <c r="T250" s="783">
        <v>0</v>
      </c>
      <c r="U250" s="828">
        <v>0</v>
      </c>
      <c r="V250" s="829">
        <v>0</v>
      </c>
      <c r="W250" s="783">
        <v>0</v>
      </c>
      <c r="X250" s="828">
        <v>0</v>
      </c>
      <c r="Y250" s="829">
        <v>0</v>
      </c>
      <c r="Z250" s="783">
        <v>0</v>
      </c>
      <c r="AA250" s="828">
        <v>0</v>
      </c>
      <c r="AB250" s="829">
        <v>0</v>
      </c>
      <c r="AC250" s="783">
        <v>0</v>
      </c>
      <c r="AD250" s="828">
        <v>0</v>
      </c>
      <c r="AE250" s="829">
        <v>0</v>
      </c>
      <c r="AF250" s="783">
        <v>0</v>
      </c>
      <c r="AG250" s="828">
        <v>0</v>
      </c>
      <c r="AH250" s="829">
        <v>0</v>
      </c>
      <c r="AI250" s="783">
        <v>0</v>
      </c>
      <c r="AJ250" s="828">
        <v>0</v>
      </c>
      <c r="AK250" s="829">
        <v>0</v>
      </c>
      <c r="AL250" s="783">
        <v>0</v>
      </c>
      <c r="AM250" s="828">
        <v>0</v>
      </c>
      <c r="AN250" s="829">
        <v>0</v>
      </c>
      <c r="AO250" s="783">
        <v>0</v>
      </c>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3"/>
        <v>Carrosserie% profit / ventes</v>
      </c>
      <c r="B251" s="44" t="s">
        <v>165</v>
      </c>
      <c r="C251" s="747"/>
      <c r="D251" s="757"/>
      <c r="E251" s="822">
        <v>0</v>
      </c>
      <c r="F251" s="747"/>
      <c r="G251" s="757"/>
      <c r="H251" s="822">
        <v>0</v>
      </c>
      <c r="I251" s="747"/>
      <c r="J251" s="757"/>
      <c r="K251" s="822">
        <v>0</v>
      </c>
      <c r="L251" s="747"/>
      <c r="M251" s="757"/>
      <c r="N251" s="822">
        <v>0</v>
      </c>
      <c r="O251" s="747"/>
      <c r="P251" s="757"/>
      <c r="Q251" s="822">
        <v>0</v>
      </c>
      <c r="R251" s="747"/>
      <c r="S251" s="757"/>
      <c r="T251" s="822">
        <v>0</v>
      </c>
      <c r="U251" s="747"/>
      <c r="V251" s="757"/>
      <c r="W251" s="822">
        <v>0</v>
      </c>
      <c r="X251" s="747"/>
      <c r="Y251" s="757"/>
      <c r="Z251" s="822">
        <v>0</v>
      </c>
      <c r="AA251" s="747"/>
      <c r="AB251" s="757"/>
      <c r="AC251" s="822">
        <v>0</v>
      </c>
      <c r="AD251" s="747"/>
      <c r="AE251" s="757"/>
      <c r="AF251" s="822">
        <v>0</v>
      </c>
      <c r="AG251" s="747"/>
      <c r="AH251" s="757"/>
      <c r="AI251" s="822">
        <v>0</v>
      </c>
      <c r="AJ251" s="747"/>
      <c r="AK251" s="757"/>
      <c r="AL251" s="822">
        <v>0</v>
      </c>
      <c r="AM251" s="747"/>
      <c r="AN251" s="757"/>
      <c r="AO251" s="822">
        <v>0</v>
      </c>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thickBot="1">
      <c r="A252" s="39" t="str">
        <f t="shared" si="3"/>
        <v>Carrosserie</v>
      </c>
      <c r="B252" s="44"/>
      <c r="C252" s="747"/>
      <c r="D252" s="757"/>
      <c r="E252" s="822"/>
      <c r="F252" s="747"/>
      <c r="G252" s="757"/>
      <c r="H252" s="822"/>
      <c r="I252" s="747"/>
      <c r="J252" s="757"/>
      <c r="K252" s="822"/>
      <c r="L252" s="747"/>
      <c r="M252" s="757"/>
      <c r="N252" s="822"/>
      <c r="O252" s="747"/>
      <c r="P252" s="757"/>
      <c r="Q252" s="822"/>
      <c r="R252" s="747"/>
      <c r="S252" s="757"/>
      <c r="T252" s="822"/>
      <c r="U252" s="747"/>
      <c r="V252" s="757"/>
      <c r="W252" s="822"/>
      <c r="X252" s="747"/>
      <c r="Y252" s="757"/>
      <c r="Z252" s="822"/>
      <c r="AA252" s="747"/>
      <c r="AB252" s="757"/>
      <c r="AC252" s="822"/>
      <c r="AD252" s="747"/>
      <c r="AE252" s="757"/>
      <c r="AF252" s="822"/>
      <c r="AG252" s="747"/>
      <c r="AH252" s="757"/>
      <c r="AI252" s="822"/>
      <c r="AJ252" s="747"/>
      <c r="AK252" s="757"/>
      <c r="AL252" s="822"/>
      <c r="AM252" s="747"/>
      <c r="AN252" s="757"/>
      <c r="AO252" s="822"/>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thickTop="1">
      <c r="A253" s="39" t="str">
        <f t="shared" si="3"/>
        <v>CarrosserieTotal Mécanique</v>
      </c>
      <c r="B253" s="49" t="s">
        <v>174</v>
      </c>
      <c r="C253" s="759"/>
      <c r="D253" s="850">
        <v>325852.72999999986</v>
      </c>
      <c r="E253" s="761">
        <v>66661.97999999988</v>
      </c>
      <c r="F253" s="759"/>
      <c r="G253" s="850">
        <v>98781.13</v>
      </c>
      <c r="H253" s="761">
        <v>17818.689999999999</v>
      </c>
      <c r="I253" s="759"/>
      <c r="J253" s="850">
        <v>73373.929999999993</v>
      </c>
      <c r="K253" s="761">
        <v>7724.71</v>
      </c>
      <c r="L253" s="759"/>
      <c r="M253" s="850">
        <v>24014.21</v>
      </c>
      <c r="N253" s="761">
        <v>6434.36</v>
      </c>
      <c r="O253" s="759"/>
      <c r="P253" s="850">
        <v>71665.97</v>
      </c>
      <c r="Q253" s="761">
        <v>17236.2599999999</v>
      </c>
      <c r="R253" s="759"/>
      <c r="S253" s="850">
        <v>2841.31</v>
      </c>
      <c r="T253" s="761">
        <v>1481.92</v>
      </c>
      <c r="U253" s="759"/>
      <c r="V253" s="850">
        <v>502.19</v>
      </c>
      <c r="W253" s="761">
        <v>502.19</v>
      </c>
      <c r="X253" s="759"/>
      <c r="Y253" s="850">
        <v>866.04</v>
      </c>
      <c r="Z253" s="761">
        <v>866.04</v>
      </c>
      <c r="AA253" s="759"/>
      <c r="AB253" s="850">
        <v>5841.65</v>
      </c>
      <c r="AC253" s="761">
        <v>618.04999999999995</v>
      </c>
      <c r="AD253" s="759"/>
      <c r="AE253" s="850">
        <v>10846.7499999999</v>
      </c>
      <c r="AF253" s="761">
        <v>4670.5899999999901</v>
      </c>
      <c r="AG253" s="759"/>
      <c r="AH253" s="850">
        <v>10936.23</v>
      </c>
      <c r="AI253" s="761">
        <v>3830.0299999999902</v>
      </c>
      <c r="AJ253" s="759"/>
      <c r="AK253" s="850">
        <v>8391.06</v>
      </c>
      <c r="AL253" s="761">
        <v>2134.2399999999998</v>
      </c>
      <c r="AM253" s="759"/>
      <c r="AN253" s="850">
        <v>17792.259999999998</v>
      </c>
      <c r="AO253" s="761">
        <v>3344.9</v>
      </c>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thickBot="1">
      <c r="A254" s="39" t="str">
        <f t="shared" si="3"/>
        <v>Carrosserie</v>
      </c>
      <c r="B254" s="50"/>
      <c r="C254" s="762"/>
      <c r="D254" s="763"/>
      <c r="E254" s="851">
        <v>0.20457701858136929</v>
      </c>
      <c r="F254" s="762"/>
      <c r="G254" s="763"/>
      <c r="H254" s="851">
        <v>0.18038556554273066</v>
      </c>
      <c r="I254" s="762"/>
      <c r="J254" s="763"/>
      <c r="K254" s="851">
        <v>0.10527867322903381</v>
      </c>
      <c r="L254" s="762"/>
      <c r="M254" s="763"/>
      <c r="N254" s="851">
        <v>0.26793969070812657</v>
      </c>
      <c r="O254" s="762"/>
      <c r="P254" s="763"/>
      <c r="Q254" s="851">
        <v>0.24050829145269226</v>
      </c>
      <c r="R254" s="762"/>
      <c r="S254" s="763"/>
      <c r="T254" s="851">
        <v>0.52156223713709526</v>
      </c>
      <c r="U254" s="762"/>
      <c r="V254" s="763"/>
      <c r="W254" s="851">
        <v>1</v>
      </c>
      <c r="X254" s="762"/>
      <c r="Y254" s="763"/>
      <c r="Z254" s="851">
        <v>1</v>
      </c>
      <c r="AA254" s="762"/>
      <c r="AB254" s="763"/>
      <c r="AC254" s="851">
        <v>0.10580058716287351</v>
      </c>
      <c r="AD254" s="762"/>
      <c r="AE254" s="763"/>
      <c r="AF254" s="851">
        <v>0.43059810542328653</v>
      </c>
      <c r="AG254" s="762"/>
      <c r="AH254" s="763"/>
      <c r="AI254" s="851">
        <v>0.35021483637414269</v>
      </c>
      <c r="AJ254" s="762"/>
      <c r="AK254" s="763"/>
      <c r="AL254" s="851">
        <v>0.25434688823581286</v>
      </c>
      <c r="AM254" s="762"/>
      <c r="AN254" s="763"/>
      <c r="AO254" s="851">
        <v>0.18799747755484691</v>
      </c>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thickTop="1">
      <c r="A255" s="39" t="str">
        <f t="shared" si="3"/>
        <v>Carrosserie</v>
      </c>
      <c r="B255" s="44"/>
      <c r="C255" s="747"/>
      <c r="D255" s="757"/>
      <c r="E255" s="748"/>
      <c r="F255" s="747"/>
      <c r="G255" s="757"/>
      <c r="H255" s="748"/>
      <c r="I255" s="747"/>
      <c r="J255" s="757"/>
      <c r="K255" s="748"/>
      <c r="L255" s="747"/>
      <c r="M255" s="757"/>
      <c r="N255" s="748"/>
      <c r="O255" s="747"/>
      <c r="P255" s="757"/>
      <c r="Q255" s="748"/>
      <c r="R255" s="747"/>
      <c r="S255" s="757"/>
      <c r="T255" s="748"/>
      <c r="U255" s="747"/>
      <c r="V255" s="757"/>
      <c r="W255" s="748"/>
      <c r="X255" s="747"/>
      <c r="Y255" s="757"/>
      <c r="Z255" s="748"/>
      <c r="AA255" s="747"/>
      <c r="AB255" s="757"/>
      <c r="AC255" s="748"/>
      <c r="AD255" s="747"/>
      <c r="AE255" s="757"/>
      <c r="AF255" s="748"/>
      <c r="AG255" s="747"/>
      <c r="AH255" s="757"/>
      <c r="AI255" s="748"/>
      <c r="AJ255" s="747"/>
      <c r="AK255" s="757"/>
      <c r="AL255" s="748"/>
      <c r="AM255" s="747"/>
      <c r="AN255" s="757"/>
      <c r="AO255" s="748"/>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3"/>
        <v>CarrosserieDEPENSES</v>
      </c>
      <c r="B256" s="52" t="s">
        <v>110</v>
      </c>
      <c r="C256" s="747"/>
      <c r="D256" s="757"/>
      <c r="E256" s="748"/>
      <c r="F256" s="747"/>
      <c r="G256" s="757"/>
      <c r="H256" s="748"/>
      <c r="I256" s="747"/>
      <c r="J256" s="757"/>
      <c r="K256" s="748"/>
      <c r="L256" s="747"/>
      <c r="M256" s="757"/>
      <c r="N256" s="748"/>
      <c r="O256" s="747"/>
      <c r="P256" s="757"/>
      <c r="Q256" s="748"/>
      <c r="R256" s="747"/>
      <c r="S256" s="757"/>
      <c r="T256" s="748"/>
      <c r="U256" s="747"/>
      <c r="V256" s="757"/>
      <c r="W256" s="748"/>
      <c r="X256" s="747"/>
      <c r="Y256" s="757"/>
      <c r="Z256" s="748"/>
      <c r="AA256" s="747"/>
      <c r="AB256" s="757"/>
      <c r="AC256" s="748"/>
      <c r="AD256" s="747"/>
      <c r="AE256" s="757"/>
      <c r="AF256" s="748"/>
      <c r="AG256" s="747"/>
      <c r="AH256" s="757"/>
      <c r="AI256" s="748"/>
      <c r="AJ256" s="747"/>
      <c r="AK256" s="757"/>
      <c r="AL256" s="748"/>
      <c r="AM256" s="747"/>
      <c r="AN256" s="757"/>
      <c r="AO256" s="748"/>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3"/>
        <v>CarrosserieSalaires cadres</v>
      </c>
      <c r="B257" s="54" t="s">
        <v>120</v>
      </c>
      <c r="C257" s="747"/>
      <c r="D257" s="757"/>
      <c r="E257" s="758">
        <v>10822.559999999998</v>
      </c>
      <c r="F257" s="747"/>
      <c r="G257" s="757"/>
      <c r="H257" s="771">
        <v>901.88</v>
      </c>
      <c r="I257" s="747"/>
      <c r="J257" s="757"/>
      <c r="K257" s="771">
        <v>901.88</v>
      </c>
      <c r="L257" s="747"/>
      <c r="M257" s="757"/>
      <c r="N257" s="771">
        <v>901.88</v>
      </c>
      <c r="O257" s="747"/>
      <c r="P257" s="757"/>
      <c r="Q257" s="771">
        <v>901.88</v>
      </c>
      <c r="R257" s="747"/>
      <c r="S257" s="757"/>
      <c r="T257" s="771">
        <v>901.88</v>
      </c>
      <c r="U257" s="747"/>
      <c r="V257" s="757"/>
      <c r="W257" s="771">
        <v>901.88</v>
      </c>
      <c r="X257" s="747"/>
      <c r="Y257" s="757"/>
      <c r="Z257" s="771">
        <v>901.88</v>
      </c>
      <c r="AA257" s="747"/>
      <c r="AB257" s="757"/>
      <c r="AC257" s="771">
        <v>901.88</v>
      </c>
      <c r="AD257" s="747"/>
      <c r="AE257" s="757"/>
      <c r="AF257" s="771">
        <v>901.88</v>
      </c>
      <c r="AG257" s="747"/>
      <c r="AH257" s="757"/>
      <c r="AI257" s="771">
        <v>901.88</v>
      </c>
      <c r="AJ257" s="747"/>
      <c r="AK257" s="757"/>
      <c r="AL257" s="771">
        <v>901.88</v>
      </c>
      <c r="AM257" s="747"/>
      <c r="AN257" s="757"/>
      <c r="AO257" s="771">
        <v>901.88</v>
      </c>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3"/>
        <v>CarrosserieSalaires commis</v>
      </c>
      <c r="B258" s="55" t="s">
        <v>121</v>
      </c>
      <c r="C258" s="747"/>
      <c r="D258" s="757"/>
      <c r="E258" s="758">
        <v>26730.240000000002</v>
      </c>
      <c r="F258" s="747"/>
      <c r="G258" s="757"/>
      <c r="H258" s="771">
        <v>4508.6400000000003</v>
      </c>
      <c r="I258" s="747"/>
      <c r="J258" s="757"/>
      <c r="K258" s="771">
        <v>4544.6099999999997</v>
      </c>
      <c r="L258" s="747"/>
      <c r="M258" s="757"/>
      <c r="N258" s="771">
        <v>738.54</v>
      </c>
      <c r="O258" s="747"/>
      <c r="P258" s="757"/>
      <c r="Q258" s="771">
        <v>452.67</v>
      </c>
      <c r="R258" s="747"/>
      <c r="S258" s="757"/>
      <c r="T258" s="771">
        <v>492.92</v>
      </c>
      <c r="U258" s="747"/>
      <c r="V258" s="757"/>
      <c r="W258" s="771">
        <v>198.91</v>
      </c>
      <c r="X258" s="747"/>
      <c r="Y258" s="757"/>
      <c r="Z258" s="771">
        <v>2105.37</v>
      </c>
      <c r="AA258" s="747"/>
      <c r="AB258" s="757"/>
      <c r="AC258" s="771">
        <v>462.59</v>
      </c>
      <c r="AD258" s="747"/>
      <c r="AE258" s="757"/>
      <c r="AF258" s="771">
        <v>446.82</v>
      </c>
      <c r="AG258" s="747"/>
      <c r="AH258" s="757"/>
      <c r="AI258" s="771">
        <v>3190.36</v>
      </c>
      <c r="AJ258" s="747"/>
      <c r="AK258" s="757"/>
      <c r="AL258" s="771">
        <v>5141.84</v>
      </c>
      <c r="AM258" s="747"/>
      <c r="AN258" s="757"/>
      <c r="AO258" s="771">
        <v>4446.97</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3"/>
        <v>CarrosserieSalaires autres</v>
      </c>
      <c r="B259" s="54" t="s">
        <v>122</v>
      </c>
      <c r="C259" s="780"/>
      <c r="D259" s="781"/>
      <c r="E259" s="782">
        <v>1.4100000000000004</v>
      </c>
      <c r="F259" s="780"/>
      <c r="G259" s="781"/>
      <c r="H259" s="783">
        <v>0.08</v>
      </c>
      <c r="I259" s="780"/>
      <c r="J259" s="781"/>
      <c r="K259" s="783">
        <v>0.08</v>
      </c>
      <c r="L259" s="780"/>
      <c r="M259" s="781"/>
      <c r="N259" s="783">
        <v>0.08</v>
      </c>
      <c r="O259" s="780"/>
      <c r="P259" s="781"/>
      <c r="Q259" s="783">
        <v>0.13</v>
      </c>
      <c r="R259" s="780"/>
      <c r="S259" s="781"/>
      <c r="T259" s="783">
        <v>0.48</v>
      </c>
      <c r="U259" s="780"/>
      <c r="V259" s="781"/>
      <c r="W259" s="783">
        <v>0.08</v>
      </c>
      <c r="X259" s="780"/>
      <c r="Y259" s="781"/>
      <c r="Z259" s="783">
        <v>0.08</v>
      </c>
      <c r="AA259" s="780"/>
      <c r="AB259" s="781"/>
      <c r="AC259" s="783">
        <v>0.08</v>
      </c>
      <c r="AD259" s="780"/>
      <c r="AE259" s="781"/>
      <c r="AF259" s="783">
        <v>0.08</v>
      </c>
      <c r="AG259" s="780"/>
      <c r="AH259" s="781"/>
      <c r="AI259" s="783">
        <v>0.08</v>
      </c>
      <c r="AJ259" s="780"/>
      <c r="AK259" s="781"/>
      <c r="AL259" s="783">
        <v>0.08</v>
      </c>
      <c r="AM259" s="780"/>
      <c r="AN259" s="781"/>
      <c r="AO259" s="783">
        <v>0.08</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3"/>
        <v>CarrosserieSalaires spécialistes</v>
      </c>
      <c r="B260" s="54" t="s">
        <v>123</v>
      </c>
      <c r="C260" s="747"/>
      <c r="D260" s="757"/>
      <c r="E260" s="758">
        <v>0</v>
      </c>
      <c r="F260" s="747"/>
      <c r="G260" s="757"/>
      <c r="H260" s="771">
        <v>0</v>
      </c>
      <c r="I260" s="747"/>
      <c r="J260" s="757"/>
      <c r="K260" s="771">
        <v>0</v>
      </c>
      <c r="L260" s="747"/>
      <c r="M260" s="757"/>
      <c r="N260" s="771">
        <v>0</v>
      </c>
      <c r="O260" s="747"/>
      <c r="P260" s="757"/>
      <c r="Q260" s="771">
        <v>0</v>
      </c>
      <c r="R260" s="747"/>
      <c r="S260" s="757"/>
      <c r="T260" s="771">
        <v>0</v>
      </c>
      <c r="U260" s="747"/>
      <c r="V260" s="757"/>
      <c r="W260" s="771">
        <v>0</v>
      </c>
      <c r="X260" s="747"/>
      <c r="Y260" s="757"/>
      <c r="Z260" s="771">
        <v>0</v>
      </c>
      <c r="AA260" s="747"/>
      <c r="AB260" s="757"/>
      <c r="AC260" s="771">
        <v>0</v>
      </c>
      <c r="AD260" s="747"/>
      <c r="AE260" s="757"/>
      <c r="AF260" s="771">
        <v>0</v>
      </c>
      <c r="AG260" s="747"/>
      <c r="AH260" s="757"/>
      <c r="AI260" s="771">
        <v>0</v>
      </c>
      <c r="AJ260" s="747"/>
      <c r="AK260" s="757"/>
      <c r="AL260" s="771">
        <v>0</v>
      </c>
      <c r="AM260" s="747"/>
      <c r="AN260" s="757"/>
      <c r="AO260" s="771">
        <v>0</v>
      </c>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3"/>
        <v>Carrosserie[...]</v>
      </c>
      <c r="B261" s="44" t="s">
        <v>59</v>
      </c>
      <c r="C261" s="747"/>
      <c r="D261" s="757"/>
      <c r="E261" s="758">
        <v>0</v>
      </c>
      <c r="F261" s="747"/>
      <c r="G261" s="757"/>
      <c r="H261" s="771"/>
      <c r="I261" s="747"/>
      <c r="J261" s="757"/>
      <c r="K261" s="771"/>
      <c r="L261" s="747"/>
      <c r="M261" s="757"/>
      <c r="N261" s="771"/>
      <c r="O261" s="747"/>
      <c r="P261" s="757"/>
      <c r="Q261" s="771"/>
      <c r="R261" s="747"/>
      <c r="S261" s="757"/>
      <c r="T261" s="771"/>
      <c r="U261" s="747"/>
      <c r="V261" s="757"/>
      <c r="W261" s="771"/>
      <c r="X261" s="747"/>
      <c r="Y261" s="757"/>
      <c r="Z261" s="771"/>
      <c r="AA261" s="747"/>
      <c r="AB261" s="757"/>
      <c r="AC261" s="771"/>
      <c r="AD261" s="747"/>
      <c r="AE261" s="757"/>
      <c r="AF261" s="771"/>
      <c r="AG261" s="747"/>
      <c r="AH261" s="757"/>
      <c r="AI261" s="771"/>
      <c r="AJ261" s="747"/>
      <c r="AK261" s="757"/>
      <c r="AL261" s="771"/>
      <c r="AM261" s="747"/>
      <c r="AN261" s="757"/>
      <c r="AO261" s="771"/>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3"/>
        <v>Carrosserie[...]</v>
      </c>
      <c r="B262" s="44" t="s">
        <v>59</v>
      </c>
      <c r="C262" s="747"/>
      <c r="D262" s="757"/>
      <c r="E262" s="758">
        <v>0</v>
      </c>
      <c r="F262" s="747"/>
      <c r="G262" s="757"/>
      <c r="H262" s="771">
        <v>0</v>
      </c>
      <c r="I262" s="747"/>
      <c r="J262" s="757"/>
      <c r="K262" s="771">
        <v>0</v>
      </c>
      <c r="L262" s="747"/>
      <c r="M262" s="757"/>
      <c r="N262" s="771">
        <v>0</v>
      </c>
      <c r="O262" s="747"/>
      <c r="P262" s="757"/>
      <c r="Q262" s="771">
        <v>0</v>
      </c>
      <c r="R262" s="747"/>
      <c r="S262" s="757"/>
      <c r="T262" s="771">
        <v>0</v>
      </c>
      <c r="U262" s="747"/>
      <c r="V262" s="757"/>
      <c r="W262" s="771">
        <v>0</v>
      </c>
      <c r="X262" s="747"/>
      <c r="Y262" s="757"/>
      <c r="Z262" s="771">
        <v>0</v>
      </c>
      <c r="AA262" s="747"/>
      <c r="AB262" s="757"/>
      <c r="AC262" s="771">
        <v>0</v>
      </c>
      <c r="AD262" s="747"/>
      <c r="AE262" s="757"/>
      <c r="AF262" s="771">
        <v>0</v>
      </c>
      <c r="AG262" s="747"/>
      <c r="AH262" s="757"/>
      <c r="AI262" s="771">
        <v>0</v>
      </c>
      <c r="AJ262" s="747"/>
      <c r="AK262" s="757"/>
      <c r="AL262" s="771">
        <v>0</v>
      </c>
      <c r="AM262" s="747"/>
      <c r="AN262" s="757"/>
      <c r="AO262" s="771">
        <v>0</v>
      </c>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3"/>
        <v>Carrosserie[...]</v>
      </c>
      <c r="B263" s="44" t="s">
        <v>59</v>
      </c>
      <c r="C263" s="747"/>
      <c r="D263" s="757"/>
      <c r="E263" s="758">
        <v>0</v>
      </c>
      <c r="F263" s="747"/>
      <c r="G263" s="757"/>
      <c r="H263" s="771">
        <v>0</v>
      </c>
      <c r="I263" s="747"/>
      <c r="J263" s="757"/>
      <c r="K263" s="771">
        <v>0</v>
      </c>
      <c r="L263" s="747"/>
      <c r="M263" s="757"/>
      <c r="N263" s="771">
        <v>0</v>
      </c>
      <c r="O263" s="747"/>
      <c r="P263" s="757"/>
      <c r="Q263" s="771">
        <v>0</v>
      </c>
      <c r="R263" s="747"/>
      <c r="S263" s="757"/>
      <c r="T263" s="771">
        <v>0</v>
      </c>
      <c r="U263" s="747"/>
      <c r="V263" s="757"/>
      <c r="W263" s="771">
        <v>0</v>
      </c>
      <c r="X263" s="747"/>
      <c r="Y263" s="757"/>
      <c r="Z263" s="771">
        <v>0</v>
      </c>
      <c r="AA263" s="747"/>
      <c r="AB263" s="757"/>
      <c r="AC263" s="771">
        <v>0</v>
      </c>
      <c r="AD263" s="747"/>
      <c r="AE263" s="757"/>
      <c r="AF263" s="771">
        <v>0</v>
      </c>
      <c r="AG263" s="747"/>
      <c r="AH263" s="757"/>
      <c r="AI263" s="771">
        <v>0</v>
      </c>
      <c r="AJ263" s="747"/>
      <c r="AK263" s="757"/>
      <c r="AL263" s="771">
        <v>0</v>
      </c>
      <c r="AM263" s="747"/>
      <c r="AN263" s="757"/>
      <c r="AO263" s="771">
        <v>0</v>
      </c>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3"/>
        <v>CarrosserieSalaires en absences</v>
      </c>
      <c r="B264" s="55" t="s">
        <v>124</v>
      </c>
      <c r="C264" s="747"/>
      <c r="D264" s="757"/>
      <c r="E264" s="758">
        <v>5683.9500000000007</v>
      </c>
      <c r="F264" s="747"/>
      <c r="G264" s="757"/>
      <c r="H264" s="771">
        <v>379.52</v>
      </c>
      <c r="I264" s="747"/>
      <c r="J264" s="757"/>
      <c r="K264" s="771">
        <v>1216.42</v>
      </c>
      <c r="L264" s="747"/>
      <c r="M264" s="757"/>
      <c r="N264" s="771">
        <v>237.49</v>
      </c>
      <c r="O264" s="747"/>
      <c r="P264" s="757"/>
      <c r="Q264" s="771">
        <v>148.47</v>
      </c>
      <c r="R264" s="747"/>
      <c r="S264" s="757"/>
      <c r="T264" s="771">
        <v>608.66999999999996</v>
      </c>
      <c r="U264" s="747"/>
      <c r="V264" s="757"/>
      <c r="W264" s="771">
        <v>1128.79</v>
      </c>
      <c r="X264" s="747"/>
      <c r="Y264" s="757"/>
      <c r="Z264" s="771">
        <v>226.46</v>
      </c>
      <c r="AA264" s="747"/>
      <c r="AB264" s="757"/>
      <c r="AC264" s="771">
        <v>154.49</v>
      </c>
      <c r="AD264" s="747"/>
      <c r="AE264" s="757"/>
      <c r="AF264" s="771">
        <v>222.13</v>
      </c>
      <c r="AG264" s="747"/>
      <c r="AH264" s="757"/>
      <c r="AI264" s="771">
        <v>398.46</v>
      </c>
      <c r="AJ264" s="747"/>
      <c r="AK264" s="757"/>
      <c r="AL264" s="771">
        <v>406.6</v>
      </c>
      <c r="AM264" s="747"/>
      <c r="AN264" s="757"/>
      <c r="AO264" s="771">
        <v>556.45000000000005</v>
      </c>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3"/>
        <v>CarrosserieDéduction à la source</v>
      </c>
      <c r="B265" s="54" t="s">
        <v>125</v>
      </c>
      <c r="C265" s="780"/>
      <c r="D265" s="781"/>
      <c r="E265" s="782">
        <v>13637.2</v>
      </c>
      <c r="F265" s="780"/>
      <c r="G265" s="781"/>
      <c r="H265" s="783">
        <v>1532.32</v>
      </c>
      <c r="I265" s="780"/>
      <c r="J265" s="781"/>
      <c r="K265" s="783">
        <v>1778.75</v>
      </c>
      <c r="L265" s="780"/>
      <c r="M265" s="781"/>
      <c r="N265" s="783">
        <v>944.32</v>
      </c>
      <c r="O265" s="780"/>
      <c r="P265" s="781"/>
      <c r="Q265" s="783">
        <v>830.33</v>
      </c>
      <c r="R265" s="780"/>
      <c r="S265" s="781"/>
      <c r="T265" s="783">
        <v>1185.3800000000001</v>
      </c>
      <c r="U265" s="780"/>
      <c r="V265" s="781"/>
      <c r="W265" s="783">
        <v>811.68</v>
      </c>
      <c r="X265" s="780"/>
      <c r="Y265" s="781"/>
      <c r="Z265" s="783">
        <v>1014.72</v>
      </c>
      <c r="AA265" s="780"/>
      <c r="AB265" s="781"/>
      <c r="AC265" s="783">
        <v>853.69</v>
      </c>
      <c r="AD265" s="780"/>
      <c r="AE265" s="781"/>
      <c r="AF265" s="783">
        <v>801.22</v>
      </c>
      <c r="AG265" s="780"/>
      <c r="AH265" s="781"/>
      <c r="AI265" s="783">
        <v>1174.77</v>
      </c>
      <c r="AJ265" s="780"/>
      <c r="AK265" s="781"/>
      <c r="AL265" s="783">
        <v>1444.92</v>
      </c>
      <c r="AM265" s="780"/>
      <c r="AN265" s="781"/>
      <c r="AO265" s="783">
        <v>1265.0999999999999</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3"/>
        <v>CarrosserieBénéfices marginaux</v>
      </c>
      <c r="B266" s="54" t="s">
        <v>126</v>
      </c>
      <c r="C266" s="747"/>
      <c r="D266" s="757"/>
      <c r="E266" s="758">
        <v>1807.78</v>
      </c>
      <c r="F266" s="747"/>
      <c r="G266" s="757"/>
      <c r="H266" s="771">
        <v>433.49</v>
      </c>
      <c r="I266" s="747"/>
      <c r="J266" s="757"/>
      <c r="K266" s="771">
        <v>509.86</v>
      </c>
      <c r="L266" s="747"/>
      <c r="M266" s="757"/>
      <c r="N266" s="771">
        <v>403.68</v>
      </c>
      <c r="O266" s="747"/>
      <c r="P266" s="757"/>
      <c r="Q266" s="771">
        <v>325.86</v>
      </c>
      <c r="R266" s="747"/>
      <c r="S266" s="757"/>
      <c r="T266" s="771">
        <v>293.75</v>
      </c>
      <c r="U266" s="747"/>
      <c r="V266" s="757"/>
      <c r="W266" s="771">
        <v>-0.25</v>
      </c>
      <c r="X266" s="747"/>
      <c r="Y266" s="757"/>
      <c r="Z266" s="771">
        <v>112.9</v>
      </c>
      <c r="AA266" s="747"/>
      <c r="AB266" s="757"/>
      <c r="AC266" s="771">
        <v>122.97</v>
      </c>
      <c r="AD266" s="747"/>
      <c r="AE266" s="757"/>
      <c r="AF266" s="771">
        <v>97.21</v>
      </c>
      <c r="AG266" s="747"/>
      <c r="AH266" s="757"/>
      <c r="AI266" s="771">
        <v>284.64999999999998</v>
      </c>
      <c r="AJ266" s="747"/>
      <c r="AK266" s="757"/>
      <c r="AL266" s="771">
        <v>-1117.54</v>
      </c>
      <c r="AM266" s="747"/>
      <c r="AN266" s="757"/>
      <c r="AO266" s="771">
        <v>341.2</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3"/>
        <v>CarrosserieCsst</v>
      </c>
      <c r="B267" s="54" t="s">
        <v>127</v>
      </c>
      <c r="C267" s="747"/>
      <c r="D267" s="757"/>
      <c r="E267" s="758">
        <v>1749.5200000000004</v>
      </c>
      <c r="F267" s="747"/>
      <c r="G267" s="757"/>
      <c r="H267" s="771">
        <v>166.98</v>
      </c>
      <c r="I267" s="747"/>
      <c r="J267" s="757"/>
      <c r="K267" s="771">
        <v>207.37</v>
      </c>
      <c r="L267" s="747"/>
      <c r="M267" s="757"/>
      <c r="N267" s="771">
        <v>91.84</v>
      </c>
      <c r="O267" s="747"/>
      <c r="P267" s="757"/>
      <c r="Q267" s="771">
        <v>127.2</v>
      </c>
      <c r="R267" s="747"/>
      <c r="S267" s="757"/>
      <c r="T267" s="771">
        <v>120.18</v>
      </c>
      <c r="U267" s="747"/>
      <c r="V267" s="757"/>
      <c r="W267" s="771">
        <v>24.4</v>
      </c>
      <c r="X267" s="747"/>
      <c r="Y267" s="757"/>
      <c r="Z267" s="771">
        <v>83.33</v>
      </c>
      <c r="AA267" s="747"/>
      <c r="AB267" s="757"/>
      <c r="AC267" s="771">
        <v>190.46</v>
      </c>
      <c r="AD267" s="747"/>
      <c r="AE267" s="757"/>
      <c r="AF267" s="771">
        <v>42.2</v>
      </c>
      <c r="AG267" s="747"/>
      <c r="AH267" s="757"/>
      <c r="AI267" s="771">
        <v>104.48</v>
      </c>
      <c r="AJ267" s="747"/>
      <c r="AK267" s="757"/>
      <c r="AL267" s="771">
        <v>151.38999999999999</v>
      </c>
      <c r="AM267" s="747"/>
      <c r="AN267" s="757"/>
      <c r="AO267" s="771">
        <v>439.69</v>
      </c>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3"/>
        <v>Carrosserie[...]</v>
      </c>
      <c r="B268" s="44" t="s">
        <v>59</v>
      </c>
      <c r="C268" s="776"/>
      <c r="D268" s="784"/>
      <c r="E268" s="774">
        <v>0</v>
      </c>
      <c r="F268" s="776"/>
      <c r="G268" s="784"/>
      <c r="H268" s="774"/>
      <c r="I268" s="776"/>
      <c r="J268" s="784"/>
      <c r="K268" s="774"/>
      <c r="L268" s="776"/>
      <c r="M268" s="784"/>
      <c r="N268" s="774"/>
      <c r="O268" s="776"/>
      <c r="P268" s="784"/>
      <c r="Q268" s="774"/>
      <c r="R268" s="776"/>
      <c r="S268" s="784"/>
      <c r="T268" s="774"/>
      <c r="U268" s="776"/>
      <c r="V268" s="784"/>
      <c r="W268" s="774"/>
      <c r="X268" s="776"/>
      <c r="Y268" s="784"/>
      <c r="Z268" s="774"/>
      <c r="AA268" s="776"/>
      <c r="AB268" s="784"/>
      <c r="AC268" s="774"/>
      <c r="AD268" s="776"/>
      <c r="AE268" s="784"/>
      <c r="AF268" s="774"/>
      <c r="AG268" s="776"/>
      <c r="AH268" s="784"/>
      <c r="AI268" s="774"/>
      <c r="AJ268" s="776"/>
      <c r="AK268" s="784"/>
      <c r="AL268" s="774"/>
      <c r="AM268" s="776"/>
      <c r="AN268" s="784"/>
      <c r="AO268" s="774"/>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3"/>
        <v>CarrosserieTOTAL PERSONNEL</v>
      </c>
      <c r="B269" s="53" t="s">
        <v>128</v>
      </c>
      <c r="C269" s="777" t="s">
        <v>119</v>
      </c>
      <c r="D269" s="778">
        <v>0</v>
      </c>
      <c r="E269" s="779">
        <v>60432.66</v>
      </c>
      <c r="F269" s="777" t="s">
        <v>119</v>
      </c>
      <c r="G269" s="778">
        <v>0</v>
      </c>
      <c r="H269" s="779">
        <v>7922.91</v>
      </c>
      <c r="I269" s="777" t="s">
        <v>119</v>
      </c>
      <c r="J269" s="778">
        <v>0</v>
      </c>
      <c r="K269" s="779">
        <v>9158.9700000000012</v>
      </c>
      <c r="L269" s="777" t="s">
        <v>119</v>
      </c>
      <c r="M269" s="778">
        <v>0</v>
      </c>
      <c r="N269" s="779">
        <v>3317.83</v>
      </c>
      <c r="O269" s="777" t="s">
        <v>119</v>
      </c>
      <c r="P269" s="778">
        <v>0</v>
      </c>
      <c r="Q269" s="779">
        <v>2786.54</v>
      </c>
      <c r="R269" s="777" t="s">
        <v>119</v>
      </c>
      <c r="S269" s="778">
        <v>0</v>
      </c>
      <c r="T269" s="779">
        <v>3603.2599999999998</v>
      </c>
      <c r="U269" s="777" t="s">
        <v>119</v>
      </c>
      <c r="V269" s="778">
        <v>0</v>
      </c>
      <c r="W269" s="779">
        <v>3065.49</v>
      </c>
      <c r="X269" s="777" t="s">
        <v>119</v>
      </c>
      <c r="Y269" s="778">
        <v>0</v>
      </c>
      <c r="Z269" s="779">
        <v>4444.74</v>
      </c>
      <c r="AA269" s="777" t="s">
        <v>119</v>
      </c>
      <c r="AB269" s="778">
        <v>0</v>
      </c>
      <c r="AC269" s="779">
        <v>2686.16</v>
      </c>
      <c r="AD269" s="777" t="s">
        <v>119</v>
      </c>
      <c r="AE269" s="778">
        <v>0</v>
      </c>
      <c r="AF269" s="779">
        <v>2511.54</v>
      </c>
      <c r="AG269" s="777" t="s">
        <v>119</v>
      </c>
      <c r="AH269" s="778">
        <v>0</v>
      </c>
      <c r="AI269" s="779">
        <v>6054.6799999999985</v>
      </c>
      <c r="AJ269" s="777" t="s">
        <v>119</v>
      </c>
      <c r="AK269" s="778">
        <v>0</v>
      </c>
      <c r="AL269" s="779">
        <v>6929.170000000001</v>
      </c>
      <c r="AM269" s="777" t="s">
        <v>119</v>
      </c>
      <c r="AN269" s="778">
        <v>0</v>
      </c>
      <c r="AO269" s="779">
        <v>7951.369999999999</v>
      </c>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3"/>
        <v>CarrosseriePublicité 2</v>
      </c>
      <c r="B270" s="63" t="s">
        <v>129</v>
      </c>
      <c r="C270" s="747"/>
      <c r="D270" s="757"/>
      <c r="E270" s="758">
        <v>891.76</v>
      </c>
      <c r="F270" s="747"/>
      <c r="G270" s="757"/>
      <c r="H270" s="771">
        <v>63.4</v>
      </c>
      <c r="I270" s="747"/>
      <c r="J270" s="757"/>
      <c r="K270" s="771">
        <v>7</v>
      </c>
      <c r="L270" s="747"/>
      <c r="M270" s="757"/>
      <c r="N270" s="771">
        <v>0</v>
      </c>
      <c r="O270" s="747"/>
      <c r="P270" s="757"/>
      <c r="Q270" s="771">
        <v>57.6</v>
      </c>
      <c r="R270" s="747"/>
      <c r="S270" s="757"/>
      <c r="T270" s="771">
        <v>154.94999999999999</v>
      </c>
      <c r="U270" s="747"/>
      <c r="V270" s="757"/>
      <c r="W270" s="771">
        <v>175</v>
      </c>
      <c r="X270" s="747"/>
      <c r="Y270" s="757"/>
      <c r="Z270" s="771">
        <v>79.41</v>
      </c>
      <c r="AA270" s="747"/>
      <c r="AB270" s="757"/>
      <c r="AC270" s="771">
        <v>15.15</v>
      </c>
      <c r="AD270" s="747"/>
      <c r="AE270" s="757"/>
      <c r="AF270" s="771">
        <v>110.1</v>
      </c>
      <c r="AG270" s="747"/>
      <c r="AH270" s="757"/>
      <c r="AI270" s="771">
        <v>43.75</v>
      </c>
      <c r="AJ270" s="747"/>
      <c r="AK270" s="757"/>
      <c r="AL270" s="771">
        <v>142.51</v>
      </c>
      <c r="AM270" s="747"/>
      <c r="AN270" s="757"/>
      <c r="AO270" s="771">
        <v>42.89</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3"/>
        <v>CarrosserieService gratuit 2</v>
      </c>
      <c r="B271" s="54" t="s">
        <v>130</v>
      </c>
      <c r="C271" s="747"/>
      <c r="D271" s="757"/>
      <c r="E271" s="758">
        <v>14248.440000000002</v>
      </c>
      <c r="F271" s="747"/>
      <c r="G271" s="757"/>
      <c r="H271" s="771">
        <v>579.51</v>
      </c>
      <c r="I271" s="747"/>
      <c r="J271" s="757"/>
      <c r="K271" s="771">
        <v>1286.08</v>
      </c>
      <c r="L271" s="747"/>
      <c r="M271" s="757"/>
      <c r="N271" s="771">
        <v>-1658.94</v>
      </c>
      <c r="O271" s="747"/>
      <c r="P271" s="757"/>
      <c r="Q271" s="771">
        <v>966.44</v>
      </c>
      <c r="R271" s="747"/>
      <c r="S271" s="757"/>
      <c r="T271" s="771">
        <v>389.26</v>
      </c>
      <c r="U271" s="747"/>
      <c r="V271" s="757"/>
      <c r="W271" s="771">
        <v>750</v>
      </c>
      <c r="X271" s="747"/>
      <c r="Y271" s="757"/>
      <c r="Z271" s="771">
        <v>1150</v>
      </c>
      <c r="AA271" s="747"/>
      <c r="AB271" s="757"/>
      <c r="AC271" s="771">
        <v>770</v>
      </c>
      <c r="AD271" s="747"/>
      <c r="AE271" s="757"/>
      <c r="AF271" s="771">
        <v>2260.6799999999998</v>
      </c>
      <c r="AG271" s="747"/>
      <c r="AH271" s="757"/>
      <c r="AI271" s="771">
        <v>2509.87</v>
      </c>
      <c r="AJ271" s="747"/>
      <c r="AK271" s="757"/>
      <c r="AL271" s="771">
        <v>2866.52</v>
      </c>
      <c r="AM271" s="747"/>
      <c r="AN271" s="757"/>
      <c r="AO271" s="771">
        <v>2379.02</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3"/>
        <v>CarrosserieFrais véhicules de cie</v>
      </c>
      <c r="B272" s="55" t="s">
        <v>131</v>
      </c>
      <c r="C272" s="776"/>
      <c r="D272" s="784"/>
      <c r="E272" s="774">
        <v>2244.34</v>
      </c>
      <c r="F272" s="776"/>
      <c r="G272" s="784"/>
      <c r="H272" s="775">
        <v>157.77000000000001</v>
      </c>
      <c r="I272" s="776"/>
      <c r="J272" s="784"/>
      <c r="K272" s="775">
        <v>157.77000000000001</v>
      </c>
      <c r="L272" s="776"/>
      <c r="M272" s="784"/>
      <c r="N272" s="775">
        <v>177.91</v>
      </c>
      <c r="O272" s="776"/>
      <c r="P272" s="784"/>
      <c r="Q272" s="775">
        <v>157.77000000000001</v>
      </c>
      <c r="R272" s="776"/>
      <c r="S272" s="784"/>
      <c r="T272" s="775">
        <v>177.91</v>
      </c>
      <c r="U272" s="776"/>
      <c r="V272" s="784"/>
      <c r="W272" s="775">
        <v>157.77000000000001</v>
      </c>
      <c r="X272" s="776"/>
      <c r="Y272" s="784"/>
      <c r="Z272" s="775">
        <v>157.77000000000001</v>
      </c>
      <c r="AA272" s="776"/>
      <c r="AB272" s="784"/>
      <c r="AC272" s="775">
        <v>291.91000000000003</v>
      </c>
      <c r="AD272" s="776"/>
      <c r="AE272" s="784"/>
      <c r="AF272" s="775">
        <v>157.77000000000001</v>
      </c>
      <c r="AG272" s="776"/>
      <c r="AH272" s="784"/>
      <c r="AI272" s="775">
        <v>157.77000000000001</v>
      </c>
      <c r="AJ272" s="776"/>
      <c r="AK272" s="784"/>
      <c r="AL272" s="775">
        <v>327.31</v>
      </c>
      <c r="AM272" s="776"/>
      <c r="AN272" s="784"/>
      <c r="AO272" s="775">
        <v>164.91</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3"/>
        <v>CarrosserieInformatique</v>
      </c>
      <c r="B273" s="54" t="s">
        <v>132</v>
      </c>
      <c r="C273" s="747"/>
      <c r="D273" s="757"/>
      <c r="E273" s="758">
        <v>17245.68</v>
      </c>
      <c r="F273" s="747"/>
      <c r="G273" s="757"/>
      <c r="H273" s="771">
        <v>1418.89</v>
      </c>
      <c r="I273" s="747"/>
      <c r="J273" s="757"/>
      <c r="K273" s="771">
        <v>1571.81</v>
      </c>
      <c r="L273" s="747"/>
      <c r="M273" s="757"/>
      <c r="N273" s="771">
        <v>1460.17</v>
      </c>
      <c r="O273" s="747"/>
      <c r="P273" s="757"/>
      <c r="Q273" s="771">
        <v>1612.47</v>
      </c>
      <c r="R273" s="747"/>
      <c r="S273" s="757"/>
      <c r="T273" s="771">
        <v>1501.65</v>
      </c>
      <c r="U273" s="747"/>
      <c r="V273" s="757"/>
      <c r="W273" s="771">
        <v>1485.99</v>
      </c>
      <c r="X273" s="747"/>
      <c r="Y273" s="757"/>
      <c r="Z273" s="771">
        <v>118.65</v>
      </c>
      <c r="AA273" s="747"/>
      <c r="AB273" s="757"/>
      <c r="AC273" s="771">
        <v>2157.6799999999998</v>
      </c>
      <c r="AD273" s="747"/>
      <c r="AE273" s="757"/>
      <c r="AF273" s="771">
        <v>1444.63</v>
      </c>
      <c r="AG273" s="747"/>
      <c r="AH273" s="757"/>
      <c r="AI273" s="771">
        <v>1640.35</v>
      </c>
      <c r="AJ273" s="747"/>
      <c r="AK273" s="757"/>
      <c r="AL273" s="771">
        <v>1468.27</v>
      </c>
      <c r="AM273" s="747"/>
      <c r="AN273" s="757"/>
      <c r="AO273" s="771">
        <v>1365.12</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3"/>
        <v>CarrosserieFrais de déplacement</v>
      </c>
      <c r="B274" s="54" t="s">
        <v>133</v>
      </c>
      <c r="C274" s="747"/>
      <c r="D274" s="757"/>
      <c r="E274" s="758">
        <v>3145.26</v>
      </c>
      <c r="F274" s="747"/>
      <c r="G274" s="757"/>
      <c r="H274" s="771">
        <v>106.13</v>
      </c>
      <c r="I274" s="747"/>
      <c r="J274" s="757"/>
      <c r="K274" s="771">
        <v>50.49</v>
      </c>
      <c r="L274" s="747"/>
      <c r="M274" s="757"/>
      <c r="N274" s="771">
        <v>182.73</v>
      </c>
      <c r="O274" s="747"/>
      <c r="P274" s="757"/>
      <c r="Q274" s="771">
        <v>509.97</v>
      </c>
      <c r="R274" s="747"/>
      <c r="S274" s="757"/>
      <c r="T274" s="771">
        <v>163.65</v>
      </c>
      <c r="U274" s="747"/>
      <c r="V274" s="757"/>
      <c r="W274" s="771">
        <v>257.27999999999997</v>
      </c>
      <c r="X274" s="747"/>
      <c r="Y274" s="757"/>
      <c r="Z274" s="771">
        <v>280.61</v>
      </c>
      <c r="AA274" s="747"/>
      <c r="AB274" s="757"/>
      <c r="AC274" s="771">
        <v>253.51</v>
      </c>
      <c r="AD274" s="747"/>
      <c r="AE274" s="757"/>
      <c r="AF274" s="771">
        <v>395.97</v>
      </c>
      <c r="AG274" s="747"/>
      <c r="AH274" s="757"/>
      <c r="AI274" s="771">
        <v>290.95999999999998</v>
      </c>
      <c r="AJ274" s="747"/>
      <c r="AK274" s="757"/>
      <c r="AL274" s="771">
        <v>409.31</v>
      </c>
      <c r="AM274" s="747"/>
      <c r="AN274" s="757"/>
      <c r="AO274" s="771">
        <v>244.65</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3"/>
        <v>CarrosserieServices extérieurs</v>
      </c>
      <c r="B275" s="54" t="s">
        <v>134</v>
      </c>
      <c r="C275" s="776"/>
      <c r="D275" s="784"/>
      <c r="E275" s="774">
        <v>8681.18</v>
      </c>
      <c r="F275" s="776"/>
      <c r="G275" s="784"/>
      <c r="H275" s="775">
        <v>870.53</v>
      </c>
      <c r="I275" s="776"/>
      <c r="J275" s="784"/>
      <c r="K275" s="775">
        <v>608.6</v>
      </c>
      <c r="L275" s="776"/>
      <c r="M275" s="784"/>
      <c r="N275" s="775">
        <v>562.91</v>
      </c>
      <c r="O275" s="776"/>
      <c r="P275" s="784"/>
      <c r="Q275" s="775">
        <v>617.34</v>
      </c>
      <c r="R275" s="776"/>
      <c r="S275" s="784"/>
      <c r="T275" s="775">
        <v>699.86</v>
      </c>
      <c r="U275" s="776"/>
      <c r="V275" s="784"/>
      <c r="W275" s="775">
        <v>774.31</v>
      </c>
      <c r="X275" s="776"/>
      <c r="Y275" s="784"/>
      <c r="Z275" s="775">
        <v>824.74</v>
      </c>
      <c r="AA275" s="776"/>
      <c r="AB275" s="784"/>
      <c r="AC275" s="775">
        <v>380.15</v>
      </c>
      <c r="AD275" s="776"/>
      <c r="AE275" s="784"/>
      <c r="AF275" s="775">
        <v>890.04</v>
      </c>
      <c r="AG275" s="776"/>
      <c r="AH275" s="784"/>
      <c r="AI275" s="775">
        <v>964.68</v>
      </c>
      <c r="AJ275" s="776"/>
      <c r="AK275" s="784"/>
      <c r="AL275" s="775">
        <v>820.44</v>
      </c>
      <c r="AM275" s="776"/>
      <c r="AN275" s="784"/>
      <c r="AO275" s="775">
        <v>667.58</v>
      </c>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3"/>
        <v>CarrosserieFournitures d'atelier</v>
      </c>
      <c r="B276" s="54" t="s">
        <v>490</v>
      </c>
      <c r="C276" s="747"/>
      <c r="D276" s="757"/>
      <c r="E276" s="758">
        <v>0</v>
      </c>
      <c r="F276" s="747"/>
      <c r="G276" s="757"/>
      <c r="H276" s="771">
        <v>0</v>
      </c>
      <c r="I276" s="747"/>
      <c r="J276" s="757"/>
      <c r="K276" s="771">
        <v>0</v>
      </c>
      <c r="L276" s="747"/>
      <c r="M276" s="757"/>
      <c r="N276" s="771">
        <v>0</v>
      </c>
      <c r="O276" s="747"/>
      <c r="P276" s="757"/>
      <c r="Q276" s="771">
        <v>0</v>
      </c>
      <c r="R276" s="747"/>
      <c r="S276" s="757"/>
      <c r="T276" s="771">
        <v>0</v>
      </c>
      <c r="U276" s="747"/>
      <c r="V276" s="757"/>
      <c r="W276" s="771">
        <v>0</v>
      </c>
      <c r="X276" s="747"/>
      <c r="Y276" s="757"/>
      <c r="Z276" s="771">
        <v>0</v>
      </c>
      <c r="AA276" s="747"/>
      <c r="AB276" s="757"/>
      <c r="AC276" s="771">
        <v>0</v>
      </c>
      <c r="AD276" s="747"/>
      <c r="AE276" s="757"/>
      <c r="AF276" s="771">
        <v>0</v>
      </c>
      <c r="AG276" s="747"/>
      <c r="AH276" s="757"/>
      <c r="AI276" s="771">
        <v>0</v>
      </c>
      <c r="AJ276" s="747"/>
      <c r="AK276" s="757"/>
      <c r="AL276" s="771">
        <v>0</v>
      </c>
      <c r="AM276" s="747"/>
      <c r="AN276" s="757"/>
      <c r="AO276" s="771">
        <v>0</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si="3"/>
        <v>CarrosserieFournitures autres</v>
      </c>
      <c r="B277" s="63" t="s">
        <v>135</v>
      </c>
      <c r="C277" s="747"/>
      <c r="D277" s="757"/>
      <c r="E277" s="758">
        <v>43</v>
      </c>
      <c r="F277" s="747"/>
      <c r="G277" s="757"/>
      <c r="H277" s="771">
        <v>0</v>
      </c>
      <c r="I277" s="747"/>
      <c r="J277" s="757"/>
      <c r="K277" s="771">
        <v>0</v>
      </c>
      <c r="L277" s="747"/>
      <c r="M277" s="757"/>
      <c r="N277" s="771">
        <v>0</v>
      </c>
      <c r="O277" s="747"/>
      <c r="P277" s="757"/>
      <c r="Q277" s="771">
        <v>7.93</v>
      </c>
      <c r="R277" s="747"/>
      <c r="S277" s="757"/>
      <c r="T277" s="771">
        <v>0</v>
      </c>
      <c r="U277" s="747"/>
      <c r="V277" s="757"/>
      <c r="W277" s="771">
        <v>1</v>
      </c>
      <c r="X277" s="747"/>
      <c r="Y277" s="757"/>
      <c r="Z277" s="771">
        <v>2.8</v>
      </c>
      <c r="AA277" s="747"/>
      <c r="AB277" s="757"/>
      <c r="AC277" s="771">
        <v>18.48</v>
      </c>
      <c r="AD277" s="747"/>
      <c r="AE277" s="757"/>
      <c r="AF277" s="771">
        <v>0</v>
      </c>
      <c r="AG277" s="747"/>
      <c r="AH277" s="757"/>
      <c r="AI277" s="771">
        <v>0</v>
      </c>
      <c r="AJ277" s="747"/>
      <c r="AK277" s="757"/>
      <c r="AL277" s="771">
        <v>0</v>
      </c>
      <c r="AM277" s="747"/>
      <c r="AN277" s="757"/>
      <c r="AO277" s="771">
        <v>12.79</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3"/>
        <v>CarrosserieUniformes</v>
      </c>
      <c r="B278" s="54" t="s">
        <v>136</v>
      </c>
      <c r="C278" s="747"/>
      <c r="D278" s="757"/>
      <c r="E278" s="758">
        <v>0</v>
      </c>
      <c r="F278" s="747"/>
      <c r="G278" s="757"/>
      <c r="H278" s="771">
        <v>0</v>
      </c>
      <c r="I278" s="747"/>
      <c r="J278" s="757"/>
      <c r="K278" s="771">
        <v>0</v>
      </c>
      <c r="L278" s="747"/>
      <c r="M278" s="757"/>
      <c r="N278" s="771">
        <v>0</v>
      </c>
      <c r="O278" s="747"/>
      <c r="P278" s="757"/>
      <c r="Q278" s="771">
        <v>0</v>
      </c>
      <c r="R278" s="747"/>
      <c r="S278" s="757"/>
      <c r="T278" s="771">
        <v>0</v>
      </c>
      <c r="U278" s="747"/>
      <c r="V278" s="757"/>
      <c r="W278" s="771">
        <v>0</v>
      </c>
      <c r="X278" s="747"/>
      <c r="Y278" s="757"/>
      <c r="Z278" s="771">
        <v>0</v>
      </c>
      <c r="AA278" s="747"/>
      <c r="AB278" s="757"/>
      <c r="AC278" s="771">
        <v>0</v>
      </c>
      <c r="AD278" s="747"/>
      <c r="AE278" s="757"/>
      <c r="AF278" s="771">
        <v>0</v>
      </c>
      <c r="AG278" s="747"/>
      <c r="AH278" s="757"/>
      <c r="AI278" s="771">
        <v>0</v>
      </c>
      <c r="AJ278" s="747"/>
      <c r="AK278" s="757"/>
      <c r="AL278" s="771">
        <v>0</v>
      </c>
      <c r="AM278" s="747"/>
      <c r="AN278" s="757"/>
      <c r="AO278" s="771">
        <v>0</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3"/>
        <v>CarrosseriePapeterie</v>
      </c>
      <c r="B279" s="54" t="s">
        <v>137</v>
      </c>
      <c r="C279" s="747"/>
      <c r="D279" s="757"/>
      <c r="E279" s="758">
        <v>1676.52</v>
      </c>
      <c r="F279" s="747"/>
      <c r="G279" s="757"/>
      <c r="H279" s="771">
        <v>93.02</v>
      </c>
      <c r="I279" s="747"/>
      <c r="J279" s="757"/>
      <c r="K279" s="771">
        <v>291.27</v>
      </c>
      <c r="L279" s="747"/>
      <c r="M279" s="757"/>
      <c r="N279" s="771">
        <v>40.75</v>
      </c>
      <c r="O279" s="747"/>
      <c r="P279" s="757"/>
      <c r="Q279" s="771">
        <v>83.36</v>
      </c>
      <c r="R279" s="747"/>
      <c r="S279" s="757"/>
      <c r="T279" s="771">
        <v>193.7</v>
      </c>
      <c r="U279" s="747"/>
      <c r="V279" s="757"/>
      <c r="W279" s="771">
        <v>84.87</v>
      </c>
      <c r="X279" s="747"/>
      <c r="Y279" s="757"/>
      <c r="Z279" s="771">
        <v>77.989999999999995</v>
      </c>
      <c r="AA279" s="747"/>
      <c r="AB279" s="757"/>
      <c r="AC279" s="771">
        <v>225.24</v>
      </c>
      <c r="AD279" s="747"/>
      <c r="AE279" s="757"/>
      <c r="AF279" s="771">
        <v>137.44</v>
      </c>
      <c r="AG279" s="747"/>
      <c r="AH279" s="757"/>
      <c r="AI279" s="771">
        <v>82.59</v>
      </c>
      <c r="AJ279" s="747"/>
      <c r="AK279" s="757"/>
      <c r="AL279" s="771">
        <v>276.14</v>
      </c>
      <c r="AM279" s="747"/>
      <c r="AN279" s="757"/>
      <c r="AO279" s="771">
        <v>90.15</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3"/>
        <v>CarrosserieTéléphone</v>
      </c>
      <c r="B280" s="54" t="s">
        <v>138</v>
      </c>
      <c r="C280" s="747"/>
      <c r="D280" s="757"/>
      <c r="E280" s="758">
        <v>353.69999999999993</v>
      </c>
      <c r="F280" s="747"/>
      <c r="G280" s="757"/>
      <c r="H280" s="771">
        <v>37.409999999999997</v>
      </c>
      <c r="I280" s="747"/>
      <c r="J280" s="757"/>
      <c r="K280" s="771">
        <v>23.57</v>
      </c>
      <c r="L280" s="747"/>
      <c r="M280" s="757"/>
      <c r="N280" s="771">
        <v>28.78</v>
      </c>
      <c r="O280" s="747"/>
      <c r="P280" s="757"/>
      <c r="Q280" s="771">
        <v>23.66</v>
      </c>
      <c r="R280" s="747"/>
      <c r="S280" s="757"/>
      <c r="T280" s="771">
        <v>24.27</v>
      </c>
      <c r="U280" s="747"/>
      <c r="V280" s="757"/>
      <c r="W280" s="771">
        <v>25.41</v>
      </c>
      <c r="X280" s="747"/>
      <c r="Y280" s="757"/>
      <c r="Z280" s="771">
        <v>26.3</v>
      </c>
      <c r="AA280" s="747"/>
      <c r="AB280" s="757"/>
      <c r="AC280" s="771">
        <v>44.29</v>
      </c>
      <c r="AD280" s="747"/>
      <c r="AE280" s="757"/>
      <c r="AF280" s="771">
        <v>27.51</v>
      </c>
      <c r="AG280" s="747"/>
      <c r="AH280" s="757"/>
      <c r="AI280" s="771">
        <v>39.97</v>
      </c>
      <c r="AJ280" s="747"/>
      <c r="AK280" s="757"/>
      <c r="AL280" s="771">
        <v>26.78</v>
      </c>
      <c r="AM280" s="747"/>
      <c r="AN280" s="757"/>
      <c r="AO280" s="771">
        <v>25.75</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3"/>
        <v>CarrosserieFrais postaux</v>
      </c>
      <c r="B281" s="54" t="s">
        <v>139</v>
      </c>
      <c r="C281" s="747"/>
      <c r="D281" s="757"/>
      <c r="E281" s="758">
        <v>196.06000000000006</v>
      </c>
      <c r="F281" s="747"/>
      <c r="G281" s="757"/>
      <c r="H281" s="771">
        <v>34.840000000000003</v>
      </c>
      <c r="I281" s="747"/>
      <c r="J281" s="757"/>
      <c r="K281" s="771">
        <v>48.57</v>
      </c>
      <c r="L281" s="747"/>
      <c r="M281" s="757"/>
      <c r="N281" s="771">
        <v>60.87</v>
      </c>
      <c r="O281" s="747"/>
      <c r="P281" s="757"/>
      <c r="Q281" s="771">
        <v>2.31</v>
      </c>
      <c r="R281" s="747"/>
      <c r="S281" s="757"/>
      <c r="T281" s="771">
        <v>2.31</v>
      </c>
      <c r="U281" s="747"/>
      <c r="V281" s="757"/>
      <c r="W281" s="771">
        <v>7.21</v>
      </c>
      <c r="X281" s="747"/>
      <c r="Y281" s="757"/>
      <c r="Z281" s="771">
        <v>7.21</v>
      </c>
      <c r="AA281" s="747"/>
      <c r="AB281" s="757"/>
      <c r="AC281" s="771">
        <v>2.31</v>
      </c>
      <c r="AD281" s="747"/>
      <c r="AE281" s="757"/>
      <c r="AF281" s="771">
        <v>7.21</v>
      </c>
      <c r="AG281" s="747"/>
      <c r="AH281" s="757"/>
      <c r="AI281" s="771">
        <v>7.21</v>
      </c>
      <c r="AJ281" s="747"/>
      <c r="AK281" s="757"/>
      <c r="AL281" s="771">
        <v>8.8000000000000007</v>
      </c>
      <c r="AM281" s="747"/>
      <c r="AN281" s="757"/>
      <c r="AO281" s="771">
        <v>7.21</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3"/>
        <v>CarrosserieDivers</v>
      </c>
      <c r="B282" s="54" t="s">
        <v>140</v>
      </c>
      <c r="C282" s="747"/>
      <c r="D282" s="757"/>
      <c r="E282" s="758">
        <v>473.89</v>
      </c>
      <c r="F282" s="747"/>
      <c r="G282" s="757"/>
      <c r="H282" s="771">
        <v>22.59</v>
      </c>
      <c r="I282" s="747"/>
      <c r="J282" s="757"/>
      <c r="K282" s="771">
        <v>44.98</v>
      </c>
      <c r="L282" s="747"/>
      <c r="M282" s="757"/>
      <c r="N282" s="771">
        <v>56.01</v>
      </c>
      <c r="O282" s="747"/>
      <c r="P282" s="757"/>
      <c r="Q282" s="771">
        <v>44.2</v>
      </c>
      <c r="R282" s="747"/>
      <c r="S282" s="757"/>
      <c r="T282" s="771">
        <v>23.05</v>
      </c>
      <c r="U282" s="747"/>
      <c r="V282" s="757"/>
      <c r="W282" s="771">
        <v>27.09</v>
      </c>
      <c r="X282" s="747"/>
      <c r="Y282" s="757"/>
      <c r="Z282" s="771">
        <v>41.24</v>
      </c>
      <c r="AA282" s="747"/>
      <c r="AB282" s="757"/>
      <c r="AC282" s="771">
        <v>11.49</v>
      </c>
      <c r="AD282" s="747"/>
      <c r="AE282" s="757"/>
      <c r="AF282" s="771">
        <v>33.26</v>
      </c>
      <c r="AG282" s="747"/>
      <c r="AH282" s="757"/>
      <c r="AI282" s="771">
        <v>51.31</v>
      </c>
      <c r="AJ282" s="747"/>
      <c r="AK282" s="757"/>
      <c r="AL282" s="771">
        <v>97.74</v>
      </c>
      <c r="AM282" s="747"/>
      <c r="AN282" s="757"/>
      <c r="AO282" s="771">
        <v>20.93</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3"/>
        <v>CarrosserieFormation</v>
      </c>
      <c r="B283" s="54" t="s">
        <v>141</v>
      </c>
      <c r="C283" s="747"/>
      <c r="D283" s="757"/>
      <c r="E283" s="758">
        <v>942.53</v>
      </c>
      <c r="F283" s="747"/>
      <c r="G283" s="757"/>
      <c r="H283" s="771">
        <v>53.83</v>
      </c>
      <c r="I283" s="747"/>
      <c r="J283" s="757"/>
      <c r="K283" s="771">
        <v>22.33</v>
      </c>
      <c r="L283" s="747"/>
      <c r="M283" s="757"/>
      <c r="N283" s="771">
        <v>92.33</v>
      </c>
      <c r="O283" s="747"/>
      <c r="P283" s="757"/>
      <c r="Q283" s="771">
        <v>22.33</v>
      </c>
      <c r="R283" s="747"/>
      <c r="S283" s="757"/>
      <c r="T283" s="771">
        <v>69.58</v>
      </c>
      <c r="U283" s="747"/>
      <c r="V283" s="757"/>
      <c r="W283" s="771">
        <v>22.33</v>
      </c>
      <c r="X283" s="747"/>
      <c r="Y283" s="757"/>
      <c r="Z283" s="771">
        <v>22.33</v>
      </c>
      <c r="AA283" s="747"/>
      <c r="AB283" s="757"/>
      <c r="AC283" s="771">
        <v>22.33</v>
      </c>
      <c r="AD283" s="747"/>
      <c r="AE283" s="757"/>
      <c r="AF283" s="771">
        <v>146.1</v>
      </c>
      <c r="AG283" s="747"/>
      <c r="AH283" s="757"/>
      <c r="AI283" s="771">
        <v>290.72000000000003</v>
      </c>
      <c r="AJ283" s="747"/>
      <c r="AK283" s="757"/>
      <c r="AL283" s="771">
        <v>155.99</v>
      </c>
      <c r="AM283" s="747"/>
      <c r="AN283" s="757"/>
      <c r="AO283" s="771">
        <v>22.33</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3"/>
        <v>CarrosserieFrais bancaires</v>
      </c>
      <c r="B284" s="54" t="s">
        <v>142</v>
      </c>
      <c r="C284" s="747"/>
      <c r="D284" s="757"/>
      <c r="E284" s="758">
        <v>2632.08</v>
      </c>
      <c r="F284" s="747"/>
      <c r="G284" s="757"/>
      <c r="H284" s="771">
        <v>171.56</v>
      </c>
      <c r="I284" s="747"/>
      <c r="J284" s="757"/>
      <c r="K284" s="771">
        <v>135.44999999999999</v>
      </c>
      <c r="L284" s="747"/>
      <c r="M284" s="757"/>
      <c r="N284" s="771">
        <v>178.57</v>
      </c>
      <c r="O284" s="747"/>
      <c r="P284" s="757"/>
      <c r="Q284" s="771">
        <v>237.63</v>
      </c>
      <c r="R284" s="747"/>
      <c r="S284" s="757"/>
      <c r="T284" s="771">
        <v>263.92</v>
      </c>
      <c r="U284" s="747"/>
      <c r="V284" s="757"/>
      <c r="W284" s="771">
        <v>186.54</v>
      </c>
      <c r="X284" s="747"/>
      <c r="Y284" s="757"/>
      <c r="Z284" s="771">
        <v>206.61</v>
      </c>
      <c r="AA284" s="747"/>
      <c r="AB284" s="757"/>
      <c r="AC284" s="771">
        <v>198.68</v>
      </c>
      <c r="AD284" s="747"/>
      <c r="AE284" s="757"/>
      <c r="AF284" s="771">
        <v>181.51</v>
      </c>
      <c r="AG284" s="747"/>
      <c r="AH284" s="757"/>
      <c r="AI284" s="771">
        <v>265.72000000000003</v>
      </c>
      <c r="AJ284" s="747"/>
      <c r="AK284" s="757"/>
      <c r="AL284" s="771">
        <v>375.98</v>
      </c>
      <c r="AM284" s="747"/>
      <c r="AN284" s="757"/>
      <c r="AO284" s="771">
        <v>229.91</v>
      </c>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3"/>
        <v>Carrosserie[...]</v>
      </c>
      <c r="B285" s="54" t="s">
        <v>59</v>
      </c>
      <c r="C285" s="747"/>
      <c r="D285" s="757"/>
      <c r="E285" s="758">
        <v>0</v>
      </c>
      <c r="F285" s="747"/>
      <c r="G285" s="757"/>
      <c r="H285" s="758"/>
      <c r="I285" s="747"/>
      <c r="J285" s="757"/>
      <c r="K285" s="758"/>
      <c r="L285" s="747"/>
      <c r="M285" s="757"/>
      <c r="N285" s="758"/>
      <c r="O285" s="747"/>
      <c r="P285" s="757"/>
      <c r="Q285" s="758"/>
      <c r="R285" s="747"/>
      <c r="S285" s="757"/>
      <c r="T285" s="758"/>
      <c r="U285" s="747"/>
      <c r="V285" s="757"/>
      <c r="W285" s="758"/>
      <c r="X285" s="747"/>
      <c r="Y285" s="757"/>
      <c r="Z285" s="758"/>
      <c r="AA285" s="747"/>
      <c r="AB285" s="757"/>
      <c r="AC285" s="758"/>
      <c r="AD285" s="747"/>
      <c r="AE285" s="757"/>
      <c r="AF285" s="758"/>
      <c r="AG285" s="747"/>
      <c r="AH285" s="757"/>
      <c r="AI285" s="758"/>
      <c r="AJ285" s="747"/>
      <c r="AK285" s="757"/>
      <c r="AL285" s="758"/>
      <c r="AM285" s="747"/>
      <c r="AN285" s="757"/>
      <c r="AO285" s="758"/>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3"/>
        <v>Carrosserie[...]</v>
      </c>
      <c r="B286" s="54" t="s">
        <v>59</v>
      </c>
      <c r="C286" s="747"/>
      <c r="D286" s="757"/>
      <c r="E286" s="758">
        <v>0</v>
      </c>
      <c r="F286" s="747"/>
      <c r="G286" s="757"/>
      <c r="H286" s="758"/>
      <c r="I286" s="747"/>
      <c r="J286" s="757"/>
      <c r="K286" s="758"/>
      <c r="L286" s="747"/>
      <c r="M286" s="757"/>
      <c r="N286" s="758"/>
      <c r="O286" s="747"/>
      <c r="P286" s="757"/>
      <c r="Q286" s="758"/>
      <c r="R286" s="747"/>
      <c r="S286" s="757"/>
      <c r="T286" s="758"/>
      <c r="U286" s="747"/>
      <c r="V286" s="757"/>
      <c r="W286" s="758"/>
      <c r="X286" s="747"/>
      <c r="Y286" s="757"/>
      <c r="Z286" s="758"/>
      <c r="AA286" s="747"/>
      <c r="AB286" s="757"/>
      <c r="AC286" s="758"/>
      <c r="AD286" s="747"/>
      <c r="AE286" s="757"/>
      <c r="AF286" s="758"/>
      <c r="AG286" s="747"/>
      <c r="AH286" s="757"/>
      <c r="AI286" s="758"/>
      <c r="AJ286" s="747"/>
      <c r="AK286" s="757"/>
      <c r="AL286" s="758"/>
      <c r="AM286" s="747"/>
      <c r="AN286" s="757"/>
      <c r="AO286" s="758"/>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3"/>
        <v>Carrosserie[...]</v>
      </c>
      <c r="B287" s="54" t="s">
        <v>59</v>
      </c>
      <c r="C287" s="747"/>
      <c r="D287" s="757"/>
      <c r="E287" s="758">
        <v>0</v>
      </c>
      <c r="F287" s="747"/>
      <c r="G287" s="757"/>
      <c r="H287" s="758"/>
      <c r="I287" s="747"/>
      <c r="J287" s="757"/>
      <c r="K287" s="758"/>
      <c r="L287" s="747"/>
      <c r="M287" s="757"/>
      <c r="N287" s="758"/>
      <c r="O287" s="747"/>
      <c r="P287" s="757"/>
      <c r="Q287" s="758"/>
      <c r="R287" s="747"/>
      <c r="S287" s="757"/>
      <c r="T287" s="758"/>
      <c r="U287" s="747"/>
      <c r="V287" s="757"/>
      <c r="W287" s="758"/>
      <c r="X287" s="747"/>
      <c r="Y287" s="757"/>
      <c r="Z287" s="758"/>
      <c r="AA287" s="747"/>
      <c r="AB287" s="757"/>
      <c r="AC287" s="758"/>
      <c r="AD287" s="747"/>
      <c r="AE287" s="757"/>
      <c r="AF287" s="758"/>
      <c r="AG287" s="747"/>
      <c r="AH287" s="757"/>
      <c r="AI287" s="758"/>
      <c r="AJ287" s="747"/>
      <c r="AK287" s="757"/>
      <c r="AL287" s="758"/>
      <c r="AM287" s="747"/>
      <c r="AN287" s="757"/>
      <c r="AO287" s="758"/>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3"/>
        <v>CarrosserieTOTAL SEMI-FIXES</v>
      </c>
      <c r="B288" s="64" t="s">
        <v>143</v>
      </c>
      <c r="C288" s="790" t="s">
        <v>119</v>
      </c>
      <c r="D288" s="791">
        <v>0</v>
      </c>
      <c r="E288" s="792">
        <v>52774.439999999995</v>
      </c>
      <c r="F288" s="790" t="s">
        <v>119</v>
      </c>
      <c r="G288" s="791">
        <v>0</v>
      </c>
      <c r="H288" s="792">
        <v>3609.4800000000005</v>
      </c>
      <c r="I288" s="790" t="s">
        <v>119</v>
      </c>
      <c r="J288" s="791">
        <v>0</v>
      </c>
      <c r="K288" s="792">
        <v>4247.92</v>
      </c>
      <c r="L288" s="790" t="s">
        <v>119</v>
      </c>
      <c r="M288" s="791">
        <v>0</v>
      </c>
      <c r="N288" s="792">
        <v>1182.0900000000001</v>
      </c>
      <c r="O288" s="790" t="s">
        <v>119</v>
      </c>
      <c r="P288" s="791">
        <v>0</v>
      </c>
      <c r="Q288" s="792">
        <v>4343.01</v>
      </c>
      <c r="R288" s="790" t="s">
        <v>119</v>
      </c>
      <c r="S288" s="791">
        <v>0</v>
      </c>
      <c r="T288" s="792">
        <v>3664.11</v>
      </c>
      <c r="U288" s="790" t="s">
        <v>119</v>
      </c>
      <c r="V288" s="791">
        <v>0</v>
      </c>
      <c r="W288" s="792">
        <v>3954.7999999999997</v>
      </c>
      <c r="X288" s="790" t="s">
        <v>119</v>
      </c>
      <c r="Y288" s="791">
        <v>0</v>
      </c>
      <c r="Z288" s="792">
        <v>2995.6600000000003</v>
      </c>
      <c r="AA288" s="790" t="s">
        <v>119</v>
      </c>
      <c r="AB288" s="791">
        <v>0</v>
      </c>
      <c r="AC288" s="792">
        <v>4391.22</v>
      </c>
      <c r="AD288" s="790" t="s">
        <v>119</v>
      </c>
      <c r="AE288" s="791">
        <v>0</v>
      </c>
      <c r="AF288" s="792">
        <v>5792.22</v>
      </c>
      <c r="AG288" s="790" t="s">
        <v>119</v>
      </c>
      <c r="AH288" s="791">
        <v>0</v>
      </c>
      <c r="AI288" s="792">
        <v>6344.9000000000015</v>
      </c>
      <c r="AJ288" s="790" t="s">
        <v>119</v>
      </c>
      <c r="AK288" s="791">
        <v>0</v>
      </c>
      <c r="AL288" s="792">
        <v>6975.7900000000009</v>
      </c>
      <c r="AM288" s="790" t="s">
        <v>119</v>
      </c>
      <c r="AN288" s="791">
        <v>0</v>
      </c>
      <c r="AO288" s="792">
        <v>5273.2399999999989</v>
      </c>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3"/>
        <v>Carrosserie</v>
      </c>
      <c r="B289" s="43"/>
      <c r="C289" s="776"/>
      <c r="D289" s="784"/>
      <c r="E289" s="774"/>
      <c r="F289" s="776"/>
      <c r="G289" s="784"/>
      <c r="H289" s="774"/>
      <c r="I289" s="776"/>
      <c r="J289" s="784"/>
      <c r="K289" s="774"/>
      <c r="L289" s="776"/>
      <c r="M289" s="784"/>
      <c r="N289" s="774"/>
      <c r="O289" s="776"/>
      <c r="P289" s="784"/>
      <c r="Q289" s="774"/>
      <c r="R289" s="776"/>
      <c r="S289" s="784"/>
      <c r="T289" s="774"/>
      <c r="U289" s="776"/>
      <c r="V289" s="784"/>
      <c r="W289" s="774"/>
      <c r="X289" s="776"/>
      <c r="Y289" s="784"/>
      <c r="Z289" s="774"/>
      <c r="AA289" s="776"/>
      <c r="AB289" s="784"/>
      <c r="AC289" s="774"/>
      <c r="AD289" s="776"/>
      <c r="AE289" s="784"/>
      <c r="AF289" s="774"/>
      <c r="AG289" s="776"/>
      <c r="AH289" s="784"/>
      <c r="AI289" s="774"/>
      <c r="AJ289" s="776"/>
      <c r="AK289" s="784"/>
      <c r="AL289" s="774"/>
      <c r="AM289" s="776"/>
      <c r="AN289" s="784"/>
      <c r="AO289" s="774"/>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3"/>
        <v>CarrosserieTOTAL DES DÉPENSES</v>
      </c>
      <c r="B290" s="53" t="s">
        <v>144</v>
      </c>
      <c r="C290" s="777" t="s">
        <v>119</v>
      </c>
      <c r="D290" s="815">
        <v>0</v>
      </c>
      <c r="E290" s="789">
        <v>113207.1</v>
      </c>
      <c r="F290" s="777" t="s">
        <v>119</v>
      </c>
      <c r="G290" s="815">
        <v>0</v>
      </c>
      <c r="H290" s="789">
        <v>11532.39</v>
      </c>
      <c r="I290" s="777" t="s">
        <v>119</v>
      </c>
      <c r="J290" s="815">
        <v>0</v>
      </c>
      <c r="K290" s="789">
        <v>13406.890000000001</v>
      </c>
      <c r="L290" s="777" t="s">
        <v>119</v>
      </c>
      <c r="M290" s="815">
        <v>0</v>
      </c>
      <c r="N290" s="789">
        <v>4499.92</v>
      </c>
      <c r="O290" s="777" t="s">
        <v>119</v>
      </c>
      <c r="P290" s="815">
        <v>0</v>
      </c>
      <c r="Q290" s="789">
        <v>7129.55</v>
      </c>
      <c r="R290" s="777" t="s">
        <v>119</v>
      </c>
      <c r="S290" s="815">
        <v>0</v>
      </c>
      <c r="T290" s="789">
        <v>7267.37</v>
      </c>
      <c r="U290" s="777" t="s">
        <v>119</v>
      </c>
      <c r="V290" s="815">
        <v>0</v>
      </c>
      <c r="W290" s="789">
        <v>7020.2899999999991</v>
      </c>
      <c r="X290" s="777" t="s">
        <v>119</v>
      </c>
      <c r="Y290" s="815">
        <v>0</v>
      </c>
      <c r="Z290" s="789">
        <v>7440.4</v>
      </c>
      <c r="AA290" s="777" t="s">
        <v>119</v>
      </c>
      <c r="AB290" s="815">
        <v>0</v>
      </c>
      <c r="AC290" s="789">
        <v>7077.38</v>
      </c>
      <c r="AD290" s="777" t="s">
        <v>119</v>
      </c>
      <c r="AE290" s="815">
        <v>0</v>
      </c>
      <c r="AF290" s="789">
        <v>8303.76</v>
      </c>
      <c r="AG290" s="777" t="s">
        <v>119</v>
      </c>
      <c r="AH290" s="815">
        <v>0</v>
      </c>
      <c r="AI290" s="789">
        <v>12399.58</v>
      </c>
      <c r="AJ290" s="777" t="s">
        <v>119</v>
      </c>
      <c r="AK290" s="815">
        <v>0</v>
      </c>
      <c r="AL290" s="789">
        <v>13904.960000000003</v>
      </c>
      <c r="AM290" s="777" t="s">
        <v>119</v>
      </c>
      <c r="AN290" s="815">
        <v>0</v>
      </c>
      <c r="AO290" s="789">
        <v>13224.609999999997</v>
      </c>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3"/>
        <v>Carrosserie</v>
      </c>
      <c r="B291" s="44"/>
      <c r="C291" s="747"/>
      <c r="D291" s="757"/>
      <c r="E291" s="758"/>
      <c r="F291" s="747"/>
      <c r="G291" s="757"/>
      <c r="H291" s="758"/>
      <c r="I291" s="747"/>
      <c r="J291" s="757"/>
      <c r="K291" s="758"/>
      <c r="L291" s="747"/>
      <c r="M291" s="757"/>
      <c r="N291" s="758"/>
      <c r="O291" s="747"/>
      <c r="P291" s="757"/>
      <c r="Q291" s="758"/>
      <c r="R291" s="747"/>
      <c r="S291" s="757"/>
      <c r="T291" s="758"/>
      <c r="U291" s="747"/>
      <c r="V291" s="757"/>
      <c r="W291" s="758"/>
      <c r="X291" s="747"/>
      <c r="Y291" s="757"/>
      <c r="Z291" s="758"/>
      <c r="AA291" s="747"/>
      <c r="AB291" s="757"/>
      <c r="AC291" s="758"/>
      <c r="AD291" s="747"/>
      <c r="AE291" s="757"/>
      <c r="AF291" s="758"/>
      <c r="AG291" s="747"/>
      <c r="AH291" s="757"/>
      <c r="AI291" s="758"/>
      <c r="AJ291" s="747"/>
      <c r="AK291" s="757"/>
      <c r="AL291" s="758"/>
      <c r="AM291" s="747"/>
      <c r="AN291" s="757"/>
      <c r="AO291" s="758"/>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thickBot="1">
      <c r="A292" s="39" t="str">
        <f t="shared" si="3"/>
        <v>CarrosseriePROFIT DÉPARTEMENTAL</v>
      </c>
      <c r="B292" s="57" t="s">
        <v>151</v>
      </c>
      <c r="C292" s="816"/>
      <c r="D292" s="817"/>
      <c r="E292" s="798">
        <v>-46545.120000000126</v>
      </c>
      <c r="F292" s="816"/>
      <c r="G292" s="817"/>
      <c r="H292" s="798">
        <v>6286.2999999999993</v>
      </c>
      <c r="I292" s="816"/>
      <c r="J292" s="817"/>
      <c r="K292" s="798">
        <v>-5682.1800000000012</v>
      </c>
      <c r="L292" s="816"/>
      <c r="M292" s="817"/>
      <c r="N292" s="798">
        <v>1934.4399999999996</v>
      </c>
      <c r="O292" s="816"/>
      <c r="P292" s="817"/>
      <c r="Q292" s="798">
        <v>10106.709999999901</v>
      </c>
      <c r="R292" s="816"/>
      <c r="S292" s="817"/>
      <c r="T292" s="798">
        <v>-5785.45</v>
      </c>
      <c r="U292" s="816"/>
      <c r="V292" s="817"/>
      <c r="W292" s="798">
        <v>-6518.0999999999995</v>
      </c>
      <c r="X292" s="816"/>
      <c r="Y292" s="817"/>
      <c r="Z292" s="798">
        <v>-6574.36</v>
      </c>
      <c r="AA292" s="816"/>
      <c r="AB292" s="817"/>
      <c r="AC292" s="798">
        <v>-6459.33</v>
      </c>
      <c r="AD292" s="816"/>
      <c r="AE292" s="817"/>
      <c r="AF292" s="798">
        <v>-3633.1700000000101</v>
      </c>
      <c r="AG292" s="816"/>
      <c r="AH292" s="817"/>
      <c r="AI292" s="798">
        <v>-8569.5500000000102</v>
      </c>
      <c r="AJ292" s="816"/>
      <c r="AK292" s="817"/>
      <c r="AL292" s="798">
        <v>-11770.720000000003</v>
      </c>
      <c r="AM292" s="816"/>
      <c r="AN292" s="817"/>
      <c r="AO292" s="798">
        <v>-9879.7099999999973</v>
      </c>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48"/>
      <c r="C293" s="757"/>
      <c r="D293" s="757"/>
      <c r="E293" s="770"/>
      <c r="F293" s="757"/>
      <c r="G293" s="757"/>
      <c r="H293" s="770"/>
      <c r="I293" s="757"/>
      <c r="J293" s="757"/>
      <c r="K293" s="770"/>
      <c r="L293" s="757"/>
      <c r="M293" s="757"/>
      <c r="N293" s="770"/>
      <c r="O293" s="757"/>
      <c r="P293" s="757"/>
      <c r="Q293" s="770"/>
      <c r="R293" s="757"/>
      <c r="S293" s="757"/>
      <c r="T293" s="770"/>
      <c r="U293" s="757"/>
      <c r="V293" s="757"/>
      <c r="W293" s="770"/>
      <c r="X293" s="757"/>
      <c r="Y293" s="757"/>
      <c r="Z293" s="770"/>
      <c r="AA293" s="757"/>
      <c r="AB293" s="757"/>
      <c r="AC293" s="770"/>
      <c r="AD293" s="757"/>
      <c r="AE293" s="757"/>
      <c r="AF293" s="770"/>
      <c r="AG293" s="757"/>
      <c r="AH293" s="757"/>
      <c r="AI293" s="770"/>
      <c r="AJ293" s="757"/>
      <c r="AK293" s="757"/>
      <c r="AL293" s="770"/>
      <c r="AM293" s="757"/>
      <c r="AN293" s="757"/>
      <c r="AO293" s="770"/>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1" t="s">
        <v>3937</v>
      </c>
      <c r="C294" s="802" t="s">
        <v>180</v>
      </c>
      <c r="D294" s="802"/>
      <c r="E294" s="802"/>
      <c r="F294" s="802"/>
      <c r="G294" s="802"/>
      <c r="H294" s="802"/>
      <c r="I294" s="802"/>
      <c r="J294" s="802"/>
      <c r="K294" s="802"/>
      <c r="L294" s="802"/>
      <c r="M294" s="802"/>
      <c r="N294" s="802"/>
      <c r="O294" s="802"/>
      <c r="P294" s="802"/>
      <c r="Q294" s="802"/>
      <c r="R294" s="802"/>
      <c r="S294" s="802"/>
      <c r="T294" s="802"/>
      <c r="U294" s="802"/>
      <c r="V294" s="802"/>
      <c r="W294" s="802"/>
      <c r="X294" s="802"/>
      <c r="Y294" s="802"/>
      <c r="Z294" s="802"/>
      <c r="AA294" s="802"/>
      <c r="AB294" s="802"/>
      <c r="AC294" s="802"/>
      <c r="AD294" s="802"/>
      <c r="AE294" s="802"/>
      <c r="AF294" s="802"/>
      <c r="AG294" s="802"/>
      <c r="AH294" s="802"/>
      <c r="AI294" s="802"/>
      <c r="AJ294" s="802"/>
      <c r="AK294" s="802"/>
      <c r="AL294" s="802"/>
      <c r="AM294" s="802"/>
      <c r="AN294" s="802"/>
      <c r="AO294" s="802"/>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thickBot="1">
      <c r="A295" s="39"/>
      <c r="B295" s="62"/>
      <c r="C295" s="801"/>
      <c r="D295" s="801"/>
      <c r="E295" s="801"/>
      <c r="F295" s="801"/>
      <c r="G295" s="801"/>
      <c r="H295" s="801"/>
      <c r="I295" s="801"/>
      <c r="J295" s="801"/>
      <c r="K295" s="801"/>
      <c r="L295" s="801"/>
      <c r="M295" s="801"/>
      <c r="N295" s="801"/>
      <c r="O295" s="801"/>
      <c r="P295" s="801"/>
      <c r="Q295" s="801"/>
      <c r="R295" s="801"/>
      <c r="S295" s="801"/>
      <c r="T295" s="801"/>
      <c r="U295" s="801"/>
      <c r="V295" s="801"/>
      <c r="W295" s="801"/>
      <c r="X295" s="801"/>
      <c r="Y295" s="801"/>
      <c r="Z295" s="801"/>
      <c r="AA295" s="801"/>
      <c r="AB295" s="801"/>
      <c r="AC295" s="801"/>
      <c r="AD295" s="801"/>
      <c r="AE295" s="801"/>
      <c r="AF295" s="801"/>
      <c r="AG295" s="801"/>
      <c r="AH295" s="801"/>
      <c r="AI295" s="801"/>
      <c r="AJ295" s="801"/>
      <c r="AK295" s="801"/>
      <c r="AL295" s="801"/>
      <c r="AM295" s="801"/>
      <c r="AN295" s="801"/>
      <c r="AO295" s="801"/>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thickTop="1">
      <c r="A296" s="39"/>
      <c r="B296" s="40" t="s">
        <v>3</v>
      </c>
      <c r="C296" s="969">
        <v>2024</v>
      </c>
      <c r="D296" s="970"/>
      <c r="E296" s="971"/>
      <c r="F296" s="729" t="s">
        <v>8</v>
      </c>
      <c r="G296" s="730"/>
      <c r="H296" s="731"/>
      <c r="I296" s="729" t="s">
        <v>10</v>
      </c>
      <c r="J296" s="730"/>
      <c r="K296" s="731"/>
      <c r="L296" s="729" t="s">
        <v>11</v>
      </c>
      <c r="M296" s="730"/>
      <c r="N296" s="731"/>
      <c r="O296" s="729" t="s">
        <v>12</v>
      </c>
      <c r="P296" s="730"/>
      <c r="Q296" s="731"/>
      <c r="R296" s="729" t="s">
        <v>13</v>
      </c>
      <c r="S296" s="730"/>
      <c r="T296" s="731"/>
      <c r="U296" s="729" t="s">
        <v>14</v>
      </c>
      <c r="V296" s="730"/>
      <c r="W296" s="731"/>
      <c r="X296" s="729" t="s">
        <v>16</v>
      </c>
      <c r="Y296" s="730"/>
      <c r="Z296" s="731"/>
      <c r="AA296" s="729" t="s">
        <v>18</v>
      </c>
      <c r="AB296" s="730"/>
      <c r="AC296" s="731"/>
      <c r="AD296" s="729" t="s">
        <v>20</v>
      </c>
      <c r="AE296" s="730"/>
      <c r="AF296" s="731"/>
      <c r="AG296" s="729" t="s">
        <v>22</v>
      </c>
      <c r="AH296" s="730"/>
      <c r="AI296" s="731"/>
      <c r="AJ296" s="729" t="s">
        <v>23</v>
      </c>
      <c r="AK296" s="730"/>
      <c r="AL296" s="731"/>
      <c r="AM296" s="729" t="s">
        <v>6</v>
      </c>
      <c r="AN296" s="730"/>
      <c r="AO296" s="731"/>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56" si="4">+$C$294&amp;B297</f>
        <v>Pièces</v>
      </c>
      <c r="B297" s="44"/>
      <c r="C297" s="803" t="s">
        <v>163</v>
      </c>
      <c r="D297" s="768" t="s">
        <v>181</v>
      </c>
      <c r="E297" s="804" t="s">
        <v>95</v>
      </c>
      <c r="F297" s="803" t="s">
        <v>163</v>
      </c>
      <c r="G297" s="768" t="s">
        <v>181</v>
      </c>
      <c r="H297" s="804" t="s">
        <v>95</v>
      </c>
      <c r="I297" s="803" t="s">
        <v>163</v>
      </c>
      <c r="J297" s="768" t="s">
        <v>181</v>
      </c>
      <c r="K297" s="804" t="s">
        <v>95</v>
      </c>
      <c r="L297" s="803" t="s">
        <v>163</v>
      </c>
      <c r="M297" s="768" t="s">
        <v>181</v>
      </c>
      <c r="N297" s="804" t="s">
        <v>95</v>
      </c>
      <c r="O297" s="803" t="s">
        <v>163</v>
      </c>
      <c r="P297" s="768" t="s">
        <v>181</v>
      </c>
      <c r="Q297" s="804" t="s">
        <v>95</v>
      </c>
      <c r="R297" s="803" t="s">
        <v>163</v>
      </c>
      <c r="S297" s="768" t="s">
        <v>181</v>
      </c>
      <c r="T297" s="804" t="s">
        <v>95</v>
      </c>
      <c r="U297" s="803" t="s">
        <v>163</v>
      </c>
      <c r="V297" s="768" t="s">
        <v>181</v>
      </c>
      <c r="W297" s="804" t="s">
        <v>95</v>
      </c>
      <c r="X297" s="803" t="s">
        <v>163</v>
      </c>
      <c r="Y297" s="768" t="s">
        <v>181</v>
      </c>
      <c r="Z297" s="804" t="s">
        <v>95</v>
      </c>
      <c r="AA297" s="803" t="s">
        <v>163</v>
      </c>
      <c r="AB297" s="768" t="s">
        <v>181</v>
      </c>
      <c r="AC297" s="804" t="s">
        <v>95</v>
      </c>
      <c r="AD297" s="803" t="s">
        <v>163</v>
      </c>
      <c r="AE297" s="768" t="s">
        <v>181</v>
      </c>
      <c r="AF297" s="804" t="s">
        <v>95</v>
      </c>
      <c r="AG297" s="803" t="s">
        <v>163</v>
      </c>
      <c r="AH297" s="768" t="s">
        <v>181</v>
      </c>
      <c r="AI297" s="804" t="s">
        <v>95</v>
      </c>
      <c r="AJ297" s="803" t="s">
        <v>163</v>
      </c>
      <c r="AK297" s="768" t="s">
        <v>181</v>
      </c>
      <c r="AL297" s="804" t="s">
        <v>95</v>
      </c>
      <c r="AM297" s="803" t="s">
        <v>163</v>
      </c>
      <c r="AN297" s="768" t="s">
        <v>181</v>
      </c>
      <c r="AO297" s="804" t="s">
        <v>95</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4"/>
        <v>PiècesPièces Ro Clients</v>
      </c>
      <c r="B298" s="44" t="s">
        <v>182</v>
      </c>
      <c r="C298" s="819">
        <v>1118224.129999999</v>
      </c>
      <c r="D298" s="813">
        <v>0.34679176526086947</v>
      </c>
      <c r="E298" s="758">
        <v>387790.91999999963</v>
      </c>
      <c r="F298" s="820">
        <v>73145.45</v>
      </c>
      <c r="G298" s="813">
        <v>0.35203638777258051</v>
      </c>
      <c r="H298" s="771">
        <v>25749.859999999899</v>
      </c>
      <c r="I298" s="820">
        <v>51629.45</v>
      </c>
      <c r="J298" s="813">
        <v>0.37193597839992482</v>
      </c>
      <c r="K298" s="771">
        <v>19202.849999999999</v>
      </c>
      <c r="L298" s="820">
        <v>68701.960000000006</v>
      </c>
      <c r="M298" s="813">
        <v>0.35457503686939934</v>
      </c>
      <c r="N298" s="771">
        <v>24360</v>
      </c>
      <c r="O298" s="820">
        <v>94158.54</v>
      </c>
      <c r="P298" s="813">
        <v>0.39031595009863046</v>
      </c>
      <c r="Q298" s="771">
        <v>36751.5799999999</v>
      </c>
      <c r="R298" s="820">
        <v>109437.56</v>
      </c>
      <c r="S298" s="813">
        <v>0.37261000702135444</v>
      </c>
      <c r="T298" s="771">
        <v>40777.529999999897</v>
      </c>
      <c r="U298" s="820">
        <v>82983.19</v>
      </c>
      <c r="V298" s="813">
        <v>0.36067557778870635</v>
      </c>
      <c r="W298" s="771">
        <v>29930.01</v>
      </c>
      <c r="X298" s="820">
        <v>97246.46</v>
      </c>
      <c r="Y298" s="813">
        <v>0.35566508025073607</v>
      </c>
      <c r="Z298" s="771">
        <v>34587.17</v>
      </c>
      <c r="AA298" s="820">
        <v>101413.079999999</v>
      </c>
      <c r="AB298" s="813">
        <v>0.36329633218910484</v>
      </c>
      <c r="AC298" s="771">
        <v>36842.999999999898</v>
      </c>
      <c r="AD298" s="820">
        <v>93978.35</v>
      </c>
      <c r="AE298" s="813">
        <v>0.36370547046207985</v>
      </c>
      <c r="AF298" s="771">
        <v>34180.44</v>
      </c>
      <c r="AG298" s="820">
        <v>112041.65</v>
      </c>
      <c r="AH298" s="813">
        <v>0.33378230327739727</v>
      </c>
      <c r="AI298" s="771">
        <v>37397.519999999997</v>
      </c>
      <c r="AJ298" s="820">
        <v>160638.01</v>
      </c>
      <c r="AK298" s="813">
        <v>0.28651469225745513</v>
      </c>
      <c r="AL298" s="771">
        <v>46025.15</v>
      </c>
      <c r="AM298" s="820">
        <v>72850.429999999993</v>
      </c>
      <c r="AN298" s="813">
        <v>0.30179382606252292</v>
      </c>
      <c r="AO298" s="771">
        <v>21985.81</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4"/>
        <v>PiècesPièces Ro Carrosserie</v>
      </c>
      <c r="B299" s="44" t="s">
        <v>183</v>
      </c>
      <c r="C299" s="819">
        <v>193233.89999999991</v>
      </c>
      <c r="D299" s="813">
        <v>0.24842649245292814</v>
      </c>
      <c r="E299" s="758">
        <v>48004.419999999845</v>
      </c>
      <c r="F299" s="820">
        <v>54640.92</v>
      </c>
      <c r="G299" s="813">
        <v>0.2804196927870175</v>
      </c>
      <c r="H299" s="771">
        <v>15322.39</v>
      </c>
      <c r="I299" s="820">
        <v>57302.1899999999</v>
      </c>
      <c r="J299" s="813">
        <v>0.23295130604955802</v>
      </c>
      <c r="K299" s="771">
        <v>13348.619999999901</v>
      </c>
      <c r="L299" s="820">
        <v>12672.27</v>
      </c>
      <c r="M299" s="813">
        <v>0.23140447607255843</v>
      </c>
      <c r="N299" s="771">
        <v>2932.42</v>
      </c>
      <c r="O299" s="820">
        <v>39357.14</v>
      </c>
      <c r="P299" s="813">
        <v>0.23324890985473004</v>
      </c>
      <c r="Q299" s="771">
        <v>9180.0099999999893</v>
      </c>
      <c r="R299" s="820">
        <v>254.91</v>
      </c>
      <c r="S299" s="813">
        <v>0.23086579577105606</v>
      </c>
      <c r="T299" s="771">
        <v>58.849999999999902</v>
      </c>
      <c r="U299" s="820">
        <v>0</v>
      </c>
      <c r="V299" s="813">
        <v>0</v>
      </c>
      <c r="W299" s="771">
        <v>0</v>
      </c>
      <c r="X299" s="820">
        <v>0</v>
      </c>
      <c r="Y299" s="813">
        <v>0</v>
      </c>
      <c r="Z299" s="771">
        <v>0</v>
      </c>
      <c r="AA299" s="820">
        <v>5342.29</v>
      </c>
      <c r="AB299" s="813">
        <v>0.23076620700111561</v>
      </c>
      <c r="AC299" s="771">
        <v>1232.8199999999899</v>
      </c>
      <c r="AD299" s="820">
        <v>5777.21</v>
      </c>
      <c r="AE299" s="813">
        <v>0.23101808658504538</v>
      </c>
      <c r="AF299" s="771">
        <v>1334.6399999999901</v>
      </c>
      <c r="AG299" s="820">
        <v>4751.8500000000004</v>
      </c>
      <c r="AH299" s="813">
        <v>0.23077117333249153</v>
      </c>
      <c r="AI299" s="771">
        <v>1096.5899999999999</v>
      </c>
      <c r="AJ299" s="820">
        <v>5618.74</v>
      </c>
      <c r="AK299" s="813">
        <v>0.27197200795907805</v>
      </c>
      <c r="AL299" s="771">
        <v>1528.1399999999901</v>
      </c>
      <c r="AM299" s="820">
        <v>7516.38</v>
      </c>
      <c r="AN299" s="813">
        <v>0.26208627025243403</v>
      </c>
      <c r="AO299" s="771">
        <v>1969.9399999999901</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4"/>
        <v>PiècesP/A Garantie</v>
      </c>
      <c r="B300" s="44" t="s">
        <v>184</v>
      </c>
      <c r="C300" s="819">
        <v>512439.38999999996</v>
      </c>
      <c r="D300" s="813">
        <v>0.23286545165858516</v>
      </c>
      <c r="E300" s="758">
        <v>119329.42999999986</v>
      </c>
      <c r="F300" s="820">
        <v>28846.55</v>
      </c>
      <c r="G300" s="813">
        <v>0.23660507062369643</v>
      </c>
      <c r="H300" s="771">
        <v>6825.2399999999898</v>
      </c>
      <c r="I300" s="820">
        <v>28873.4</v>
      </c>
      <c r="J300" s="813">
        <v>0.23687234617329445</v>
      </c>
      <c r="K300" s="771">
        <v>6839.31</v>
      </c>
      <c r="L300" s="820">
        <v>30536.99</v>
      </c>
      <c r="M300" s="813">
        <v>0.23087606211352199</v>
      </c>
      <c r="N300" s="771">
        <v>7050.26</v>
      </c>
      <c r="O300" s="820">
        <v>30357.78</v>
      </c>
      <c r="P300" s="813">
        <v>0.24208786017949929</v>
      </c>
      <c r="Q300" s="771">
        <v>7349.25</v>
      </c>
      <c r="R300" s="820">
        <v>42120.959999999999</v>
      </c>
      <c r="S300" s="813">
        <v>0.23626123431184853</v>
      </c>
      <c r="T300" s="771">
        <v>9951.5499999999993</v>
      </c>
      <c r="U300" s="820">
        <v>45095.6</v>
      </c>
      <c r="V300" s="813">
        <v>0.23370594913916215</v>
      </c>
      <c r="W300" s="771">
        <v>10539.11</v>
      </c>
      <c r="X300" s="820">
        <v>63908.639999999999</v>
      </c>
      <c r="Y300" s="813">
        <v>0.23059511202241043</v>
      </c>
      <c r="Z300" s="771">
        <v>14737.0199999999</v>
      </c>
      <c r="AA300" s="820">
        <v>58003.13</v>
      </c>
      <c r="AB300" s="813">
        <v>0.2284143976368172</v>
      </c>
      <c r="AC300" s="771">
        <v>13248.75</v>
      </c>
      <c r="AD300" s="820">
        <v>45362.87</v>
      </c>
      <c r="AE300" s="813">
        <v>0.23190860719350428</v>
      </c>
      <c r="AF300" s="771">
        <v>10520.04</v>
      </c>
      <c r="AG300" s="820">
        <v>43545.83</v>
      </c>
      <c r="AH300" s="813">
        <v>0.22732785205839456</v>
      </c>
      <c r="AI300" s="771">
        <v>9899.18</v>
      </c>
      <c r="AJ300" s="820">
        <v>45564.35</v>
      </c>
      <c r="AK300" s="813">
        <v>0.23116120387978759</v>
      </c>
      <c r="AL300" s="771">
        <v>10532.71</v>
      </c>
      <c r="AM300" s="820">
        <v>50223.29</v>
      </c>
      <c r="AN300" s="813">
        <v>0.23568766602108304</v>
      </c>
      <c r="AO300" s="771">
        <v>11837.01</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4"/>
        <v>PiècesVentes Internes</v>
      </c>
      <c r="B301" s="44" t="s">
        <v>185</v>
      </c>
      <c r="C301" s="819">
        <v>671684.24</v>
      </c>
      <c r="D301" s="813">
        <v>0.2857013438338224</v>
      </c>
      <c r="E301" s="758">
        <v>191901.08999999968</v>
      </c>
      <c r="F301" s="820">
        <v>45391.06</v>
      </c>
      <c r="G301" s="813">
        <v>0.29283233306294015</v>
      </c>
      <c r="H301" s="771">
        <v>13291.969999999899</v>
      </c>
      <c r="I301" s="820">
        <v>66311.88</v>
      </c>
      <c r="J301" s="813">
        <v>0.23333013631946489</v>
      </c>
      <c r="K301" s="771">
        <v>15472.56</v>
      </c>
      <c r="L301" s="820">
        <v>52349.15</v>
      </c>
      <c r="M301" s="813">
        <v>0.26464345648401166</v>
      </c>
      <c r="N301" s="771">
        <v>13853.86</v>
      </c>
      <c r="O301" s="820">
        <v>42372.56</v>
      </c>
      <c r="P301" s="813">
        <v>0.28409588658320151</v>
      </c>
      <c r="Q301" s="771">
        <v>12037.869999999901</v>
      </c>
      <c r="R301" s="820">
        <v>59301.120000000003</v>
      </c>
      <c r="S301" s="813">
        <v>0.29746706301668502</v>
      </c>
      <c r="T301" s="771">
        <v>17640.13</v>
      </c>
      <c r="U301" s="820">
        <v>25255.49</v>
      </c>
      <c r="V301" s="813">
        <v>0.326486241209337</v>
      </c>
      <c r="W301" s="771">
        <v>8245.57</v>
      </c>
      <c r="X301" s="820">
        <v>60027.4</v>
      </c>
      <c r="Y301" s="813">
        <v>0.31739355694232968</v>
      </c>
      <c r="Z301" s="771">
        <v>19052.310000000001</v>
      </c>
      <c r="AA301" s="820">
        <v>59684.08</v>
      </c>
      <c r="AB301" s="813">
        <v>0.26119310208015267</v>
      </c>
      <c r="AC301" s="771">
        <v>15589.07</v>
      </c>
      <c r="AD301" s="820">
        <v>68022.740000000005</v>
      </c>
      <c r="AE301" s="813">
        <v>0.34120001634747438</v>
      </c>
      <c r="AF301" s="771">
        <v>23209.360000000001</v>
      </c>
      <c r="AG301" s="820">
        <v>69951.149999999994</v>
      </c>
      <c r="AH301" s="813">
        <v>0.2724592805121846</v>
      </c>
      <c r="AI301" s="771">
        <v>19058.839999999898</v>
      </c>
      <c r="AJ301" s="820">
        <v>70580.36</v>
      </c>
      <c r="AK301" s="813">
        <v>0.28399415928170385</v>
      </c>
      <c r="AL301" s="771">
        <v>20044.41</v>
      </c>
      <c r="AM301" s="820">
        <v>52437.25</v>
      </c>
      <c r="AN301" s="813">
        <v>0.274711965253708</v>
      </c>
      <c r="AO301" s="771">
        <v>14405.14</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4"/>
        <v>PiècesVentes Détails</v>
      </c>
      <c r="B302" s="44" t="s">
        <v>186</v>
      </c>
      <c r="C302" s="819">
        <v>232112.65</v>
      </c>
      <c r="D302" s="813">
        <v>0.26565923916684392</v>
      </c>
      <c r="E302" s="758">
        <v>61662.869999999937</v>
      </c>
      <c r="F302" s="820">
        <v>13905.03</v>
      </c>
      <c r="G302" s="813">
        <v>0.32062929745566887</v>
      </c>
      <c r="H302" s="771">
        <v>4458.3599999999997</v>
      </c>
      <c r="I302" s="820">
        <v>15763.84</v>
      </c>
      <c r="J302" s="813">
        <v>0.28004470991839553</v>
      </c>
      <c r="K302" s="771">
        <v>4414.58</v>
      </c>
      <c r="L302" s="820">
        <v>13569.47</v>
      </c>
      <c r="M302" s="813">
        <v>0.29111232789489938</v>
      </c>
      <c r="N302" s="771">
        <v>3950.24</v>
      </c>
      <c r="O302" s="820">
        <v>21891.26</v>
      </c>
      <c r="P302" s="813">
        <v>0.31894829260627261</v>
      </c>
      <c r="Q302" s="771">
        <v>6982.1799999999903</v>
      </c>
      <c r="R302" s="820">
        <v>21253.68</v>
      </c>
      <c r="S302" s="813">
        <v>0.22581360028004513</v>
      </c>
      <c r="T302" s="771">
        <v>4799.3699999999899</v>
      </c>
      <c r="U302" s="820">
        <v>18047.939999999999</v>
      </c>
      <c r="V302" s="813">
        <v>0.31801801202796498</v>
      </c>
      <c r="W302" s="771">
        <v>5739.5699999999897</v>
      </c>
      <c r="X302" s="820">
        <v>16945.259999999998</v>
      </c>
      <c r="Y302" s="813">
        <v>0.2982108270985509</v>
      </c>
      <c r="Z302" s="771">
        <v>5053.2599999999902</v>
      </c>
      <c r="AA302" s="820">
        <v>21856.25</v>
      </c>
      <c r="AB302" s="813">
        <v>0.24229270803545894</v>
      </c>
      <c r="AC302" s="771">
        <v>5295.61</v>
      </c>
      <c r="AD302" s="820">
        <v>19863.93</v>
      </c>
      <c r="AE302" s="813">
        <v>0.2095733321653872</v>
      </c>
      <c r="AF302" s="771">
        <v>4162.95</v>
      </c>
      <c r="AG302" s="820">
        <v>19722.91</v>
      </c>
      <c r="AH302" s="813">
        <v>0.2671674717371828</v>
      </c>
      <c r="AI302" s="771">
        <v>5269.32</v>
      </c>
      <c r="AJ302" s="820">
        <v>32301.17</v>
      </c>
      <c r="AK302" s="813">
        <v>0.21911373488947894</v>
      </c>
      <c r="AL302" s="771">
        <v>7077.6299999999901</v>
      </c>
      <c r="AM302" s="820">
        <v>16991.91</v>
      </c>
      <c r="AN302" s="813">
        <v>0.26246607944604167</v>
      </c>
      <c r="AO302" s="771">
        <v>4459.7999999999902</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4"/>
        <v>PiècesVentes de Gros</v>
      </c>
      <c r="B303" s="44" t="s">
        <v>187</v>
      </c>
      <c r="C303" s="819">
        <v>1871696.81</v>
      </c>
      <c r="D303" s="813">
        <v>0.13797422671249795</v>
      </c>
      <c r="E303" s="758">
        <v>258245.9199999992</v>
      </c>
      <c r="F303" s="820">
        <v>170526</v>
      </c>
      <c r="G303" s="813">
        <v>0.15083887501026177</v>
      </c>
      <c r="H303" s="771">
        <v>25721.949999999899</v>
      </c>
      <c r="I303" s="820">
        <v>139767.99</v>
      </c>
      <c r="J303" s="813">
        <v>0.15477871578463639</v>
      </c>
      <c r="K303" s="771">
        <v>21633.109999999899</v>
      </c>
      <c r="L303" s="820">
        <v>124476.97</v>
      </c>
      <c r="M303" s="813">
        <v>0.13203896270932605</v>
      </c>
      <c r="N303" s="771">
        <v>16435.809999999899</v>
      </c>
      <c r="O303" s="820">
        <v>169839.65</v>
      </c>
      <c r="P303" s="813">
        <v>0.13764453706775717</v>
      </c>
      <c r="Q303" s="771">
        <v>23377.499999999902</v>
      </c>
      <c r="R303" s="820">
        <v>144594.10999999999</v>
      </c>
      <c r="S303" s="813">
        <v>0.16606506309281827</v>
      </c>
      <c r="T303" s="771">
        <v>24012.029999999901</v>
      </c>
      <c r="U303" s="820">
        <v>132980.6</v>
      </c>
      <c r="V303" s="813">
        <v>0.13376725627647942</v>
      </c>
      <c r="W303" s="771">
        <v>17788.45</v>
      </c>
      <c r="X303" s="820">
        <v>143365.44</v>
      </c>
      <c r="Y303" s="813">
        <v>0.13637603316392011</v>
      </c>
      <c r="Z303" s="771">
        <v>19551.61</v>
      </c>
      <c r="AA303" s="820">
        <v>155623.24</v>
      </c>
      <c r="AB303" s="813">
        <v>0.14075224240286929</v>
      </c>
      <c r="AC303" s="771">
        <v>21904.319999999901</v>
      </c>
      <c r="AD303" s="820">
        <v>160121.54</v>
      </c>
      <c r="AE303" s="813">
        <v>0.1305157319870893</v>
      </c>
      <c r="AF303" s="771">
        <v>20898.38</v>
      </c>
      <c r="AG303" s="820">
        <v>221066.25</v>
      </c>
      <c r="AH303" s="813">
        <v>0.12508951502094914</v>
      </c>
      <c r="AI303" s="771">
        <v>27653.069999999901</v>
      </c>
      <c r="AJ303" s="820">
        <v>140151.78</v>
      </c>
      <c r="AK303" s="813">
        <v>0.13822022096330064</v>
      </c>
      <c r="AL303" s="771">
        <v>19371.809999999899</v>
      </c>
      <c r="AM303" s="820">
        <v>169183.24</v>
      </c>
      <c r="AN303" s="813">
        <v>0.11761141351826578</v>
      </c>
      <c r="AO303" s="771">
        <v>19897.88</v>
      </c>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4"/>
        <v>Pièces[...]</v>
      </c>
      <c r="B304" s="44" t="s">
        <v>59</v>
      </c>
      <c r="C304" s="819">
        <v>0</v>
      </c>
      <c r="D304" s="813">
        <v>0</v>
      </c>
      <c r="E304" s="758">
        <v>0</v>
      </c>
      <c r="F304" s="820">
        <v>0</v>
      </c>
      <c r="G304" s="813">
        <v>0</v>
      </c>
      <c r="H304" s="771">
        <v>0</v>
      </c>
      <c r="I304" s="820">
        <v>0</v>
      </c>
      <c r="J304" s="813">
        <v>0</v>
      </c>
      <c r="K304" s="771">
        <v>0</v>
      </c>
      <c r="L304" s="820">
        <v>0</v>
      </c>
      <c r="M304" s="813">
        <v>0</v>
      </c>
      <c r="N304" s="771">
        <v>0</v>
      </c>
      <c r="O304" s="820">
        <v>0</v>
      </c>
      <c r="P304" s="813">
        <v>0</v>
      </c>
      <c r="Q304" s="771">
        <v>0</v>
      </c>
      <c r="R304" s="820">
        <v>0</v>
      </c>
      <c r="S304" s="813">
        <v>0</v>
      </c>
      <c r="T304" s="771">
        <v>0</v>
      </c>
      <c r="U304" s="820">
        <v>0</v>
      </c>
      <c r="V304" s="813">
        <v>0</v>
      </c>
      <c r="W304" s="771">
        <v>0</v>
      </c>
      <c r="X304" s="820">
        <v>0</v>
      </c>
      <c r="Y304" s="813">
        <v>0</v>
      </c>
      <c r="Z304" s="771">
        <v>0</v>
      </c>
      <c r="AA304" s="820">
        <v>0</v>
      </c>
      <c r="AB304" s="813">
        <v>0</v>
      </c>
      <c r="AC304" s="771">
        <v>0</v>
      </c>
      <c r="AD304" s="820">
        <v>0</v>
      </c>
      <c r="AE304" s="813">
        <v>0</v>
      </c>
      <c r="AF304" s="771">
        <v>0</v>
      </c>
      <c r="AG304" s="820">
        <v>0</v>
      </c>
      <c r="AH304" s="813">
        <v>0</v>
      </c>
      <c r="AI304" s="771">
        <v>0</v>
      </c>
      <c r="AJ304" s="820">
        <v>0</v>
      </c>
      <c r="AK304" s="813">
        <v>0</v>
      </c>
      <c r="AL304" s="771">
        <v>0</v>
      </c>
      <c r="AM304" s="820">
        <v>0</v>
      </c>
      <c r="AN304" s="813">
        <v>0</v>
      </c>
      <c r="AO304" s="771">
        <v>0</v>
      </c>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4"/>
        <v>PiècesEscomptes</v>
      </c>
      <c r="B305" s="44" t="s">
        <v>188</v>
      </c>
      <c r="C305" s="819">
        <v>0</v>
      </c>
      <c r="D305" s="813">
        <v>0</v>
      </c>
      <c r="E305" s="758">
        <v>128387.12999999989</v>
      </c>
      <c r="F305" s="820">
        <v>0</v>
      </c>
      <c r="G305" s="813">
        <v>0</v>
      </c>
      <c r="H305" s="771">
        <v>4347.8899999999903</v>
      </c>
      <c r="I305" s="820">
        <v>0</v>
      </c>
      <c r="J305" s="813">
        <v>0</v>
      </c>
      <c r="K305" s="771">
        <v>4787.8599999999997</v>
      </c>
      <c r="L305" s="820">
        <v>0</v>
      </c>
      <c r="M305" s="813">
        <v>0</v>
      </c>
      <c r="N305" s="771">
        <v>31809.05</v>
      </c>
      <c r="O305" s="820">
        <v>0</v>
      </c>
      <c r="P305" s="813">
        <v>0</v>
      </c>
      <c r="Q305" s="771">
        <v>17862.830000000002</v>
      </c>
      <c r="R305" s="820">
        <v>0</v>
      </c>
      <c r="S305" s="813">
        <v>0</v>
      </c>
      <c r="T305" s="771">
        <v>12321.78</v>
      </c>
      <c r="U305" s="820">
        <v>0</v>
      </c>
      <c r="V305" s="813">
        <v>0</v>
      </c>
      <c r="W305" s="771">
        <v>5300.27</v>
      </c>
      <c r="X305" s="820">
        <v>0</v>
      </c>
      <c r="Y305" s="813">
        <v>0</v>
      </c>
      <c r="Z305" s="771">
        <v>3691.28</v>
      </c>
      <c r="AA305" s="820">
        <v>0</v>
      </c>
      <c r="AB305" s="813">
        <v>0</v>
      </c>
      <c r="AC305" s="771">
        <v>3470.01</v>
      </c>
      <c r="AD305" s="820">
        <v>0</v>
      </c>
      <c r="AE305" s="813">
        <v>0</v>
      </c>
      <c r="AF305" s="771">
        <v>9003.5</v>
      </c>
      <c r="AG305" s="820">
        <v>0</v>
      </c>
      <c r="AH305" s="813">
        <v>0</v>
      </c>
      <c r="AI305" s="771">
        <v>9631.32</v>
      </c>
      <c r="AJ305" s="820">
        <v>0</v>
      </c>
      <c r="AK305" s="813">
        <v>0</v>
      </c>
      <c r="AL305" s="771">
        <v>14951.3</v>
      </c>
      <c r="AM305" s="820">
        <v>0</v>
      </c>
      <c r="AN305" s="813">
        <v>0</v>
      </c>
      <c r="AO305" s="771">
        <v>11210.039999999901</v>
      </c>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4"/>
        <v>PiècesRectif. Inventaire</v>
      </c>
      <c r="B306" s="43" t="s">
        <v>189</v>
      </c>
      <c r="C306" s="819">
        <v>0</v>
      </c>
      <c r="D306" s="813">
        <v>0</v>
      </c>
      <c r="E306" s="758">
        <v>0</v>
      </c>
      <c r="F306" s="820">
        <v>0</v>
      </c>
      <c r="G306" s="813">
        <v>0</v>
      </c>
      <c r="H306" s="771">
        <v>0</v>
      </c>
      <c r="I306" s="820">
        <v>0</v>
      </c>
      <c r="J306" s="813">
        <v>0</v>
      </c>
      <c r="K306" s="771">
        <v>0</v>
      </c>
      <c r="L306" s="820">
        <v>0</v>
      </c>
      <c r="M306" s="813">
        <v>0</v>
      </c>
      <c r="N306" s="771">
        <v>0</v>
      </c>
      <c r="O306" s="820">
        <v>0</v>
      </c>
      <c r="P306" s="813">
        <v>0</v>
      </c>
      <c r="Q306" s="771">
        <v>0</v>
      </c>
      <c r="R306" s="820">
        <v>0</v>
      </c>
      <c r="S306" s="813">
        <v>0</v>
      </c>
      <c r="T306" s="771">
        <v>0</v>
      </c>
      <c r="U306" s="820">
        <v>0</v>
      </c>
      <c r="V306" s="813">
        <v>0</v>
      </c>
      <c r="W306" s="771">
        <v>0</v>
      </c>
      <c r="X306" s="820">
        <v>0</v>
      </c>
      <c r="Y306" s="813">
        <v>0</v>
      </c>
      <c r="Z306" s="771">
        <v>0</v>
      </c>
      <c r="AA306" s="820">
        <v>0</v>
      </c>
      <c r="AB306" s="813">
        <v>0</v>
      </c>
      <c r="AC306" s="771">
        <v>0</v>
      </c>
      <c r="AD306" s="820">
        <v>0</v>
      </c>
      <c r="AE306" s="813">
        <v>0</v>
      </c>
      <c r="AF306" s="771">
        <v>0</v>
      </c>
      <c r="AG306" s="820">
        <v>0</v>
      </c>
      <c r="AH306" s="813">
        <v>0</v>
      </c>
      <c r="AI306" s="771">
        <v>0</v>
      </c>
      <c r="AJ306" s="820">
        <v>0</v>
      </c>
      <c r="AK306" s="813">
        <v>0</v>
      </c>
      <c r="AL306" s="771">
        <v>0</v>
      </c>
      <c r="AM306" s="820">
        <v>0</v>
      </c>
      <c r="AN306" s="813">
        <v>0</v>
      </c>
      <c r="AO306" s="771">
        <v>0</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4"/>
        <v>PiècesSous-total Pièces</v>
      </c>
      <c r="B307" s="47" t="s">
        <v>190</v>
      </c>
      <c r="C307" s="853">
        <v>4599391.1199999992</v>
      </c>
      <c r="D307" s="854">
        <v>0.25988696086363672</v>
      </c>
      <c r="E307" s="855">
        <v>1195321.7799999979</v>
      </c>
      <c r="F307" s="853">
        <v>386455.01</v>
      </c>
      <c r="G307" s="854">
        <v>0.24768125014086287</v>
      </c>
      <c r="H307" s="855">
        <v>95717.659999999669</v>
      </c>
      <c r="I307" s="853">
        <v>359648.74999999988</v>
      </c>
      <c r="J307" s="854">
        <v>0.23828496553929304</v>
      </c>
      <c r="K307" s="855">
        <v>85698.889999999796</v>
      </c>
      <c r="L307" s="853">
        <v>302306.81000000006</v>
      </c>
      <c r="M307" s="854">
        <v>0.33208527455931236</v>
      </c>
      <c r="N307" s="855">
        <v>100391.6399999999</v>
      </c>
      <c r="O307" s="853">
        <v>397976.93</v>
      </c>
      <c r="P307" s="854">
        <v>0.28529598436773629</v>
      </c>
      <c r="Q307" s="855">
        <v>113541.21999999968</v>
      </c>
      <c r="R307" s="853">
        <v>376962.33999999997</v>
      </c>
      <c r="S307" s="854">
        <v>0.2906424021030849</v>
      </c>
      <c r="T307" s="855">
        <v>109561.23999999979</v>
      </c>
      <c r="U307" s="853">
        <v>304362.82</v>
      </c>
      <c r="V307" s="854">
        <v>0.25477152564166672</v>
      </c>
      <c r="W307" s="855">
        <v>77542.98</v>
      </c>
      <c r="X307" s="853">
        <v>381493.2</v>
      </c>
      <c r="Y307" s="854">
        <v>0.25340595848104208</v>
      </c>
      <c r="Z307" s="855">
        <v>96672.649999999892</v>
      </c>
      <c r="AA307" s="853">
        <v>401922.06999999896</v>
      </c>
      <c r="AB307" s="854">
        <v>0.24279229055523138</v>
      </c>
      <c r="AC307" s="855">
        <v>97583.579999999798</v>
      </c>
      <c r="AD307" s="853">
        <v>393126.64</v>
      </c>
      <c r="AE307" s="854">
        <v>0.26278888146577906</v>
      </c>
      <c r="AF307" s="855">
        <v>103309.31</v>
      </c>
      <c r="AG307" s="853">
        <v>471079.64</v>
      </c>
      <c r="AH307" s="854">
        <v>0.23351856174467611</v>
      </c>
      <c r="AI307" s="855">
        <v>110005.83999999979</v>
      </c>
      <c r="AJ307" s="853">
        <v>454854.41000000003</v>
      </c>
      <c r="AK307" s="854">
        <v>0.2627899111717964</v>
      </c>
      <c r="AL307" s="855">
        <v>119531.14999999988</v>
      </c>
      <c r="AM307" s="853">
        <v>369202.5</v>
      </c>
      <c r="AN307" s="854">
        <v>0.23229967294370946</v>
      </c>
      <c r="AO307" s="855">
        <v>85765.619999999893</v>
      </c>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4"/>
        <v>Pièces</v>
      </c>
      <c r="B308" s="44"/>
      <c r="C308" s="747"/>
      <c r="D308" s="757"/>
      <c r="E308" s="748"/>
      <c r="F308" s="747"/>
      <c r="G308" s="757"/>
      <c r="H308" s="748"/>
      <c r="I308" s="747"/>
      <c r="J308" s="757"/>
      <c r="K308" s="748"/>
      <c r="L308" s="747"/>
      <c r="M308" s="757"/>
      <c r="N308" s="748"/>
      <c r="O308" s="747"/>
      <c r="P308" s="757"/>
      <c r="Q308" s="748"/>
      <c r="R308" s="747"/>
      <c r="S308" s="757"/>
      <c r="T308" s="748"/>
      <c r="U308" s="747"/>
      <c r="V308" s="757"/>
      <c r="W308" s="748"/>
      <c r="X308" s="747"/>
      <c r="Y308" s="757"/>
      <c r="Z308" s="748"/>
      <c r="AA308" s="747"/>
      <c r="AB308" s="757"/>
      <c r="AC308" s="748"/>
      <c r="AD308" s="747"/>
      <c r="AE308" s="757"/>
      <c r="AF308" s="748"/>
      <c r="AG308" s="747"/>
      <c r="AH308" s="757"/>
      <c r="AI308" s="748"/>
      <c r="AJ308" s="747"/>
      <c r="AK308" s="757"/>
      <c r="AL308" s="748"/>
      <c r="AM308" s="747"/>
      <c r="AN308" s="757"/>
      <c r="AO308" s="748"/>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4"/>
        <v>Pièces</v>
      </c>
      <c r="B309" s="43"/>
      <c r="C309" s="776"/>
      <c r="D309" s="784"/>
      <c r="E309" s="856"/>
      <c r="F309" s="776">
        <v>0</v>
      </c>
      <c r="G309" s="784">
        <v>0</v>
      </c>
      <c r="H309" s="856">
        <v>0</v>
      </c>
      <c r="I309" s="776">
        <v>0</v>
      </c>
      <c r="J309" s="784">
        <v>0</v>
      </c>
      <c r="K309" s="856">
        <v>0</v>
      </c>
      <c r="L309" s="776">
        <v>0</v>
      </c>
      <c r="M309" s="784">
        <v>0</v>
      </c>
      <c r="N309" s="856">
        <v>0</v>
      </c>
      <c r="O309" s="776">
        <v>0</v>
      </c>
      <c r="P309" s="784">
        <v>0</v>
      </c>
      <c r="Q309" s="856">
        <v>0</v>
      </c>
      <c r="R309" s="776">
        <v>0</v>
      </c>
      <c r="S309" s="784">
        <v>0</v>
      </c>
      <c r="T309" s="856">
        <v>0</v>
      </c>
      <c r="U309" s="776">
        <v>0</v>
      </c>
      <c r="V309" s="784">
        <v>0</v>
      </c>
      <c r="W309" s="856">
        <v>0</v>
      </c>
      <c r="X309" s="776">
        <v>0</v>
      </c>
      <c r="Y309" s="784">
        <v>0</v>
      </c>
      <c r="Z309" s="856">
        <v>0</v>
      </c>
      <c r="AA309" s="776">
        <v>0</v>
      </c>
      <c r="AB309" s="784">
        <v>0</v>
      </c>
      <c r="AC309" s="856">
        <v>0</v>
      </c>
      <c r="AD309" s="776">
        <v>0</v>
      </c>
      <c r="AE309" s="784">
        <v>0</v>
      </c>
      <c r="AF309" s="856">
        <v>0</v>
      </c>
      <c r="AG309" s="776">
        <v>0</v>
      </c>
      <c r="AH309" s="784">
        <v>0</v>
      </c>
      <c r="AI309" s="856">
        <v>0</v>
      </c>
      <c r="AJ309" s="776">
        <v>0</v>
      </c>
      <c r="AK309" s="784">
        <v>0</v>
      </c>
      <c r="AL309" s="856">
        <v>0</v>
      </c>
      <c r="AM309" s="776">
        <v>0</v>
      </c>
      <c r="AN309" s="784">
        <v>0</v>
      </c>
      <c r="AO309" s="856">
        <v>0</v>
      </c>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4"/>
        <v>PiècesVentes Pneus</v>
      </c>
      <c r="B310" s="44" t="s">
        <v>191</v>
      </c>
      <c r="C310" s="819">
        <v>531144.48</v>
      </c>
      <c r="D310" s="813">
        <v>0.16668752728071268</v>
      </c>
      <c r="E310" s="758">
        <v>88535.159999999945</v>
      </c>
      <c r="F310" s="820">
        <v>56894.84</v>
      </c>
      <c r="G310" s="813">
        <v>0.17446924888091786</v>
      </c>
      <c r="H310" s="771">
        <v>9926.4</v>
      </c>
      <c r="I310" s="820">
        <v>51997.67</v>
      </c>
      <c r="J310" s="813">
        <v>0.14912898981819742</v>
      </c>
      <c r="K310" s="771">
        <v>7754.3599999999897</v>
      </c>
      <c r="L310" s="820">
        <v>19665.25</v>
      </c>
      <c r="M310" s="813">
        <v>0.1603879940504184</v>
      </c>
      <c r="N310" s="771">
        <v>3154.0699999999902</v>
      </c>
      <c r="O310" s="820">
        <v>33810.449999999997</v>
      </c>
      <c r="P310" s="813">
        <v>0.15712154082539573</v>
      </c>
      <c r="Q310" s="771">
        <v>5312.35</v>
      </c>
      <c r="R310" s="820">
        <v>39158.370000000003</v>
      </c>
      <c r="S310" s="813">
        <v>0.16776592079803115</v>
      </c>
      <c r="T310" s="771">
        <v>6569.44</v>
      </c>
      <c r="U310" s="820">
        <v>9670.9599999999991</v>
      </c>
      <c r="V310" s="813">
        <v>0.19384218319587612</v>
      </c>
      <c r="W310" s="771">
        <v>1874.6399999999901</v>
      </c>
      <c r="X310" s="820">
        <v>17894.14</v>
      </c>
      <c r="Y310" s="813">
        <v>0.15636012683481798</v>
      </c>
      <c r="Z310" s="771">
        <v>2797.9299999999898</v>
      </c>
      <c r="AA310" s="820">
        <v>27866.12</v>
      </c>
      <c r="AB310" s="813">
        <v>0.12803648301234619</v>
      </c>
      <c r="AC310" s="771">
        <v>3567.88</v>
      </c>
      <c r="AD310" s="820">
        <v>21329.79</v>
      </c>
      <c r="AE310" s="813">
        <v>0.16221209866576275</v>
      </c>
      <c r="AF310" s="771">
        <v>3459.95</v>
      </c>
      <c r="AG310" s="820">
        <v>70357.13</v>
      </c>
      <c r="AH310" s="813">
        <v>0.17202833600517814</v>
      </c>
      <c r="AI310" s="771">
        <v>12103.42</v>
      </c>
      <c r="AJ310" s="820">
        <v>125231.29</v>
      </c>
      <c r="AK310" s="813">
        <v>0.1686120138185912</v>
      </c>
      <c r="AL310" s="771">
        <v>21115.5</v>
      </c>
      <c r="AM310" s="820">
        <v>57268.47</v>
      </c>
      <c r="AN310" s="813">
        <v>0.19031798824030044</v>
      </c>
      <c r="AO310" s="771">
        <v>10899.22</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4"/>
        <v>PiècesHuiles et Graisse</v>
      </c>
      <c r="B311" s="43" t="s">
        <v>192</v>
      </c>
      <c r="C311" s="819">
        <v>284600.24000000005</v>
      </c>
      <c r="D311" s="813">
        <v>0.25616341714961255</v>
      </c>
      <c r="E311" s="758">
        <v>72904.169999999867</v>
      </c>
      <c r="F311" s="820">
        <v>17082.13</v>
      </c>
      <c r="G311" s="813">
        <v>0.2296095393255993</v>
      </c>
      <c r="H311" s="771">
        <v>3922.22</v>
      </c>
      <c r="I311" s="820">
        <v>14664.52</v>
      </c>
      <c r="J311" s="813">
        <v>0.23962461778496602</v>
      </c>
      <c r="K311" s="771">
        <v>3513.97999999999</v>
      </c>
      <c r="L311" s="820">
        <v>21393.59</v>
      </c>
      <c r="M311" s="813">
        <v>0.2476639030662923</v>
      </c>
      <c r="N311" s="771">
        <v>5298.42</v>
      </c>
      <c r="O311" s="820">
        <v>27235.040000000001</v>
      </c>
      <c r="P311" s="813">
        <v>0.26812554708933783</v>
      </c>
      <c r="Q311" s="771">
        <v>7302.41</v>
      </c>
      <c r="R311" s="820">
        <v>28957.45</v>
      </c>
      <c r="S311" s="813">
        <v>0.2606904268158971</v>
      </c>
      <c r="T311" s="771">
        <v>7548.93</v>
      </c>
      <c r="U311" s="820">
        <v>18493.45</v>
      </c>
      <c r="V311" s="813">
        <v>0.25780749400463404</v>
      </c>
      <c r="W311" s="771">
        <v>4767.75</v>
      </c>
      <c r="X311" s="820">
        <v>21225.38</v>
      </c>
      <c r="Y311" s="813">
        <v>0.24730440632864994</v>
      </c>
      <c r="Z311" s="771">
        <v>5249.13</v>
      </c>
      <c r="AA311" s="820">
        <v>22140.26</v>
      </c>
      <c r="AB311" s="813">
        <v>0.25765144582764571</v>
      </c>
      <c r="AC311" s="771">
        <v>5704.4699999999903</v>
      </c>
      <c r="AD311" s="820">
        <v>22305.64</v>
      </c>
      <c r="AE311" s="813">
        <v>0.25898606809757491</v>
      </c>
      <c r="AF311" s="771">
        <v>5776.8499999999904</v>
      </c>
      <c r="AG311" s="820">
        <v>30225.95</v>
      </c>
      <c r="AH311" s="813">
        <v>0.26090594340293688</v>
      </c>
      <c r="AI311" s="771">
        <v>7886.13</v>
      </c>
      <c r="AJ311" s="820">
        <v>42571.25</v>
      </c>
      <c r="AK311" s="813">
        <v>0.26211375047713892</v>
      </c>
      <c r="AL311" s="771">
        <v>11158.5099999999</v>
      </c>
      <c r="AM311" s="820">
        <v>18305.580000000002</v>
      </c>
      <c r="AN311" s="813">
        <v>0.26086963647150208</v>
      </c>
      <c r="AO311" s="771">
        <v>4775.37</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4"/>
        <v>PiècesSous-total Pièces et Acc.</v>
      </c>
      <c r="B312" s="47" t="s">
        <v>193</v>
      </c>
      <c r="C312" s="853">
        <v>5415135.8399999999</v>
      </c>
      <c r="D312" s="854">
        <v>0.25054978306878406</v>
      </c>
      <c r="E312" s="855">
        <v>1356761.1099999978</v>
      </c>
      <c r="F312" s="853">
        <v>460431.98</v>
      </c>
      <c r="G312" s="854">
        <v>0.23796409623849255</v>
      </c>
      <c r="H312" s="855">
        <v>109566.27999999966</v>
      </c>
      <c r="I312" s="853">
        <v>426310.93999999989</v>
      </c>
      <c r="J312" s="854">
        <v>0.22745658368513791</v>
      </c>
      <c r="K312" s="855">
        <v>96967.229999999778</v>
      </c>
      <c r="L312" s="853">
        <v>343365.65000000008</v>
      </c>
      <c r="M312" s="854">
        <v>0.31699190061673282</v>
      </c>
      <c r="N312" s="855">
        <v>108844.12999999989</v>
      </c>
      <c r="O312" s="853">
        <v>459022.42</v>
      </c>
      <c r="P312" s="854">
        <v>0.2748362051683656</v>
      </c>
      <c r="Q312" s="855">
        <v>126155.97999999969</v>
      </c>
      <c r="R312" s="853">
        <v>445078.16</v>
      </c>
      <c r="S312" s="854">
        <v>0.27788290038765279</v>
      </c>
      <c r="T312" s="855">
        <v>123679.60999999978</v>
      </c>
      <c r="U312" s="853">
        <v>332527.23000000004</v>
      </c>
      <c r="V312" s="854">
        <v>0.25316834955140355</v>
      </c>
      <c r="W312" s="855">
        <v>84185.369999999981</v>
      </c>
      <c r="X312" s="853">
        <v>420612.72000000003</v>
      </c>
      <c r="Y312" s="854">
        <v>0.24896943202288291</v>
      </c>
      <c r="Z312" s="855">
        <v>104719.70999999989</v>
      </c>
      <c r="AA312" s="853">
        <v>451928.44999999896</v>
      </c>
      <c r="AB312" s="854">
        <v>0.236444353082883</v>
      </c>
      <c r="AC312" s="855">
        <v>106855.92999999979</v>
      </c>
      <c r="AD312" s="853">
        <v>436762.07</v>
      </c>
      <c r="AE312" s="854">
        <v>0.25768288441347481</v>
      </c>
      <c r="AF312" s="855">
        <v>112546.10999999999</v>
      </c>
      <c r="AG312" s="853">
        <v>571662.72</v>
      </c>
      <c r="AH312" s="854">
        <v>0.22739875358672995</v>
      </c>
      <c r="AI312" s="855">
        <v>129995.3899999998</v>
      </c>
      <c r="AJ312" s="853">
        <v>622656.95000000007</v>
      </c>
      <c r="AK312" s="854">
        <v>0.24380224134653883</v>
      </c>
      <c r="AL312" s="855">
        <v>151805.15999999977</v>
      </c>
      <c r="AM312" s="853">
        <v>444776.55</v>
      </c>
      <c r="AN312" s="854">
        <v>0.22807005000600838</v>
      </c>
      <c r="AO312" s="855">
        <v>101440.20999999989</v>
      </c>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4"/>
        <v>Pièces</v>
      </c>
      <c r="B313" s="44"/>
      <c r="C313" s="747"/>
      <c r="D313" s="757"/>
      <c r="E313" s="748"/>
      <c r="F313" s="747"/>
      <c r="G313" s="757"/>
      <c r="H313" s="748"/>
      <c r="I313" s="747"/>
      <c r="J313" s="757"/>
      <c r="K313" s="748"/>
      <c r="L313" s="747"/>
      <c r="M313" s="757"/>
      <c r="N313" s="748"/>
      <c r="O313" s="747"/>
      <c r="P313" s="757"/>
      <c r="Q313" s="748"/>
      <c r="R313" s="747"/>
      <c r="S313" s="757"/>
      <c r="T313" s="748"/>
      <c r="U313" s="747"/>
      <c r="V313" s="757"/>
      <c r="W313" s="748"/>
      <c r="X313" s="747"/>
      <c r="Y313" s="757"/>
      <c r="Z313" s="748"/>
      <c r="AA313" s="747"/>
      <c r="AB313" s="757"/>
      <c r="AC313" s="748"/>
      <c r="AD313" s="747"/>
      <c r="AE313" s="757"/>
      <c r="AF313" s="748"/>
      <c r="AG313" s="747"/>
      <c r="AH313" s="757"/>
      <c r="AI313" s="748"/>
      <c r="AJ313" s="747"/>
      <c r="AK313" s="757"/>
      <c r="AL313" s="748"/>
      <c r="AM313" s="747"/>
      <c r="AN313" s="757"/>
      <c r="AO313" s="748"/>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4"/>
        <v>PiècesPièces recond. MCPA</v>
      </c>
      <c r="B314" s="44" t="s">
        <v>3860</v>
      </c>
      <c r="C314" s="819">
        <v>0</v>
      </c>
      <c r="D314" s="813">
        <v>0</v>
      </c>
      <c r="E314" s="758">
        <v>0</v>
      </c>
      <c r="F314" s="747"/>
      <c r="G314" s="857"/>
      <c r="H314" s="748"/>
      <c r="I314" s="747"/>
      <c r="J314" s="857"/>
      <c r="K314" s="748"/>
      <c r="L314" s="747"/>
      <c r="M314" s="857"/>
      <c r="N314" s="748"/>
      <c r="O314" s="747"/>
      <c r="P314" s="857"/>
      <c r="Q314" s="748"/>
      <c r="R314" s="747"/>
      <c r="S314" s="857"/>
      <c r="T314" s="748"/>
      <c r="U314" s="747"/>
      <c r="V314" s="857"/>
      <c r="W314" s="748"/>
      <c r="X314" s="747"/>
      <c r="Y314" s="857"/>
      <c r="Z314" s="748"/>
      <c r="AA314" s="747"/>
      <c r="AB314" s="857"/>
      <c r="AC314" s="748"/>
      <c r="AD314" s="747"/>
      <c r="AE314" s="857"/>
      <c r="AF314" s="748"/>
      <c r="AG314" s="747"/>
      <c r="AH314" s="857"/>
      <c r="AI314" s="748"/>
      <c r="AJ314" s="747"/>
      <c r="AK314" s="857"/>
      <c r="AL314" s="748"/>
      <c r="AM314" s="747"/>
      <c r="AN314" s="857"/>
      <c r="AO314" s="748"/>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4"/>
        <v>PiècesAutostock</v>
      </c>
      <c r="B315" s="43" t="s">
        <v>194</v>
      </c>
      <c r="C315" s="858">
        <v>0</v>
      </c>
      <c r="D315" s="859">
        <v>0</v>
      </c>
      <c r="E315" s="787">
        <v>0</v>
      </c>
      <c r="F315" s="860">
        <v>0</v>
      </c>
      <c r="G315" s="859">
        <v>0</v>
      </c>
      <c r="H315" s="788">
        <v>0</v>
      </c>
      <c r="I315" s="860">
        <v>0</v>
      </c>
      <c r="J315" s="859">
        <v>0</v>
      </c>
      <c r="K315" s="788">
        <v>0</v>
      </c>
      <c r="L315" s="860">
        <v>0</v>
      </c>
      <c r="M315" s="859">
        <v>0</v>
      </c>
      <c r="N315" s="788">
        <v>0</v>
      </c>
      <c r="O315" s="860">
        <v>0</v>
      </c>
      <c r="P315" s="859">
        <v>0</v>
      </c>
      <c r="Q315" s="788">
        <v>0</v>
      </c>
      <c r="R315" s="860">
        <v>0</v>
      </c>
      <c r="S315" s="859">
        <v>0</v>
      </c>
      <c r="T315" s="788">
        <v>0</v>
      </c>
      <c r="U315" s="860">
        <v>0</v>
      </c>
      <c r="V315" s="859">
        <v>0</v>
      </c>
      <c r="W315" s="788">
        <v>0</v>
      </c>
      <c r="X315" s="860">
        <v>0</v>
      </c>
      <c r="Y315" s="859">
        <v>0</v>
      </c>
      <c r="Z315" s="788">
        <v>0</v>
      </c>
      <c r="AA315" s="860">
        <v>0</v>
      </c>
      <c r="AB315" s="859">
        <v>0</v>
      </c>
      <c r="AC315" s="788">
        <v>0</v>
      </c>
      <c r="AD315" s="860">
        <v>0</v>
      </c>
      <c r="AE315" s="859">
        <v>0</v>
      </c>
      <c r="AF315" s="788">
        <v>0</v>
      </c>
      <c r="AG315" s="860">
        <v>0</v>
      </c>
      <c r="AH315" s="859">
        <v>0</v>
      </c>
      <c r="AI315" s="788">
        <v>0</v>
      </c>
      <c r="AJ315" s="860">
        <v>0</v>
      </c>
      <c r="AK315" s="859">
        <v>0</v>
      </c>
      <c r="AL315" s="788">
        <v>0</v>
      </c>
      <c r="AM315" s="860">
        <v>0</v>
      </c>
      <c r="AN315" s="859">
        <v>0</v>
      </c>
      <c r="AO315" s="788">
        <v>0</v>
      </c>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thickBot="1">
      <c r="A316" s="39" t="str">
        <f t="shared" si="4"/>
        <v>Pièces</v>
      </c>
      <c r="B316" s="44"/>
      <c r="C316" s="819"/>
      <c r="D316" s="813"/>
      <c r="E316" s="758"/>
      <c r="F316" s="819"/>
      <c r="G316" s="813"/>
      <c r="H316" s="758"/>
      <c r="I316" s="819"/>
      <c r="J316" s="813"/>
      <c r="K316" s="758"/>
      <c r="L316" s="819"/>
      <c r="M316" s="813"/>
      <c r="N316" s="758"/>
      <c r="O316" s="819"/>
      <c r="P316" s="813"/>
      <c r="Q316" s="758"/>
      <c r="R316" s="819"/>
      <c r="S316" s="813"/>
      <c r="T316" s="758"/>
      <c r="U316" s="819"/>
      <c r="V316" s="813"/>
      <c r="W316" s="758"/>
      <c r="X316" s="819"/>
      <c r="Y316" s="813"/>
      <c r="Z316" s="758"/>
      <c r="AA316" s="819"/>
      <c r="AB316" s="813"/>
      <c r="AC316" s="758"/>
      <c r="AD316" s="819"/>
      <c r="AE316" s="813"/>
      <c r="AF316" s="758"/>
      <c r="AG316" s="819"/>
      <c r="AH316" s="813"/>
      <c r="AI316" s="758"/>
      <c r="AJ316" s="819"/>
      <c r="AK316" s="813"/>
      <c r="AL316" s="758"/>
      <c r="AM316" s="819"/>
      <c r="AN316" s="813"/>
      <c r="AO316" s="758"/>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thickTop="1">
      <c r="A317" s="39" t="str">
        <f t="shared" si="4"/>
        <v>PiècesTotal Dépt. Pièces</v>
      </c>
      <c r="B317" s="49" t="s">
        <v>195</v>
      </c>
      <c r="C317" s="759">
        <v>5415135.8399999999</v>
      </c>
      <c r="D317" s="861">
        <v>0.25054978306878406</v>
      </c>
      <c r="E317" s="761">
        <v>1356761.1099999978</v>
      </c>
      <c r="F317" s="759">
        <v>460431.98</v>
      </c>
      <c r="G317" s="861">
        <v>0.23796409623849255</v>
      </c>
      <c r="H317" s="761">
        <v>109566.27999999966</v>
      </c>
      <c r="I317" s="759">
        <v>426310.93999999989</v>
      </c>
      <c r="J317" s="861">
        <v>0.22745658368513791</v>
      </c>
      <c r="K317" s="761">
        <v>96967.229999999778</v>
      </c>
      <c r="L317" s="759">
        <v>343365.65000000008</v>
      </c>
      <c r="M317" s="861">
        <v>0.31699190061673282</v>
      </c>
      <c r="N317" s="761">
        <v>108844.12999999989</v>
      </c>
      <c r="O317" s="759">
        <v>459022.42</v>
      </c>
      <c r="P317" s="861">
        <v>0.2748362051683656</v>
      </c>
      <c r="Q317" s="761">
        <v>126155.97999999969</v>
      </c>
      <c r="R317" s="759">
        <v>445078.16</v>
      </c>
      <c r="S317" s="861">
        <v>0.27788290038765279</v>
      </c>
      <c r="T317" s="761">
        <v>123679.60999999978</v>
      </c>
      <c r="U317" s="759">
        <v>332527.23000000004</v>
      </c>
      <c r="V317" s="861">
        <v>0.25316834955140355</v>
      </c>
      <c r="W317" s="761">
        <v>84185.369999999981</v>
      </c>
      <c r="X317" s="759">
        <v>420612.72000000003</v>
      </c>
      <c r="Y317" s="861">
        <v>0.24896943202288291</v>
      </c>
      <c r="Z317" s="761">
        <v>104719.70999999989</v>
      </c>
      <c r="AA317" s="759">
        <v>451928.44999999896</v>
      </c>
      <c r="AB317" s="861">
        <v>0.236444353082883</v>
      </c>
      <c r="AC317" s="761">
        <v>106855.92999999979</v>
      </c>
      <c r="AD317" s="759">
        <v>436762.07</v>
      </c>
      <c r="AE317" s="861">
        <v>0.25768288441347481</v>
      </c>
      <c r="AF317" s="761">
        <v>112546.10999999999</v>
      </c>
      <c r="AG317" s="759">
        <v>571662.72</v>
      </c>
      <c r="AH317" s="861">
        <v>0.22739875358672995</v>
      </c>
      <c r="AI317" s="761">
        <v>129995.3899999998</v>
      </c>
      <c r="AJ317" s="759">
        <v>622656.95000000007</v>
      </c>
      <c r="AK317" s="861">
        <v>0.24380224134653883</v>
      </c>
      <c r="AL317" s="761">
        <v>151805.15999999977</v>
      </c>
      <c r="AM317" s="759">
        <v>444776.55</v>
      </c>
      <c r="AN317" s="861">
        <v>0.22807005000600838</v>
      </c>
      <c r="AO317" s="761">
        <v>101440.20999999989</v>
      </c>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thickBot="1">
      <c r="A318" s="39" t="str">
        <f t="shared" si="4"/>
        <v>Pièces</v>
      </c>
      <c r="B318" s="65"/>
      <c r="C318" s="862"/>
      <c r="D318" s="863"/>
      <c r="E318" s="864"/>
      <c r="F318" s="862"/>
      <c r="G318" s="863"/>
      <c r="H318" s="864"/>
      <c r="I318" s="862"/>
      <c r="J318" s="863"/>
      <c r="K318" s="864"/>
      <c r="L318" s="862"/>
      <c r="M318" s="863"/>
      <c r="N318" s="864"/>
      <c r="O318" s="862"/>
      <c r="P318" s="863"/>
      <c r="Q318" s="864"/>
      <c r="R318" s="862"/>
      <c r="S318" s="863"/>
      <c r="T318" s="864"/>
      <c r="U318" s="862"/>
      <c r="V318" s="863"/>
      <c r="W318" s="864"/>
      <c r="X318" s="862"/>
      <c r="Y318" s="863"/>
      <c r="Z318" s="864"/>
      <c r="AA318" s="862"/>
      <c r="AB318" s="863"/>
      <c r="AC318" s="864"/>
      <c r="AD318" s="862"/>
      <c r="AE318" s="863"/>
      <c r="AF318" s="864"/>
      <c r="AG318" s="862"/>
      <c r="AH318" s="863"/>
      <c r="AI318" s="864"/>
      <c r="AJ318" s="862"/>
      <c r="AK318" s="863"/>
      <c r="AL318" s="864"/>
      <c r="AM318" s="862"/>
      <c r="AN318" s="863"/>
      <c r="AO318" s="864"/>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thickTop="1">
      <c r="A319" s="39" t="str">
        <f t="shared" si="4"/>
        <v>Pièces</v>
      </c>
      <c r="B319" s="47"/>
      <c r="C319" s="865"/>
      <c r="D319" s="866"/>
      <c r="E319" s="795"/>
      <c r="F319" s="865"/>
      <c r="G319" s="866"/>
      <c r="H319" s="795"/>
      <c r="I319" s="865"/>
      <c r="J319" s="866"/>
      <c r="K319" s="795"/>
      <c r="L319" s="865"/>
      <c r="M319" s="866"/>
      <c r="N319" s="795"/>
      <c r="O319" s="865"/>
      <c r="P319" s="866"/>
      <c r="Q319" s="795"/>
      <c r="R319" s="865"/>
      <c r="S319" s="866"/>
      <c r="T319" s="795"/>
      <c r="U319" s="865"/>
      <c r="V319" s="866"/>
      <c r="W319" s="795"/>
      <c r="X319" s="865"/>
      <c r="Y319" s="866"/>
      <c r="Z319" s="795"/>
      <c r="AA319" s="865"/>
      <c r="AB319" s="866"/>
      <c r="AC319" s="795"/>
      <c r="AD319" s="865"/>
      <c r="AE319" s="866"/>
      <c r="AF319" s="795"/>
      <c r="AG319" s="865"/>
      <c r="AH319" s="866"/>
      <c r="AI319" s="795"/>
      <c r="AJ319" s="865"/>
      <c r="AK319" s="866"/>
      <c r="AL319" s="795"/>
      <c r="AM319" s="865"/>
      <c r="AN319" s="866"/>
      <c r="AO319" s="795"/>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4"/>
        <v>PiècesDEPENSES</v>
      </c>
      <c r="B320" s="52" t="s">
        <v>110</v>
      </c>
      <c r="C320" s="747"/>
      <c r="D320" s="757"/>
      <c r="E320" s="748"/>
      <c r="F320" s="747"/>
      <c r="G320" s="757"/>
      <c r="H320" s="748"/>
      <c r="I320" s="747"/>
      <c r="J320" s="757"/>
      <c r="K320" s="748"/>
      <c r="L320" s="747"/>
      <c r="M320" s="757"/>
      <c r="N320" s="748"/>
      <c r="O320" s="747"/>
      <c r="P320" s="757"/>
      <c r="Q320" s="748"/>
      <c r="R320" s="747"/>
      <c r="S320" s="757"/>
      <c r="T320" s="748"/>
      <c r="U320" s="747"/>
      <c r="V320" s="757"/>
      <c r="W320" s="748"/>
      <c r="X320" s="747"/>
      <c r="Y320" s="757"/>
      <c r="Z320" s="748"/>
      <c r="AA320" s="747"/>
      <c r="AB320" s="757"/>
      <c r="AC320" s="748"/>
      <c r="AD320" s="747"/>
      <c r="AE320" s="757"/>
      <c r="AF320" s="748"/>
      <c r="AG320" s="747"/>
      <c r="AH320" s="757"/>
      <c r="AI320" s="748"/>
      <c r="AJ320" s="747"/>
      <c r="AK320" s="757"/>
      <c r="AL320" s="748"/>
      <c r="AM320" s="747"/>
      <c r="AN320" s="757"/>
      <c r="AO320" s="748"/>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4"/>
        <v>PiècesSalaires cadres</v>
      </c>
      <c r="B321" s="54" t="s">
        <v>120</v>
      </c>
      <c r="C321" s="747"/>
      <c r="D321" s="757"/>
      <c r="E321" s="758">
        <v>102195.55</v>
      </c>
      <c r="F321" s="747"/>
      <c r="G321" s="757"/>
      <c r="H321" s="771">
        <v>11123.37</v>
      </c>
      <c r="I321" s="747"/>
      <c r="J321" s="757"/>
      <c r="K321" s="771">
        <v>8856.35</v>
      </c>
      <c r="L321" s="747"/>
      <c r="M321" s="757"/>
      <c r="N321" s="771">
        <v>7736.15</v>
      </c>
      <c r="O321" s="747"/>
      <c r="P321" s="757"/>
      <c r="Q321" s="771">
        <v>7005.54</v>
      </c>
      <c r="R321" s="747"/>
      <c r="S321" s="757"/>
      <c r="T321" s="771">
        <v>7201.22</v>
      </c>
      <c r="U321" s="747"/>
      <c r="V321" s="757"/>
      <c r="W321" s="771">
        <v>6304.17</v>
      </c>
      <c r="X321" s="747"/>
      <c r="Y321" s="757"/>
      <c r="Z321" s="771">
        <v>9176.36</v>
      </c>
      <c r="AA321" s="747"/>
      <c r="AB321" s="757"/>
      <c r="AC321" s="771">
        <v>9024.27</v>
      </c>
      <c r="AD321" s="747"/>
      <c r="AE321" s="757"/>
      <c r="AF321" s="771">
        <v>9892.69</v>
      </c>
      <c r="AG321" s="747"/>
      <c r="AH321" s="757"/>
      <c r="AI321" s="771">
        <v>6958.82</v>
      </c>
      <c r="AJ321" s="747"/>
      <c r="AK321" s="757"/>
      <c r="AL321" s="771">
        <v>8668.85</v>
      </c>
      <c r="AM321" s="747"/>
      <c r="AN321" s="757"/>
      <c r="AO321" s="771">
        <v>10247.76</v>
      </c>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4"/>
        <v>PiècesSalaires commis</v>
      </c>
      <c r="B322" s="55" t="s">
        <v>121</v>
      </c>
      <c r="C322" s="747"/>
      <c r="D322" s="757"/>
      <c r="E322" s="758">
        <v>306458.19</v>
      </c>
      <c r="F322" s="747"/>
      <c r="G322" s="757"/>
      <c r="H322" s="771">
        <v>18527.95</v>
      </c>
      <c r="I322" s="747"/>
      <c r="J322" s="757"/>
      <c r="K322" s="771">
        <v>21764.62</v>
      </c>
      <c r="L322" s="747"/>
      <c r="M322" s="757"/>
      <c r="N322" s="771">
        <v>29881.62</v>
      </c>
      <c r="O322" s="747"/>
      <c r="P322" s="757"/>
      <c r="Q322" s="771">
        <v>24992.33</v>
      </c>
      <c r="R322" s="747"/>
      <c r="S322" s="757"/>
      <c r="T322" s="771">
        <v>30808.98</v>
      </c>
      <c r="U322" s="747"/>
      <c r="V322" s="757"/>
      <c r="W322" s="771">
        <v>22540.87</v>
      </c>
      <c r="X322" s="747"/>
      <c r="Y322" s="757"/>
      <c r="Z322" s="771">
        <v>23703.279999999999</v>
      </c>
      <c r="AA322" s="747"/>
      <c r="AB322" s="757"/>
      <c r="AC322" s="771">
        <v>26468.2</v>
      </c>
      <c r="AD322" s="747"/>
      <c r="AE322" s="757"/>
      <c r="AF322" s="771">
        <v>25295.599999999999</v>
      </c>
      <c r="AG322" s="747"/>
      <c r="AH322" s="757"/>
      <c r="AI322" s="771">
        <v>25749.9</v>
      </c>
      <c r="AJ322" s="747"/>
      <c r="AK322" s="757"/>
      <c r="AL322" s="771">
        <v>33164.269999999997</v>
      </c>
      <c r="AM322" s="747"/>
      <c r="AN322" s="757"/>
      <c r="AO322" s="771">
        <v>23560.57</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4"/>
        <v>PiècesSalaires autres</v>
      </c>
      <c r="B323" s="54" t="s">
        <v>122</v>
      </c>
      <c r="C323" s="780"/>
      <c r="D323" s="781"/>
      <c r="E323" s="782">
        <v>8600.33</v>
      </c>
      <c r="F323" s="780"/>
      <c r="G323" s="781"/>
      <c r="H323" s="783">
        <v>4364.6000000000004</v>
      </c>
      <c r="I323" s="780"/>
      <c r="J323" s="781"/>
      <c r="K323" s="783">
        <v>2429.1799999999998</v>
      </c>
      <c r="L323" s="780"/>
      <c r="M323" s="781"/>
      <c r="N323" s="783">
        <v>113.92</v>
      </c>
      <c r="O323" s="780"/>
      <c r="P323" s="781"/>
      <c r="Q323" s="783">
        <v>190.37</v>
      </c>
      <c r="R323" s="780"/>
      <c r="S323" s="781"/>
      <c r="T323" s="783">
        <v>704.82</v>
      </c>
      <c r="U323" s="780"/>
      <c r="V323" s="781"/>
      <c r="W323" s="783">
        <v>113.92</v>
      </c>
      <c r="X323" s="780"/>
      <c r="Y323" s="781"/>
      <c r="Z323" s="783">
        <v>113.92</v>
      </c>
      <c r="AA323" s="780"/>
      <c r="AB323" s="781"/>
      <c r="AC323" s="783">
        <v>113.92</v>
      </c>
      <c r="AD323" s="780"/>
      <c r="AE323" s="781"/>
      <c r="AF323" s="783">
        <v>113.92</v>
      </c>
      <c r="AG323" s="780"/>
      <c r="AH323" s="781"/>
      <c r="AI323" s="783">
        <v>113.92</v>
      </c>
      <c r="AJ323" s="780"/>
      <c r="AK323" s="781"/>
      <c r="AL323" s="783">
        <v>113.92</v>
      </c>
      <c r="AM323" s="780"/>
      <c r="AN323" s="781"/>
      <c r="AO323" s="783">
        <v>113.92</v>
      </c>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4"/>
        <v>PiècesSalaires spécialistes</v>
      </c>
      <c r="B324" s="54" t="s">
        <v>123</v>
      </c>
      <c r="C324" s="747"/>
      <c r="D324" s="757"/>
      <c r="E324" s="758">
        <v>0</v>
      </c>
      <c r="F324" s="747"/>
      <c r="G324" s="757"/>
      <c r="H324" s="771">
        <v>0</v>
      </c>
      <c r="I324" s="747"/>
      <c r="J324" s="757"/>
      <c r="K324" s="771">
        <v>0</v>
      </c>
      <c r="L324" s="747"/>
      <c r="M324" s="757"/>
      <c r="N324" s="771">
        <v>0</v>
      </c>
      <c r="O324" s="747"/>
      <c r="P324" s="757"/>
      <c r="Q324" s="771">
        <v>0</v>
      </c>
      <c r="R324" s="747"/>
      <c r="S324" s="757"/>
      <c r="T324" s="771">
        <v>0</v>
      </c>
      <c r="U324" s="747"/>
      <c r="V324" s="757"/>
      <c r="W324" s="771">
        <v>0</v>
      </c>
      <c r="X324" s="747"/>
      <c r="Y324" s="757"/>
      <c r="Z324" s="771">
        <v>0</v>
      </c>
      <c r="AA324" s="747"/>
      <c r="AB324" s="757"/>
      <c r="AC324" s="771">
        <v>0</v>
      </c>
      <c r="AD324" s="747"/>
      <c r="AE324" s="757"/>
      <c r="AF324" s="771">
        <v>0</v>
      </c>
      <c r="AG324" s="747"/>
      <c r="AH324" s="757"/>
      <c r="AI324" s="771">
        <v>0</v>
      </c>
      <c r="AJ324" s="747"/>
      <c r="AK324" s="757"/>
      <c r="AL324" s="771">
        <v>0</v>
      </c>
      <c r="AM324" s="747"/>
      <c r="AN324" s="757"/>
      <c r="AO324" s="771">
        <v>0</v>
      </c>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4"/>
        <v>Pièces[...]</v>
      </c>
      <c r="B325" s="44" t="s">
        <v>59</v>
      </c>
      <c r="C325" s="747"/>
      <c r="D325" s="757"/>
      <c r="E325" s="758">
        <v>0</v>
      </c>
      <c r="F325" s="747"/>
      <c r="G325" s="757"/>
      <c r="H325" s="771">
        <v>0</v>
      </c>
      <c r="I325" s="747"/>
      <c r="J325" s="757"/>
      <c r="K325" s="771">
        <v>0</v>
      </c>
      <c r="L325" s="747"/>
      <c r="M325" s="757"/>
      <c r="N325" s="771">
        <v>0</v>
      </c>
      <c r="O325" s="747"/>
      <c r="P325" s="757"/>
      <c r="Q325" s="771">
        <v>0</v>
      </c>
      <c r="R325" s="747"/>
      <c r="S325" s="757"/>
      <c r="T325" s="771">
        <v>0</v>
      </c>
      <c r="U325" s="747"/>
      <c r="V325" s="757"/>
      <c r="W325" s="771">
        <v>0</v>
      </c>
      <c r="X325" s="747"/>
      <c r="Y325" s="757"/>
      <c r="Z325" s="771">
        <v>0</v>
      </c>
      <c r="AA325" s="747"/>
      <c r="AB325" s="757"/>
      <c r="AC325" s="771">
        <v>0</v>
      </c>
      <c r="AD325" s="747"/>
      <c r="AE325" s="757"/>
      <c r="AF325" s="771">
        <v>0</v>
      </c>
      <c r="AG325" s="747"/>
      <c r="AH325" s="757"/>
      <c r="AI325" s="771">
        <v>0</v>
      </c>
      <c r="AJ325" s="747"/>
      <c r="AK325" s="757"/>
      <c r="AL325" s="771">
        <v>0</v>
      </c>
      <c r="AM325" s="747"/>
      <c r="AN325" s="757"/>
      <c r="AO325" s="771">
        <v>0</v>
      </c>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4"/>
        <v>Pièces[...]</v>
      </c>
      <c r="B326" s="44" t="s">
        <v>59</v>
      </c>
      <c r="C326" s="747"/>
      <c r="D326" s="757"/>
      <c r="E326" s="758">
        <v>0</v>
      </c>
      <c r="F326" s="747"/>
      <c r="G326" s="757"/>
      <c r="H326" s="771">
        <v>0</v>
      </c>
      <c r="I326" s="747"/>
      <c r="J326" s="757"/>
      <c r="K326" s="771">
        <v>0</v>
      </c>
      <c r="L326" s="747"/>
      <c r="M326" s="757"/>
      <c r="N326" s="771">
        <v>0</v>
      </c>
      <c r="O326" s="747"/>
      <c r="P326" s="757"/>
      <c r="Q326" s="771">
        <v>0</v>
      </c>
      <c r="R326" s="747"/>
      <c r="S326" s="757"/>
      <c r="T326" s="771">
        <v>0</v>
      </c>
      <c r="U326" s="747"/>
      <c r="V326" s="757"/>
      <c r="W326" s="771">
        <v>0</v>
      </c>
      <c r="X326" s="747"/>
      <c r="Y326" s="757"/>
      <c r="Z326" s="771">
        <v>0</v>
      </c>
      <c r="AA326" s="747"/>
      <c r="AB326" s="757"/>
      <c r="AC326" s="771">
        <v>0</v>
      </c>
      <c r="AD326" s="747"/>
      <c r="AE326" s="757"/>
      <c r="AF326" s="771">
        <v>0</v>
      </c>
      <c r="AG326" s="747"/>
      <c r="AH326" s="757"/>
      <c r="AI326" s="771">
        <v>0</v>
      </c>
      <c r="AJ326" s="747"/>
      <c r="AK326" s="757"/>
      <c r="AL326" s="771">
        <v>0</v>
      </c>
      <c r="AM326" s="747"/>
      <c r="AN326" s="757"/>
      <c r="AO326" s="771">
        <v>0</v>
      </c>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4"/>
        <v>Pièces[...]</v>
      </c>
      <c r="B327" s="44" t="s">
        <v>59</v>
      </c>
      <c r="C327" s="747"/>
      <c r="D327" s="757"/>
      <c r="E327" s="758">
        <v>0</v>
      </c>
      <c r="F327" s="747"/>
      <c r="G327" s="757"/>
      <c r="H327" s="771">
        <v>0</v>
      </c>
      <c r="I327" s="747"/>
      <c r="J327" s="757"/>
      <c r="K327" s="771">
        <v>0</v>
      </c>
      <c r="L327" s="747"/>
      <c r="M327" s="757"/>
      <c r="N327" s="771">
        <v>0</v>
      </c>
      <c r="O327" s="747"/>
      <c r="P327" s="757"/>
      <c r="Q327" s="771">
        <v>0</v>
      </c>
      <c r="R327" s="747"/>
      <c r="S327" s="757"/>
      <c r="T327" s="771">
        <v>0</v>
      </c>
      <c r="U327" s="747"/>
      <c r="V327" s="757"/>
      <c r="W327" s="771">
        <v>0</v>
      </c>
      <c r="X327" s="747"/>
      <c r="Y327" s="757"/>
      <c r="Z327" s="771">
        <v>0</v>
      </c>
      <c r="AA327" s="747"/>
      <c r="AB327" s="757"/>
      <c r="AC327" s="771">
        <v>0</v>
      </c>
      <c r="AD327" s="747"/>
      <c r="AE327" s="757"/>
      <c r="AF327" s="771">
        <v>0</v>
      </c>
      <c r="AG327" s="747"/>
      <c r="AH327" s="757"/>
      <c r="AI327" s="771">
        <v>0</v>
      </c>
      <c r="AJ327" s="747"/>
      <c r="AK327" s="757"/>
      <c r="AL327" s="771">
        <v>0</v>
      </c>
      <c r="AM327" s="747"/>
      <c r="AN327" s="757"/>
      <c r="AO327" s="771">
        <v>0</v>
      </c>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4"/>
        <v>PiècesSalaires en absences</v>
      </c>
      <c r="B328" s="55" t="s">
        <v>124</v>
      </c>
      <c r="C328" s="747"/>
      <c r="D328" s="757"/>
      <c r="E328" s="758">
        <v>45257.12000000001</v>
      </c>
      <c r="F328" s="747"/>
      <c r="G328" s="757"/>
      <c r="H328" s="771">
        <v>4085.93</v>
      </c>
      <c r="I328" s="747"/>
      <c r="J328" s="757"/>
      <c r="K328" s="771">
        <v>4202.88</v>
      </c>
      <c r="L328" s="747"/>
      <c r="M328" s="757"/>
      <c r="N328" s="771">
        <v>3891.01</v>
      </c>
      <c r="O328" s="747"/>
      <c r="P328" s="757"/>
      <c r="Q328" s="771">
        <v>3726.86</v>
      </c>
      <c r="R328" s="747"/>
      <c r="S328" s="757"/>
      <c r="T328" s="771">
        <v>5375.55</v>
      </c>
      <c r="U328" s="747"/>
      <c r="V328" s="757"/>
      <c r="W328" s="771">
        <v>3027.35</v>
      </c>
      <c r="X328" s="747"/>
      <c r="Y328" s="757"/>
      <c r="Z328" s="771">
        <v>3053.73</v>
      </c>
      <c r="AA328" s="747"/>
      <c r="AB328" s="757"/>
      <c r="AC328" s="771">
        <v>2859.89</v>
      </c>
      <c r="AD328" s="747"/>
      <c r="AE328" s="757"/>
      <c r="AF328" s="771">
        <v>3852.87</v>
      </c>
      <c r="AG328" s="747"/>
      <c r="AH328" s="757"/>
      <c r="AI328" s="771">
        <v>3956.34</v>
      </c>
      <c r="AJ328" s="747"/>
      <c r="AK328" s="757"/>
      <c r="AL328" s="771">
        <v>2955.12</v>
      </c>
      <c r="AM328" s="747"/>
      <c r="AN328" s="757"/>
      <c r="AO328" s="771">
        <v>4269.59</v>
      </c>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4"/>
        <v>PiècesDéduction à la source</v>
      </c>
      <c r="B329" s="54" t="s">
        <v>125</v>
      </c>
      <c r="C329" s="780"/>
      <c r="D329" s="781"/>
      <c r="E329" s="782">
        <v>88155.369999999966</v>
      </c>
      <c r="F329" s="780"/>
      <c r="G329" s="781"/>
      <c r="H329" s="783">
        <v>8268.17</v>
      </c>
      <c r="I329" s="780"/>
      <c r="J329" s="781"/>
      <c r="K329" s="783">
        <v>8036.83</v>
      </c>
      <c r="L329" s="780"/>
      <c r="M329" s="781"/>
      <c r="N329" s="783">
        <v>8486.34</v>
      </c>
      <c r="O329" s="780"/>
      <c r="P329" s="781"/>
      <c r="Q329" s="783">
        <v>7350.11</v>
      </c>
      <c r="R329" s="780"/>
      <c r="S329" s="781"/>
      <c r="T329" s="783">
        <v>8164.94</v>
      </c>
      <c r="U329" s="780"/>
      <c r="V329" s="781"/>
      <c r="W329" s="783">
        <v>7018.81</v>
      </c>
      <c r="X329" s="780"/>
      <c r="Y329" s="781"/>
      <c r="Z329" s="783">
        <v>6876.95</v>
      </c>
      <c r="AA329" s="780"/>
      <c r="AB329" s="781"/>
      <c r="AC329" s="783">
        <v>8251.7099999999991</v>
      </c>
      <c r="AD329" s="780"/>
      <c r="AE329" s="781"/>
      <c r="AF329" s="783">
        <v>6777.44</v>
      </c>
      <c r="AG329" s="780"/>
      <c r="AH329" s="781"/>
      <c r="AI329" s="783">
        <v>6502.5199999999904</v>
      </c>
      <c r="AJ329" s="780"/>
      <c r="AK329" s="781"/>
      <c r="AL329" s="783">
        <v>6903.0199999999904</v>
      </c>
      <c r="AM329" s="780"/>
      <c r="AN329" s="781"/>
      <c r="AO329" s="783">
        <v>5518.53</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4"/>
        <v>PiècesBénéfices marginaux</v>
      </c>
      <c r="B330" s="54" t="s">
        <v>126</v>
      </c>
      <c r="C330" s="747"/>
      <c r="D330" s="757"/>
      <c r="E330" s="758">
        <v>11103.859999999999</v>
      </c>
      <c r="F330" s="747"/>
      <c r="G330" s="757"/>
      <c r="H330" s="771">
        <v>914.67</v>
      </c>
      <c r="I330" s="747"/>
      <c r="J330" s="757"/>
      <c r="K330" s="771">
        <v>1105.18</v>
      </c>
      <c r="L330" s="747"/>
      <c r="M330" s="757"/>
      <c r="N330" s="771">
        <v>2353.64</v>
      </c>
      <c r="O330" s="747"/>
      <c r="P330" s="757"/>
      <c r="Q330" s="771">
        <v>1026.28</v>
      </c>
      <c r="R330" s="747"/>
      <c r="S330" s="757"/>
      <c r="T330" s="771">
        <v>1439.68</v>
      </c>
      <c r="U330" s="747"/>
      <c r="V330" s="757"/>
      <c r="W330" s="771">
        <v>1006.31</v>
      </c>
      <c r="X330" s="747"/>
      <c r="Y330" s="757"/>
      <c r="Z330" s="771">
        <v>1183.98</v>
      </c>
      <c r="AA330" s="747"/>
      <c r="AB330" s="757"/>
      <c r="AC330" s="771">
        <v>1698.17</v>
      </c>
      <c r="AD330" s="747"/>
      <c r="AE330" s="757"/>
      <c r="AF330" s="771">
        <v>1354.21</v>
      </c>
      <c r="AG330" s="747"/>
      <c r="AH330" s="757"/>
      <c r="AI330" s="771">
        <v>1354.21</v>
      </c>
      <c r="AJ330" s="747"/>
      <c r="AK330" s="757"/>
      <c r="AL330" s="771">
        <v>-3783.47</v>
      </c>
      <c r="AM330" s="747"/>
      <c r="AN330" s="757"/>
      <c r="AO330" s="771">
        <v>1451</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4"/>
        <v>PiècesCsst</v>
      </c>
      <c r="B331" s="54" t="s">
        <v>127</v>
      </c>
      <c r="C331" s="747"/>
      <c r="D331" s="757"/>
      <c r="E331" s="758">
        <v>12977.3</v>
      </c>
      <c r="F331" s="747"/>
      <c r="G331" s="757"/>
      <c r="H331" s="771">
        <v>891.22</v>
      </c>
      <c r="I331" s="747"/>
      <c r="J331" s="757"/>
      <c r="K331" s="771">
        <v>956.16</v>
      </c>
      <c r="L331" s="747"/>
      <c r="M331" s="757"/>
      <c r="N331" s="771">
        <v>1190.18</v>
      </c>
      <c r="O331" s="747"/>
      <c r="P331" s="757"/>
      <c r="Q331" s="771">
        <v>1204.1600000000001</v>
      </c>
      <c r="R331" s="747"/>
      <c r="S331" s="757"/>
      <c r="T331" s="771">
        <v>1065.93</v>
      </c>
      <c r="U331" s="747"/>
      <c r="V331" s="757"/>
      <c r="W331" s="771">
        <v>788.92</v>
      </c>
      <c r="X331" s="747"/>
      <c r="Y331" s="757"/>
      <c r="Z331" s="771">
        <v>872.62</v>
      </c>
      <c r="AA331" s="747"/>
      <c r="AB331" s="757"/>
      <c r="AC331" s="771">
        <v>1640.79</v>
      </c>
      <c r="AD331" s="747"/>
      <c r="AE331" s="757"/>
      <c r="AF331" s="771">
        <v>876.26</v>
      </c>
      <c r="AG331" s="747"/>
      <c r="AH331" s="757"/>
      <c r="AI331" s="771">
        <v>738.69</v>
      </c>
      <c r="AJ331" s="747"/>
      <c r="AK331" s="757"/>
      <c r="AL331" s="771">
        <v>891.5</v>
      </c>
      <c r="AM331" s="747"/>
      <c r="AN331" s="757"/>
      <c r="AO331" s="771">
        <v>1860.87</v>
      </c>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4"/>
        <v>Pièces[...]</v>
      </c>
      <c r="B332" s="44" t="s">
        <v>59</v>
      </c>
      <c r="C332" s="776"/>
      <c r="D332" s="784"/>
      <c r="E332" s="774"/>
      <c r="F332" s="776"/>
      <c r="G332" s="784"/>
      <c r="H332" s="774"/>
      <c r="I332" s="776"/>
      <c r="J332" s="784"/>
      <c r="K332" s="774"/>
      <c r="L332" s="776"/>
      <c r="M332" s="784"/>
      <c r="N332" s="774"/>
      <c r="O332" s="776"/>
      <c r="P332" s="784"/>
      <c r="Q332" s="774"/>
      <c r="R332" s="776"/>
      <c r="S332" s="784"/>
      <c r="T332" s="774"/>
      <c r="U332" s="776"/>
      <c r="V332" s="784"/>
      <c r="W332" s="774"/>
      <c r="X332" s="776"/>
      <c r="Y332" s="784"/>
      <c r="Z332" s="774"/>
      <c r="AA332" s="776"/>
      <c r="AB332" s="784"/>
      <c r="AC332" s="774"/>
      <c r="AD332" s="776"/>
      <c r="AE332" s="784"/>
      <c r="AF332" s="774"/>
      <c r="AG332" s="776"/>
      <c r="AH332" s="784"/>
      <c r="AI332" s="774"/>
      <c r="AJ332" s="776"/>
      <c r="AK332" s="784"/>
      <c r="AL332" s="774"/>
      <c r="AM332" s="776"/>
      <c r="AN332" s="784"/>
      <c r="AO332" s="774"/>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4"/>
        <v>PiècesTOTAL PERSONNEL</v>
      </c>
      <c r="B333" s="53" t="s">
        <v>128</v>
      </c>
      <c r="C333" s="777" t="s">
        <v>119</v>
      </c>
      <c r="D333" s="778">
        <v>0.42361747824567358</v>
      </c>
      <c r="E333" s="779">
        <v>574747.72</v>
      </c>
      <c r="F333" s="777"/>
      <c r="G333" s="778"/>
      <c r="H333" s="779">
        <v>48175.909999999902</v>
      </c>
      <c r="I333" s="777"/>
      <c r="J333" s="778"/>
      <c r="K333" s="779">
        <v>47351.199999999997</v>
      </c>
      <c r="L333" s="777"/>
      <c r="M333" s="778"/>
      <c r="N333" s="779">
        <v>53652.859999999899</v>
      </c>
      <c r="O333" s="777"/>
      <c r="P333" s="778"/>
      <c r="Q333" s="779">
        <v>45495.65</v>
      </c>
      <c r="R333" s="777"/>
      <c r="S333" s="778"/>
      <c r="T333" s="779">
        <v>54761.120000000003</v>
      </c>
      <c r="U333" s="777"/>
      <c r="V333" s="778"/>
      <c r="W333" s="779">
        <v>40800.349999999897</v>
      </c>
      <c r="X333" s="777"/>
      <c r="Y333" s="778"/>
      <c r="Z333" s="779">
        <v>44980.84</v>
      </c>
      <c r="AA333" s="777"/>
      <c r="AB333" s="778"/>
      <c r="AC333" s="779">
        <v>50056.95</v>
      </c>
      <c r="AD333" s="777"/>
      <c r="AE333" s="778"/>
      <c r="AF333" s="779">
        <v>48162.99</v>
      </c>
      <c r="AG333" s="777"/>
      <c r="AH333" s="778"/>
      <c r="AI333" s="779">
        <v>45374.3999999999</v>
      </c>
      <c r="AJ333" s="777"/>
      <c r="AK333" s="778"/>
      <c r="AL333" s="779">
        <v>48913.209999999897</v>
      </c>
      <c r="AM333" s="777"/>
      <c r="AN333" s="778"/>
      <c r="AO333" s="779">
        <v>47022.239999999998</v>
      </c>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4"/>
        <v>PiècesPublicité 2</v>
      </c>
      <c r="B334" s="63" t="s">
        <v>129</v>
      </c>
      <c r="C334" s="747"/>
      <c r="D334" s="757"/>
      <c r="E334" s="758">
        <v>49528.759999999995</v>
      </c>
      <c r="F334" s="747"/>
      <c r="G334" s="757"/>
      <c r="H334" s="771">
        <v>4988.45</v>
      </c>
      <c r="I334" s="747"/>
      <c r="J334" s="757"/>
      <c r="K334" s="771">
        <v>5499.83</v>
      </c>
      <c r="L334" s="747"/>
      <c r="M334" s="757"/>
      <c r="N334" s="771">
        <v>4125.1899999999996</v>
      </c>
      <c r="O334" s="747"/>
      <c r="P334" s="757"/>
      <c r="Q334" s="771">
        <v>4417.4399999999996</v>
      </c>
      <c r="R334" s="747"/>
      <c r="S334" s="757"/>
      <c r="T334" s="771">
        <v>4654.3900000000003</v>
      </c>
      <c r="U334" s="747"/>
      <c r="V334" s="757"/>
      <c r="W334" s="771">
        <v>3800.67</v>
      </c>
      <c r="X334" s="747"/>
      <c r="Y334" s="757"/>
      <c r="Z334" s="771">
        <v>3503.16</v>
      </c>
      <c r="AA334" s="747"/>
      <c r="AB334" s="757"/>
      <c r="AC334" s="771">
        <v>3417.43</v>
      </c>
      <c r="AD334" s="747"/>
      <c r="AE334" s="757"/>
      <c r="AF334" s="771">
        <v>2915.97</v>
      </c>
      <c r="AG334" s="747"/>
      <c r="AH334" s="757"/>
      <c r="AI334" s="771">
        <v>4321.1400000000003</v>
      </c>
      <c r="AJ334" s="747"/>
      <c r="AK334" s="757"/>
      <c r="AL334" s="771">
        <v>3939.83</v>
      </c>
      <c r="AM334" s="747"/>
      <c r="AN334" s="757"/>
      <c r="AO334" s="771">
        <v>3945.26</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4"/>
        <v>PiècesService gratuit 2</v>
      </c>
      <c r="B335" s="54" t="s">
        <v>130</v>
      </c>
      <c r="C335" s="747"/>
      <c r="D335" s="757"/>
      <c r="E335" s="758">
        <v>4305.6000000000004</v>
      </c>
      <c r="F335" s="747"/>
      <c r="G335" s="757"/>
      <c r="H335" s="771">
        <v>-5629.4</v>
      </c>
      <c r="I335" s="747"/>
      <c r="J335" s="757"/>
      <c r="K335" s="771">
        <v>0</v>
      </c>
      <c r="L335" s="747"/>
      <c r="M335" s="757"/>
      <c r="N335" s="771">
        <v>1134.6099999999999</v>
      </c>
      <c r="O335" s="747"/>
      <c r="P335" s="757"/>
      <c r="Q335" s="771">
        <v>881.44</v>
      </c>
      <c r="R335" s="747"/>
      <c r="S335" s="757"/>
      <c r="T335" s="771">
        <v>2532.06</v>
      </c>
      <c r="U335" s="747"/>
      <c r="V335" s="757"/>
      <c r="W335" s="771">
        <v>954.5</v>
      </c>
      <c r="X335" s="747"/>
      <c r="Y335" s="757"/>
      <c r="Z335" s="771">
        <v>81.150000000000006</v>
      </c>
      <c r="AA335" s="747"/>
      <c r="AB335" s="757"/>
      <c r="AC335" s="771">
        <v>712.76</v>
      </c>
      <c r="AD335" s="747"/>
      <c r="AE335" s="757"/>
      <c r="AF335" s="771">
        <v>167.75</v>
      </c>
      <c r="AG335" s="747"/>
      <c r="AH335" s="757"/>
      <c r="AI335" s="771">
        <v>1812.7</v>
      </c>
      <c r="AJ335" s="747"/>
      <c r="AK335" s="757"/>
      <c r="AL335" s="771">
        <v>666.15</v>
      </c>
      <c r="AM335" s="747"/>
      <c r="AN335" s="757"/>
      <c r="AO335" s="771">
        <v>991.88</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4"/>
        <v>PiècesFrais véhicules de cie</v>
      </c>
      <c r="B336" s="55" t="s">
        <v>131</v>
      </c>
      <c r="C336" s="776"/>
      <c r="D336" s="784"/>
      <c r="E336" s="774">
        <v>15083.720000000001</v>
      </c>
      <c r="F336" s="776"/>
      <c r="G336" s="784"/>
      <c r="H336" s="775">
        <v>1275.97</v>
      </c>
      <c r="I336" s="776"/>
      <c r="J336" s="784"/>
      <c r="K336" s="775">
        <v>1186.93</v>
      </c>
      <c r="L336" s="776"/>
      <c r="M336" s="784"/>
      <c r="N336" s="775">
        <v>1346.53</v>
      </c>
      <c r="O336" s="776"/>
      <c r="P336" s="784"/>
      <c r="Q336" s="775">
        <v>1271.42</v>
      </c>
      <c r="R336" s="776"/>
      <c r="S336" s="784"/>
      <c r="T336" s="775">
        <v>1412.1</v>
      </c>
      <c r="U336" s="776"/>
      <c r="V336" s="784"/>
      <c r="W336" s="775">
        <v>1299.26</v>
      </c>
      <c r="X336" s="776"/>
      <c r="Y336" s="784"/>
      <c r="Z336" s="775">
        <v>1111.49</v>
      </c>
      <c r="AA336" s="776"/>
      <c r="AB336" s="784"/>
      <c r="AC336" s="775">
        <v>1351.28</v>
      </c>
      <c r="AD336" s="776"/>
      <c r="AE336" s="784"/>
      <c r="AF336" s="775">
        <v>1168.49</v>
      </c>
      <c r="AG336" s="776"/>
      <c r="AH336" s="784"/>
      <c r="AI336" s="775">
        <v>1168.49</v>
      </c>
      <c r="AJ336" s="776"/>
      <c r="AK336" s="784"/>
      <c r="AL336" s="775">
        <v>1351.28</v>
      </c>
      <c r="AM336" s="776"/>
      <c r="AN336" s="784"/>
      <c r="AO336" s="775">
        <v>1140.48</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4"/>
        <v>PiècesInformatique</v>
      </c>
      <c r="B337" s="54" t="s">
        <v>132</v>
      </c>
      <c r="C337" s="747"/>
      <c r="D337" s="757"/>
      <c r="E337" s="758">
        <v>58714.139999999985</v>
      </c>
      <c r="F337" s="747"/>
      <c r="G337" s="757"/>
      <c r="H337" s="771">
        <v>3771.86</v>
      </c>
      <c r="I337" s="747"/>
      <c r="J337" s="757"/>
      <c r="K337" s="771">
        <v>4854.71</v>
      </c>
      <c r="L337" s="747"/>
      <c r="M337" s="757"/>
      <c r="N337" s="771">
        <v>4508.04</v>
      </c>
      <c r="O337" s="747"/>
      <c r="P337" s="757"/>
      <c r="Q337" s="771">
        <v>4958.8900000000003</v>
      </c>
      <c r="R337" s="747"/>
      <c r="S337" s="757"/>
      <c r="T337" s="771">
        <v>4532.71</v>
      </c>
      <c r="U337" s="747"/>
      <c r="V337" s="757"/>
      <c r="W337" s="771">
        <v>4542.16</v>
      </c>
      <c r="X337" s="747"/>
      <c r="Y337" s="757"/>
      <c r="Z337" s="771">
        <v>4379.1499999999996</v>
      </c>
      <c r="AA337" s="747"/>
      <c r="AB337" s="757"/>
      <c r="AC337" s="771">
        <v>5565.64</v>
      </c>
      <c r="AD337" s="747"/>
      <c r="AE337" s="757"/>
      <c r="AF337" s="771">
        <v>6152.41</v>
      </c>
      <c r="AG337" s="747"/>
      <c r="AH337" s="757"/>
      <c r="AI337" s="771">
        <v>5168.38</v>
      </c>
      <c r="AJ337" s="747"/>
      <c r="AK337" s="757"/>
      <c r="AL337" s="771">
        <v>4553.7700000000004</v>
      </c>
      <c r="AM337" s="747"/>
      <c r="AN337" s="757"/>
      <c r="AO337" s="771">
        <v>5726.42</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4"/>
        <v>PiècesFrais de déplacement</v>
      </c>
      <c r="B338" s="54" t="s">
        <v>133</v>
      </c>
      <c r="C338" s="747"/>
      <c r="D338" s="757"/>
      <c r="E338" s="758">
        <v>11673.320000000002</v>
      </c>
      <c r="F338" s="747"/>
      <c r="G338" s="757"/>
      <c r="H338" s="771">
        <v>379.07</v>
      </c>
      <c r="I338" s="747"/>
      <c r="J338" s="757"/>
      <c r="K338" s="771">
        <v>620.25</v>
      </c>
      <c r="L338" s="747"/>
      <c r="M338" s="757"/>
      <c r="N338" s="771">
        <v>652.71</v>
      </c>
      <c r="O338" s="747"/>
      <c r="P338" s="757"/>
      <c r="Q338" s="771">
        <v>1821.32</v>
      </c>
      <c r="R338" s="747"/>
      <c r="S338" s="757"/>
      <c r="T338" s="771">
        <v>584.44000000000005</v>
      </c>
      <c r="U338" s="747"/>
      <c r="V338" s="757"/>
      <c r="W338" s="771">
        <v>918.93</v>
      </c>
      <c r="X338" s="747"/>
      <c r="Y338" s="757"/>
      <c r="Z338" s="771">
        <v>1002.14</v>
      </c>
      <c r="AA338" s="747"/>
      <c r="AB338" s="757"/>
      <c r="AC338" s="771">
        <v>905.44</v>
      </c>
      <c r="AD338" s="747"/>
      <c r="AE338" s="757"/>
      <c r="AF338" s="771">
        <v>1414.19</v>
      </c>
      <c r="AG338" s="747"/>
      <c r="AH338" s="757"/>
      <c r="AI338" s="771">
        <v>1039.22</v>
      </c>
      <c r="AJ338" s="747"/>
      <c r="AK338" s="757"/>
      <c r="AL338" s="771">
        <v>1461.86</v>
      </c>
      <c r="AM338" s="747"/>
      <c r="AN338" s="757"/>
      <c r="AO338" s="771">
        <v>873.75</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4"/>
        <v>PiècesServices extérieurs</v>
      </c>
      <c r="B339" s="54" t="s">
        <v>134</v>
      </c>
      <c r="C339" s="776"/>
      <c r="D339" s="784"/>
      <c r="E339" s="774">
        <v>143262.68</v>
      </c>
      <c r="F339" s="776"/>
      <c r="G339" s="784"/>
      <c r="H339" s="775">
        <v>16995.080000000002</v>
      </c>
      <c r="I339" s="776"/>
      <c r="J339" s="784"/>
      <c r="K339" s="775">
        <v>13059.98</v>
      </c>
      <c r="L339" s="776"/>
      <c r="M339" s="784"/>
      <c r="N339" s="775">
        <v>10761.48</v>
      </c>
      <c r="O339" s="776"/>
      <c r="P339" s="784"/>
      <c r="Q339" s="775">
        <v>11758.11</v>
      </c>
      <c r="R339" s="776"/>
      <c r="S339" s="784"/>
      <c r="T339" s="775">
        <v>11822.3</v>
      </c>
      <c r="U339" s="776"/>
      <c r="V339" s="784"/>
      <c r="W339" s="775">
        <v>10112.43</v>
      </c>
      <c r="X339" s="776"/>
      <c r="Y339" s="784"/>
      <c r="Z339" s="775">
        <v>10773.75</v>
      </c>
      <c r="AA339" s="776"/>
      <c r="AB339" s="784"/>
      <c r="AC339" s="775">
        <v>11251.54</v>
      </c>
      <c r="AD339" s="776"/>
      <c r="AE339" s="784"/>
      <c r="AF339" s="775">
        <v>12590.01</v>
      </c>
      <c r="AG339" s="776"/>
      <c r="AH339" s="784"/>
      <c r="AI339" s="775">
        <v>12086.68</v>
      </c>
      <c r="AJ339" s="776"/>
      <c r="AK339" s="784"/>
      <c r="AL339" s="775">
        <v>11143.02</v>
      </c>
      <c r="AM339" s="776"/>
      <c r="AN339" s="784"/>
      <c r="AO339" s="775">
        <v>10908.3</v>
      </c>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4"/>
        <v>PiècesFournitures d'atelier</v>
      </c>
      <c r="B340" s="54" t="s">
        <v>490</v>
      </c>
      <c r="C340" s="747"/>
      <c r="D340" s="757"/>
      <c r="E340" s="758">
        <v>0</v>
      </c>
      <c r="F340" s="747"/>
      <c r="G340" s="757"/>
      <c r="H340" s="771">
        <v>0</v>
      </c>
      <c r="I340" s="747"/>
      <c r="J340" s="757"/>
      <c r="K340" s="771">
        <v>0</v>
      </c>
      <c r="L340" s="747"/>
      <c r="M340" s="757"/>
      <c r="N340" s="771">
        <v>0</v>
      </c>
      <c r="O340" s="747"/>
      <c r="P340" s="757"/>
      <c r="Q340" s="771">
        <v>0</v>
      </c>
      <c r="R340" s="747"/>
      <c r="S340" s="757"/>
      <c r="T340" s="771">
        <v>0</v>
      </c>
      <c r="U340" s="747"/>
      <c r="V340" s="757"/>
      <c r="W340" s="771">
        <v>0</v>
      </c>
      <c r="X340" s="747"/>
      <c r="Y340" s="757"/>
      <c r="Z340" s="771">
        <v>0</v>
      </c>
      <c r="AA340" s="747"/>
      <c r="AB340" s="757"/>
      <c r="AC340" s="771">
        <v>0</v>
      </c>
      <c r="AD340" s="747"/>
      <c r="AE340" s="757"/>
      <c r="AF340" s="771">
        <v>0</v>
      </c>
      <c r="AG340" s="747"/>
      <c r="AH340" s="757"/>
      <c r="AI340" s="771">
        <v>0</v>
      </c>
      <c r="AJ340" s="747"/>
      <c r="AK340" s="757"/>
      <c r="AL340" s="771">
        <v>0</v>
      </c>
      <c r="AM340" s="747"/>
      <c r="AN340" s="757"/>
      <c r="AO340" s="771">
        <v>0</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si="4"/>
        <v>PiècesFournitures autres</v>
      </c>
      <c r="B341" s="63" t="s">
        <v>135</v>
      </c>
      <c r="C341" s="747"/>
      <c r="D341" s="757"/>
      <c r="E341" s="758">
        <v>2798.71</v>
      </c>
      <c r="F341" s="747"/>
      <c r="G341" s="757"/>
      <c r="H341" s="771">
        <v>0</v>
      </c>
      <c r="I341" s="747"/>
      <c r="J341" s="757"/>
      <c r="K341" s="771">
        <v>1375.72</v>
      </c>
      <c r="L341" s="747"/>
      <c r="M341" s="757"/>
      <c r="N341" s="771">
        <v>135.68</v>
      </c>
      <c r="O341" s="747"/>
      <c r="P341" s="757"/>
      <c r="Q341" s="771">
        <v>65.61</v>
      </c>
      <c r="R341" s="747"/>
      <c r="S341" s="757"/>
      <c r="T341" s="771">
        <v>99.95</v>
      </c>
      <c r="U341" s="747"/>
      <c r="V341" s="757"/>
      <c r="W341" s="771">
        <v>3.57</v>
      </c>
      <c r="X341" s="747"/>
      <c r="Y341" s="757"/>
      <c r="Z341" s="771">
        <v>9.99</v>
      </c>
      <c r="AA341" s="747"/>
      <c r="AB341" s="757"/>
      <c r="AC341" s="771">
        <v>759.58</v>
      </c>
      <c r="AD341" s="747"/>
      <c r="AE341" s="757"/>
      <c r="AF341" s="771">
        <v>0</v>
      </c>
      <c r="AG341" s="747"/>
      <c r="AH341" s="757"/>
      <c r="AI341" s="771">
        <v>68.38</v>
      </c>
      <c r="AJ341" s="747"/>
      <c r="AK341" s="757"/>
      <c r="AL341" s="771">
        <v>129.94999999999999</v>
      </c>
      <c r="AM341" s="747"/>
      <c r="AN341" s="757"/>
      <c r="AO341" s="771">
        <v>150.28</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4"/>
        <v>PiècesUniformes</v>
      </c>
      <c r="B342" s="54" t="s">
        <v>136</v>
      </c>
      <c r="C342" s="747"/>
      <c r="D342" s="757"/>
      <c r="E342" s="758">
        <v>240</v>
      </c>
      <c r="F342" s="747"/>
      <c r="G342" s="757"/>
      <c r="H342" s="771">
        <v>0</v>
      </c>
      <c r="I342" s="747"/>
      <c r="J342" s="757"/>
      <c r="K342" s="771">
        <v>0</v>
      </c>
      <c r="L342" s="747"/>
      <c r="M342" s="757"/>
      <c r="N342" s="771">
        <v>0</v>
      </c>
      <c r="O342" s="747"/>
      <c r="P342" s="757"/>
      <c r="Q342" s="771">
        <v>0</v>
      </c>
      <c r="R342" s="747"/>
      <c r="S342" s="757"/>
      <c r="T342" s="771">
        <v>0</v>
      </c>
      <c r="U342" s="747"/>
      <c r="V342" s="757"/>
      <c r="W342" s="771">
        <v>0</v>
      </c>
      <c r="X342" s="747"/>
      <c r="Y342" s="757"/>
      <c r="Z342" s="771">
        <v>0</v>
      </c>
      <c r="AA342" s="747"/>
      <c r="AB342" s="757"/>
      <c r="AC342" s="771">
        <v>0</v>
      </c>
      <c r="AD342" s="747"/>
      <c r="AE342" s="757"/>
      <c r="AF342" s="771">
        <v>0</v>
      </c>
      <c r="AG342" s="747"/>
      <c r="AH342" s="757"/>
      <c r="AI342" s="771">
        <v>0</v>
      </c>
      <c r="AJ342" s="747"/>
      <c r="AK342" s="757"/>
      <c r="AL342" s="771">
        <v>240</v>
      </c>
      <c r="AM342" s="747"/>
      <c r="AN342" s="757"/>
      <c r="AO342" s="771">
        <v>0</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4"/>
        <v>PiècesPapeterie</v>
      </c>
      <c r="B343" s="54" t="s">
        <v>137</v>
      </c>
      <c r="C343" s="747"/>
      <c r="D343" s="757"/>
      <c r="E343" s="758">
        <v>8619.15</v>
      </c>
      <c r="F343" s="747"/>
      <c r="G343" s="757"/>
      <c r="H343" s="771">
        <v>332.2</v>
      </c>
      <c r="I343" s="747"/>
      <c r="J343" s="757"/>
      <c r="K343" s="771">
        <v>1040.19</v>
      </c>
      <c r="L343" s="747"/>
      <c r="M343" s="757"/>
      <c r="N343" s="771">
        <v>145.52000000000001</v>
      </c>
      <c r="O343" s="747"/>
      <c r="P343" s="757"/>
      <c r="Q343" s="771">
        <v>297.66000000000003</v>
      </c>
      <c r="R343" s="747"/>
      <c r="S343" s="757"/>
      <c r="T343" s="771">
        <v>691.77</v>
      </c>
      <c r="U343" s="747"/>
      <c r="V343" s="757"/>
      <c r="W343" s="771">
        <v>303.14</v>
      </c>
      <c r="X343" s="747"/>
      <c r="Y343" s="757"/>
      <c r="Z343" s="771">
        <v>278.54000000000002</v>
      </c>
      <c r="AA343" s="747"/>
      <c r="AB343" s="757"/>
      <c r="AC343" s="771">
        <v>2867.51</v>
      </c>
      <c r="AD343" s="747"/>
      <c r="AE343" s="757"/>
      <c r="AF343" s="771">
        <v>490.86</v>
      </c>
      <c r="AG343" s="747"/>
      <c r="AH343" s="757"/>
      <c r="AI343" s="771">
        <v>294.99</v>
      </c>
      <c r="AJ343" s="747"/>
      <c r="AK343" s="757"/>
      <c r="AL343" s="771">
        <v>986.2</v>
      </c>
      <c r="AM343" s="747"/>
      <c r="AN343" s="757"/>
      <c r="AO343" s="771">
        <v>890.57</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4"/>
        <v>PiècesTéléphone</v>
      </c>
      <c r="B344" s="54" t="s">
        <v>138</v>
      </c>
      <c r="C344" s="747"/>
      <c r="D344" s="757"/>
      <c r="E344" s="758">
        <v>1262.1099999999999</v>
      </c>
      <c r="F344" s="747"/>
      <c r="G344" s="757"/>
      <c r="H344" s="771">
        <v>133.53</v>
      </c>
      <c r="I344" s="747"/>
      <c r="J344" s="757"/>
      <c r="K344" s="771">
        <v>84.08</v>
      </c>
      <c r="L344" s="747"/>
      <c r="M344" s="757"/>
      <c r="N344" s="771">
        <v>102.7</v>
      </c>
      <c r="O344" s="747"/>
      <c r="P344" s="757"/>
      <c r="Q344" s="771">
        <v>84.4</v>
      </c>
      <c r="R344" s="747"/>
      <c r="S344" s="757"/>
      <c r="T344" s="771">
        <v>86.59</v>
      </c>
      <c r="U344" s="747"/>
      <c r="V344" s="757"/>
      <c r="W344" s="771">
        <v>90.67</v>
      </c>
      <c r="X344" s="747"/>
      <c r="Y344" s="757"/>
      <c r="Z344" s="771">
        <v>93.83</v>
      </c>
      <c r="AA344" s="747"/>
      <c r="AB344" s="757"/>
      <c r="AC344" s="771">
        <v>158.07</v>
      </c>
      <c r="AD344" s="747"/>
      <c r="AE344" s="757"/>
      <c r="AF344" s="771">
        <v>98.17</v>
      </c>
      <c r="AG344" s="747"/>
      <c r="AH344" s="757"/>
      <c r="AI344" s="771">
        <v>142.66</v>
      </c>
      <c r="AJ344" s="747"/>
      <c r="AK344" s="757"/>
      <c r="AL344" s="771">
        <v>95.55</v>
      </c>
      <c r="AM344" s="747"/>
      <c r="AN344" s="757"/>
      <c r="AO344" s="771">
        <v>91.86</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4"/>
        <v>PiècesFrais postaux</v>
      </c>
      <c r="B345" s="54" t="s">
        <v>139</v>
      </c>
      <c r="C345" s="747"/>
      <c r="D345" s="757"/>
      <c r="E345" s="758">
        <v>-1807.2800000000002</v>
      </c>
      <c r="F345" s="747"/>
      <c r="G345" s="757"/>
      <c r="H345" s="771">
        <v>-414.68</v>
      </c>
      <c r="I345" s="747"/>
      <c r="J345" s="757"/>
      <c r="K345" s="771">
        <v>188.52</v>
      </c>
      <c r="L345" s="747"/>
      <c r="M345" s="757"/>
      <c r="N345" s="771">
        <v>-116.66</v>
      </c>
      <c r="O345" s="747"/>
      <c r="P345" s="757"/>
      <c r="Q345" s="771">
        <v>-52.37</v>
      </c>
      <c r="R345" s="747"/>
      <c r="S345" s="757"/>
      <c r="T345" s="771">
        <v>-264.58999999999997</v>
      </c>
      <c r="U345" s="747"/>
      <c r="V345" s="757"/>
      <c r="W345" s="771">
        <v>25.75</v>
      </c>
      <c r="X345" s="747"/>
      <c r="Y345" s="757"/>
      <c r="Z345" s="771">
        <v>25.75</v>
      </c>
      <c r="AA345" s="747"/>
      <c r="AB345" s="757"/>
      <c r="AC345" s="771">
        <v>-398.91</v>
      </c>
      <c r="AD345" s="747"/>
      <c r="AE345" s="757"/>
      <c r="AF345" s="771">
        <v>-183.24</v>
      </c>
      <c r="AG345" s="747"/>
      <c r="AH345" s="757"/>
      <c r="AI345" s="771">
        <v>-104.06</v>
      </c>
      <c r="AJ345" s="747"/>
      <c r="AK345" s="757"/>
      <c r="AL345" s="771">
        <v>-148.9</v>
      </c>
      <c r="AM345" s="747"/>
      <c r="AN345" s="757"/>
      <c r="AO345" s="771">
        <v>-363.89</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4"/>
        <v>PiècesDivers</v>
      </c>
      <c r="B346" s="54" t="s">
        <v>140</v>
      </c>
      <c r="C346" s="747"/>
      <c r="D346" s="757"/>
      <c r="E346" s="758">
        <v>1691.93</v>
      </c>
      <c r="F346" s="747"/>
      <c r="G346" s="757"/>
      <c r="H346" s="771">
        <v>80.69</v>
      </c>
      <c r="I346" s="747"/>
      <c r="J346" s="757"/>
      <c r="K346" s="771">
        <v>160.71</v>
      </c>
      <c r="L346" s="747"/>
      <c r="M346" s="757"/>
      <c r="N346" s="771">
        <v>199.97</v>
      </c>
      <c r="O346" s="747"/>
      <c r="P346" s="757"/>
      <c r="Q346" s="771">
        <v>157.71</v>
      </c>
      <c r="R346" s="747"/>
      <c r="S346" s="757"/>
      <c r="T346" s="771">
        <v>82.26</v>
      </c>
      <c r="U346" s="747"/>
      <c r="V346" s="757"/>
      <c r="W346" s="771">
        <v>96.66</v>
      </c>
      <c r="X346" s="747"/>
      <c r="Y346" s="757"/>
      <c r="Z346" s="771">
        <v>147.26</v>
      </c>
      <c r="AA346" s="747"/>
      <c r="AB346" s="757"/>
      <c r="AC346" s="771">
        <v>40.99</v>
      </c>
      <c r="AD346" s="747"/>
      <c r="AE346" s="757"/>
      <c r="AF346" s="771">
        <v>118.76</v>
      </c>
      <c r="AG346" s="747"/>
      <c r="AH346" s="757"/>
      <c r="AI346" s="771">
        <v>183.15</v>
      </c>
      <c r="AJ346" s="747"/>
      <c r="AK346" s="757"/>
      <c r="AL346" s="771">
        <v>349.07</v>
      </c>
      <c r="AM346" s="747"/>
      <c r="AN346" s="757"/>
      <c r="AO346" s="771">
        <v>74.7</v>
      </c>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4"/>
        <v>PiècesFormation</v>
      </c>
      <c r="B347" s="54" t="s">
        <v>141</v>
      </c>
      <c r="C347" s="747"/>
      <c r="D347" s="757"/>
      <c r="E347" s="758">
        <v>3366.2000000000003</v>
      </c>
      <c r="F347" s="747"/>
      <c r="G347" s="757"/>
      <c r="H347" s="771">
        <v>192.25</v>
      </c>
      <c r="I347" s="747"/>
      <c r="J347" s="757"/>
      <c r="K347" s="771">
        <v>79.75</v>
      </c>
      <c r="L347" s="747"/>
      <c r="M347" s="757"/>
      <c r="N347" s="771">
        <v>329.75</v>
      </c>
      <c r="O347" s="747"/>
      <c r="P347" s="757"/>
      <c r="Q347" s="771">
        <v>79.75</v>
      </c>
      <c r="R347" s="747"/>
      <c r="S347" s="757"/>
      <c r="T347" s="771">
        <v>248.5</v>
      </c>
      <c r="U347" s="747"/>
      <c r="V347" s="757"/>
      <c r="W347" s="771">
        <v>79.75</v>
      </c>
      <c r="X347" s="747"/>
      <c r="Y347" s="757"/>
      <c r="Z347" s="771">
        <v>79.75</v>
      </c>
      <c r="AA347" s="747"/>
      <c r="AB347" s="757"/>
      <c r="AC347" s="771">
        <v>79.75</v>
      </c>
      <c r="AD347" s="747"/>
      <c r="AE347" s="757"/>
      <c r="AF347" s="771">
        <v>521.79</v>
      </c>
      <c r="AG347" s="747"/>
      <c r="AH347" s="757"/>
      <c r="AI347" s="771">
        <v>1038.3</v>
      </c>
      <c r="AJ347" s="747"/>
      <c r="AK347" s="757"/>
      <c r="AL347" s="771">
        <v>557.11</v>
      </c>
      <c r="AM347" s="747"/>
      <c r="AN347" s="757"/>
      <c r="AO347" s="771">
        <v>79.75</v>
      </c>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4"/>
        <v>PiècesFrais bancaires</v>
      </c>
      <c r="B348" s="54" t="s">
        <v>142</v>
      </c>
      <c r="C348" s="747"/>
      <c r="D348" s="757"/>
      <c r="E348" s="758">
        <v>21103.250000000004</v>
      </c>
      <c r="F348" s="747"/>
      <c r="G348" s="757"/>
      <c r="H348" s="771">
        <v>1372.41</v>
      </c>
      <c r="I348" s="747"/>
      <c r="J348" s="757"/>
      <c r="K348" s="771">
        <v>1083.58</v>
      </c>
      <c r="L348" s="747"/>
      <c r="M348" s="757"/>
      <c r="N348" s="771">
        <v>1428.49</v>
      </c>
      <c r="O348" s="747"/>
      <c r="P348" s="757"/>
      <c r="Q348" s="771">
        <v>1900.91</v>
      </c>
      <c r="R348" s="747"/>
      <c r="S348" s="757"/>
      <c r="T348" s="771">
        <v>2111.31</v>
      </c>
      <c r="U348" s="747"/>
      <c r="V348" s="757"/>
      <c r="W348" s="771">
        <v>1492.37</v>
      </c>
      <c r="X348" s="747"/>
      <c r="Y348" s="757"/>
      <c r="Z348" s="771">
        <v>1652.78</v>
      </c>
      <c r="AA348" s="747"/>
      <c r="AB348" s="757"/>
      <c r="AC348" s="771">
        <v>1589.41</v>
      </c>
      <c r="AD348" s="747"/>
      <c r="AE348" s="757"/>
      <c r="AF348" s="771">
        <v>1452.03</v>
      </c>
      <c r="AG348" s="747"/>
      <c r="AH348" s="757"/>
      <c r="AI348" s="771">
        <v>2142.2399999999998</v>
      </c>
      <c r="AJ348" s="747"/>
      <c r="AK348" s="757"/>
      <c r="AL348" s="771">
        <v>3033.34</v>
      </c>
      <c r="AM348" s="747"/>
      <c r="AN348" s="757"/>
      <c r="AO348" s="771">
        <v>1844.38</v>
      </c>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4"/>
        <v>Pièces[...]</v>
      </c>
      <c r="B349" s="54" t="s">
        <v>59</v>
      </c>
      <c r="C349" s="747"/>
      <c r="D349" s="757"/>
      <c r="E349" s="758">
        <v>0</v>
      </c>
      <c r="F349" s="747"/>
      <c r="G349" s="757"/>
      <c r="H349" s="758"/>
      <c r="I349" s="747"/>
      <c r="J349" s="757"/>
      <c r="K349" s="758"/>
      <c r="L349" s="747"/>
      <c r="M349" s="757"/>
      <c r="N349" s="758"/>
      <c r="O349" s="747"/>
      <c r="P349" s="757"/>
      <c r="Q349" s="758"/>
      <c r="R349" s="747"/>
      <c r="S349" s="757"/>
      <c r="T349" s="758"/>
      <c r="U349" s="747"/>
      <c r="V349" s="757"/>
      <c r="W349" s="758"/>
      <c r="X349" s="747"/>
      <c r="Y349" s="757"/>
      <c r="Z349" s="758"/>
      <c r="AA349" s="747"/>
      <c r="AB349" s="757"/>
      <c r="AC349" s="758"/>
      <c r="AD349" s="747"/>
      <c r="AE349" s="757"/>
      <c r="AF349" s="758"/>
      <c r="AG349" s="747"/>
      <c r="AH349" s="757"/>
      <c r="AI349" s="758"/>
      <c r="AJ349" s="747"/>
      <c r="AK349" s="757"/>
      <c r="AL349" s="758"/>
      <c r="AM349" s="747"/>
      <c r="AN349" s="757"/>
      <c r="AO349" s="758"/>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4"/>
        <v>Pièces[...]</v>
      </c>
      <c r="B350" s="54" t="s">
        <v>59</v>
      </c>
      <c r="C350" s="747"/>
      <c r="D350" s="757"/>
      <c r="E350" s="758">
        <v>0</v>
      </c>
      <c r="F350" s="747"/>
      <c r="G350" s="757"/>
      <c r="H350" s="758"/>
      <c r="I350" s="747"/>
      <c r="J350" s="757"/>
      <c r="K350" s="758"/>
      <c r="L350" s="747"/>
      <c r="M350" s="757"/>
      <c r="N350" s="758"/>
      <c r="O350" s="747"/>
      <c r="P350" s="757"/>
      <c r="Q350" s="758"/>
      <c r="R350" s="747"/>
      <c r="S350" s="757"/>
      <c r="T350" s="758"/>
      <c r="U350" s="747"/>
      <c r="V350" s="757"/>
      <c r="W350" s="758"/>
      <c r="X350" s="747"/>
      <c r="Y350" s="757"/>
      <c r="Z350" s="758"/>
      <c r="AA350" s="747"/>
      <c r="AB350" s="757"/>
      <c r="AC350" s="758"/>
      <c r="AD350" s="747"/>
      <c r="AE350" s="757"/>
      <c r="AF350" s="758"/>
      <c r="AG350" s="747"/>
      <c r="AH350" s="757"/>
      <c r="AI350" s="758"/>
      <c r="AJ350" s="747"/>
      <c r="AK350" s="757"/>
      <c r="AL350" s="758"/>
      <c r="AM350" s="747"/>
      <c r="AN350" s="757"/>
      <c r="AO350" s="758"/>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4"/>
        <v>Pièces[...]</v>
      </c>
      <c r="B351" s="54" t="s">
        <v>59</v>
      </c>
      <c r="C351" s="747"/>
      <c r="D351" s="757"/>
      <c r="E351" s="758">
        <v>0</v>
      </c>
      <c r="F351" s="747"/>
      <c r="G351" s="757"/>
      <c r="H351" s="758"/>
      <c r="I351" s="747"/>
      <c r="J351" s="757"/>
      <c r="K351" s="758"/>
      <c r="L351" s="747"/>
      <c r="M351" s="757"/>
      <c r="N351" s="758"/>
      <c r="O351" s="747"/>
      <c r="P351" s="757"/>
      <c r="Q351" s="758"/>
      <c r="R351" s="747"/>
      <c r="S351" s="757"/>
      <c r="T351" s="758"/>
      <c r="U351" s="747"/>
      <c r="V351" s="757"/>
      <c r="W351" s="758"/>
      <c r="X351" s="747"/>
      <c r="Y351" s="757"/>
      <c r="Z351" s="758"/>
      <c r="AA351" s="747"/>
      <c r="AB351" s="757"/>
      <c r="AC351" s="758"/>
      <c r="AD351" s="747"/>
      <c r="AE351" s="757"/>
      <c r="AF351" s="758"/>
      <c r="AG351" s="747"/>
      <c r="AH351" s="757"/>
      <c r="AI351" s="758"/>
      <c r="AJ351" s="747"/>
      <c r="AK351" s="757"/>
      <c r="AL351" s="758"/>
      <c r="AM351" s="747"/>
      <c r="AN351" s="757"/>
      <c r="AO351" s="758"/>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4"/>
        <v>PiècesTOTAL SEMI-FIXES</v>
      </c>
      <c r="B352" s="53" t="s">
        <v>143</v>
      </c>
      <c r="C352" s="777" t="s">
        <v>119</v>
      </c>
      <c r="D352" s="778">
        <v>0.23573957688100339</v>
      </c>
      <c r="E352" s="779">
        <v>319842.28999999998</v>
      </c>
      <c r="F352" s="777" t="s">
        <v>119</v>
      </c>
      <c r="G352" s="778">
        <v>0.21427605281479004</v>
      </c>
      <c r="H352" s="779">
        <v>23477.43</v>
      </c>
      <c r="I352" s="777" t="s">
        <v>119</v>
      </c>
      <c r="J352" s="778">
        <v>0.3014858731140414</v>
      </c>
      <c r="K352" s="779">
        <v>29234.25</v>
      </c>
      <c r="L352" s="777" t="s">
        <v>119</v>
      </c>
      <c r="M352" s="778">
        <v>0.22742622868132648</v>
      </c>
      <c r="N352" s="779">
        <v>24754.010000000002</v>
      </c>
      <c r="O352" s="777" t="s">
        <v>119</v>
      </c>
      <c r="P352" s="778">
        <v>0.21911200721519558</v>
      </c>
      <c r="Q352" s="779">
        <v>27642.29</v>
      </c>
      <c r="R352" s="777" t="s">
        <v>119</v>
      </c>
      <c r="S352" s="778">
        <v>0.23119243341727913</v>
      </c>
      <c r="T352" s="779">
        <v>28593.79</v>
      </c>
      <c r="U352" s="777" t="s">
        <v>119</v>
      </c>
      <c r="V352" s="778">
        <v>0.28175750727234439</v>
      </c>
      <c r="W352" s="779">
        <v>23719.859999999997</v>
      </c>
      <c r="X352" s="777" t="s">
        <v>119</v>
      </c>
      <c r="Y352" s="778">
        <v>0.2209587860776164</v>
      </c>
      <c r="Z352" s="779">
        <v>23138.74</v>
      </c>
      <c r="AA352" s="777" t="s">
        <v>119</v>
      </c>
      <c r="AB352" s="778">
        <v>0.26484716384013562</v>
      </c>
      <c r="AC352" s="779">
        <v>28300.490000000009</v>
      </c>
      <c r="AD352" s="777" t="s">
        <v>119</v>
      </c>
      <c r="AE352" s="778">
        <v>0.23907703251582837</v>
      </c>
      <c r="AF352" s="779">
        <v>26907.189999999995</v>
      </c>
      <c r="AG352" s="777" t="s">
        <v>119</v>
      </c>
      <c r="AH352" s="778">
        <v>0.22587162513993805</v>
      </c>
      <c r="AI352" s="779">
        <v>29362.270000000004</v>
      </c>
      <c r="AJ352" s="777" t="s">
        <v>119</v>
      </c>
      <c r="AK352" s="778">
        <v>0.1868067594013276</v>
      </c>
      <c r="AL352" s="779">
        <v>28358.23</v>
      </c>
      <c r="AM352" s="777" t="s">
        <v>119</v>
      </c>
      <c r="AN352" s="778">
        <v>0.25979579498110295</v>
      </c>
      <c r="AO352" s="779">
        <v>26353.74</v>
      </c>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4"/>
        <v>Pièces</v>
      </c>
      <c r="B353" s="43"/>
      <c r="C353" s="776"/>
      <c r="D353" s="784"/>
      <c r="E353" s="774"/>
      <c r="F353" s="776"/>
      <c r="G353" s="784"/>
      <c r="H353" s="774"/>
      <c r="I353" s="776"/>
      <c r="J353" s="784"/>
      <c r="K353" s="774"/>
      <c r="L353" s="776"/>
      <c r="M353" s="784"/>
      <c r="N353" s="774"/>
      <c r="O353" s="776"/>
      <c r="P353" s="784"/>
      <c r="Q353" s="774"/>
      <c r="R353" s="776"/>
      <c r="S353" s="784"/>
      <c r="T353" s="774"/>
      <c r="U353" s="776"/>
      <c r="V353" s="784"/>
      <c r="W353" s="774"/>
      <c r="X353" s="776"/>
      <c r="Y353" s="784"/>
      <c r="Z353" s="774"/>
      <c r="AA353" s="776"/>
      <c r="AB353" s="784"/>
      <c r="AC353" s="774"/>
      <c r="AD353" s="776"/>
      <c r="AE353" s="784"/>
      <c r="AF353" s="774"/>
      <c r="AG353" s="776"/>
      <c r="AH353" s="784"/>
      <c r="AI353" s="774"/>
      <c r="AJ353" s="776"/>
      <c r="AK353" s="784"/>
      <c r="AL353" s="774"/>
      <c r="AM353" s="776"/>
      <c r="AN353" s="784"/>
      <c r="AO353" s="774"/>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4"/>
        <v>PiècesTOTAL DES DÉPENSES</v>
      </c>
      <c r="B354" s="53" t="s">
        <v>144</v>
      </c>
      <c r="C354" s="777" t="s">
        <v>119</v>
      </c>
      <c r="D354" s="815">
        <v>0.65935705512667697</v>
      </c>
      <c r="E354" s="789">
        <v>894590.01</v>
      </c>
      <c r="F354" s="777" t="s">
        <v>119</v>
      </c>
      <c r="G354" s="815">
        <v>0.65397255432967272</v>
      </c>
      <c r="H354" s="789">
        <v>71653.339999999909</v>
      </c>
      <c r="I354" s="777" t="s">
        <v>119</v>
      </c>
      <c r="J354" s="815">
        <v>0.78980754632260997</v>
      </c>
      <c r="K354" s="789">
        <v>76585.45</v>
      </c>
      <c r="L354" s="777" t="s">
        <v>119</v>
      </c>
      <c r="M354" s="815">
        <v>0.72035919621940103</v>
      </c>
      <c r="N354" s="789">
        <v>78406.869999999908</v>
      </c>
      <c r="O354" s="777" t="s">
        <v>119</v>
      </c>
      <c r="P354" s="815">
        <v>0.57974215728814582</v>
      </c>
      <c r="Q354" s="789">
        <v>73137.94</v>
      </c>
      <c r="R354" s="777" t="s">
        <v>119</v>
      </c>
      <c r="S354" s="815">
        <v>0.67395838327756818</v>
      </c>
      <c r="T354" s="789">
        <v>83354.91</v>
      </c>
      <c r="U354" s="777" t="s">
        <v>119</v>
      </c>
      <c r="V354" s="815">
        <v>0.76640644330481533</v>
      </c>
      <c r="W354" s="789">
        <v>64520.20999999989</v>
      </c>
      <c r="X354" s="777" t="s">
        <v>119</v>
      </c>
      <c r="Y354" s="815">
        <v>0.65049435297328528</v>
      </c>
      <c r="Z354" s="789">
        <v>68119.58</v>
      </c>
      <c r="AA354" s="777" t="s">
        <v>119</v>
      </c>
      <c r="AB354" s="815">
        <v>0.73329987395177931</v>
      </c>
      <c r="AC354" s="789">
        <v>78357.440000000002</v>
      </c>
      <c r="AD354" s="777" t="s">
        <v>119</v>
      </c>
      <c r="AE354" s="815">
        <v>0.66701710081316901</v>
      </c>
      <c r="AF354" s="789">
        <v>75070.179999999993</v>
      </c>
      <c r="AG354" s="777" t="s">
        <v>119</v>
      </c>
      <c r="AH354" s="815">
        <v>0.57491784900987652</v>
      </c>
      <c r="AI354" s="789">
        <v>74736.669999999896</v>
      </c>
      <c r="AJ354" s="777" t="s">
        <v>119</v>
      </c>
      <c r="AK354" s="815">
        <v>0.50901721654257348</v>
      </c>
      <c r="AL354" s="789">
        <v>77271.4399999999</v>
      </c>
      <c r="AM354" s="777" t="s">
        <v>119</v>
      </c>
      <c r="AN354" s="815">
        <v>0.72334215396439017</v>
      </c>
      <c r="AO354" s="789">
        <v>73375.98</v>
      </c>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4"/>
        <v>Pièces</v>
      </c>
      <c r="B355" s="44"/>
      <c r="C355" s="747"/>
      <c r="D355" s="757"/>
      <c r="E355" s="758"/>
      <c r="F355" s="747"/>
      <c r="G355" s="757"/>
      <c r="H355" s="758"/>
      <c r="I355" s="747"/>
      <c r="J355" s="757"/>
      <c r="K355" s="758"/>
      <c r="L355" s="747"/>
      <c r="M355" s="757"/>
      <c r="N355" s="758"/>
      <c r="O355" s="747"/>
      <c r="P355" s="757"/>
      <c r="Q355" s="758"/>
      <c r="R355" s="747"/>
      <c r="S355" s="757"/>
      <c r="T355" s="758"/>
      <c r="U355" s="747"/>
      <c r="V355" s="757"/>
      <c r="W355" s="758"/>
      <c r="X355" s="747"/>
      <c r="Y355" s="757"/>
      <c r="Z355" s="758"/>
      <c r="AA355" s="747"/>
      <c r="AB355" s="757"/>
      <c r="AC355" s="758"/>
      <c r="AD355" s="747"/>
      <c r="AE355" s="757"/>
      <c r="AF355" s="758"/>
      <c r="AG355" s="747"/>
      <c r="AH355" s="757"/>
      <c r="AI355" s="758"/>
      <c r="AJ355" s="747"/>
      <c r="AK355" s="757"/>
      <c r="AL355" s="758"/>
      <c r="AM355" s="747"/>
      <c r="AN355" s="757"/>
      <c r="AO355" s="758"/>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thickBot="1">
      <c r="A356" s="39" t="str">
        <f t="shared" si="4"/>
        <v>PiècesPROFIT DÉPARTEMENTAL</v>
      </c>
      <c r="B356" s="57" t="s">
        <v>151</v>
      </c>
      <c r="C356" s="816"/>
      <c r="D356" s="817"/>
      <c r="E356" s="798">
        <v>462171.09999999776</v>
      </c>
      <c r="F356" s="816"/>
      <c r="G356" s="817"/>
      <c r="H356" s="798">
        <v>37912.939999999755</v>
      </c>
      <c r="I356" s="816"/>
      <c r="J356" s="817"/>
      <c r="K356" s="798">
        <v>20381.779999999781</v>
      </c>
      <c r="L356" s="816"/>
      <c r="M356" s="817"/>
      <c r="N356" s="798">
        <v>30437.25999999998</v>
      </c>
      <c r="O356" s="816"/>
      <c r="P356" s="817"/>
      <c r="Q356" s="798">
        <v>53018.039999999688</v>
      </c>
      <c r="R356" s="816"/>
      <c r="S356" s="817"/>
      <c r="T356" s="798">
        <v>40324.699999999779</v>
      </c>
      <c r="U356" s="816"/>
      <c r="V356" s="817"/>
      <c r="W356" s="798">
        <v>19665.160000000091</v>
      </c>
      <c r="X356" s="816"/>
      <c r="Y356" s="817"/>
      <c r="Z356" s="798">
        <v>36600.129999999888</v>
      </c>
      <c r="AA356" s="816"/>
      <c r="AB356" s="817"/>
      <c r="AC356" s="798">
        <v>28498.489999999787</v>
      </c>
      <c r="AD356" s="816"/>
      <c r="AE356" s="817"/>
      <c r="AF356" s="798">
        <v>37475.929999999993</v>
      </c>
      <c r="AG356" s="816"/>
      <c r="AH356" s="817"/>
      <c r="AI356" s="798">
        <v>55258.719999999899</v>
      </c>
      <c r="AJ356" s="816"/>
      <c r="AK356" s="817"/>
      <c r="AL356" s="798">
        <v>74533.71999999987</v>
      </c>
      <c r="AM356" s="816"/>
      <c r="AN356" s="817"/>
      <c r="AO356" s="798">
        <v>28064.229999999894</v>
      </c>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810"/>
      <c r="D357" s="810"/>
      <c r="E357" s="867"/>
      <c r="F357" s="810"/>
      <c r="G357" s="810"/>
      <c r="H357" s="867"/>
      <c r="I357" s="810"/>
      <c r="J357" s="810"/>
      <c r="K357" s="867"/>
      <c r="L357" s="810"/>
      <c r="M357" s="810"/>
      <c r="N357" s="867"/>
      <c r="O357" s="810"/>
      <c r="P357" s="810"/>
      <c r="Q357" s="867"/>
      <c r="R357" s="810"/>
      <c r="S357" s="810"/>
      <c r="T357" s="867"/>
      <c r="U357" s="810"/>
      <c r="V357" s="810"/>
      <c r="W357" s="867"/>
      <c r="X357" s="810"/>
      <c r="Y357" s="810"/>
      <c r="Z357" s="867"/>
      <c r="AA357" s="810"/>
      <c r="AB357" s="810"/>
      <c r="AC357" s="867"/>
      <c r="AD357" s="810"/>
      <c r="AE357" s="810"/>
      <c r="AF357" s="867"/>
      <c r="AG357" s="810"/>
      <c r="AH357" s="810"/>
      <c r="AI357" s="867"/>
      <c r="AJ357" s="810"/>
      <c r="AK357" s="810"/>
      <c r="AL357" s="867"/>
      <c r="AM357" s="810"/>
      <c r="AN357" s="810"/>
      <c r="AO357" s="867"/>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51"/>
      <c r="C358" s="810"/>
      <c r="D358" s="810"/>
      <c r="E358" s="867"/>
      <c r="F358" s="810"/>
      <c r="G358" s="810"/>
      <c r="H358" s="867"/>
      <c r="I358" s="810"/>
      <c r="J358" s="810"/>
      <c r="K358" s="867"/>
      <c r="L358" s="810"/>
      <c r="M358" s="810"/>
      <c r="N358" s="867"/>
      <c r="O358" s="810"/>
      <c r="P358" s="810"/>
      <c r="Q358" s="867"/>
      <c r="R358" s="810"/>
      <c r="S358" s="810"/>
      <c r="T358" s="867"/>
      <c r="U358" s="810"/>
      <c r="V358" s="810"/>
      <c r="W358" s="867"/>
      <c r="X358" s="810"/>
      <c r="Y358" s="810"/>
      <c r="Z358" s="867"/>
      <c r="AA358" s="810"/>
      <c r="AB358" s="810"/>
      <c r="AC358" s="867"/>
      <c r="AD358" s="810"/>
      <c r="AE358" s="810"/>
      <c r="AF358" s="867"/>
      <c r="AG358" s="810"/>
      <c r="AH358" s="810"/>
      <c r="AI358" s="867"/>
      <c r="AJ358" s="810"/>
      <c r="AK358" s="810"/>
      <c r="AL358" s="867"/>
      <c r="AM358" s="810"/>
      <c r="AN358" s="810"/>
      <c r="AO358" s="867"/>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1" t="s">
        <v>3937</v>
      </c>
      <c r="C359" s="802" t="s">
        <v>196</v>
      </c>
      <c r="D359" s="802"/>
      <c r="E359" s="802"/>
      <c r="F359" s="802"/>
      <c r="G359" s="802"/>
      <c r="H359" s="802"/>
      <c r="I359" s="802"/>
      <c r="J359" s="802"/>
      <c r="K359" s="802"/>
      <c r="L359" s="802"/>
      <c r="M359" s="802"/>
      <c r="N359" s="802"/>
      <c r="O359" s="802"/>
      <c r="P359" s="802"/>
      <c r="Q359" s="802"/>
      <c r="R359" s="802"/>
      <c r="S359" s="802"/>
      <c r="T359" s="802"/>
      <c r="U359" s="802"/>
      <c r="V359" s="802"/>
      <c r="W359" s="802"/>
      <c r="X359" s="802"/>
      <c r="Y359" s="802"/>
      <c r="Z359" s="802"/>
      <c r="AA359" s="802"/>
      <c r="AB359" s="802"/>
      <c r="AC359" s="802"/>
      <c r="AD359" s="802"/>
      <c r="AE359" s="802"/>
      <c r="AF359" s="802"/>
      <c r="AG359" s="802"/>
      <c r="AH359" s="802"/>
      <c r="AI359" s="802"/>
      <c r="AJ359" s="802"/>
      <c r="AK359" s="802"/>
      <c r="AL359" s="802"/>
      <c r="AM359" s="802"/>
      <c r="AN359" s="802"/>
      <c r="AO359" s="802"/>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thickBot="1">
      <c r="A360" s="39"/>
      <c r="B360" s="62"/>
      <c r="C360" s="801"/>
      <c r="D360" s="801"/>
      <c r="E360" s="801"/>
      <c r="F360" s="801"/>
      <c r="G360" s="801"/>
      <c r="H360" s="801"/>
      <c r="I360" s="801"/>
      <c r="J360" s="801"/>
      <c r="K360" s="801"/>
      <c r="L360" s="801"/>
      <c r="M360" s="801"/>
      <c r="N360" s="801"/>
      <c r="O360" s="801"/>
      <c r="P360" s="801"/>
      <c r="Q360" s="801"/>
      <c r="R360" s="801"/>
      <c r="S360" s="801"/>
      <c r="T360" s="801"/>
      <c r="U360" s="801"/>
      <c r="V360" s="801"/>
      <c r="W360" s="801"/>
      <c r="X360" s="801"/>
      <c r="Y360" s="801"/>
      <c r="Z360" s="801"/>
      <c r="AA360" s="801"/>
      <c r="AB360" s="801"/>
      <c r="AC360" s="801"/>
      <c r="AD360" s="801"/>
      <c r="AE360" s="801"/>
      <c r="AF360" s="801"/>
      <c r="AG360" s="801"/>
      <c r="AH360" s="801"/>
      <c r="AI360" s="801"/>
      <c r="AJ360" s="801"/>
      <c r="AK360" s="801"/>
      <c r="AL360" s="801"/>
      <c r="AM360" s="801"/>
      <c r="AN360" s="801"/>
      <c r="AO360" s="801"/>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thickTop="1">
      <c r="A361" s="39"/>
      <c r="B361" s="40" t="s">
        <v>3</v>
      </c>
      <c r="C361" s="969">
        <v>2023</v>
      </c>
      <c r="D361" s="970"/>
      <c r="E361" s="971"/>
      <c r="F361" s="729" t="s">
        <v>8</v>
      </c>
      <c r="G361" s="730"/>
      <c r="H361" s="731"/>
      <c r="I361" s="729" t="s">
        <v>10</v>
      </c>
      <c r="J361" s="730"/>
      <c r="K361" s="731"/>
      <c r="L361" s="729" t="s">
        <v>11</v>
      </c>
      <c r="M361" s="730"/>
      <c r="N361" s="731"/>
      <c r="O361" s="729" t="s">
        <v>12</v>
      </c>
      <c r="P361" s="730"/>
      <c r="Q361" s="731"/>
      <c r="R361" s="729" t="s">
        <v>13</v>
      </c>
      <c r="S361" s="730"/>
      <c r="T361" s="731"/>
      <c r="U361" s="729" t="s">
        <v>14</v>
      </c>
      <c r="V361" s="730"/>
      <c r="W361" s="731"/>
      <c r="X361" s="729" t="s">
        <v>16</v>
      </c>
      <c r="Y361" s="730"/>
      <c r="Z361" s="731"/>
      <c r="AA361" s="729" t="s">
        <v>18</v>
      </c>
      <c r="AB361" s="730"/>
      <c r="AC361" s="731"/>
      <c r="AD361" s="729" t="s">
        <v>20</v>
      </c>
      <c r="AE361" s="730"/>
      <c r="AF361" s="731"/>
      <c r="AG361" s="729" t="s">
        <v>22</v>
      </c>
      <c r="AH361" s="730"/>
      <c r="AI361" s="731"/>
      <c r="AJ361" s="729" t="s">
        <v>23</v>
      </c>
      <c r="AK361" s="730"/>
      <c r="AL361" s="731"/>
      <c r="AM361" s="729" t="s">
        <v>6</v>
      </c>
      <c r="AN361" s="730"/>
      <c r="AO361" s="731"/>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thickBot="1">
      <c r="A362" s="39"/>
      <c r="B362" s="44"/>
      <c r="C362" s="803" t="s">
        <v>163</v>
      </c>
      <c r="D362" s="768" t="s">
        <v>181</v>
      </c>
      <c r="E362" s="804" t="s">
        <v>95</v>
      </c>
      <c r="F362" s="803" t="s">
        <v>163</v>
      </c>
      <c r="G362" s="768" t="s">
        <v>181</v>
      </c>
      <c r="H362" s="804" t="s">
        <v>95</v>
      </c>
      <c r="I362" s="803" t="s">
        <v>163</v>
      </c>
      <c r="J362" s="768" t="s">
        <v>181</v>
      </c>
      <c r="K362" s="804" t="s">
        <v>95</v>
      </c>
      <c r="L362" s="803" t="s">
        <v>163</v>
      </c>
      <c r="M362" s="768" t="s">
        <v>181</v>
      </c>
      <c r="N362" s="804" t="s">
        <v>95</v>
      </c>
      <c r="O362" s="803" t="s">
        <v>163</v>
      </c>
      <c r="P362" s="768" t="s">
        <v>181</v>
      </c>
      <c r="Q362" s="804" t="s">
        <v>95</v>
      </c>
      <c r="R362" s="803" t="s">
        <v>163</v>
      </c>
      <c r="S362" s="768" t="s">
        <v>181</v>
      </c>
      <c r="T362" s="804" t="s">
        <v>95</v>
      </c>
      <c r="U362" s="803" t="s">
        <v>163</v>
      </c>
      <c r="V362" s="768" t="s">
        <v>181</v>
      </c>
      <c r="W362" s="804" t="s">
        <v>95</v>
      </c>
      <c r="X362" s="803" t="s">
        <v>163</v>
      </c>
      <c r="Y362" s="768" t="s">
        <v>181</v>
      </c>
      <c r="Z362" s="804" t="s">
        <v>95</v>
      </c>
      <c r="AA362" s="803" t="s">
        <v>163</v>
      </c>
      <c r="AB362" s="768" t="s">
        <v>181</v>
      </c>
      <c r="AC362" s="804" t="s">
        <v>95</v>
      </c>
      <c r="AD362" s="803" t="s">
        <v>163</v>
      </c>
      <c r="AE362" s="768" t="s">
        <v>181</v>
      </c>
      <c r="AF362" s="804" t="s">
        <v>95</v>
      </c>
      <c r="AG362" s="803" t="s">
        <v>163</v>
      </c>
      <c r="AH362" s="768" t="s">
        <v>181</v>
      </c>
      <c r="AI362" s="804" t="s">
        <v>95</v>
      </c>
      <c r="AJ362" s="803" t="s">
        <v>163</v>
      </c>
      <c r="AK362" s="768" t="s">
        <v>181</v>
      </c>
      <c r="AL362" s="804" t="s">
        <v>95</v>
      </c>
      <c r="AM362" s="803" t="s">
        <v>163</v>
      </c>
      <c r="AN362" s="768" t="s">
        <v>181</v>
      </c>
      <c r="AO362" s="804" t="s">
        <v>95</v>
      </c>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thickTop="1">
      <c r="A363" s="39" t="str">
        <f t="shared" ref="A363:A402" si="5">+$C$359&amp;B363</f>
        <v>BoutiqueBoutique</v>
      </c>
      <c r="B363" s="49" t="s">
        <v>196</v>
      </c>
      <c r="C363" s="759">
        <v>0</v>
      </c>
      <c r="D363" s="861">
        <v>0</v>
      </c>
      <c r="E363" s="761">
        <v>0</v>
      </c>
      <c r="F363" s="759">
        <v>0</v>
      </c>
      <c r="G363" s="861">
        <v>0</v>
      </c>
      <c r="H363" s="761">
        <v>0</v>
      </c>
      <c r="I363" s="759">
        <v>0</v>
      </c>
      <c r="J363" s="861">
        <v>0</v>
      </c>
      <c r="K363" s="761">
        <v>0</v>
      </c>
      <c r="L363" s="759">
        <v>0</v>
      </c>
      <c r="M363" s="861">
        <v>0</v>
      </c>
      <c r="N363" s="761">
        <v>0</v>
      </c>
      <c r="O363" s="759">
        <v>0</v>
      </c>
      <c r="P363" s="861">
        <v>0</v>
      </c>
      <c r="Q363" s="761">
        <v>0</v>
      </c>
      <c r="R363" s="759">
        <v>0</v>
      </c>
      <c r="S363" s="861">
        <v>0</v>
      </c>
      <c r="T363" s="761">
        <v>0</v>
      </c>
      <c r="U363" s="759">
        <v>0</v>
      </c>
      <c r="V363" s="861">
        <v>0</v>
      </c>
      <c r="W363" s="761">
        <v>0</v>
      </c>
      <c r="X363" s="759">
        <v>0</v>
      </c>
      <c r="Y363" s="861">
        <v>0</v>
      </c>
      <c r="Z363" s="761">
        <v>0</v>
      </c>
      <c r="AA363" s="759">
        <v>0</v>
      </c>
      <c r="AB363" s="861">
        <v>0</v>
      </c>
      <c r="AC363" s="761">
        <v>0</v>
      </c>
      <c r="AD363" s="759">
        <v>0</v>
      </c>
      <c r="AE363" s="861">
        <v>0</v>
      </c>
      <c r="AF363" s="761">
        <v>0</v>
      </c>
      <c r="AG363" s="759">
        <v>0</v>
      </c>
      <c r="AH363" s="861">
        <v>0</v>
      </c>
      <c r="AI363" s="761">
        <v>0</v>
      </c>
      <c r="AJ363" s="759">
        <v>0</v>
      </c>
      <c r="AK363" s="861">
        <v>0</v>
      </c>
      <c r="AL363" s="761">
        <v>0</v>
      </c>
      <c r="AM363" s="759">
        <v>0</v>
      </c>
      <c r="AN363" s="861">
        <v>0</v>
      </c>
      <c r="AO363" s="761">
        <v>0</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thickBot="1">
      <c r="A364" s="39" t="str">
        <f t="shared" si="5"/>
        <v>Boutique</v>
      </c>
      <c r="B364" s="65"/>
      <c r="C364" s="862"/>
      <c r="D364" s="863"/>
      <c r="E364" s="864"/>
      <c r="F364" s="862"/>
      <c r="G364" s="863"/>
      <c r="H364" s="864"/>
      <c r="I364" s="862"/>
      <c r="J364" s="863"/>
      <c r="K364" s="864"/>
      <c r="L364" s="862"/>
      <c r="M364" s="863"/>
      <c r="N364" s="864"/>
      <c r="O364" s="862"/>
      <c r="P364" s="863"/>
      <c r="Q364" s="864"/>
      <c r="R364" s="862"/>
      <c r="S364" s="863"/>
      <c r="T364" s="864"/>
      <c r="U364" s="862"/>
      <c r="V364" s="863"/>
      <c r="W364" s="864"/>
      <c r="X364" s="862"/>
      <c r="Y364" s="863"/>
      <c r="Z364" s="864"/>
      <c r="AA364" s="862"/>
      <c r="AB364" s="863"/>
      <c r="AC364" s="864"/>
      <c r="AD364" s="862"/>
      <c r="AE364" s="863"/>
      <c r="AF364" s="864"/>
      <c r="AG364" s="862"/>
      <c r="AH364" s="863"/>
      <c r="AI364" s="864"/>
      <c r="AJ364" s="862"/>
      <c r="AK364" s="863"/>
      <c r="AL364" s="864"/>
      <c r="AM364" s="862"/>
      <c r="AN364" s="863"/>
      <c r="AO364" s="864"/>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thickTop="1">
      <c r="A365" s="39" t="str">
        <f t="shared" si="5"/>
        <v>BoutiqueTotal Dépt. Boutique</v>
      </c>
      <c r="B365" s="47" t="s">
        <v>197</v>
      </c>
      <c r="C365" s="865">
        <v>0</v>
      </c>
      <c r="D365" s="866">
        <v>0</v>
      </c>
      <c r="E365" s="795">
        <v>0</v>
      </c>
      <c r="F365" s="865">
        <v>0</v>
      </c>
      <c r="G365" s="866">
        <v>0</v>
      </c>
      <c r="H365" s="795">
        <v>0</v>
      </c>
      <c r="I365" s="865">
        <v>0</v>
      </c>
      <c r="J365" s="866">
        <v>0</v>
      </c>
      <c r="K365" s="795">
        <v>0</v>
      </c>
      <c r="L365" s="865">
        <v>0</v>
      </c>
      <c r="M365" s="866">
        <v>0</v>
      </c>
      <c r="N365" s="795">
        <v>0</v>
      </c>
      <c r="O365" s="865">
        <v>0</v>
      </c>
      <c r="P365" s="866">
        <v>0</v>
      </c>
      <c r="Q365" s="795">
        <v>0</v>
      </c>
      <c r="R365" s="865">
        <v>0</v>
      </c>
      <c r="S365" s="866">
        <v>0</v>
      </c>
      <c r="T365" s="795">
        <v>0</v>
      </c>
      <c r="U365" s="865">
        <v>0</v>
      </c>
      <c r="V365" s="866">
        <v>0</v>
      </c>
      <c r="W365" s="795">
        <v>0</v>
      </c>
      <c r="X365" s="865">
        <v>0</v>
      </c>
      <c r="Y365" s="866">
        <v>0</v>
      </c>
      <c r="Z365" s="795">
        <v>0</v>
      </c>
      <c r="AA365" s="865">
        <v>0</v>
      </c>
      <c r="AB365" s="866">
        <v>0</v>
      </c>
      <c r="AC365" s="795">
        <v>0</v>
      </c>
      <c r="AD365" s="865">
        <v>0</v>
      </c>
      <c r="AE365" s="866">
        <v>0</v>
      </c>
      <c r="AF365" s="795">
        <v>0</v>
      </c>
      <c r="AG365" s="865">
        <v>0</v>
      </c>
      <c r="AH365" s="866">
        <v>0</v>
      </c>
      <c r="AI365" s="795">
        <v>0</v>
      </c>
      <c r="AJ365" s="865">
        <v>0</v>
      </c>
      <c r="AK365" s="866">
        <v>0</v>
      </c>
      <c r="AL365" s="795">
        <v>0</v>
      </c>
      <c r="AM365" s="865">
        <v>0</v>
      </c>
      <c r="AN365" s="866">
        <v>0</v>
      </c>
      <c r="AO365" s="795">
        <v>0</v>
      </c>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5"/>
        <v>Boutique</v>
      </c>
      <c r="B366" s="52"/>
      <c r="C366" s="747"/>
      <c r="D366" s="757"/>
      <c r="E366" s="748"/>
      <c r="F366" s="747"/>
      <c r="G366" s="757"/>
      <c r="H366" s="748"/>
      <c r="I366" s="747"/>
      <c r="J366" s="757"/>
      <c r="K366" s="748"/>
      <c r="L366" s="747"/>
      <c r="M366" s="757"/>
      <c r="N366" s="748"/>
      <c r="O366" s="747"/>
      <c r="P366" s="757"/>
      <c r="Q366" s="748"/>
      <c r="R366" s="747"/>
      <c r="S366" s="757"/>
      <c r="T366" s="748"/>
      <c r="U366" s="747"/>
      <c r="V366" s="757"/>
      <c r="W366" s="748"/>
      <c r="X366" s="747"/>
      <c r="Y366" s="757"/>
      <c r="Z366" s="748"/>
      <c r="AA366" s="747"/>
      <c r="AB366" s="757"/>
      <c r="AC366" s="748"/>
      <c r="AD366" s="747"/>
      <c r="AE366" s="757"/>
      <c r="AF366" s="748"/>
      <c r="AG366" s="747"/>
      <c r="AH366" s="757"/>
      <c r="AI366" s="748"/>
      <c r="AJ366" s="747"/>
      <c r="AK366" s="757"/>
      <c r="AL366" s="748"/>
      <c r="AM366" s="747"/>
      <c r="AN366" s="757"/>
      <c r="AO366" s="748"/>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5"/>
        <v>BoutiqueDEPENSES</v>
      </c>
      <c r="B367" s="52" t="s">
        <v>110</v>
      </c>
      <c r="C367" s="747"/>
      <c r="D367" s="757"/>
      <c r="E367" s="748"/>
      <c r="F367" s="747"/>
      <c r="G367" s="757"/>
      <c r="H367" s="748"/>
      <c r="I367" s="747"/>
      <c r="J367" s="757"/>
      <c r="K367" s="748"/>
      <c r="L367" s="747"/>
      <c r="M367" s="757"/>
      <c r="N367" s="748"/>
      <c r="O367" s="747"/>
      <c r="P367" s="757"/>
      <c r="Q367" s="748"/>
      <c r="R367" s="747"/>
      <c r="S367" s="757"/>
      <c r="T367" s="748"/>
      <c r="U367" s="747"/>
      <c r="V367" s="757"/>
      <c r="W367" s="748"/>
      <c r="X367" s="747"/>
      <c r="Y367" s="757"/>
      <c r="Z367" s="748"/>
      <c r="AA367" s="747"/>
      <c r="AB367" s="757"/>
      <c r="AC367" s="748"/>
      <c r="AD367" s="747"/>
      <c r="AE367" s="757"/>
      <c r="AF367" s="748"/>
      <c r="AG367" s="747"/>
      <c r="AH367" s="757"/>
      <c r="AI367" s="748"/>
      <c r="AJ367" s="747"/>
      <c r="AK367" s="757"/>
      <c r="AL367" s="748"/>
      <c r="AM367" s="747"/>
      <c r="AN367" s="757"/>
      <c r="AO367" s="748"/>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5"/>
        <v>BoutiqueSalaires cadres</v>
      </c>
      <c r="B368" s="54" t="s">
        <v>120</v>
      </c>
      <c r="C368" s="747"/>
      <c r="D368" s="757"/>
      <c r="E368" s="758">
        <v>0</v>
      </c>
      <c r="F368" s="747"/>
      <c r="G368" s="757"/>
      <c r="H368" s="771">
        <v>0</v>
      </c>
      <c r="I368" s="747"/>
      <c r="J368" s="757"/>
      <c r="K368" s="771">
        <v>0</v>
      </c>
      <c r="L368" s="747"/>
      <c r="M368" s="757"/>
      <c r="N368" s="771">
        <v>0</v>
      </c>
      <c r="O368" s="747"/>
      <c r="P368" s="757"/>
      <c r="Q368" s="771">
        <v>0</v>
      </c>
      <c r="R368" s="747"/>
      <c r="S368" s="757"/>
      <c r="T368" s="771">
        <v>0</v>
      </c>
      <c r="U368" s="747"/>
      <c r="V368" s="757"/>
      <c r="W368" s="771">
        <v>0</v>
      </c>
      <c r="X368" s="747"/>
      <c r="Y368" s="757"/>
      <c r="Z368" s="771">
        <v>0</v>
      </c>
      <c r="AA368" s="747"/>
      <c r="AB368" s="757"/>
      <c r="AC368" s="771">
        <v>0</v>
      </c>
      <c r="AD368" s="747"/>
      <c r="AE368" s="757"/>
      <c r="AF368" s="771">
        <v>0</v>
      </c>
      <c r="AG368" s="747"/>
      <c r="AH368" s="757"/>
      <c r="AI368" s="771">
        <v>0</v>
      </c>
      <c r="AJ368" s="747"/>
      <c r="AK368" s="757"/>
      <c r="AL368" s="771">
        <v>0</v>
      </c>
      <c r="AM368" s="747"/>
      <c r="AN368" s="757"/>
      <c r="AO368" s="771">
        <v>0</v>
      </c>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5"/>
        <v>BoutiqueSalaires commis</v>
      </c>
      <c r="B369" s="55" t="s">
        <v>121</v>
      </c>
      <c r="C369" s="747"/>
      <c r="D369" s="757"/>
      <c r="E369" s="758">
        <v>0</v>
      </c>
      <c r="F369" s="747"/>
      <c r="G369" s="757"/>
      <c r="H369" s="771">
        <v>0</v>
      </c>
      <c r="I369" s="747"/>
      <c r="J369" s="757"/>
      <c r="K369" s="771">
        <v>0</v>
      </c>
      <c r="L369" s="747"/>
      <c r="M369" s="757"/>
      <c r="N369" s="771">
        <v>0</v>
      </c>
      <c r="O369" s="747"/>
      <c r="P369" s="757"/>
      <c r="Q369" s="771">
        <v>0</v>
      </c>
      <c r="R369" s="747"/>
      <c r="S369" s="757"/>
      <c r="T369" s="771">
        <v>0</v>
      </c>
      <c r="U369" s="747"/>
      <c r="V369" s="757"/>
      <c r="W369" s="771">
        <v>0</v>
      </c>
      <c r="X369" s="747"/>
      <c r="Y369" s="757"/>
      <c r="Z369" s="771">
        <v>0</v>
      </c>
      <c r="AA369" s="747"/>
      <c r="AB369" s="757"/>
      <c r="AC369" s="771">
        <v>0</v>
      </c>
      <c r="AD369" s="747"/>
      <c r="AE369" s="757"/>
      <c r="AF369" s="771">
        <v>0</v>
      </c>
      <c r="AG369" s="747"/>
      <c r="AH369" s="757"/>
      <c r="AI369" s="771">
        <v>0</v>
      </c>
      <c r="AJ369" s="747"/>
      <c r="AK369" s="757"/>
      <c r="AL369" s="771">
        <v>0</v>
      </c>
      <c r="AM369" s="747"/>
      <c r="AN369" s="757"/>
      <c r="AO369" s="771">
        <v>0</v>
      </c>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5"/>
        <v>BoutiqueSalaires autres</v>
      </c>
      <c r="B370" s="54" t="s">
        <v>122</v>
      </c>
      <c r="C370" s="780"/>
      <c r="D370" s="781"/>
      <c r="E370" s="782">
        <v>0</v>
      </c>
      <c r="F370" s="780"/>
      <c r="G370" s="781"/>
      <c r="H370" s="783">
        <v>0</v>
      </c>
      <c r="I370" s="780"/>
      <c r="J370" s="781"/>
      <c r="K370" s="783">
        <v>0</v>
      </c>
      <c r="L370" s="780"/>
      <c r="M370" s="781"/>
      <c r="N370" s="783">
        <v>0</v>
      </c>
      <c r="O370" s="780"/>
      <c r="P370" s="781"/>
      <c r="Q370" s="783">
        <v>0</v>
      </c>
      <c r="R370" s="780"/>
      <c r="S370" s="781"/>
      <c r="T370" s="783">
        <v>0</v>
      </c>
      <c r="U370" s="780"/>
      <c r="V370" s="781"/>
      <c r="W370" s="783">
        <v>0</v>
      </c>
      <c r="X370" s="780"/>
      <c r="Y370" s="781"/>
      <c r="Z370" s="783">
        <v>0</v>
      </c>
      <c r="AA370" s="780"/>
      <c r="AB370" s="781"/>
      <c r="AC370" s="783">
        <v>0</v>
      </c>
      <c r="AD370" s="780"/>
      <c r="AE370" s="781"/>
      <c r="AF370" s="783">
        <v>0</v>
      </c>
      <c r="AG370" s="780"/>
      <c r="AH370" s="781"/>
      <c r="AI370" s="783">
        <v>0</v>
      </c>
      <c r="AJ370" s="780"/>
      <c r="AK370" s="781"/>
      <c r="AL370" s="783">
        <v>0</v>
      </c>
      <c r="AM370" s="780"/>
      <c r="AN370" s="781"/>
      <c r="AO370" s="783">
        <v>0</v>
      </c>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5"/>
        <v>BoutiqueSalaires spécialistes</v>
      </c>
      <c r="B371" s="54" t="s">
        <v>123</v>
      </c>
      <c r="C371" s="747"/>
      <c r="D371" s="757"/>
      <c r="E371" s="758">
        <v>0</v>
      </c>
      <c r="F371" s="747"/>
      <c r="G371" s="757"/>
      <c r="H371" s="771">
        <v>0</v>
      </c>
      <c r="I371" s="747"/>
      <c r="J371" s="757"/>
      <c r="K371" s="771">
        <v>0</v>
      </c>
      <c r="L371" s="747"/>
      <c r="M371" s="757"/>
      <c r="N371" s="771">
        <v>0</v>
      </c>
      <c r="O371" s="747"/>
      <c r="P371" s="757"/>
      <c r="Q371" s="771">
        <v>0</v>
      </c>
      <c r="R371" s="747"/>
      <c r="S371" s="757"/>
      <c r="T371" s="771">
        <v>0</v>
      </c>
      <c r="U371" s="747"/>
      <c r="V371" s="757"/>
      <c r="W371" s="771">
        <v>0</v>
      </c>
      <c r="X371" s="747"/>
      <c r="Y371" s="757"/>
      <c r="Z371" s="771">
        <v>0</v>
      </c>
      <c r="AA371" s="747"/>
      <c r="AB371" s="757"/>
      <c r="AC371" s="771">
        <v>0</v>
      </c>
      <c r="AD371" s="747"/>
      <c r="AE371" s="757"/>
      <c r="AF371" s="771">
        <v>0</v>
      </c>
      <c r="AG371" s="747"/>
      <c r="AH371" s="757"/>
      <c r="AI371" s="771">
        <v>0</v>
      </c>
      <c r="AJ371" s="747"/>
      <c r="AK371" s="757"/>
      <c r="AL371" s="771">
        <v>0</v>
      </c>
      <c r="AM371" s="747"/>
      <c r="AN371" s="757"/>
      <c r="AO371" s="771">
        <v>0</v>
      </c>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5"/>
        <v>Boutique[...]</v>
      </c>
      <c r="B372" s="44" t="s">
        <v>59</v>
      </c>
      <c r="C372" s="747"/>
      <c r="D372" s="757"/>
      <c r="E372" s="758">
        <v>0</v>
      </c>
      <c r="F372" s="747"/>
      <c r="G372" s="757"/>
      <c r="H372" s="771">
        <v>0</v>
      </c>
      <c r="I372" s="747"/>
      <c r="J372" s="757"/>
      <c r="K372" s="771">
        <v>0</v>
      </c>
      <c r="L372" s="747"/>
      <c r="M372" s="757"/>
      <c r="N372" s="771">
        <v>0</v>
      </c>
      <c r="O372" s="747"/>
      <c r="P372" s="757"/>
      <c r="Q372" s="771">
        <v>0</v>
      </c>
      <c r="R372" s="747"/>
      <c r="S372" s="757"/>
      <c r="T372" s="771">
        <v>0</v>
      </c>
      <c r="U372" s="747"/>
      <c r="V372" s="757"/>
      <c r="W372" s="771">
        <v>0</v>
      </c>
      <c r="X372" s="747"/>
      <c r="Y372" s="757"/>
      <c r="Z372" s="771">
        <v>0</v>
      </c>
      <c r="AA372" s="747"/>
      <c r="AB372" s="757"/>
      <c r="AC372" s="771">
        <v>0</v>
      </c>
      <c r="AD372" s="747"/>
      <c r="AE372" s="757"/>
      <c r="AF372" s="771">
        <v>0</v>
      </c>
      <c r="AG372" s="747"/>
      <c r="AH372" s="757"/>
      <c r="AI372" s="771">
        <v>0</v>
      </c>
      <c r="AJ372" s="747"/>
      <c r="AK372" s="757"/>
      <c r="AL372" s="771">
        <v>0</v>
      </c>
      <c r="AM372" s="747"/>
      <c r="AN372" s="757"/>
      <c r="AO372" s="771">
        <v>0</v>
      </c>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5"/>
        <v>Boutique[...]</v>
      </c>
      <c r="B373" s="44" t="s">
        <v>59</v>
      </c>
      <c r="C373" s="747"/>
      <c r="D373" s="757"/>
      <c r="E373" s="758">
        <v>0</v>
      </c>
      <c r="F373" s="747"/>
      <c r="G373" s="757"/>
      <c r="H373" s="771">
        <v>0</v>
      </c>
      <c r="I373" s="747"/>
      <c r="J373" s="757"/>
      <c r="K373" s="771">
        <v>0</v>
      </c>
      <c r="L373" s="747"/>
      <c r="M373" s="757"/>
      <c r="N373" s="771">
        <v>0</v>
      </c>
      <c r="O373" s="747"/>
      <c r="P373" s="757"/>
      <c r="Q373" s="771">
        <v>0</v>
      </c>
      <c r="R373" s="747"/>
      <c r="S373" s="757"/>
      <c r="T373" s="771">
        <v>0</v>
      </c>
      <c r="U373" s="747"/>
      <c r="V373" s="757"/>
      <c r="W373" s="771">
        <v>0</v>
      </c>
      <c r="X373" s="747"/>
      <c r="Y373" s="757"/>
      <c r="Z373" s="771">
        <v>0</v>
      </c>
      <c r="AA373" s="747"/>
      <c r="AB373" s="757"/>
      <c r="AC373" s="771">
        <v>0</v>
      </c>
      <c r="AD373" s="747"/>
      <c r="AE373" s="757"/>
      <c r="AF373" s="771">
        <v>0</v>
      </c>
      <c r="AG373" s="747"/>
      <c r="AH373" s="757"/>
      <c r="AI373" s="771">
        <v>0</v>
      </c>
      <c r="AJ373" s="747"/>
      <c r="AK373" s="757"/>
      <c r="AL373" s="771">
        <v>0</v>
      </c>
      <c r="AM373" s="747"/>
      <c r="AN373" s="757"/>
      <c r="AO373" s="771">
        <v>0</v>
      </c>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5"/>
        <v>Boutique[...]</v>
      </c>
      <c r="B374" s="44" t="s">
        <v>59</v>
      </c>
      <c r="C374" s="747"/>
      <c r="D374" s="757"/>
      <c r="E374" s="758">
        <v>0</v>
      </c>
      <c r="F374" s="747"/>
      <c r="G374" s="757"/>
      <c r="H374" s="771">
        <v>0</v>
      </c>
      <c r="I374" s="747"/>
      <c r="J374" s="757"/>
      <c r="K374" s="771">
        <v>0</v>
      </c>
      <c r="L374" s="747"/>
      <c r="M374" s="757"/>
      <c r="N374" s="771">
        <v>0</v>
      </c>
      <c r="O374" s="747"/>
      <c r="P374" s="757"/>
      <c r="Q374" s="771">
        <v>0</v>
      </c>
      <c r="R374" s="747"/>
      <c r="S374" s="757"/>
      <c r="T374" s="771">
        <v>0</v>
      </c>
      <c r="U374" s="747"/>
      <c r="V374" s="757"/>
      <c r="W374" s="771">
        <v>0</v>
      </c>
      <c r="X374" s="747"/>
      <c r="Y374" s="757"/>
      <c r="Z374" s="771">
        <v>0</v>
      </c>
      <c r="AA374" s="747"/>
      <c r="AB374" s="757"/>
      <c r="AC374" s="771">
        <v>0</v>
      </c>
      <c r="AD374" s="747"/>
      <c r="AE374" s="757"/>
      <c r="AF374" s="771">
        <v>0</v>
      </c>
      <c r="AG374" s="747"/>
      <c r="AH374" s="757"/>
      <c r="AI374" s="771">
        <v>0</v>
      </c>
      <c r="AJ374" s="747"/>
      <c r="AK374" s="757"/>
      <c r="AL374" s="771">
        <v>0</v>
      </c>
      <c r="AM374" s="747"/>
      <c r="AN374" s="757"/>
      <c r="AO374" s="771">
        <v>0</v>
      </c>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5"/>
        <v>BoutiqueSalaires en absences</v>
      </c>
      <c r="B375" s="55" t="s">
        <v>124</v>
      </c>
      <c r="C375" s="747"/>
      <c r="D375" s="757"/>
      <c r="E375" s="758">
        <v>0</v>
      </c>
      <c r="F375" s="747"/>
      <c r="G375" s="757"/>
      <c r="H375" s="771">
        <v>0</v>
      </c>
      <c r="I375" s="747"/>
      <c r="J375" s="757"/>
      <c r="K375" s="771">
        <v>0</v>
      </c>
      <c r="L375" s="747"/>
      <c r="M375" s="757"/>
      <c r="N375" s="771">
        <v>0</v>
      </c>
      <c r="O375" s="747"/>
      <c r="P375" s="757"/>
      <c r="Q375" s="771">
        <v>0</v>
      </c>
      <c r="R375" s="747"/>
      <c r="S375" s="757"/>
      <c r="T375" s="771">
        <v>0</v>
      </c>
      <c r="U375" s="747"/>
      <c r="V375" s="757"/>
      <c r="W375" s="771">
        <v>0</v>
      </c>
      <c r="X375" s="747"/>
      <c r="Y375" s="757"/>
      <c r="Z375" s="771">
        <v>0</v>
      </c>
      <c r="AA375" s="747"/>
      <c r="AB375" s="757"/>
      <c r="AC375" s="771">
        <v>0</v>
      </c>
      <c r="AD375" s="747"/>
      <c r="AE375" s="757"/>
      <c r="AF375" s="771">
        <v>0</v>
      </c>
      <c r="AG375" s="747"/>
      <c r="AH375" s="757"/>
      <c r="AI375" s="771">
        <v>0</v>
      </c>
      <c r="AJ375" s="747"/>
      <c r="AK375" s="757"/>
      <c r="AL375" s="771">
        <v>0</v>
      </c>
      <c r="AM375" s="747"/>
      <c r="AN375" s="757"/>
      <c r="AO375" s="771">
        <v>0</v>
      </c>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5"/>
        <v>BoutiqueDéduction à la source</v>
      </c>
      <c r="B376" s="54" t="s">
        <v>125</v>
      </c>
      <c r="C376" s="780"/>
      <c r="D376" s="781"/>
      <c r="E376" s="782">
        <v>0</v>
      </c>
      <c r="F376" s="780"/>
      <c r="G376" s="781"/>
      <c r="H376" s="783">
        <v>0</v>
      </c>
      <c r="I376" s="780"/>
      <c r="J376" s="781"/>
      <c r="K376" s="783">
        <v>0</v>
      </c>
      <c r="L376" s="780"/>
      <c r="M376" s="781"/>
      <c r="N376" s="783">
        <v>0</v>
      </c>
      <c r="O376" s="780"/>
      <c r="P376" s="781"/>
      <c r="Q376" s="783">
        <v>0</v>
      </c>
      <c r="R376" s="780"/>
      <c r="S376" s="781"/>
      <c r="T376" s="783">
        <v>0</v>
      </c>
      <c r="U376" s="780"/>
      <c r="V376" s="781"/>
      <c r="W376" s="783">
        <v>0</v>
      </c>
      <c r="X376" s="780"/>
      <c r="Y376" s="781"/>
      <c r="Z376" s="783">
        <v>0</v>
      </c>
      <c r="AA376" s="780"/>
      <c r="AB376" s="781"/>
      <c r="AC376" s="783">
        <v>0</v>
      </c>
      <c r="AD376" s="780"/>
      <c r="AE376" s="781"/>
      <c r="AF376" s="783">
        <v>0</v>
      </c>
      <c r="AG376" s="780"/>
      <c r="AH376" s="781"/>
      <c r="AI376" s="783">
        <v>0</v>
      </c>
      <c r="AJ376" s="780"/>
      <c r="AK376" s="781"/>
      <c r="AL376" s="783">
        <v>0</v>
      </c>
      <c r="AM376" s="780"/>
      <c r="AN376" s="781"/>
      <c r="AO376" s="783">
        <v>0</v>
      </c>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5"/>
        <v>BoutiqueBénéfices marginaux</v>
      </c>
      <c r="B377" s="54" t="s">
        <v>126</v>
      </c>
      <c r="C377" s="747"/>
      <c r="D377" s="757"/>
      <c r="E377" s="758">
        <v>0</v>
      </c>
      <c r="F377" s="747"/>
      <c r="G377" s="757"/>
      <c r="H377" s="771">
        <v>0</v>
      </c>
      <c r="I377" s="747"/>
      <c r="J377" s="757"/>
      <c r="K377" s="771">
        <v>0</v>
      </c>
      <c r="L377" s="747"/>
      <c r="M377" s="757"/>
      <c r="N377" s="771">
        <v>0</v>
      </c>
      <c r="O377" s="747"/>
      <c r="P377" s="757"/>
      <c r="Q377" s="771">
        <v>0</v>
      </c>
      <c r="R377" s="747"/>
      <c r="S377" s="757"/>
      <c r="T377" s="771">
        <v>0</v>
      </c>
      <c r="U377" s="747"/>
      <c r="V377" s="757"/>
      <c r="W377" s="771">
        <v>0</v>
      </c>
      <c r="X377" s="747"/>
      <c r="Y377" s="757"/>
      <c r="Z377" s="771">
        <v>0</v>
      </c>
      <c r="AA377" s="747"/>
      <c r="AB377" s="757"/>
      <c r="AC377" s="771">
        <v>0</v>
      </c>
      <c r="AD377" s="747"/>
      <c r="AE377" s="757"/>
      <c r="AF377" s="771">
        <v>0</v>
      </c>
      <c r="AG377" s="747"/>
      <c r="AH377" s="757"/>
      <c r="AI377" s="771">
        <v>0</v>
      </c>
      <c r="AJ377" s="747"/>
      <c r="AK377" s="757"/>
      <c r="AL377" s="771">
        <v>0</v>
      </c>
      <c r="AM377" s="747"/>
      <c r="AN377" s="757"/>
      <c r="AO377" s="771">
        <v>0</v>
      </c>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5"/>
        <v>BoutiqueCsst</v>
      </c>
      <c r="B378" s="54" t="s">
        <v>127</v>
      </c>
      <c r="C378" s="747"/>
      <c r="D378" s="757"/>
      <c r="E378" s="758">
        <v>0</v>
      </c>
      <c r="F378" s="747"/>
      <c r="G378" s="757"/>
      <c r="H378" s="771">
        <v>0</v>
      </c>
      <c r="I378" s="747"/>
      <c r="J378" s="757"/>
      <c r="K378" s="771">
        <v>0</v>
      </c>
      <c r="L378" s="747"/>
      <c r="M378" s="757"/>
      <c r="N378" s="771">
        <v>0</v>
      </c>
      <c r="O378" s="747"/>
      <c r="P378" s="757"/>
      <c r="Q378" s="771">
        <v>0</v>
      </c>
      <c r="R378" s="747"/>
      <c r="S378" s="757"/>
      <c r="T378" s="771">
        <v>0</v>
      </c>
      <c r="U378" s="747"/>
      <c r="V378" s="757"/>
      <c r="W378" s="771">
        <v>0</v>
      </c>
      <c r="X378" s="747"/>
      <c r="Y378" s="757"/>
      <c r="Z378" s="771">
        <v>0</v>
      </c>
      <c r="AA378" s="747"/>
      <c r="AB378" s="757"/>
      <c r="AC378" s="771">
        <v>0</v>
      </c>
      <c r="AD378" s="747"/>
      <c r="AE378" s="757"/>
      <c r="AF378" s="771">
        <v>0</v>
      </c>
      <c r="AG378" s="747"/>
      <c r="AH378" s="757"/>
      <c r="AI378" s="771">
        <v>0</v>
      </c>
      <c r="AJ378" s="747"/>
      <c r="AK378" s="757"/>
      <c r="AL378" s="771">
        <v>0</v>
      </c>
      <c r="AM378" s="747"/>
      <c r="AN378" s="757"/>
      <c r="AO378" s="771">
        <v>0</v>
      </c>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5"/>
        <v>Boutique[...]</v>
      </c>
      <c r="B379" s="44" t="s">
        <v>59</v>
      </c>
      <c r="C379" s="776"/>
      <c r="D379" s="784"/>
      <c r="E379" s="774"/>
      <c r="F379" s="776"/>
      <c r="G379" s="784"/>
      <c r="H379" s="774"/>
      <c r="I379" s="776"/>
      <c r="J379" s="784"/>
      <c r="K379" s="774"/>
      <c r="L379" s="776"/>
      <c r="M379" s="784"/>
      <c r="N379" s="774"/>
      <c r="O379" s="776"/>
      <c r="P379" s="784"/>
      <c r="Q379" s="774"/>
      <c r="R379" s="776"/>
      <c r="S379" s="784"/>
      <c r="T379" s="774"/>
      <c r="U379" s="776"/>
      <c r="V379" s="784"/>
      <c r="W379" s="774"/>
      <c r="X379" s="776"/>
      <c r="Y379" s="784"/>
      <c r="Z379" s="774"/>
      <c r="AA379" s="776"/>
      <c r="AB379" s="784"/>
      <c r="AC379" s="774"/>
      <c r="AD379" s="776"/>
      <c r="AE379" s="784"/>
      <c r="AF379" s="774"/>
      <c r="AG379" s="776"/>
      <c r="AH379" s="784"/>
      <c r="AI379" s="774"/>
      <c r="AJ379" s="776"/>
      <c r="AK379" s="784"/>
      <c r="AL379" s="774"/>
      <c r="AM379" s="776"/>
      <c r="AN379" s="784"/>
      <c r="AO379" s="774"/>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5"/>
        <v>BoutiqueTOTAL PERSONNEL</v>
      </c>
      <c r="B380" s="53" t="s">
        <v>128</v>
      </c>
      <c r="C380" s="777" t="s">
        <v>119</v>
      </c>
      <c r="D380" s="778">
        <v>0</v>
      </c>
      <c r="E380" s="779">
        <v>0</v>
      </c>
      <c r="F380" s="777" t="s">
        <v>119</v>
      </c>
      <c r="G380" s="778">
        <v>0</v>
      </c>
      <c r="H380" s="779">
        <v>0</v>
      </c>
      <c r="I380" s="777" t="s">
        <v>119</v>
      </c>
      <c r="J380" s="778">
        <v>0</v>
      </c>
      <c r="K380" s="779">
        <v>0</v>
      </c>
      <c r="L380" s="777" t="s">
        <v>119</v>
      </c>
      <c r="M380" s="778">
        <v>0</v>
      </c>
      <c r="N380" s="779">
        <v>0</v>
      </c>
      <c r="O380" s="777" t="s">
        <v>119</v>
      </c>
      <c r="P380" s="778">
        <v>0</v>
      </c>
      <c r="Q380" s="779">
        <v>0</v>
      </c>
      <c r="R380" s="777" t="s">
        <v>119</v>
      </c>
      <c r="S380" s="778">
        <v>0</v>
      </c>
      <c r="T380" s="779">
        <v>0</v>
      </c>
      <c r="U380" s="777" t="s">
        <v>119</v>
      </c>
      <c r="V380" s="778">
        <v>0</v>
      </c>
      <c r="W380" s="779">
        <v>0</v>
      </c>
      <c r="X380" s="777" t="s">
        <v>119</v>
      </c>
      <c r="Y380" s="778">
        <v>0</v>
      </c>
      <c r="Z380" s="779">
        <v>0</v>
      </c>
      <c r="AA380" s="777" t="s">
        <v>119</v>
      </c>
      <c r="AB380" s="778">
        <v>0</v>
      </c>
      <c r="AC380" s="779">
        <v>0</v>
      </c>
      <c r="AD380" s="777" t="s">
        <v>119</v>
      </c>
      <c r="AE380" s="778">
        <v>0</v>
      </c>
      <c r="AF380" s="779">
        <v>0</v>
      </c>
      <c r="AG380" s="777" t="s">
        <v>119</v>
      </c>
      <c r="AH380" s="778">
        <v>0</v>
      </c>
      <c r="AI380" s="779">
        <v>0</v>
      </c>
      <c r="AJ380" s="777" t="s">
        <v>119</v>
      </c>
      <c r="AK380" s="778">
        <v>0</v>
      </c>
      <c r="AL380" s="779">
        <v>0</v>
      </c>
      <c r="AM380" s="777" t="s">
        <v>119</v>
      </c>
      <c r="AN380" s="778">
        <v>0</v>
      </c>
      <c r="AO380" s="779">
        <v>0</v>
      </c>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5"/>
        <v>BoutiquePublicité 2</v>
      </c>
      <c r="B381" s="63" t="s">
        <v>129</v>
      </c>
      <c r="C381" s="747"/>
      <c r="D381" s="757"/>
      <c r="E381" s="758">
        <v>0</v>
      </c>
      <c r="F381" s="747"/>
      <c r="G381" s="757"/>
      <c r="H381" s="771">
        <v>0</v>
      </c>
      <c r="I381" s="747"/>
      <c r="J381" s="757"/>
      <c r="K381" s="771">
        <v>0</v>
      </c>
      <c r="L381" s="747"/>
      <c r="M381" s="757"/>
      <c r="N381" s="771">
        <v>0</v>
      </c>
      <c r="O381" s="747"/>
      <c r="P381" s="757"/>
      <c r="Q381" s="771">
        <v>0</v>
      </c>
      <c r="R381" s="747"/>
      <c r="S381" s="757"/>
      <c r="T381" s="771">
        <v>0</v>
      </c>
      <c r="U381" s="747"/>
      <c r="V381" s="757"/>
      <c r="W381" s="771">
        <v>0</v>
      </c>
      <c r="X381" s="747"/>
      <c r="Y381" s="757"/>
      <c r="Z381" s="771">
        <v>0</v>
      </c>
      <c r="AA381" s="747"/>
      <c r="AB381" s="757"/>
      <c r="AC381" s="771">
        <v>0</v>
      </c>
      <c r="AD381" s="747"/>
      <c r="AE381" s="757"/>
      <c r="AF381" s="771">
        <v>0</v>
      </c>
      <c r="AG381" s="747"/>
      <c r="AH381" s="757"/>
      <c r="AI381" s="771">
        <v>0</v>
      </c>
      <c r="AJ381" s="747"/>
      <c r="AK381" s="757"/>
      <c r="AL381" s="771">
        <v>0</v>
      </c>
      <c r="AM381" s="747"/>
      <c r="AN381" s="757"/>
      <c r="AO381" s="771">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5"/>
        <v>BoutiqueService gratuit 2</v>
      </c>
      <c r="B382" s="54" t="s">
        <v>130</v>
      </c>
      <c r="C382" s="747"/>
      <c r="D382" s="757"/>
      <c r="E382" s="758">
        <v>0</v>
      </c>
      <c r="F382" s="747"/>
      <c r="G382" s="757"/>
      <c r="H382" s="771">
        <v>0</v>
      </c>
      <c r="I382" s="747"/>
      <c r="J382" s="757"/>
      <c r="K382" s="771">
        <v>0</v>
      </c>
      <c r="L382" s="747"/>
      <c r="M382" s="757"/>
      <c r="N382" s="771">
        <v>0</v>
      </c>
      <c r="O382" s="747"/>
      <c r="P382" s="757"/>
      <c r="Q382" s="771">
        <v>0</v>
      </c>
      <c r="R382" s="747"/>
      <c r="S382" s="757"/>
      <c r="T382" s="771">
        <v>0</v>
      </c>
      <c r="U382" s="747"/>
      <c r="V382" s="757"/>
      <c r="W382" s="771">
        <v>0</v>
      </c>
      <c r="X382" s="747"/>
      <c r="Y382" s="757"/>
      <c r="Z382" s="771">
        <v>0</v>
      </c>
      <c r="AA382" s="747"/>
      <c r="AB382" s="757"/>
      <c r="AC382" s="771">
        <v>0</v>
      </c>
      <c r="AD382" s="747"/>
      <c r="AE382" s="757"/>
      <c r="AF382" s="771">
        <v>0</v>
      </c>
      <c r="AG382" s="747"/>
      <c r="AH382" s="757"/>
      <c r="AI382" s="771">
        <v>0</v>
      </c>
      <c r="AJ382" s="747"/>
      <c r="AK382" s="757"/>
      <c r="AL382" s="771">
        <v>0</v>
      </c>
      <c r="AM382" s="747"/>
      <c r="AN382" s="757"/>
      <c r="AO382" s="771">
        <v>0</v>
      </c>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5"/>
        <v>BoutiqueFrais véhicules de cie</v>
      </c>
      <c r="B383" s="55" t="s">
        <v>131</v>
      </c>
      <c r="C383" s="776"/>
      <c r="D383" s="784"/>
      <c r="E383" s="774">
        <v>0</v>
      </c>
      <c r="F383" s="776"/>
      <c r="G383" s="784"/>
      <c r="H383" s="775">
        <v>0</v>
      </c>
      <c r="I383" s="776"/>
      <c r="J383" s="784"/>
      <c r="K383" s="775">
        <v>0</v>
      </c>
      <c r="L383" s="776"/>
      <c r="M383" s="784"/>
      <c r="N383" s="775">
        <v>0</v>
      </c>
      <c r="O383" s="776"/>
      <c r="P383" s="784"/>
      <c r="Q383" s="775">
        <v>0</v>
      </c>
      <c r="R383" s="776"/>
      <c r="S383" s="784"/>
      <c r="T383" s="775">
        <v>0</v>
      </c>
      <c r="U383" s="776"/>
      <c r="V383" s="784"/>
      <c r="W383" s="775">
        <v>0</v>
      </c>
      <c r="X383" s="776"/>
      <c r="Y383" s="784"/>
      <c r="Z383" s="775">
        <v>0</v>
      </c>
      <c r="AA383" s="776"/>
      <c r="AB383" s="784"/>
      <c r="AC383" s="775">
        <v>0</v>
      </c>
      <c r="AD383" s="776"/>
      <c r="AE383" s="784"/>
      <c r="AF383" s="775">
        <v>0</v>
      </c>
      <c r="AG383" s="776"/>
      <c r="AH383" s="784"/>
      <c r="AI383" s="775">
        <v>0</v>
      </c>
      <c r="AJ383" s="776"/>
      <c r="AK383" s="784"/>
      <c r="AL383" s="775">
        <v>0</v>
      </c>
      <c r="AM383" s="776"/>
      <c r="AN383" s="784"/>
      <c r="AO383" s="775">
        <v>0</v>
      </c>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5"/>
        <v>BoutiqueInformatique</v>
      </c>
      <c r="B384" s="54" t="s">
        <v>132</v>
      </c>
      <c r="C384" s="747"/>
      <c r="D384" s="757"/>
      <c r="E384" s="758">
        <v>0</v>
      </c>
      <c r="F384" s="747"/>
      <c r="G384" s="757"/>
      <c r="H384" s="771">
        <v>0</v>
      </c>
      <c r="I384" s="747"/>
      <c r="J384" s="757"/>
      <c r="K384" s="771">
        <v>0</v>
      </c>
      <c r="L384" s="747"/>
      <c r="M384" s="757"/>
      <c r="N384" s="771">
        <v>0</v>
      </c>
      <c r="O384" s="747"/>
      <c r="P384" s="757"/>
      <c r="Q384" s="771">
        <v>0</v>
      </c>
      <c r="R384" s="747"/>
      <c r="S384" s="757"/>
      <c r="T384" s="771">
        <v>0</v>
      </c>
      <c r="U384" s="747"/>
      <c r="V384" s="757"/>
      <c r="W384" s="771">
        <v>0</v>
      </c>
      <c r="X384" s="747"/>
      <c r="Y384" s="757"/>
      <c r="Z384" s="771">
        <v>0</v>
      </c>
      <c r="AA384" s="747"/>
      <c r="AB384" s="757"/>
      <c r="AC384" s="771">
        <v>0</v>
      </c>
      <c r="AD384" s="747"/>
      <c r="AE384" s="757"/>
      <c r="AF384" s="771">
        <v>0</v>
      </c>
      <c r="AG384" s="747"/>
      <c r="AH384" s="757"/>
      <c r="AI384" s="771">
        <v>0</v>
      </c>
      <c r="AJ384" s="747"/>
      <c r="AK384" s="757"/>
      <c r="AL384" s="771">
        <v>0</v>
      </c>
      <c r="AM384" s="747"/>
      <c r="AN384" s="757"/>
      <c r="AO384" s="771">
        <v>0</v>
      </c>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5"/>
        <v>BoutiqueFrais de déplacement</v>
      </c>
      <c r="B385" s="54" t="s">
        <v>133</v>
      </c>
      <c r="C385" s="747"/>
      <c r="D385" s="757"/>
      <c r="E385" s="758">
        <v>0</v>
      </c>
      <c r="F385" s="747"/>
      <c r="G385" s="757"/>
      <c r="H385" s="771">
        <v>0</v>
      </c>
      <c r="I385" s="747"/>
      <c r="J385" s="757"/>
      <c r="K385" s="771">
        <v>0</v>
      </c>
      <c r="L385" s="747"/>
      <c r="M385" s="757"/>
      <c r="N385" s="771">
        <v>0</v>
      </c>
      <c r="O385" s="747"/>
      <c r="P385" s="757"/>
      <c r="Q385" s="771">
        <v>0</v>
      </c>
      <c r="R385" s="747"/>
      <c r="S385" s="757"/>
      <c r="T385" s="771">
        <v>0</v>
      </c>
      <c r="U385" s="747"/>
      <c r="V385" s="757"/>
      <c r="W385" s="771">
        <v>0</v>
      </c>
      <c r="X385" s="747"/>
      <c r="Y385" s="757"/>
      <c r="Z385" s="771">
        <v>0</v>
      </c>
      <c r="AA385" s="747"/>
      <c r="AB385" s="757"/>
      <c r="AC385" s="771">
        <v>0</v>
      </c>
      <c r="AD385" s="747"/>
      <c r="AE385" s="757"/>
      <c r="AF385" s="771">
        <v>0</v>
      </c>
      <c r="AG385" s="747"/>
      <c r="AH385" s="757"/>
      <c r="AI385" s="771">
        <v>0</v>
      </c>
      <c r="AJ385" s="747"/>
      <c r="AK385" s="757"/>
      <c r="AL385" s="771">
        <v>0</v>
      </c>
      <c r="AM385" s="747"/>
      <c r="AN385" s="757"/>
      <c r="AO385" s="771">
        <v>0</v>
      </c>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5"/>
        <v>BoutiqueServices extérieurs</v>
      </c>
      <c r="B386" s="54" t="s">
        <v>134</v>
      </c>
      <c r="C386" s="776"/>
      <c r="D386" s="784"/>
      <c r="E386" s="774">
        <v>0</v>
      </c>
      <c r="F386" s="776"/>
      <c r="G386" s="784"/>
      <c r="H386" s="775">
        <v>0</v>
      </c>
      <c r="I386" s="776"/>
      <c r="J386" s="784"/>
      <c r="K386" s="775">
        <v>0</v>
      </c>
      <c r="L386" s="776"/>
      <c r="M386" s="784"/>
      <c r="N386" s="775">
        <v>0</v>
      </c>
      <c r="O386" s="776"/>
      <c r="P386" s="784"/>
      <c r="Q386" s="775">
        <v>0</v>
      </c>
      <c r="R386" s="776"/>
      <c r="S386" s="784"/>
      <c r="T386" s="775">
        <v>0</v>
      </c>
      <c r="U386" s="776"/>
      <c r="V386" s="784"/>
      <c r="W386" s="775">
        <v>0</v>
      </c>
      <c r="X386" s="776"/>
      <c r="Y386" s="784"/>
      <c r="Z386" s="775">
        <v>0</v>
      </c>
      <c r="AA386" s="776"/>
      <c r="AB386" s="784"/>
      <c r="AC386" s="775">
        <v>0</v>
      </c>
      <c r="AD386" s="776"/>
      <c r="AE386" s="784"/>
      <c r="AF386" s="775">
        <v>0</v>
      </c>
      <c r="AG386" s="776"/>
      <c r="AH386" s="784"/>
      <c r="AI386" s="775">
        <v>0</v>
      </c>
      <c r="AJ386" s="776"/>
      <c r="AK386" s="784"/>
      <c r="AL386" s="775">
        <v>0</v>
      </c>
      <c r="AM386" s="776"/>
      <c r="AN386" s="784"/>
      <c r="AO386" s="775">
        <v>0</v>
      </c>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5"/>
        <v>BoutiqueFournitures autres</v>
      </c>
      <c r="B387" s="63" t="s">
        <v>135</v>
      </c>
      <c r="C387" s="747"/>
      <c r="D387" s="757"/>
      <c r="E387" s="758">
        <v>0</v>
      </c>
      <c r="F387" s="747"/>
      <c r="G387" s="757"/>
      <c r="H387" s="771">
        <v>0</v>
      </c>
      <c r="I387" s="747"/>
      <c r="J387" s="757"/>
      <c r="K387" s="771">
        <v>0</v>
      </c>
      <c r="L387" s="747"/>
      <c r="M387" s="757"/>
      <c r="N387" s="771">
        <v>0</v>
      </c>
      <c r="O387" s="747"/>
      <c r="P387" s="757"/>
      <c r="Q387" s="771">
        <v>0</v>
      </c>
      <c r="R387" s="747"/>
      <c r="S387" s="757"/>
      <c r="T387" s="771">
        <v>0</v>
      </c>
      <c r="U387" s="747"/>
      <c r="V387" s="757"/>
      <c r="W387" s="771">
        <v>0</v>
      </c>
      <c r="X387" s="747"/>
      <c r="Y387" s="757"/>
      <c r="Z387" s="771">
        <v>0</v>
      </c>
      <c r="AA387" s="747"/>
      <c r="AB387" s="757"/>
      <c r="AC387" s="771">
        <v>0</v>
      </c>
      <c r="AD387" s="747"/>
      <c r="AE387" s="757"/>
      <c r="AF387" s="771">
        <v>0</v>
      </c>
      <c r="AG387" s="747"/>
      <c r="AH387" s="757"/>
      <c r="AI387" s="771">
        <v>0</v>
      </c>
      <c r="AJ387" s="747"/>
      <c r="AK387" s="757"/>
      <c r="AL387" s="771">
        <v>0</v>
      </c>
      <c r="AM387" s="747"/>
      <c r="AN387" s="757"/>
      <c r="AO387" s="771">
        <v>0</v>
      </c>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5"/>
        <v>BoutiqueUniformes</v>
      </c>
      <c r="B388" s="54" t="s">
        <v>136</v>
      </c>
      <c r="C388" s="747"/>
      <c r="D388" s="757"/>
      <c r="E388" s="758">
        <v>0</v>
      </c>
      <c r="F388" s="747"/>
      <c r="G388" s="757"/>
      <c r="H388" s="771">
        <v>0</v>
      </c>
      <c r="I388" s="747"/>
      <c r="J388" s="757"/>
      <c r="K388" s="771">
        <v>0</v>
      </c>
      <c r="L388" s="747"/>
      <c r="M388" s="757"/>
      <c r="N388" s="771">
        <v>0</v>
      </c>
      <c r="O388" s="747"/>
      <c r="P388" s="757"/>
      <c r="Q388" s="771">
        <v>0</v>
      </c>
      <c r="R388" s="747"/>
      <c r="S388" s="757"/>
      <c r="T388" s="771">
        <v>0</v>
      </c>
      <c r="U388" s="747"/>
      <c r="V388" s="757"/>
      <c r="W388" s="771">
        <v>0</v>
      </c>
      <c r="X388" s="747"/>
      <c r="Y388" s="757"/>
      <c r="Z388" s="771">
        <v>0</v>
      </c>
      <c r="AA388" s="747"/>
      <c r="AB388" s="757"/>
      <c r="AC388" s="771">
        <v>0</v>
      </c>
      <c r="AD388" s="747"/>
      <c r="AE388" s="757"/>
      <c r="AF388" s="771">
        <v>0</v>
      </c>
      <c r="AG388" s="747"/>
      <c r="AH388" s="757"/>
      <c r="AI388" s="771">
        <v>0</v>
      </c>
      <c r="AJ388" s="747"/>
      <c r="AK388" s="757"/>
      <c r="AL388" s="771">
        <v>0</v>
      </c>
      <c r="AM388" s="747"/>
      <c r="AN388" s="757"/>
      <c r="AO388" s="771">
        <v>0</v>
      </c>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5"/>
        <v>BoutiquePapeterie</v>
      </c>
      <c r="B389" s="54" t="s">
        <v>137</v>
      </c>
      <c r="C389" s="747"/>
      <c r="D389" s="757"/>
      <c r="E389" s="758">
        <v>0</v>
      </c>
      <c r="F389" s="747"/>
      <c r="G389" s="757"/>
      <c r="H389" s="771">
        <v>0</v>
      </c>
      <c r="I389" s="747"/>
      <c r="J389" s="757"/>
      <c r="K389" s="771">
        <v>0</v>
      </c>
      <c r="L389" s="747"/>
      <c r="M389" s="757"/>
      <c r="N389" s="771">
        <v>0</v>
      </c>
      <c r="O389" s="747"/>
      <c r="P389" s="757"/>
      <c r="Q389" s="771">
        <v>0</v>
      </c>
      <c r="R389" s="747"/>
      <c r="S389" s="757"/>
      <c r="T389" s="771">
        <v>0</v>
      </c>
      <c r="U389" s="747"/>
      <c r="V389" s="757"/>
      <c r="W389" s="771">
        <v>0</v>
      </c>
      <c r="X389" s="747"/>
      <c r="Y389" s="757"/>
      <c r="Z389" s="771">
        <v>0</v>
      </c>
      <c r="AA389" s="747"/>
      <c r="AB389" s="757"/>
      <c r="AC389" s="771">
        <v>0</v>
      </c>
      <c r="AD389" s="747"/>
      <c r="AE389" s="757"/>
      <c r="AF389" s="771">
        <v>0</v>
      </c>
      <c r="AG389" s="747"/>
      <c r="AH389" s="757"/>
      <c r="AI389" s="771">
        <v>0</v>
      </c>
      <c r="AJ389" s="747"/>
      <c r="AK389" s="757"/>
      <c r="AL389" s="771">
        <v>0</v>
      </c>
      <c r="AM389" s="747"/>
      <c r="AN389" s="757"/>
      <c r="AO389" s="771">
        <v>0</v>
      </c>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5"/>
        <v>BoutiqueTéléphone</v>
      </c>
      <c r="B390" s="54" t="s">
        <v>138</v>
      </c>
      <c r="C390" s="747"/>
      <c r="D390" s="757"/>
      <c r="E390" s="758">
        <v>0</v>
      </c>
      <c r="F390" s="747"/>
      <c r="G390" s="757"/>
      <c r="H390" s="771">
        <v>0</v>
      </c>
      <c r="I390" s="747"/>
      <c r="J390" s="757"/>
      <c r="K390" s="771">
        <v>0</v>
      </c>
      <c r="L390" s="747"/>
      <c r="M390" s="757"/>
      <c r="N390" s="771">
        <v>0</v>
      </c>
      <c r="O390" s="747"/>
      <c r="P390" s="757"/>
      <c r="Q390" s="771">
        <v>0</v>
      </c>
      <c r="R390" s="747"/>
      <c r="S390" s="757"/>
      <c r="T390" s="771">
        <v>0</v>
      </c>
      <c r="U390" s="747"/>
      <c r="V390" s="757"/>
      <c r="W390" s="771">
        <v>0</v>
      </c>
      <c r="X390" s="747"/>
      <c r="Y390" s="757"/>
      <c r="Z390" s="771">
        <v>0</v>
      </c>
      <c r="AA390" s="747"/>
      <c r="AB390" s="757"/>
      <c r="AC390" s="771">
        <v>0</v>
      </c>
      <c r="AD390" s="747"/>
      <c r="AE390" s="757"/>
      <c r="AF390" s="771">
        <v>0</v>
      </c>
      <c r="AG390" s="747"/>
      <c r="AH390" s="757"/>
      <c r="AI390" s="771">
        <v>0</v>
      </c>
      <c r="AJ390" s="747"/>
      <c r="AK390" s="757"/>
      <c r="AL390" s="771">
        <v>0</v>
      </c>
      <c r="AM390" s="747"/>
      <c r="AN390" s="757"/>
      <c r="AO390" s="771">
        <v>0</v>
      </c>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5"/>
        <v>BoutiqueFrais postaux</v>
      </c>
      <c r="B391" s="54" t="s">
        <v>139</v>
      </c>
      <c r="C391" s="747"/>
      <c r="D391" s="757"/>
      <c r="E391" s="758">
        <v>0</v>
      </c>
      <c r="F391" s="747"/>
      <c r="G391" s="757"/>
      <c r="H391" s="771">
        <v>0</v>
      </c>
      <c r="I391" s="747"/>
      <c r="J391" s="757"/>
      <c r="K391" s="771">
        <v>0</v>
      </c>
      <c r="L391" s="747"/>
      <c r="M391" s="757"/>
      <c r="N391" s="771">
        <v>0</v>
      </c>
      <c r="O391" s="747"/>
      <c r="P391" s="757"/>
      <c r="Q391" s="771">
        <v>0</v>
      </c>
      <c r="R391" s="747"/>
      <c r="S391" s="757"/>
      <c r="T391" s="771">
        <v>0</v>
      </c>
      <c r="U391" s="747"/>
      <c r="V391" s="757"/>
      <c r="W391" s="771">
        <v>0</v>
      </c>
      <c r="X391" s="747"/>
      <c r="Y391" s="757"/>
      <c r="Z391" s="771">
        <v>0</v>
      </c>
      <c r="AA391" s="747"/>
      <c r="AB391" s="757"/>
      <c r="AC391" s="771">
        <v>0</v>
      </c>
      <c r="AD391" s="747"/>
      <c r="AE391" s="757"/>
      <c r="AF391" s="771">
        <v>0</v>
      </c>
      <c r="AG391" s="747"/>
      <c r="AH391" s="757"/>
      <c r="AI391" s="771">
        <v>0</v>
      </c>
      <c r="AJ391" s="747"/>
      <c r="AK391" s="757"/>
      <c r="AL391" s="771">
        <v>0</v>
      </c>
      <c r="AM391" s="747"/>
      <c r="AN391" s="757"/>
      <c r="AO391" s="771">
        <v>0</v>
      </c>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5"/>
        <v>BoutiqueDivers</v>
      </c>
      <c r="B392" s="54" t="s">
        <v>140</v>
      </c>
      <c r="C392" s="747"/>
      <c r="D392" s="757"/>
      <c r="E392" s="758">
        <v>0</v>
      </c>
      <c r="F392" s="747"/>
      <c r="G392" s="757"/>
      <c r="H392" s="771">
        <v>0</v>
      </c>
      <c r="I392" s="747"/>
      <c r="J392" s="757"/>
      <c r="K392" s="771">
        <v>0</v>
      </c>
      <c r="L392" s="747"/>
      <c r="M392" s="757"/>
      <c r="N392" s="771">
        <v>0</v>
      </c>
      <c r="O392" s="747"/>
      <c r="P392" s="757"/>
      <c r="Q392" s="771">
        <v>0</v>
      </c>
      <c r="R392" s="747"/>
      <c r="S392" s="757"/>
      <c r="T392" s="771">
        <v>0</v>
      </c>
      <c r="U392" s="747"/>
      <c r="V392" s="757"/>
      <c r="W392" s="771">
        <v>0</v>
      </c>
      <c r="X392" s="747"/>
      <c r="Y392" s="757"/>
      <c r="Z392" s="771">
        <v>0</v>
      </c>
      <c r="AA392" s="747"/>
      <c r="AB392" s="757"/>
      <c r="AC392" s="771">
        <v>0</v>
      </c>
      <c r="AD392" s="747"/>
      <c r="AE392" s="757"/>
      <c r="AF392" s="771">
        <v>0</v>
      </c>
      <c r="AG392" s="747"/>
      <c r="AH392" s="757"/>
      <c r="AI392" s="771">
        <v>0</v>
      </c>
      <c r="AJ392" s="747"/>
      <c r="AK392" s="757"/>
      <c r="AL392" s="771">
        <v>0</v>
      </c>
      <c r="AM392" s="747"/>
      <c r="AN392" s="757"/>
      <c r="AO392" s="771">
        <v>0</v>
      </c>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5"/>
        <v>BoutiqueFormation</v>
      </c>
      <c r="B393" s="54" t="s">
        <v>141</v>
      </c>
      <c r="C393" s="747"/>
      <c r="D393" s="757"/>
      <c r="E393" s="758">
        <v>0</v>
      </c>
      <c r="F393" s="747"/>
      <c r="G393" s="757"/>
      <c r="H393" s="771">
        <v>0</v>
      </c>
      <c r="I393" s="747"/>
      <c r="J393" s="757"/>
      <c r="K393" s="771">
        <v>0</v>
      </c>
      <c r="L393" s="747"/>
      <c r="M393" s="757"/>
      <c r="N393" s="771">
        <v>0</v>
      </c>
      <c r="O393" s="747"/>
      <c r="P393" s="757"/>
      <c r="Q393" s="771">
        <v>0</v>
      </c>
      <c r="R393" s="747"/>
      <c r="S393" s="757"/>
      <c r="T393" s="771">
        <v>0</v>
      </c>
      <c r="U393" s="747"/>
      <c r="V393" s="757"/>
      <c r="W393" s="771">
        <v>0</v>
      </c>
      <c r="X393" s="747"/>
      <c r="Y393" s="757"/>
      <c r="Z393" s="771">
        <v>0</v>
      </c>
      <c r="AA393" s="747"/>
      <c r="AB393" s="757"/>
      <c r="AC393" s="771">
        <v>0</v>
      </c>
      <c r="AD393" s="747"/>
      <c r="AE393" s="757"/>
      <c r="AF393" s="771">
        <v>0</v>
      </c>
      <c r="AG393" s="747"/>
      <c r="AH393" s="757"/>
      <c r="AI393" s="771">
        <v>0</v>
      </c>
      <c r="AJ393" s="747"/>
      <c r="AK393" s="757"/>
      <c r="AL393" s="771">
        <v>0</v>
      </c>
      <c r="AM393" s="747"/>
      <c r="AN393" s="757"/>
      <c r="AO393" s="771">
        <v>0</v>
      </c>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5"/>
        <v>BoutiqueFrais bancaires</v>
      </c>
      <c r="B394" s="54" t="s">
        <v>142</v>
      </c>
      <c r="C394" s="747"/>
      <c r="D394" s="757"/>
      <c r="E394" s="758">
        <v>0</v>
      </c>
      <c r="F394" s="747"/>
      <c r="G394" s="757"/>
      <c r="H394" s="771">
        <v>0</v>
      </c>
      <c r="I394" s="747"/>
      <c r="J394" s="757"/>
      <c r="K394" s="771">
        <v>0</v>
      </c>
      <c r="L394" s="747"/>
      <c r="M394" s="757"/>
      <c r="N394" s="771">
        <v>0</v>
      </c>
      <c r="O394" s="747"/>
      <c r="P394" s="757"/>
      <c r="Q394" s="771">
        <v>0</v>
      </c>
      <c r="R394" s="747"/>
      <c r="S394" s="757"/>
      <c r="T394" s="771">
        <v>0</v>
      </c>
      <c r="U394" s="747"/>
      <c r="V394" s="757"/>
      <c r="W394" s="771">
        <v>0</v>
      </c>
      <c r="X394" s="747"/>
      <c r="Y394" s="757"/>
      <c r="Z394" s="771">
        <v>0</v>
      </c>
      <c r="AA394" s="747"/>
      <c r="AB394" s="757"/>
      <c r="AC394" s="771">
        <v>0</v>
      </c>
      <c r="AD394" s="747"/>
      <c r="AE394" s="757"/>
      <c r="AF394" s="771">
        <v>0</v>
      </c>
      <c r="AG394" s="747"/>
      <c r="AH394" s="757"/>
      <c r="AI394" s="771">
        <v>0</v>
      </c>
      <c r="AJ394" s="747"/>
      <c r="AK394" s="757"/>
      <c r="AL394" s="771">
        <v>0</v>
      </c>
      <c r="AM394" s="747"/>
      <c r="AN394" s="757"/>
      <c r="AO394" s="771">
        <v>0</v>
      </c>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5"/>
        <v>Boutique[...]</v>
      </c>
      <c r="B395" s="54" t="s">
        <v>59</v>
      </c>
      <c r="C395" s="747"/>
      <c r="D395" s="757"/>
      <c r="E395" s="758">
        <v>0</v>
      </c>
      <c r="F395" s="747"/>
      <c r="G395" s="757"/>
      <c r="H395" s="758"/>
      <c r="I395" s="747"/>
      <c r="J395" s="757"/>
      <c r="K395" s="758"/>
      <c r="L395" s="747"/>
      <c r="M395" s="757"/>
      <c r="N395" s="758"/>
      <c r="O395" s="747"/>
      <c r="P395" s="757"/>
      <c r="Q395" s="758"/>
      <c r="R395" s="747"/>
      <c r="S395" s="757"/>
      <c r="T395" s="758"/>
      <c r="U395" s="747"/>
      <c r="V395" s="757"/>
      <c r="W395" s="758"/>
      <c r="X395" s="747"/>
      <c r="Y395" s="757"/>
      <c r="Z395" s="758"/>
      <c r="AA395" s="747"/>
      <c r="AB395" s="757"/>
      <c r="AC395" s="758"/>
      <c r="AD395" s="747"/>
      <c r="AE395" s="757"/>
      <c r="AF395" s="758"/>
      <c r="AG395" s="747"/>
      <c r="AH395" s="757"/>
      <c r="AI395" s="758"/>
      <c r="AJ395" s="747"/>
      <c r="AK395" s="757"/>
      <c r="AL395" s="758"/>
      <c r="AM395" s="747"/>
      <c r="AN395" s="757"/>
      <c r="AO395" s="758"/>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5"/>
        <v>Boutique[...]</v>
      </c>
      <c r="B396" s="54" t="s">
        <v>59</v>
      </c>
      <c r="C396" s="747"/>
      <c r="D396" s="757"/>
      <c r="E396" s="758">
        <v>0</v>
      </c>
      <c r="F396" s="747"/>
      <c r="G396" s="757"/>
      <c r="H396" s="758"/>
      <c r="I396" s="747"/>
      <c r="J396" s="757"/>
      <c r="K396" s="758"/>
      <c r="L396" s="747"/>
      <c r="M396" s="757"/>
      <c r="N396" s="758"/>
      <c r="O396" s="747"/>
      <c r="P396" s="757"/>
      <c r="Q396" s="758"/>
      <c r="R396" s="747"/>
      <c r="S396" s="757"/>
      <c r="T396" s="758"/>
      <c r="U396" s="747"/>
      <c r="V396" s="757"/>
      <c r="W396" s="758"/>
      <c r="X396" s="747"/>
      <c r="Y396" s="757"/>
      <c r="Z396" s="758"/>
      <c r="AA396" s="747"/>
      <c r="AB396" s="757"/>
      <c r="AC396" s="758"/>
      <c r="AD396" s="747"/>
      <c r="AE396" s="757"/>
      <c r="AF396" s="758"/>
      <c r="AG396" s="747"/>
      <c r="AH396" s="757"/>
      <c r="AI396" s="758"/>
      <c r="AJ396" s="747"/>
      <c r="AK396" s="757"/>
      <c r="AL396" s="758"/>
      <c r="AM396" s="747"/>
      <c r="AN396" s="757"/>
      <c r="AO396" s="758"/>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5"/>
        <v>Boutique[...]</v>
      </c>
      <c r="B397" s="54" t="s">
        <v>59</v>
      </c>
      <c r="C397" s="776"/>
      <c r="D397" s="784"/>
      <c r="E397" s="758">
        <v>0</v>
      </c>
      <c r="F397" s="776"/>
      <c r="G397" s="784"/>
      <c r="H397" s="758"/>
      <c r="I397" s="776"/>
      <c r="J397" s="784"/>
      <c r="K397" s="758"/>
      <c r="L397" s="776"/>
      <c r="M397" s="784"/>
      <c r="N397" s="758"/>
      <c r="O397" s="776"/>
      <c r="P397" s="784"/>
      <c r="Q397" s="758"/>
      <c r="R397" s="776"/>
      <c r="S397" s="784"/>
      <c r="T397" s="758"/>
      <c r="U397" s="776"/>
      <c r="V397" s="784"/>
      <c r="W397" s="758"/>
      <c r="X397" s="776"/>
      <c r="Y397" s="784"/>
      <c r="Z397" s="758"/>
      <c r="AA397" s="776"/>
      <c r="AB397" s="784"/>
      <c r="AC397" s="758"/>
      <c r="AD397" s="776"/>
      <c r="AE397" s="784"/>
      <c r="AF397" s="758"/>
      <c r="AG397" s="776"/>
      <c r="AH397" s="784"/>
      <c r="AI397" s="758"/>
      <c r="AJ397" s="776"/>
      <c r="AK397" s="784"/>
      <c r="AL397" s="758"/>
      <c r="AM397" s="776"/>
      <c r="AN397" s="784"/>
      <c r="AO397" s="758"/>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5"/>
        <v>BoutiqueTOTAL SEMI-FIXES</v>
      </c>
      <c r="B398" s="53" t="s">
        <v>143</v>
      </c>
      <c r="C398" s="777" t="s">
        <v>119</v>
      </c>
      <c r="D398" s="778">
        <v>0</v>
      </c>
      <c r="E398" s="779">
        <v>0</v>
      </c>
      <c r="F398" s="777" t="s">
        <v>119</v>
      </c>
      <c r="G398" s="778">
        <v>0</v>
      </c>
      <c r="H398" s="779">
        <v>0</v>
      </c>
      <c r="I398" s="777" t="s">
        <v>119</v>
      </c>
      <c r="J398" s="778">
        <v>0</v>
      </c>
      <c r="K398" s="779">
        <v>0</v>
      </c>
      <c r="L398" s="777" t="s">
        <v>119</v>
      </c>
      <c r="M398" s="778">
        <v>0</v>
      </c>
      <c r="N398" s="779">
        <v>0</v>
      </c>
      <c r="O398" s="777" t="s">
        <v>119</v>
      </c>
      <c r="P398" s="778">
        <v>0</v>
      </c>
      <c r="Q398" s="779">
        <v>0</v>
      </c>
      <c r="R398" s="777" t="s">
        <v>119</v>
      </c>
      <c r="S398" s="778">
        <v>0</v>
      </c>
      <c r="T398" s="779">
        <v>0</v>
      </c>
      <c r="U398" s="777" t="s">
        <v>119</v>
      </c>
      <c r="V398" s="778">
        <v>0</v>
      </c>
      <c r="W398" s="779">
        <v>0</v>
      </c>
      <c r="X398" s="777" t="s">
        <v>119</v>
      </c>
      <c r="Y398" s="778">
        <v>0</v>
      </c>
      <c r="Z398" s="779">
        <v>0</v>
      </c>
      <c r="AA398" s="777" t="s">
        <v>119</v>
      </c>
      <c r="AB398" s="778">
        <v>0</v>
      </c>
      <c r="AC398" s="779">
        <v>0</v>
      </c>
      <c r="AD398" s="777" t="s">
        <v>119</v>
      </c>
      <c r="AE398" s="778">
        <v>0</v>
      </c>
      <c r="AF398" s="779">
        <v>0</v>
      </c>
      <c r="AG398" s="777" t="s">
        <v>119</v>
      </c>
      <c r="AH398" s="778">
        <v>0</v>
      </c>
      <c r="AI398" s="779">
        <v>0</v>
      </c>
      <c r="AJ398" s="777" t="s">
        <v>119</v>
      </c>
      <c r="AK398" s="778">
        <v>0</v>
      </c>
      <c r="AL398" s="779">
        <v>0</v>
      </c>
      <c r="AM398" s="777" t="s">
        <v>119</v>
      </c>
      <c r="AN398" s="778">
        <v>0</v>
      </c>
      <c r="AO398" s="779">
        <v>0</v>
      </c>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5"/>
        <v>Boutique</v>
      </c>
      <c r="B399" s="44"/>
      <c r="C399" s="747"/>
      <c r="D399" s="757"/>
      <c r="E399" s="748"/>
      <c r="F399" s="747"/>
      <c r="G399" s="757"/>
      <c r="H399" s="748"/>
      <c r="I399" s="747"/>
      <c r="J399" s="757"/>
      <c r="K399" s="748"/>
      <c r="L399" s="747"/>
      <c r="M399" s="757"/>
      <c r="N399" s="748"/>
      <c r="O399" s="747"/>
      <c r="P399" s="757"/>
      <c r="Q399" s="748"/>
      <c r="R399" s="747"/>
      <c r="S399" s="757"/>
      <c r="T399" s="748"/>
      <c r="U399" s="747"/>
      <c r="V399" s="757"/>
      <c r="W399" s="748"/>
      <c r="X399" s="747"/>
      <c r="Y399" s="757"/>
      <c r="Z399" s="748"/>
      <c r="AA399" s="747"/>
      <c r="AB399" s="757"/>
      <c r="AC399" s="748"/>
      <c r="AD399" s="747"/>
      <c r="AE399" s="757"/>
      <c r="AF399" s="748"/>
      <c r="AG399" s="747"/>
      <c r="AH399" s="757"/>
      <c r="AI399" s="748"/>
      <c r="AJ399" s="747"/>
      <c r="AK399" s="757"/>
      <c r="AL399" s="748"/>
      <c r="AM399" s="747"/>
      <c r="AN399" s="757"/>
      <c r="AO399" s="748"/>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5"/>
        <v>BoutiqueTOTAL DES DÉPENSES</v>
      </c>
      <c r="B400" s="53" t="s">
        <v>144</v>
      </c>
      <c r="C400" s="777" t="s">
        <v>119</v>
      </c>
      <c r="D400" s="778">
        <v>0</v>
      </c>
      <c r="E400" s="779">
        <v>0</v>
      </c>
      <c r="F400" s="777" t="s">
        <v>119</v>
      </c>
      <c r="G400" s="778">
        <v>0</v>
      </c>
      <c r="H400" s="779">
        <v>0</v>
      </c>
      <c r="I400" s="777" t="s">
        <v>119</v>
      </c>
      <c r="J400" s="778">
        <v>0</v>
      </c>
      <c r="K400" s="779">
        <v>0</v>
      </c>
      <c r="L400" s="777" t="s">
        <v>119</v>
      </c>
      <c r="M400" s="778">
        <v>0</v>
      </c>
      <c r="N400" s="779">
        <v>0</v>
      </c>
      <c r="O400" s="777" t="s">
        <v>119</v>
      </c>
      <c r="P400" s="778">
        <v>0</v>
      </c>
      <c r="Q400" s="779">
        <v>0</v>
      </c>
      <c r="R400" s="777" t="s">
        <v>119</v>
      </c>
      <c r="S400" s="778">
        <v>0</v>
      </c>
      <c r="T400" s="779">
        <v>0</v>
      </c>
      <c r="U400" s="777" t="s">
        <v>119</v>
      </c>
      <c r="V400" s="778">
        <v>0</v>
      </c>
      <c r="W400" s="779">
        <v>0</v>
      </c>
      <c r="X400" s="777" t="s">
        <v>119</v>
      </c>
      <c r="Y400" s="778">
        <v>0</v>
      </c>
      <c r="Z400" s="779">
        <v>0</v>
      </c>
      <c r="AA400" s="777" t="s">
        <v>119</v>
      </c>
      <c r="AB400" s="778">
        <v>0</v>
      </c>
      <c r="AC400" s="779">
        <v>0</v>
      </c>
      <c r="AD400" s="777" t="s">
        <v>119</v>
      </c>
      <c r="AE400" s="778">
        <v>0</v>
      </c>
      <c r="AF400" s="779">
        <v>0</v>
      </c>
      <c r="AG400" s="777" t="s">
        <v>119</v>
      </c>
      <c r="AH400" s="778">
        <v>0</v>
      </c>
      <c r="AI400" s="779">
        <v>0</v>
      </c>
      <c r="AJ400" s="777" t="s">
        <v>119</v>
      </c>
      <c r="AK400" s="778">
        <v>0</v>
      </c>
      <c r="AL400" s="779">
        <v>0</v>
      </c>
      <c r="AM400" s="777" t="s">
        <v>119</v>
      </c>
      <c r="AN400" s="778">
        <v>0</v>
      </c>
      <c r="AO400" s="779">
        <v>0</v>
      </c>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thickBot="1">
      <c r="A401" s="39" t="str">
        <f t="shared" si="5"/>
        <v>Boutique</v>
      </c>
      <c r="B401" s="44"/>
      <c r="C401" s="747"/>
      <c r="D401" s="757"/>
      <c r="E401" s="758"/>
      <c r="F401" s="747"/>
      <c r="G401" s="757"/>
      <c r="H401" s="758"/>
      <c r="I401" s="747"/>
      <c r="J401" s="757"/>
      <c r="K401" s="758"/>
      <c r="L401" s="747"/>
      <c r="M401" s="757"/>
      <c r="N401" s="758"/>
      <c r="O401" s="747"/>
      <c r="P401" s="757"/>
      <c r="Q401" s="758"/>
      <c r="R401" s="747"/>
      <c r="S401" s="757"/>
      <c r="T401" s="758"/>
      <c r="U401" s="747"/>
      <c r="V401" s="757"/>
      <c r="W401" s="758"/>
      <c r="X401" s="747"/>
      <c r="Y401" s="757"/>
      <c r="Z401" s="758"/>
      <c r="AA401" s="747"/>
      <c r="AB401" s="757"/>
      <c r="AC401" s="758"/>
      <c r="AD401" s="747"/>
      <c r="AE401" s="757"/>
      <c r="AF401" s="758"/>
      <c r="AG401" s="747"/>
      <c r="AH401" s="757"/>
      <c r="AI401" s="758"/>
      <c r="AJ401" s="747"/>
      <c r="AK401" s="757"/>
      <c r="AL401" s="758"/>
      <c r="AM401" s="747"/>
      <c r="AN401" s="757"/>
      <c r="AO401" s="758"/>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thickTop="1" thickBot="1">
      <c r="A402" s="39" t="str">
        <f t="shared" si="5"/>
        <v>BoutiquePROFIT DÉPARTEMENTAL</v>
      </c>
      <c r="B402" s="66" t="s">
        <v>151</v>
      </c>
      <c r="C402" s="868"/>
      <c r="D402" s="869"/>
      <c r="E402" s="870">
        <v>0</v>
      </c>
      <c r="F402" s="868"/>
      <c r="G402" s="869"/>
      <c r="H402" s="870">
        <v>0</v>
      </c>
      <c r="I402" s="868"/>
      <c r="J402" s="869"/>
      <c r="K402" s="870">
        <v>0</v>
      </c>
      <c r="L402" s="868"/>
      <c r="M402" s="869"/>
      <c r="N402" s="870">
        <v>0</v>
      </c>
      <c r="O402" s="868"/>
      <c r="P402" s="869"/>
      <c r="Q402" s="870">
        <v>0</v>
      </c>
      <c r="R402" s="868"/>
      <c r="S402" s="869"/>
      <c r="T402" s="870">
        <v>0</v>
      </c>
      <c r="U402" s="868"/>
      <c r="V402" s="869"/>
      <c r="W402" s="870">
        <v>0</v>
      </c>
      <c r="X402" s="868"/>
      <c r="Y402" s="869"/>
      <c r="Z402" s="870">
        <v>0</v>
      </c>
      <c r="AA402" s="868"/>
      <c r="AB402" s="869"/>
      <c r="AC402" s="870">
        <v>0</v>
      </c>
      <c r="AD402" s="868"/>
      <c r="AE402" s="869"/>
      <c r="AF402" s="870">
        <v>0</v>
      </c>
      <c r="AG402" s="868"/>
      <c r="AH402" s="869"/>
      <c r="AI402" s="870">
        <v>0</v>
      </c>
      <c r="AJ402" s="868"/>
      <c r="AK402" s="869"/>
      <c r="AL402" s="870">
        <v>0</v>
      </c>
      <c r="AM402" s="868"/>
      <c r="AN402" s="869"/>
      <c r="AO402" s="870">
        <v>0</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thickTop="1">
      <c r="A403" s="39"/>
      <c r="B403" s="51"/>
      <c r="C403" s="810"/>
      <c r="D403" s="810"/>
      <c r="E403" s="867"/>
      <c r="F403" s="810"/>
      <c r="G403" s="810"/>
      <c r="H403" s="867"/>
      <c r="I403" s="810"/>
      <c r="J403" s="810"/>
      <c r="K403" s="867"/>
      <c r="L403" s="810"/>
      <c r="M403" s="810"/>
      <c r="N403" s="867"/>
      <c r="O403" s="810"/>
      <c r="P403" s="810"/>
      <c r="Q403" s="867"/>
      <c r="R403" s="810"/>
      <c r="S403" s="810"/>
      <c r="T403" s="867"/>
      <c r="U403" s="810"/>
      <c r="V403" s="810"/>
      <c r="W403" s="867"/>
      <c r="X403" s="810"/>
      <c r="Y403" s="810"/>
      <c r="Z403" s="867"/>
      <c r="AA403" s="810"/>
      <c r="AB403" s="810"/>
      <c r="AC403" s="867"/>
      <c r="AD403" s="810"/>
      <c r="AE403" s="810"/>
      <c r="AF403" s="867"/>
      <c r="AG403" s="810"/>
      <c r="AH403" s="810"/>
      <c r="AI403" s="867"/>
      <c r="AJ403" s="810"/>
      <c r="AK403" s="810"/>
      <c r="AL403" s="867"/>
      <c r="AM403" s="810"/>
      <c r="AN403" s="810"/>
      <c r="AO403" s="867"/>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48"/>
      <c r="C404" s="757"/>
      <c r="D404" s="757"/>
      <c r="E404" s="770"/>
      <c r="F404" s="757"/>
      <c r="G404" s="757"/>
      <c r="H404" s="770">
        <v>0</v>
      </c>
      <c r="I404" s="757"/>
      <c r="J404" s="757"/>
      <c r="K404" s="770">
        <v>0</v>
      </c>
      <c r="L404" s="757"/>
      <c r="M404" s="757"/>
      <c r="N404" s="770">
        <v>0</v>
      </c>
      <c r="O404" s="757"/>
      <c r="P404" s="757"/>
      <c r="Q404" s="770">
        <v>0</v>
      </c>
      <c r="R404" s="757"/>
      <c r="S404" s="757"/>
      <c r="T404" s="770">
        <v>0</v>
      </c>
      <c r="U404" s="757"/>
      <c r="V404" s="757"/>
      <c r="W404" s="770">
        <v>0</v>
      </c>
      <c r="X404" s="757"/>
      <c r="Y404" s="757"/>
      <c r="Z404" s="770">
        <v>0</v>
      </c>
      <c r="AA404" s="757"/>
      <c r="AB404" s="757"/>
      <c r="AC404" s="770">
        <v>0</v>
      </c>
      <c r="AD404" s="757"/>
      <c r="AE404" s="757"/>
      <c r="AF404" s="770">
        <v>0</v>
      </c>
      <c r="AG404" s="757"/>
      <c r="AH404" s="757"/>
      <c r="AI404" s="770">
        <v>0</v>
      </c>
      <c r="AJ404" s="757"/>
      <c r="AK404" s="757"/>
      <c r="AL404" s="770">
        <v>0</v>
      </c>
      <c r="AM404" s="757"/>
      <c r="AN404" s="757"/>
      <c r="AO404" s="770">
        <v>0</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1" t="s">
        <v>3937</v>
      </c>
      <c r="C405" s="802" t="s">
        <v>198</v>
      </c>
      <c r="D405" s="802"/>
      <c r="E405" s="802"/>
      <c r="F405" s="802"/>
      <c r="G405" s="802"/>
      <c r="H405" s="871"/>
      <c r="I405" s="802"/>
      <c r="J405" s="802"/>
      <c r="K405" s="802"/>
      <c r="L405" s="802"/>
      <c r="M405" s="802"/>
      <c r="N405" s="802"/>
      <c r="O405" s="802"/>
      <c r="P405" s="802"/>
      <c r="Q405" s="802"/>
      <c r="R405" s="802"/>
      <c r="S405" s="802"/>
      <c r="T405" s="802"/>
      <c r="U405" s="802"/>
      <c r="V405" s="802"/>
      <c r="W405" s="802"/>
      <c r="X405" s="802"/>
      <c r="Y405" s="802"/>
      <c r="Z405" s="802"/>
      <c r="AA405" s="802"/>
      <c r="AB405" s="802"/>
      <c r="AC405" s="802"/>
      <c r="AD405" s="802"/>
      <c r="AE405" s="802"/>
      <c r="AF405" s="802"/>
      <c r="AG405" s="802"/>
      <c r="AH405" s="802"/>
      <c r="AI405" s="802"/>
      <c r="AJ405" s="802"/>
      <c r="AK405" s="802"/>
      <c r="AL405" s="802"/>
      <c r="AM405" s="802"/>
      <c r="AN405" s="802"/>
      <c r="AO405" s="802"/>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thickBot="1">
      <c r="A406" s="39"/>
      <c r="B406" s="67"/>
      <c r="C406" s="872"/>
      <c r="D406" s="872"/>
      <c r="E406" s="872"/>
      <c r="F406" s="873"/>
      <c r="G406" s="873"/>
      <c r="H406" s="874">
        <v>3999179.9999999888</v>
      </c>
      <c r="I406" s="873"/>
      <c r="J406" s="873"/>
      <c r="K406" s="874">
        <v>3439148.8599999901</v>
      </c>
      <c r="L406" s="873"/>
      <c r="M406" s="873"/>
      <c r="N406" s="874">
        <v>4656035.2599999793</v>
      </c>
      <c r="O406" s="873"/>
      <c r="P406" s="873"/>
      <c r="Q406" s="874">
        <v>3178713.4899999993</v>
      </c>
      <c r="R406" s="873"/>
      <c r="S406" s="873"/>
      <c r="T406" s="874">
        <v>5194257.959999999</v>
      </c>
      <c r="U406" s="873"/>
      <c r="V406" s="873"/>
      <c r="W406" s="874">
        <v>5520989.48999999</v>
      </c>
      <c r="X406" s="873"/>
      <c r="Y406" s="873"/>
      <c r="Z406" s="874">
        <v>4651900.0099999886</v>
      </c>
      <c r="AA406" s="873"/>
      <c r="AB406" s="873"/>
      <c r="AC406" s="874">
        <v>5316242.4199999981</v>
      </c>
      <c r="AD406" s="873"/>
      <c r="AE406" s="873"/>
      <c r="AF406" s="874">
        <v>4572850.42</v>
      </c>
      <c r="AG406" s="873"/>
      <c r="AH406" s="873"/>
      <c r="AI406" s="874">
        <v>10612462.84999999</v>
      </c>
      <c r="AJ406" s="873"/>
      <c r="AK406" s="873"/>
      <c r="AL406" s="874">
        <v>12335062.559999999</v>
      </c>
      <c r="AM406" s="873"/>
      <c r="AN406" s="873"/>
      <c r="AO406" s="874">
        <v>9614340.6600000001</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thickTop="1">
      <c r="A407" s="39"/>
      <c r="B407" s="40" t="s">
        <v>3</v>
      </c>
      <c r="C407" s="969">
        <v>2024</v>
      </c>
      <c r="D407" s="970"/>
      <c r="E407" s="971"/>
      <c r="F407" s="729" t="s">
        <v>8</v>
      </c>
      <c r="G407" s="730"/>
      <c r="H407" s="731"/>
      <c r="I407" s="729" t="s">
        <v>10</v>
      </c>
      <c r="J407" s="730"/>
      <c r="K407" s="731"/>
      <c r="L407" s="729" t="s">
        <v>11</v>
      </c>
      <c r="M407" s="730"/>
      <c r="N407" s="731"/>
      <c r="O407" s="729" t="s">
        <v>12</v>
      </c>
      <c r="P407" s="730"/>
      <c r="Q407" s="731"/>
      <c r="R407" s="729" t="s">
        <v>13</v>
      </c>
      <c r="S407" s="730"/>
      <c r="T407" s="731"/>
      <c r="U407" s="729" t="s">
        <v>14</v>
      </c>
      <c r="V407" s="730"/>
      <c r="W407" s="731"/>
      <c r="X407" s="729" t="s">
        <v>16</v>
      </c>
      <c r="Y407" s="730"/>
      <c r="Z407" s="731"/>
      <c r="AA407" s="729" t="s">
        <v>18</v>
      </c>
      <c r="AB407" s="730"/>
      <c r="AC407" s="731"/>
      <c r="AD407" s="729" t="s">
        <v>20</v>
      </c>
      <c r="AE407" s="730"/>
      <c r="AF407" s="731"/>
      <c r="AG407" s="729" t="s">
        <v>22</v>
      </c>
      <c r="AH407" s="730"/>
      <c r="AI407" s="731"/>
      <c r="AJ407" s="729" t="s">
        <v>23</v>
      </c>
      <c r="AK407" s="730"/>
      <c r="AL407" s="731"/>
      <c r="AM407" s="729" t="s">
        <v>6</v>
      </c>
      <c r="AN407" s="730"/>
      <c r="AO407" s="731"/>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43"/>
      <c r="C408" s="875" t="s">
        <v>199</v>
      </c>
      <c r="D408" s="876" t="s">
        <v>200</v>
      </c>
      <c r="E408" s="877" t="s">
        <v>201</v>
      </c>
      <c r="F408" s="875" t="s">
        <v>199</v>
      </c>
      <c r="G408" s="876" t="s">
        <v>200</v>
      </c>
      <c r="H408" s="877" t="s">
        <v>201</v>
      </c>
      <c r="I408" s="875" t="s">
        <v>199</v>
      </c>
      <c r="J408" s="876" t="s">
        <v>200</v>
      </c>
      <c r="K408" s="877" t="s">
        <v>201</v>
      </c>
      <c r="L408" s="875" t="s">
        <v>199</v>
      </c>
      <c r="M408" s="876" t="s">
        <v>200</v>
      </c>
      <c r="N408" s="877" t="s">
        <v>201</v>
      </c>
      <c r="O408" s="875" t="s">
        <v>199</v>
      </c>
      <c r="P408" s="876" t="s">
        <v>200</v>
      </c>
      <c r="Q408" s="877" t="s">
        <v>201</v>
      </c>
      <c r="R408" s="875" t="s">
        <v>199</v>
      </c>
      <c r="S408" s="876" t="s">
        <v>200</v>
      </c>
      <c r="T408" s="877" t="s">
        <v>201</v>
      </c>
      <c r="U408" s="875" t="s">
        <v>199</v>
      </c>
      <c r="V408" s="876" t="s">
        <v>200</v>
      </c>
      <c r="W408" s="877" t="s">
        <v>201</v>
      </c>
      <c r="X408" s="875" t="s">
        <v>199</v>
      </c>
      <c r="Y408" s="876" t="s">
        <v>200</v>
      </c>
      <c r="Z408" s="877" t="s">
        <v>201</v>
      </c>
      <c r="AA408" s="875" t="s">
        <v>199</v>
      </c>
      <c r="AB408" s="876" t="s">
        <v>200</v>
      </c>
      <c r="AC408" s="877" t="s">
        <v>201</v>
      </c>
      <c r="AD408" s="875" t="s">
        <v>199</v>
      </c>
      <c r="AE408" s="876" t="s">
        <v>200</v>
      </c>
      <c r="AF408" s="877" t="s">
        <v>201</v>
      </c>
      <c r="AG408" s="875" t="s">
        <v>199</v>
      </c>
      <c r="AH408" s="876" t="s">
        <v>200</v>
      </c>
      <c r="AI408" s="877" t="s">
        <v>201</v>
      </c>
      <c r="AJ408" s="875" t="s">
        <v>199</v>
      </c>
      <c r="AK408" s="876" t="s">
        <v>200</v>
      </c>
      <c r="AL408" s="877" t="s">
        <v>201</v>
      </c>
      <c r="AM408" s="875" t="s">
        <v>199</v>
      </c>
      <c r="AN408" s="876" t="s">
        <v>200</v>
      </c>
      <c r="AO408" s="877" t="s">
        <v>201</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6">B409</f>
        <v>Ventes nettes</v>
      </c>
      <c r="B409" s="55" t="s">
        <v>96</v>
      </c>
      <c r="C409" s="878"/>
      <c r="D409" s="879"/>
      <c r="E409" s="880">
        <v>62756561.019999921</v>
      </c>
      <c r="F409" s="878"/>
      <c r="G409" s="879"/>
      <c r="H409" s="880">
        <v>4219938.79</v>
      </c>
      <c r="I409" s="878"/>
      <c r="J409" s="879"/>
      <c r="K409" s="880">
        <v>5869044.6399999997</v>
      </c>
      <c r="L409" s="878"/>
      <c r="M409" s="879"/>
      <c r="N409" s="880">
        <v>6132076.5800000001</v>
      </c>
      <c r="O409" s="878"/>
      <c r="P409" s="879"/>
      <c r="Q409" s="880">
        <v>5889184.6299999896</v>
      </c>
      <c r="R409" s="878"/>
      <c r="S409" s="879"/>
      <c r="T409" s="880">
        <v>6535324.9800000004</v>
      </c>
      <c r="U409" s="878"/>
      <c r="V409" s="879"/>
      <c r="W409" s="880">
        <v>4003551.9599999897</v>
      </c>
      <c r="X409" s="878"/>
      <c r="Y409" s="879"/>
      <c r="Z409" s="880">
        <v>6651956.52999999</v>
      </c>
      <c r="AA409" s="878"/>
      <c r="AB409" s="879"/>
      <c r="AC409" s="880">
        <v>6465509.5399999879</v>
      </c>
      <c r="AD409" s="878"/>
      <c r="AE409" s="879"/>
      <c r="AF409" s="880">
        <v>4326173.8899999894</v>
      </c>
      <c r="AG409" s="878"/>
      <c r="AH409" s="879"/>
      <c r="AI409" s="880">
        <v>4756792.0799999991</v>
      </c>
      <c r="AJ409" s="878"/>
      <c r="AK409" s="879"/>
      <c r="AL409" s="880">
        <v>4218159.4199999794</v>
      </c>
      <c r="AM409" s="878"/>
      <c r="AN409" s="879"/>
      <c r="AO409" s="880">
        <v>3688847.98</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6"/>
        <v>Profit brut</v>
      </c>
      <c r="B410" s="68" t="s">
        <v>202</v>
      </c>
      <c r="C410" s="881"/>
      <c r="D410" s="882"/>
      <c r="E410" s="883">
        <v>7229609.4199999878</v>
      </c>
      <c r="F410" s="881"/>
      <c r="G410" s="882"/>
      <c r="H410" s="883">
        <v>439445.35999999946</v>
      </c>
      <c r="I410" s="881"/>
      <c r="J410" s="882"/>
      <c r="K410" s="883">
        <v>508866.40999999957</v>
      </c>
      <c r="L410" s="881"/>
      <c r="M410" s="882"/>
      <c r="N410" s="883">
        <v>638443.12999999872</v>
      </c>
      <c r="O410" s="881"/>
      <c r="P410" s="882"/>
      <c r="Q410" s="883">
        <v>725884.59999999916</v>
      </c>
      <c r="R410" s="881"/>
      <c r="S410" s="882"/>
      <c r="T410" s="883">
        <v>692227.01999999955</v>
      </c>
      <c r="U410" s="881"/>
      <c r="V410" s="882"/>
      <c r="W410" s="883">
        <v>479069.4199999994</v>
      </c>
      <c r="X410" s="881"/>
      <c r="Y410" s="882"/>
      <c r="Z410" s="883">
        <v>666917.35999999847</v>
      </c>
      <c r="AA410" s="881"/>
      <c r="AB410" s="882"/>
      <c r="AC410" s="883">
        <v>640665.66999999795</v>
      </c>
      <c r="AD410" s="881"/>
      <c r="AE410" s="882"/>
      <c r="AF410" s="883">
        <v>572539.7799999998</v>
      </c>
      <c r="AG410" s="881"/>
      <c r="AH410" s="882"/>
      <c r="AI410" s="883">
        <v>663087.62999999896</v>
      </c>
      <c r="AJ410" s="881"/>
      <c r="AK410" s="882"/>
      <c r="AL410" s="883">
        <v>744838.01999999851</v>
      </c>
      <c r="AM410" s="881"/>
      <c r="AN410" s="882"/>
      <c r="AO410" s="883">
        <v>457625.01999999973</v>
      </c>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6"/>
        <v>DÉPENSES</v>
      </c>
      <c r="B411" s="69" t="s">
        <v>203</v>
      </c>
      <c r="C411" s="884"/>
      <c r="D411" s="885"/>
      <c r="E411" s="886"/>
      <c r="F411" s="884"/>
      <c r="G411" s="885">
        <v>0</v>
      </c>
      <c r="H411" s="886"/>
      <c r="I411" s="884"/>
      <c r="J411" s="885">
        <v>0</v>
      </c>
      <c r="K411" s="886"/>
      <c r="L411" s="884"/>
      <c r="M411" s="885">
        <v>0</v>
      </c>
      <c r="N411" s="886"/>
      <c r="O411" s="884"/>
      <c r="P411" s="885">
        <v>0</v>
      </c>
      <c r="Q411" s="886"/>
      <c r="R411" s="884"/>
      <c r="S411" s="885">
        <v>0</v>
      </c>
      <c r="T411" s="886"/>
      <c r="U411" s="884"/>
      <c r="V411" s="885">
        <v>0</v>
      </c>
      <c r="W411" s="886"/>
      <c r="X411" s="884"/>
      <c r="Y411" s="885">
        <v>0</v>
      </c>
      <c r="Z411" s="886"/>
      <c r="AA411" s="884"/>
      <c r="AB411" s="885">
        <v>0</v>
      </c>
      <c r="AC411" s="886"/>
      <c r="AD411" s="884"/>
      <c r="AE411" s="885">
        <v>0</v>
      </c>
      <c r="AF411" s="886"/>
      <c r="AG411" s="884"/>
      <c r="AH411" s="885">
        <v>0</v>
      </c>
      <c r="AI411" s="886"/>
      <c r="AJ411" s="884"/>
      <c r="AK411" s="885">
        <v>0</v>
      </c>
      <c r="AL411" s="886"/>
      <c r="AM411" s="884"/>
      <c r="AN411" s="885">
        <v>0</v>
      </c>
      <c r="AO411" s="886"/>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6"/>
        <v>Comm. vendeurs</v>
      </c>
      <c r="B412" s="54" t="s">
        <v>111</v>
      </c>
      <c r="C412" s="887">
        <v>0.35475116642965138</v>
      </c>
      <c r="D412" s="888">
        <v>644.68742180094785</v>
      </c>
      <c r="E412" s="886">
        <v>680145.23</v>
      </c>
      <c r="F412" s="889"/>
      <c r="G412" s="888">
        <v>948.56295454545466</v>
      </c>
      <c r="H412" s="886">
        <v>41736.770000000004</v>
      </c>
      <c r="I412" s="889"/>
      <c r="J412" s="888">
        <v>830.30323943661972</v>
      </c>
      <c r="K412" s="886">
        <v>58951.53</v>
      </c>
      <c r="L412" s="889"/>
      <c r="M412" s="888">
        <v>1122.4584285714286</v>
      </c>
      <c r="N412" s="886">
        <v>78572.09</v>
      </c>
      <c r="O412" s="889"/>
      <c r="P412" s="888">
        <v>892.4939130434783</v>
      </c>
      <c r="Q412" s="886">
        <v>61582.080000000002</v>
      </c>
      <c r="R412" s="889"/>
      <c r="S412" s="888">
        <v>824.02072463768104</v>
      </c>
      <c r="T412" s="886">
        <v>56857.429999999993</v>
      </c>
      <c r="U412" s="889"/>
      <c r="V412" s="888">
        <v>1069.7884999999999</v>
      </c>
      <c r="W412" s="886">
        <v>42791.539999999994</v>
      </c>
      <c r="X412" s="889"/>
      <c r="Y412" s="888">
        <v>935.36558441558429</v>
      </c>
      <c r="Z412" s="886">
        <v>72023.149999999994</v>
      </c>
      <c r="AA412" s="889"/>
      <c r="AB412" s="888">
        <v>960.39802469135805</v>
      </c>
      <c r="AC412" s="886">
        <v>77792.240000000005</v>
      </c>
      <c r="AD412" s="889"/>
      <c r="AE412" s="888">
        <v>1178.2652380952381</v>
      </c>
      <c r="AF412" s="886">
        <v>49487.14</v>
      </c>
      <c r="AG412" s="889"/>
      <c r="AH412" s="888">
        <v>1140.4980851063831</v>
      </c>
      <c r="AI412" s="886">
        <v>53603.41</v>
      </c>
      <c r="AJ412" s="889"/>
      <c r="AK412" s="888">
        <v>1306.9923684210526</v>
      </c>
      <c r="AL412" s="886">
        <v>49665.71</v>
      </c>
      <c r="AM412" s="889"/>
      <c r="AN412" s="888">
        <v>1196.1980645161291</v>
      </c>
      <c r="AO412" s="886">
        <v>37082.14</v>
      </c>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6"/>
        <v>Comm. F&amp;I</v>
      </c>
      <c r="B413" s="55" t="s">
        <v>112</v>
      </c>
      <c r="C413" s="890">
        <v>0.28406787019291352</v>
      </c>
      <c r="D413" s="891">
        <v>344.83107645875248</v>
      </c>
      <c r="E413" s="880">
        <v>342762.08999999997</v>
      </c>
      <c r="F413" s="892"/>
      <c r="G413" s="891">
        <v>378.1336363636363</v>
      </c>
      <c r="H413" s="880">
        <v>16637.879999999997</v>
      </c>
      <c r="I413" s="892"/>
      <c r="J413" s="891">
        <v>417.47295774647893</v>
      </c>
      <c r="K413" s="880">
        <v>29640.58</v>
      </c>
      <c r="L413" s="892"/>
      <c r="M413" s="891">
        <v>430.93742857142854</v>
      </c>
      <c r="N413" s="880">
        <v>30165.62</v>
      </c>
      <c r="O413" s="892"/>
      <c r="P413" s="891">
        <v>402.80565217391307</v>
      </c>
      <c r="Q413" s="880">
        <v>27793.590000000004</v>
      </c>
      <c r="R413" s="892"/>
      <c r="S413" s="891">
        <v>612.12086956521739</v>
      </c>
      <c r="T413" s="880">
        <v>42236.34</v>
      </c>
      <c r="U413" s="892"/>
      <c r="V413" s="891">
        <v>446.24250000000001</v>
      </c>
      <c r="W413" s="880">
        <v>17849.7</v>
      </c>
      <c r="X413" s="892"/>
      <c r="Y413" s="891">
        <v>438.8764935064936</v>
      </c>
      <c r="Z413" s="880">
        <v>33793.490000000005</v>
      </c>
      <c r="AA413" s="892"/>
      <c r="AB413" s="891">
        <v>353.86259259259265</v>
      </c>
      <c r="AC413" s="880">
        <v>28662.870000000003</v>
      </c>
      <c r="AD413" s="892"/>
      <c r="AE413" s="891">
        <v>725.07357142857143</v>
      </c>
      <c r="AF413" s="880">
        <v>30453.09</v>
      </c>
      <c r="AG413" s="892"/>
      <c r="AH413" s="891">
        <v>779.25659574468079</v>
      </c>
      <c r="AI413" s="880">
        <v>36625.06</v>
      </c>
      <c r="AJ413" s="892"/>
      <c r="AK413" s="891">
        <v>670.3828947368421</v>
      </c>
      <c r="AL413" s="880">
        <v>25474.55</v>
      </c>
      <c r="AM413" s="892"/>
      <c r="AN413" s="891">
        <v>755.78451612903223</v>
      </c>
      <c r="AO413" s="880">
        <v>23429.32</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6"/>
        <v>Frais de livraison</v>
      </c>
      <c r="B414" s="54" t="s">
        <v>113</v>
      </c>
      <c r="C414" s="889"/>
      <c r="D414" s="888">
        <v>90.811971830985911</v>
      </c>
      <c r="E414" s="886">
        <v>90267.099999999991</v>
      </c>
      <c r="F414" s="889"/>
      <c r="G414" s="888">
        <v>206.27204545454543</v>
      </c>
      <c r="H414" s="886">
        <v>9075.9699999999993</v>
      </c>
      <c r="I414" s="889"/>
      <c r="J414" s="888">
        <v>129.04957746478874</v>
      </c>
      <c r="K414" s="886">
        <v>9162.52</v>
      </c>
      <c r="L414" s="889"/>
      <c r="M414" s="888">
        <v>90.755428571428567</v>
      </c>
      <c r="N414" s="886">
        <v>6352.88</v>
      </c>
      <c r="O414" s="889"/>
      <c r="P414" s="888">
        <v>81.83623188405798</v>
      </c>
      <c r="Q414" s="886">
        <v>5646.7000000000007</v>
      </c>
      <c r="R414" s="889"/>
      <c r="S414" s="888">
        <v>204.35347826086957</v>
      </c>
      <c r="T414" s="886">
        <v>14100.39</v>
      </c>
      <c r="U414" s="889"/>
      <c r="V414" s="888">
        <v>114.94475000000003</v>
      </c>
      <c r="W414" s="886">
        <v>4597.7900000000009</v>
      </c>
      <c r="X414" s="889"/>
      <c r="Y414" s="888">
        <v>82.070779220779215</v>
      </c>
      <c r="Z414" s="886">
        <v>6319.45</v>
      </c>
      <c r="AA414" s="889"/>
      <c r="AB414" s="888">
        <v>129.01493827160496</v>
      </c>
      <c r="AC414" s="886">
        <v>10450.210000000001</v>
      </c>
      <c r="AD414" s="889"/>
      <c r="AE414" s="888">
        <v>174.72095238095238</v>
      </c>
      <c r="AF414" s="886">
        <v>7338.2800000000007</v>
      </c>
      <c r="AG414" s="889"/>
      <c r="AH414" s="888">
        <v>123.74659574468086</v>
      </c>
      <c r="AI414" s="886">
        <v>5816.09</v>
      </c>
      <c r="AJ414" s="889"/>
      <c r="AK414" s="888">
        <v>193.26921052631579</v>
      </c>
      <c r="AL414" s="886">
        <v>7344.23</v>
      </c>
      <c r="AM414" s="889"/>
      <c r="AN414" s="888">
        <v>131.05129032258066</v>
      </c>
      <c r="AO414" s="886">
        <v>4062.59</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6"/>
        <v>Service gratuit 1</v>
      </c>
      <c r="B415" s="54" t="s">
        <v>114</v>
      </c>
      <c r="C415" s="889"/>
      <c r="D415" s="888">
        <v>34.408450704225359</v>
      </c>
      <c r="E415" s="886">
        <v>34202.000000000007</v>
      </c>
      <c r="F415" s="889"/>
      <c r="G415" s="888">
        <v>9.6213636363636361</v>
      </c>
      <c r="H415" s="886">
        <v>423.34</v>
      </c>
      <c r="I415" s="889"/>
      <c r="J415" s="888">
        <v>37.779154929577459</v>
      </c>
      <c r="K415" s="886">
        <v>2682.3199999999997</v>
      </c>
      <c r="L415" s="889"/>
      <c r="M415" s="888">
        <v>20.613428571428571</v>
      </c>
      <c r="N415" s="886">
        <v>1442.94</v>
      </c>
      <c r="O415" s="889"/>
      <c r="P415" s="888">
        <v>43.456086956521744</v>
      </c>
      <c r="Q415" s="886">
        <v>2998.4700000000003</v>
      </c>
      <c r="R415" s="889"/>
      <c r="S415" s="888">
        <v>8.5134782608695652</v>
      </c>
      <c r="T415" s="886">
        <v>587.42999999999995</v>
      </c>
      <c r="U415" s="889"/>
      <c r="V415" s="888">
        <v>61.338000000000001</v>
      </c>
      <c r="W415" s="886">
        <v>2453.52</v>
      </c>
      <c r="X415" s="889"/>
      <c r="Y415" s="888">
        <v>68.809870129870134</v>
      </c>
      <c r="Z415" s="886">
        <v>5298.3600000000006</v>
      </c>
      <c r="AA415" s="889"/>
      <c r="AB415" s="888">
        <v>53.25271604938272</v>
      </c>
      <c r="AC415" s="886">
        <v>4313.47</v>
      </c>
      <c r="AD415" s="889"/>
      <c r="AE415" s="888">
        <v>111.09333333333333</v>
      </c>
      <c r="AF415" s="886">
        <v>4665.92</v>
      </c>
      <c r="AG415" s="889"/>
      <c r="AH415" s="888">
        <v>67.763191489361702</v>
      </c>
      <c r="AI415" s="886">
        <v>3184.87</v>
      </c>
      <c r="AJ415" s="889"/>
      <c r="AK415" s="888">
        <v>182.45842105263159</v>
      </c>
      <c r="AL415" s="886">
        <v>6933.42</v>
      </c>
      <c r="AM415" s="889"/>
      <c r="AN415" s="888">
        <v>-25.22774193548387</v>
      </c>
      <c r="AO415" s="886">
        <v>-782.06</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6"/>
        <v>Entretien stock</v>
      </c>
      <c r="B416" s="55" t="s">
        <v>115</v>
      </c>
      <c r="C416" s="892"/>
      <c r="D416" s="891">
        <v>142.63945674044265</v>
      </c>
      <c r="E416" s="880">
        <v>141783.62</v>
      </c>
      <c r="F416" s="892"/>
      <c r="G416" s="891">
        <v>205.06613636363636</v>
      </c>
      <c r="H416" s="880">
        <v>9022.91</v>
      </c>
      <c r="I416" s="892"/>
      <c r="J416" s="891">
        <v>82.918169014084512</v>
      </c>
      <c r="K416" s="880">
        <v>5887.1900000000005</v>
      </c>
      <c r="L416" s="892"/>
      <c r="M416" s="891">
        <v>214.958</v>
      </c>
      <c r="N416" s="880">
        <v>15047.06</v>
      </c>
      <c r="O416" s="892"/>
      <c r="P416" s="891">
        <v>234.0440579710145</v>
      </c>
      <c r="Q416" s="880">
        <v>16149.04</v>
      </c>
      <c r="R416" s="892"/>
      <c r="S416" s="891">
        <v>215.15942028985506</v>
      </c>
      <c r="T416" s="880">
        <v>14846</v>
      </c>
      <c r="U416" s="892"/>
      <c r="V416" s="891">
        <v>307.06824999999998</v>
      </c>
      <c r="W416" s="880">
        <v>12282.73</v>
      </c>
      <c r="X416" s="892"/>
      <c r="Y416" s="891">
        <v>144.83896103896103</v>
      </c>
      <c r="Z416" s="880">
        <v>11152.599999999999</v>
      </c>
      <c r="AA416" s="892"/>
      <c r="AB416" s="891">
        <v>128.46617283950616</v>
      </c>
      <c r="AC416" s="880">
        <v>10405.759999999998</v>
      </c>
      <c r="AD416" s="892"/>
      <c r="AE416" s="891">
        <v>311.75333333333333</v>
      </c>
      <c r="AF416" s="880">
        <v>13093.64</v>
      </c>
      <c r="AG416" s="892"/>
      <c r="AH416" s="891">
        <v>294.73042553191488</v>
      </c>
      <c r="AI416" s="880">
        <v>13852.33</v>
      </c>
      <c r="AJ416" s="892"/>
      <c r="AK416" s="891">
        <v>338.85578947368424</v>
      </c>
      <c r="AL416" s="880">
        <v>12876.52</v>
      </c>
      <c r="AM416" s="892"/>
      <c r="AN416" s="891">
        <v>231.22064516129032</v>
      </c>
      <c r="AO416" s="880">
        <v>7167.84</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6"/>
        <v>Publicité 1</v>
      </c>
      <c r="B417" s="54" t="s">
        <v>116</v>
      </c>
      <c r="C417" s="889"/>
      <c r="D417" s="888">
        <v>248.43306841046243</v>
      </c>
      <c r="E417" s="886">
        <v>246942.46999999965</v>
      </c>
      <c r="F417" s="889"/>
      <c r="G417" s="888">
        <v>428.56409090909074</v>
      </c>
      <c r="H417" s="886">
        <v>18856.819999999992</v>
      </c>
      <c r="I417" s="889"/>
      <c r="J417" s="888">
        <v>155.29605633802817</v>
      </c>
      <c r="K417" s="886">
        <v>11026.02</v>
      </c>
      <c r="L417" s="889"/>
      <c r="M417" s="888">
        <v>336.98571428571427</v>
      </c>
      <c r="N417" s="886">
        <v>23589</v>
      </c>
      <c r="O417" s="889"/>
      <c r="P417" s="888">
        <v>305.23434782608683</v>
      </c>
      <c r="Q417" s="886">
        <v>21061.169999999991</v>
      </c>
      <c r="R417" s="889"/>
      <c r="S417" s="888">
        <v>323.73376811594198</v>
      </c>
      <c r="T417" s="886">
        <v>22337.629999999997</v>
      </c>
      <c r="U417" s="889"/>
      <c r="V417" s="888">
        <v>537.85349999999755</v>
      </c>
      <c r="W417" s="886">
        <v>21514.139999999901</v>
      </c>
      <c r="X417" s="889"/>
      <c r="Y417" s="888">
        <v>204.16116883116882</v>
      </c>
      <c r="Z417" s="886">
        <v>15720.41</v>
      </c>
      <c r="AA417" s="889"/>
      <c r="AB417" s="888">
        <v>140.38037037037037</v>
      </c>
      <c r="AC417" s="886">
        <v>11370.81</v>
      </c>
      <c r="AD417" s="889"/>
      <c r="AE417" s="888">
        <v>525.8449999999973</v>
      </c>
      <c r="AF417" s="886">
        <v>22085.489999999889</v>
      </c>
      <c r="AG417" s="889"/>
      <c r="AH417" s="888">
        <v>516.18319148936166</v>
      </c>
      <c r="AI417" s="886">
        <v>24260.61</v>
      </c>
      <c r="AJ417" s="889"/>
      <c r="AK417" s="888">
        <v>798.60973684210535</v>
      </c>
      <c r="AL417" s="886">
        <v>30347.170000000002</v>
      </c>
      <c r="AM417" s="889"/>
      <c r="AN417" s="888">
        <v>799.13548387096455</v>
      </c>
      <c r="AO417" s="886">
        <v>24773.199999999903</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6"/>
        <v>Intérêt de gros</v>
      </c>
      <c r="B418" s="54" t="s">
        <v>117</v>
      </c>
      <c r="C418" s="889"/>
      <c r="D418" s="888">
        <v>368.30723340040242</v>
      </c>
      <c r="E418" s="886">
        <v>366097.39</v>
      </c>
      <c r="F418" s="889"/>
      <c r="G418" s="888"/>
      <c r="H418" s="886">
        <v>28992.99</v>
      </c>
      <c r="I418" s="889"/>
      <c r="J418" s="888"/>
      <c r="K418" s="886">
        <v>38833.89</v>
      </c>
      <c r="L418" s="889"/>
      <c r="M418" s="888"/>
      <c r="N418" s="886">
        <v>43149.67</v>
      </c>
      <c r="O418" s="889"/>
      <c r="P418" s="888"/>
      <c r="Q418" s="886">
        <v>43374.68</v>
      </c>
      <c r="R418" s="889"/>
      <c r="S418" s="888"/>
      <c r="T418" s="886">
        <v>51836.43</v>
      </c>
      <c r="U418" s="889"/>
      <c r="V418" s="888"/>
      <c r="W418" s="886">
        <v>47211.58</v>
      </c>
      <c r="X418" s="889"/>
      <c r="Y418" s="888"/>
      <c r="Z418" s="886">
        <v>49031.799999999996</v>
      </c>
      <c r="AA418" s="889"/>
      <c r="AB418" s="888"/>
      <c r="AC418" s="886">
        <v>36756.18</v>
      </c>
      <c r="AD418" s="889"/>
      <c r="AE418" s="888"/>
      <c r="AF418" s="886">
        <v>33130.21</v>
      </c>
      <c r="AG418" s="889"/>
      <c r="AH418" s="888"/>
      <c r="AI418" s="886">
        <v>29735.25</v>
      </c>
      <c r="AJ418" s="889"/>
      <c r="AK418" s="888"/>
      <c r="AL418" s="886">
        <v>-34841</v>
      </c>
      <c r="AM418" s="889"/>
      <c r="AN418" s="888"/>
      <c r="AO418" s="886">
        <v>-1114.2900000000004</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6"/>
        <v>[...]</v>
      </c>
      <c r="B419" s="44" t="s">
        <v>59</v>
      </c>
      <c r="C419" s="889"/>
      <c r="D419" s="888"/>
      <c r="E419" s="886">
        <v>1054857.8199999996</v>
      </c>
      <c r="F419" s="889"/>
      <c r="G419" s="888"/>
      <c r="H419" s="886">
        <v>59178.759999999987</v>
      </c>
      <c r="I419" s="889"/>
      <c r="J419" s="888"/>
      <c r="K419" s="886">
        <v>83258.900000000009</v>
      </c>
      <c r="L419" s="889"/>
      <c r="M419" s="888"/>
      <c r="N419" s="886">
        <v>83280.58</v>
      </c>
      <c r="O419" s="889"/>
      <c r="P419" s="888"/>
      <c r="Q419" s="886">
        <v>85242.319999999905</v>
      </c>
      <c r="R419" s="889"/>
      <c r="S419" s="888"/>
      <c r="T419" s="886">
        <v>104823.25</v>
      </c>
      <c r="U419" s="889"/>
      <c r="V419" s="888"/>
      <c r="W419" s="886">
        <v>95307.329999999987</v>
      </c>
      <c r="X419" s="889"/>
      <c r="Y419" s="888"/>
      <c r="Z419" s="886">
        <v>87185.4399999999</v>
      </c>
      <c r="AA419" s="889"/>
      <c r="AB419" s="888"/>
      <c r="AC419" s="886">
        <v>80281.080000000016</v>
      </c>
      <c r="AD419" s="889"/>
      <c r="AE419" s="888"/>
      <c r="AF419" s="886">
        <v>100251.99</v>
      </c>
      <c r="AG419" s="889"/>
      <c r="AH419" s="888"/>
      <c r="AI419" s="886">
        <v>109604.2999999999</v>
      </c>
      <c r="AJ419" s="889"/>
      <c r="AK419" s="888"/>
      <c r="AL419" s="886">
        <v>91032.56</v>
      </c>
      <c r="AM419" s="889"/>
      <c r="AN419" s="888"/>
      <c r="AO419" s="886">
        <v>75411.309999999896</v>
      </c>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6"/>
        <v>[...]</v>
      </c>
      <c r="B420" s="44" t="s">
        <v>59</v>
      </c>
      <c r="C420" s="889"/>
      <c r="D420" s="888"/>
      <c r="E420" s="886">
        <v>1054857.8199999996</v>
      </c>
      <c r="F420" s="889"/>
      <c r="G420" s="888"/>
      <c r="H420" s="886">
        <v>59178.759999999987</v>
      </c>
      <c r="I420" s="889"/>
      <c r="J420" s="888"/>
      <c r="K420" s="886">
        <v>83258.900000000009</v>
      </c>
      <c r="L420" s="889"/>
      <c r="M420" s="888"/>
      <c r="N420" s="886">
        <v>83280.58</v>
      </c>
      <c r="O420" s="889"/>
      <c r="P420" s="888"/>
      <c r="Q420" s="886">
        <v>85242.319999999905</v>
      </c>
      <c r="R420" s="889"/>
      <c r="S420" s="888"/>
      <c r="T420" s="886">
        <v>104823.25</v>
      </c>
      <c r="U420" s="889"/>
      <c r="V420" s="888"/>
      <c r="W420" s="886">
        <v>95307.329999999987</v>
      </c>
      <c r="X420" s="889"/>
      <c r="Y420" s="888"/>
      <c r="Z420" s="886">
        <v>87185.4399999999</v>
      </c>
      <c r="AA420" s="889"/>
      <c r="AB420" s="888"/>
      <c r="AC420" s="886">
        <v>80281.080000000016</v>
      </c>
      <c r="AD420" s="889"/>
      <c r="AE420" s="888"/>
      <c r="AF420" s="886">
        <v>100251.99</v>
      </c>
      <c r="AG420" s="889"/>
      <c r="AH420" s="888"/>
      <c r="AI420" s="886">
        <v>109604.2999999999</v>
      </c>
      <c r="AJ420" s="889"/>
      <c r="AK420" s="888"/>
      <c r="AL420" s="886">
        <v>91032.56</v>
      </c>
      <c r="AM420" s="889"/>
      <c r="AN420" s="888"/>
      <c r="AO420" s="886">
        <v>75411.309999999896</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6"/>
        <v>[...]</v>
      </c>
      <c r="B421" s="43" t="s">
        <v>59</v>
      </c>
      <c r="C421" s="889"/>
      <c r="D421" s="888"/>
      <c r="E421" s="886">
        <v>1536102.5099999998</v>
      </c>
      <c r="F421" s="889">
        <v>2.2690776991104174E-2</v>
      </c>
      <c r="G421" s="888"/>
      <c r="H421" s="886">
        <v>95753.689999999988</v>
      </c>
      <c r="I421" s="889">
        <v>1.9994763577058091E-2</v>
      </c>
      <c r="J421" s="888"/>
      <c r="K421" s="886">
        <v>117350.16000000002</v>
      </c>
      <c r="L421" s="889">
        <v>2.5304574718797788E-2</v>
      </c>
      <c r="M421" s="888"/>
      <c r="N421" s="886">
        <v>155169.59</v>
      </c>
      <c r="O421" s="889">
        <v>2.2962610020939387E-2</v>
      </c>
      <c r="P421" s="888"/>
      <c r="Q421" s="886">
        <v>135231.04999999999</v>
      </c>
      <c r="R421" s="889">
        <v>2.309987957171182E-2</v>
      </c>
      <c r="S421" s="888"/>
      <c r="T421" s="886">
        <v>150965.21999999997</v>
      </c>
      <c r="U421" s="889">
        <v>2.534984459150123E-2</v>
      </c>
      <c r="V421" s="888"/>
      <c r="W421" s="886">
        <v>101489.41999999988</v>
      </c>
      <c r="X421" s="889">
        <v>2.1693987227544346E-2</v>
      </c>
      <c r="Y421" s="888"/>
      <c r="Z421" s="886">
        <v>144307.46</v>
      </c>
      <c r="AA421" s="889">
        <v>2.2116642024164468E-2</v>
      </c>
      <c r="AB421" s="888"/>
      <c r="AC421" s="886">
        <v>142995.36000000002</v>
      </c>
      <c r="AD421" s="889">
        <v>2.9384755035817618E-2</v>
      </c>
      <c r="AE421" s="888"/>
      <c r="AF421" s="886">
        <v>127123.55999999988</v>
      </c>
      <c r="AG421" s="889">
        <v>2.887289746748822E-2</v>
      </c>
      <c r="AH421" s="888"/>
      <c r="AI421" s="886">
        <v>137342.37</v>
      </c>
      <c r="AJ421" s="889">
        <v>3.1445373868776313E-2</v>
      </c>
      <c r="AK421" s="888"/>
      <c r="AL421" s="886">
        <v>132641.60000000001</v>
      </c>
      <c r="AM421" s="889">
        <v>2.5952012801568447E-2</v>
      </c>
      <c r="AN421" s="888"/>
      <c r="AO421" s="886">
        <v>95733.029999999912</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6"/>
        <v>TOTAL VARIABLES</v>
      </c>
      <c r="B422" s="70" t="s">
        <v>118</v>
      </c>
      <c r="C422" s="893">
        <v>0.26311240199750696</v>
      </c>
      <c r="D422" s="894">
        <v>1874.1186793462193</v>
      </c>
      <c r="E422" s="895">
        <v>1902199.9</v>
      </c>
      <c r="F422" s="893"/>
      <c r="G422" s="896"/>
      <c r="H422" s="895">
        <v>124746.68</v>
      </c>
      <c r="I422" s="893"/>
      <c r="J422" s="896"/>
      <c r="K422" s="895">
        <v>156184.04999999999</v>
      </c>
      <c r="L422" s="893"/>
      <c r="M422" s="896"/>
      <c r="N422" s="895">
        <v>198319.26</v>
      </c>
      <c r="O422" s="893"/>
      <c r="P422" s="896"/>
      <c r="Q422" s="895">
        <v>178605.72999999899</v>
      </c>
      <c r="R422" s="893"/>
      <c r="S422" s="896"/>
      <c r="T422" s="895">
        <v>202801.649999999</v>
      </c>
      <c r="U422" s="893"/>
      <c r="V422" s="896"/>
      <c r="W422" s="895">
        <v>148701</v>
      </c>
      <c r="X422" s="893"/>
      <c r="Y422" s="896"/>
      <c r="Z422" s="895">
        <v>193339.25999999899</v>
      </c>
      <c r="AA422" s="893"/>
      <c r="AB422" s="896"/>
      <c r="AC422" s="895">
        <v>179751.54</v>
      </c>
      <c r="AD422" s="893"/>
      <c r="AE422" s="896"/>
      <c r="AF422" s="895">
        <v>160253.76999999999</v>
      </c>
      <c r="AG422" s="893"/>
      <c r="AH422" s="896"/>
      <c r="AI422" s="895">
        <v>167077.62</v>
      </c>
      <c r="AJ422" s="893"/>
      <c r="AK422" s="896"/>
      <c r="AL422" s="895">
        <v>97800.6</v>
      </c>
      <c r="AM422" s="893"/>
      <c r="AN422" s="896"/>
      <c r="AO422" s="895">
        <v>94618.74</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6"/>
        <v>Salaires propriétaire</v>
      </c>
      <c r="B423" s="54" t="s">
        <v>204</v>
      </c>
      <c r="C423" s="889"/>
      <c r="D423" s="888"/>
      <c r="E423" s="886">
        <v>187237.77999999988</v>
      </c>
      <c r="F423" s="889"/>
      <c r="G423" s="888"/>
      <c r="H423" s="897">
        <v>13279.16</v>
      </c>
      <c r="I423" s="889"/>
      <c r="J423" s="888"/>
      <c r="K423" s="897">
        <v>18048.38</v>
      </c>
      <c r="L423" s="889"/>
      <c r="M423" s="888"/>
      <c r="N423" s="897">
        <v>16471.45</v>
      </c>
      <c r="O423" s="889"/>
      <c r="P423" s="888"/>
      <c r="Q423" s="897">
        <v>14884.91</v>
      </c>
      <c r="R423" s="889"/>
      <c r="S423" s="888"/>
      <c r="T423" s="897">
        <v>18548.37</v>
      </c>
      <c r="U423" s="889"/>
      <c r="V423" s="888"/>
      <c r="W423" s="897">
        <v>15663.76</v>
      </c>
      <c r="X423" s="889"/>
      <c r="Y423" s="888"/>
      <c r="Z423" s="897">
        <v>15663.77</v>
      </c>
      <c r="AA423" s="889"/>
      <c r="AB423" s="888"/>
      <c r="AC423" s="897">
        <v>13875.31</v>
      </c>
      <c r="AD423" s="889"/>
      <c r="AE423" s="888"/>
      <c r="AF423" s="897">
        <v>15144.54</v>
      </c>
      <c r="AG423" s="889"/>
      <c r="AH423" s="888"/>
      <c r="AI423" s="897">
        <v>15663.77</v>
      </c>
      <c r="AJ423" s="889"/>
      <c r="AK423" s="888"/>
      <c r="AL423" s="897">
        <v>18548.379999999899</v>
      </c>
      <c r="AM423" s="889"/>
      <c r="AN423" s="888"/>
      <c r="AO423" s="897">
        <v>11445.98</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6"/>
        <v>Salaires cadres</v>
      </c>
      <c r="B424" s="54" t="s">
        <v>120</v>
      </c>
      <c r="C424" s="889"/>
      <c r="D424" s="888"/>
      <c r="E424" s="886">
        <v>611283.19999999984</v>
      </c>
      <c r="F424" s="889"/>
      <c r="G424" s="888"/>
      <c r="H424" s="886">
        <v>48979.11</v>
      </c>
      <c r="I424" s="889"/>
      <c r="J424" s="888"/>
      <c r="K424" s="886">
        <v>57197.599999999999</v>
      </c>
      <c r="L424" s="889"/>
      <c r="M424" s="888"/>
      <c r="N424" s="886">
        <v>59565.27</v>
      </c>
      <c r="O424" s="889"/>
      <c r="P424" s="888"/>
      <c r="Q424" s="886">
        <v>39822.400000000001</v>
      </c>
      <c r="R424" s="889"/>
      <c r="S424" s="888"/>
      <c r="T424" s="886">
        <v>43996.639999999999</v>
      </c>
      <c r="U424" s="889"/>
      <c r="V424" s="888"/>
      <c r="W424" s="886">
        <v>52828.59</v>
      </c>
      <c r="X424" s="889"/>
      <c r="Y424" s="888"/>
      <c r="Z424" s="886">
        <v>49132.22</v>
      </c>
      <c r="AA424" s="889"/>
      <c r="AB424" s="888"/>
      <c r="AC424" s="886">
        <v>51795.89</v>
      </c>
      <c r="AD424" s="889"/>
      <c r="AE424" s="888"/>
      <c r="AF424" s="886">
        <v>49140.14</v>
      </c>
      <c r="AG424" s="889"/>
      <c r="AH424" s="888"/>
      <c r="AI424" s="886">
        <v>40554.18</v>
      </c>
      <c r="AJ424" s="889"/>
      <c r="AK424" s="888"/>
      <c r="AL424" s="886">
        <v>62349.029999999897</v>
      </c>
      <c r="AM424" s="889"/>
      <c r="AN424" s="888"/>
      <c r="AO424" s="886">
        <v>55922.13</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6"/>
        <v>Salaires commis</v>
      </c>
      <c r="B425" s="55" t="s">
        <v>121</v>
      </c>
      <c r="C425" s="892"/>
      <c r="D425" s="891"/>
      <c r="E425" s="880">
        <v>569519.33999999962</v>
      </c>
      <c r="F425" s="892"/>
      <c r="G425" s="891"/>
      <c r="H425" s="880">
        <v>40623.769999999997</v>
      </c>
      <c r="I425" s="892"/>
      <c r="J425" s="891"/>
      <c r="K425" s="880">
        <v>43825.0099999999</v>
      </c>
      <c r="L425" s="892"/>
      <c r="M425" s="891"/>
      <c r="N425" s="880">
        <v>52347.41</v>
      </c>
      <c r="O425" s="892"/>
      <c r="P425" s="891"/>
      <c r="Q425" s="880">
        <v>44942.65</v>
      </c>
      <c r="R425" s="892"/>
      <c r="S425" s="891"/>
      <c r="T425" s="880">
        <v>52421.8999999999</v>
      </c>
      <c r="U425" s="892"/>
      <c r="V425" s="891"/>
      <c r="W425" s="880">
        <v>40340.3999999999</v>
      </c>
      <c r="X425" s="892"/>
      <c r="Y425" s="891"/>
      <c r="Z425" s="880">
        <v>43942.53</v>
      </c>
      <c r="AA425" s="892"/>
      <c r="AB425" s="891"/>
      <c r="AC425" s="880">
        <v>49307.78</v>
      </c>
      <c r="AD425" s="892"/>
      <c r="AE425" s="891"/>
      <c r="AF425" s="880">
        <v>45500.27</v>
      </c>
      <c r="AG425" s="892"/>
      <c r="AH425" s="891"/>
      <c r="AI425" s="880">
        <v>46590.48</v>
      </c>
      <c r="AJ425" s="892"/>
      <c r="AK425" s="891"/>
      <c r="AL425" s="880">
        <v>64124.239999999903</v>
      </c>
      <c r="AM425" s="892"/>
      <c r="AN425" s="891"/>
      <c r="AO425" s="880">
        <v>45552.9</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6"/>
        <v>Salaires autres</v>
      </c>
      <c r="B426" s="54" t="s">
        <v>122</v>
      </c>
      <c r="C426" s="889"/>
      <c r="D426" s="888"/>
      <c r="E426" s="886">
        <v>339631.84</v>
      </c>
      <c r="F426" s="889"/>
      <c r="G426" s="888"/>
      <c r="H426" s="886">
        <v>26828.1</v>
      </c>
      <c r="I426" s="889"/>
      <c r="J426" s="888"/>
      <c r="K426" s="886">
        <v>27362.47</v>
      </c>
      <c r="L426" s="889"/>
      <c r="M426" s="888"/>
      <c r="N426" s="886">
        <v>22523.51</v>
      </c>
      <c r="O426" s="889"/>
      <c r="P426" s="888"/>
      <c r="Q426" s="886">
        <v>32259.46</v>
      </c>
      <c r="R426" s="889"/>
      <c r="S426" s="888"/>
      <c r="T426" s="886">
        <v>33599.85</v>
      </c>
      <c r="U426" s="889"/>
      <c r="V426" s="888"/>
      <c r="W426" s="886">
        <v>25752.15</v>
      </c>
      <c r="X426" s="889"/>
      <c r="Y426" s="888"/>
      <c r="Z426" s="886">
        <v>21717.47</v>
      </c>
      <c r="AA426" s="889"/>
      <c r="AB426" s="888"/>
      <c r="AC426" s="886">
        <v>28541</v>
      </c>
      <c r="AD426" s="889"/>
      <c r="AE426" s="888"/>
      <c r="AF426" s="886">
        <v>23355.3</v>
      </c>
      <c r="AG426" s="889"/>
      <c r="AH426" s="888"/>
      <c r="AI426" s="886">
        <v>25086.19</v>
      </c>
      <c r="AJ426" s="889"/>
      <c r="AK426" s="888"/>
      <c r="AL426" s="886">
        <v>51665.94</v>
      </c>
      <c r="AM426" s="889"/>
      <c r="AN426" s="888"/>
      <c r="AO426" s="886">
        <v>20940.400000000001</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6"/>
        <v>Salaires spécialistes</v>
      </c>
      <c r="B427" s="54" t="s">
        <v>123</v>
      </c>
      <c r="C427" s="889"/>
      <c r="D427" s="888"/>
      <c r="E427" s="886">
        <v>347460.79000000004</v>
      </c>
      <c r="F427" s="889"/>
      <c r="G427" s="888"/>
      <c r="H427" s="886">
        <v>23791.11</v>
      </c>
      <c r="I427" s="889"/>
      <c r="J427" s="888"/>
      <c r="K427" s="886">
        <v>19491.41</v>
      </c>
      <c r="L427" s="889"/>
      <c r="M427" s="888"/>
      <c r="N427" s="886">
        <v>20859.560000000001</v>
      </c>
      <c r="O427" s="889"/>
      <c r="P427" s="888"/>
      <c r="Q427" s="886">
        <v>43948.92</v>
      </c>
      <c r="R427" s="889"/>
      <c r="S427" s="888"/>
      <c r="T427" s="886">
        <v>37414.44</v>
      </c>
      <c r="U427" s="889"/>
      <c r="V427" s="888"/>
      <c r="W427" s="886">
        <v>26139.54</v>
      </c>
      <c r="X427" s="889"/>
      <c r="Y427" s="888"/>
      <c r="Z427" s="886">
        <v>25122.77</v>
      </c>
      <c r="AA427" s="889"/>
      <c r="AB427" s="888"/>
      <c r="AC427" s="886">
        <v>32163.66</v>
      </c>
      <c r="AD427" s="889"/>
      <c r="AE427" s="888"/>
      <c r="AF427" s="886">
        <v>29269.82</v>
      </c>
      <c r="AG427" s="889"/>
      <c r="AH427" s="888"/>
      <c r="AI427" s="886">
        <v>29317.81</v>
      </c>
      <c r="AJ427" s="889"/>
      <c r="AK427" s="888"/>
      <c r="AL427" s="886">
        <v>39319.25</v>
      </c>
      <c r="AM427" s="889"/>
      <c r="AN427" s="888"/>
      <c r="AO427" s="886">
        <v>20622.5</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6"/>
        <v>[...]</v>
      </c>
      <c r="B428" s="44" t="s">
        <v>59</v>
      </c>
      <c r="C428" s="889"/>
      <c r="D428" s="888"/>
      <c r="E428" s="886">
        <v>0</v>
      </c>
      <c r="F428" s="889"/>
      <c r="G428" s="888"/>
      <c r="H428" s="886">
        <v>0</v>
      </c>
      <c r="I428" s="889"/>
      <c r="J428" s="888"/>
      <c r="K428" s="886">
        <v>0</v>
      </c>
      <c r="L428" s="889"/>
      <c r="M428" s="888"/>
      <c r="N428" s="886">
        <v>0</v>
      </c>
      <c r="O428" s="889"/>
      <c r="P428" s="888"/>
      <c r="Q428" s="886">
        <v>0</v>
      </c>
      <c r="R428" s="889"/>
      <c r="S428" s="888"/>
      <c r="T428" s="886">
        <v>0</v>
      </c>
      <c r="U428" s="889"/>
      <c r="V428" s="888"/>
      <c r="W428" s="886">
        <v>0</v>
      </c>
      <c r="X428" s="889"/>
      <c r="Y428" s="888"/>
      <c r="Z428" s="886">
        <v>0</v>
      </c>
      <c r="AA428" s="889"/>
      <c r="AB428" s="888"/>
      <c r="AC428" s="886">
        <v>0</v>
      </c>
      <c r="AD428" s="889"/>
      <c r="AE428" s="888"/>
      <c r="AF428" s="886">
        <v>0</v>
      </c>
      <c r="AG428" s="889"/>
      <c r="AH428" s="888"/>
      <c r="AI428" s="886">
        <v>0</v>
      </c>
      <c r="AJ428" s="889"/>
      <c r="AK428" s="888"/>
      <c r="AL428" s="886">
        <v>0</v>
      </c>
      <c r="AM428" s="889"/>
      <c r="AN428" s="888"/>
      <c r="AO428" s="886">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6"/>
        <v>[...]</v>
      </c>
      <c r="B429" s="44" t="s">
        <v>59</v>
      </c>
      <c r="C429" s="889"/>
      <c r="D429" s="888"/>
      <c r="E429" s="886">
        <v>0</v>
      </c>
      <c r="F429" s="889"/>
      <c r="G429" s="888"/>
      <c r="H429" s="886">
        <v>0</v>
      </c>
      <c r="I429" s="889"/>
      <c r="J429" s="888"/>
      <c r="K429" s="886">
        <v>0</v>
      </c>
      <c r="L429" s="889"/>
      <c r="M429" s="888"/>
      <c r="N429" s="886">
        <v>0</v>
      </c>
      <c r="O429" s="889"/>
      <c r="P429" s="888"/>
      <c r="Q429" s="886">
        <v>0</v>
      </c>
      <c r="R429" s="889"/>
      <c r="S429" s="888"/>
      <c r="T429" s="886">
        <v>0</v>
      </c>
      <c r="U429" s="889"/>
      <c r="V429" s="888"/>
      <c r="W429" s="886">
        <v>0</v>
      </c>
      <c r="X429" s="889"/>
      <c r="Y429" s="888"/>
      <c r="Z429" s="886">
        <v>0</v>
      </c>
      <c r="AA429" s="889"/>
      <c r="AB429" s="888"/>
      <c r="AC429" s="886">
        <v>0</v>
      </c>
      <c r="AD429" s="889"/>
      <c r="AE429" s="888"/>
      <c r="AF429" s="886">
        <v>0</v>
      </c>
      <c r="AG429" s="889"/>
      <c r="AH429" s="888"/>
      <c r="AI429" s="886">
        <v>0</v>
      </c>
      <c r="AJ429" s="889"/>
      <c r="AK429" s="888"/>
      <c r="AL429" s="886">
        <v>0</v>
      </c>
      <c r="AM429" s="889"/>
      <c r="AN429" s="888"/>
      <c r="AO429" s="886">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6"/>
        <v>[...]</v>
      </c>
      <c r="B430" s="44" t="s">
        <v>59</v>
      </c>
      <c r="C430" s="889"/>
      <c r="D430" s="888"/>
      <c r="E430" s="886">
        <v>0</v>
      </c>
      <c r="F430" s="889"/>
      <c r="G430" s="888">
        <v>0</v>
      </c>
      <c r="H430" s="886">
        <v>0</v>
      </c>
      <c r="I430" s="889"/>
      <c r="J430" s="888">
        <v>0</v>
      </c>
      <c r="K430" s="886">
        <v>0</v>
      </c>
      <c r="L430" s="889"/>
      <c r="M430" s="888">
        <v>0</v>
      </c>
      <c r="N430" s="886">
        <v>0</v>
      </c>
      <c r="O430" s="889"/>
      <c r="P430" s="888">
        <v>0</v>
      </c>
      <c r="Q430" s="886">
        <v>0</v>
      </c>
      <c r="R430" s="889"/>
      <c r="S430" s="888">
        <v>0</v>
      </c>
      <c r="T430" s="886">
        <v>0</v>
      </c>
      <c r="U430" s="889"/>
      <c r="V430" s="888">
        <v>0</v>
      </c>
      <c r="W430" s="886">
        <v>0</v>
      </c>
      <c r="X430" s="889"/>
      <c r="Y430" s="888">
        <v>0</v>
      </c>
      <c r="Z430" s="886">
        <v>0</v>
      </c>
      <c r="AA430" s="889"/>
      <c r="AB430" s="888">
        <v>0</v>
      </c>
      <c r="AC430" s="886">
        <v>0</v>
      </c>
      <c r="AD430" s="889"/>
      <c r="AE430" s="888">
        <v>0</v>
      </c>
      <c r="AF430" s="886">
        <v>0</v>
      </c>
      <c r="AG430" s="889"/>
      <c r="AH430" s="888">
        <v>0</v>
      </c>
      <c r="AI430" s="886">
        <v>0</v>
      </c>
      <c r="AJ430" s="889"/>
      <c r="AK430" s="888">
        <v>0</v>
      </c>
      <c r="AL430" s="886">
        <v>0</v>
      </c>
      <c r="AM430" s="889"/>
      <c r="AN430" s="888">
        <v>0</v>
      </c>
      <c r="AO430" s="886">
        <v>0</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6"/>
        <v>Salaires en absences</v>
      </c>
      <c r="B431" s="55" t="s">
        <v>124</v>
      </c>
      <c r="C431" s="892"/>
      <c r="D431" s="898">
        <v>0.1123011330339406</v>
      </c>
      <c r="E431" s="880">
        <v>456964.49999999988</v>
      </c>
      <c r="F431" s="892"/>
      <c r="G431" s="898">
        <v>0.11738073062283352</v>
      </c>
      <c r="H431" s="880">
        <v>34767.42</v>
      </c>
      <c r="I431" s="892"/>
      <c r="J431" s="898">
        <v>9.4776449886306388E-2</v>
      </c>
      <c r="K431" s="880">
        <v>34268.229999999901</v>
      </c>
      <c r="L431" s="892"/>
      <c r="M431" s="898">
        <v>8.165278744580487E-2</v>
      </c>
      <c r="N431" s="880">
        <v>34930.980000000003</v>
      </c>
      <c r="O431" s="892"/>
      <c r="P431" s="898">
        <v>0.11497193892037333</v>
      </c>
      <c r="Q431" s="880">
        <v>42780.74</v>
      </c>
      <c r="R431" s="892"/>
      <c r="S431" s="898">
        <v>0.13599469842477427</v>
      </c>
      <c r="T431" s="880">
        <v>55516.55</v>
      </c>
      <c r="U431" s="892"/>
      <c r="V431" s="898">
        <v>0.10914413459575742</v>
      </c>
      <c r="W431" s="880">
        <v>35589.440000000002</v>
      </c>
      <c r="X431" s="892"/>
      <c r="Y431" s="898">
        <v>9.4593606563009941E-2</v>
      </c>
      <c r="Z431" s="880">
        <v>37441.89</v>
      </c>
      <c r="AA431" s="892"/>
      <c r="AB431" s="898">
        <v>9.3821042320053796E-2</v>
      </c>
      <c r="AC431" s="880">
        <v>37628.219999999899</v>
      </c>
      <c r="AD431" s="892"/>
      <c r="AE431" s="898">
        <v>0.10775363102481338</v>
      </c>
      <c r="AF431" s="880">
        <v>36946.69</v>
      </c>
      <c r="AG431" s="892"/>
      <c r="AH431" s="898">
        <v>0.11879584818962539</v>
      </c>
      <c r="AI431" s="880">
        <v>41409.339999999997</v>
      </c>
      <c r="AJ431" s="892"/>
      <c r="AK431" s="898">
        <v>8.9664652935794203E-2</v>
      </c>
      <c r="AL431" s="880">
        <v>30858.44</v>
      </c>
      <c r="AM431" s="892"/>
      <c r="AN431" s="898">
        <v>0.13114271608367287</v>
      </c>
      <c r="AO431" s="880">
        <v>34826.559999999998</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6"/>
        <v>Déduction à la source</v>
      </c>
      <c r="B432" s="54" t="s">
        <v>125</v>
      </c>
      <c r="C432" s="889"/>
      <c r="D432" s="899">
        <v>0.15182162263296148</v>
      </c>
      <c r="E432" s="886">
        <v>617777.30999999947</v>
      </c>
      <c r="F432" s="889"/>
      <c r="G432" s="899">
        <v>0.18118130105381414</v>
      </c>
      <c r="H432" s="886">
        <v>53664.74</v>
      </c>
      <c r="I432" s="889"/>
      <c r="J432" s="899">
        <v>0.14307593924524073</v>
      </c>
      <c r="K432" s="886">
        <v>51731.83</v>
      </c>
      <c r="L432" s="889"/>
      <c r="M432" s="899">
        <v>0.13317481184329119</v>
      </c>
      <c r="N432" s="886">
        <v>56972.05</v>
      </c>
      <c r="O432" s="889"/>
      <c r="P432" s="899">
        <v>0.14939173290809002</v>
      </c>
      <c r="Q432" s="886">
        <v>55588.25</v>
      </c>
      <c r="R432" s="889"/>
      <c r="S432" s="899">
        <v>0.14382090560460398</v>
      </c>
      <c r="T432" s="886">
        <v>58711.41</v>
      </c>
      <c r="U432" s="889"/>
      <c r="V432" s="899">
        <v>0.1435855237332577</v>
      </c>
      <c r="W432" s="886">
        <v>46819.999999999898</v>
      </c>
      <c r="X432" s="889"/>
      <c r="Y432" s="899">
        <v>0.1142982994221593</v>
      </c>
      <c r="Z432" s="886">
        <v>45241.369999999901</v>
      </c>
      <c r="AA432" s="889"/>
      <c r="AB432" s="899">
        <v>0.13438219898003251</v>
      </c>
      <c r="AC432" s="886">
        <v>53895.83</v>
      </c>
      <c r="AD432" s="889"/>
      <c r="AE432" s="899">
        <v>0.14071400131754103</v>
      </c>
      <c r="AF432" s="886">
        <v>48248.18</v>
      </c>
      <c r="AG432" s="889"/>
      <c r="AH432" s="899">
        <v>0.15713010934642135</v>
      </c>
      <c r="AI432" s="886">
        <v>54771.729999999901</v>
      </c>
      <c r="AJ432" s="889"/>
      <c r="AK432" s="899">
        <v>0.14969480223818454</v>
      </c>
      <c r="AL432" s="886">
        <v>51518.049999999901</v>
      </c>
      <c r="AM432" s="889"/>
      <c r="AN432" s="899">
        <v>0.15293538099855933</v>
      </c>
      <c r="AO432" s="886">
        <v>40613.869999999901</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6"/>
        <v>Bénéfices marginaux</v>
      </c>
      <c r="B433" s="54" t="s">
        <v>126</v>
      </c>
      <c r="C433" s="889"/>
      <c r="D433" s="899">
        <v>5.9005773080552958E-2</v>
      </c>
      <c r="E433" s="886">
        <v>240100.36999999976</v>
      </c>
      <c r="F433" s="889"/>
      <c r="G433" s="899">
        <v>6.7862947337921795E-2</v>
      </c>
      <c r="H433" s="886">
        <v>20100.57</v>
      </c>
      <c r="I433" s="889"/>
      <c r="J433" s="899">
        <v>5.757060947474929E-2</v>
      </c>
      <c r="K433" s="886">
        <v>20815.75</v>
      </c>
      <c r="L433" s="889"/>
      <c r="M433" s="899">
        <v>5.1632029332280331E-2</v>
      </c>
      <c r="N433" s="886">
        <v>22088.129999999899</v>
      </c>
      <c r="O433" s="889"/>
      <c r="P433" s="899">
        <v>5.6091925220728076E-2</v>
      </c>
      <c r="Q433" s="886">
        <v>20871.650000000001</v>
      </c>
      <c r="R433" s="889"/>
      <c r="S433" s="899">
        <v>6.2939058438829035E-2</v>
      </c>
      <c r="T433" s="886">
        <v>25693.35</v>
      </c>
      <c r="U433" s="889"/>
      <c r="V433" s="899">
        <v>5.9506723310879792E-2</v>
      </c>
      <c r="W433" s="886">
        <v>19403.8</v>
      </c>
      <c r="X433" s="889"/>
      <c r="Y433" s="899">
        <v>5.2480935701827026E-2</v>
      </c>
      <c r="Z433" s="886">
        <v>20772.919999999998</v>
      </c>
      <c r="AA433" s="889"/>
      <c r="AB433" s="899">
        <v>6.3966961263216604E-2</v>
      </c>
      <c r="AC433" s="886">
        <v>25654.83</v>
      </c>
      <c r="AD433" s="889"/>
      <c r="AE433" s="899">
        <v>6.6497091878713888E-2</v>
      </c>
      <c r="AF433" s="886">
        <v>22800.6</v>
      </c>
      <c r="AG433" s="889"/>
      <c r="AH433" s="899">
        <v>7.0514248485228373E-2</v>
      </c>
      <c r="AI433" s="886">
        <v>24579.55</v>
      </c>
      <c r="AJ433" s="889"/>
      <c r="AK433" s="899">
        <v>4.7205915725493774E-3</v>
      </c>
      <c r="AL433" s="886">
        <v>1624.61</v>
      </c>
      <c r="AM433" s="889"/>
      <c r="AN433" s="899">
        <v>5.9099543086482277E-2</v>
      </c>
      <c r="AO433" s="886">
        <v>15694.609999999901</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6"/>
        <v>Csst</v>
      </c>
      <c r="B434" s="54" t="s">
        <v>127</v>
      </c>
      <c r="C434" s="889"/>
      <c r="D434" s="899">
        <v>2.6335349212534883E-2</v>
      </c>
      <c r="E434" s="886">
        <v>107161.15999999999</v>
      </c>
      <c r="F434" s="889"/>
      <c r="G434" s="899"/>
      <c r="H434" s="886">
        <v>8050.6699999999992</v>
      </c>
      <c r="I434" s="889"/>
      <c r="J434" s="899"/>
      <c r="K434" s="886">
        <v>8165.579999999999</v>
      </c>
      <c r="L434" s="889"/>
      <c r="M434" s="899"/>
      <c r="N434" s="886">
        <v>9927.369999999999</v>
      </c>
      <c r="O434" s="889"/>
      <c r="P434" s="899"/>
      <c r="Q434" s="886">
        <v>10619.84</v>
      </c>
      <c r="R434" s="889"/>
      <c r="S434" s="899"/>
      <c r="T434" s="886">
        <v>10441.59</v>
      </c>
      <c r="U434" s="889"/>
      <c r="V434" s="899"/>
      <c r="W434" s="886">
        <v>7407.93</v>
      </c>
      <c r="X434" s="889"/>
      <c r="Y434" s="899"/>
      <c r="Z434" s="886">
        <v>7524.12</v>
      </c>
      <c r="AA434" s="889"/>
      <c r="AB434" s="899"/>
      <c r="AC434" s="886">
        <v>11755.279999999999</v>
      </c>
      <c r="AD434" s="889"/>
      <c r="AE434" s="899"/>
      <c r="AF434" s="886">
        <v>7864.39</v>
      </c>
      <c r="AG434" s="889"/>
      <c r="AH434" s="899"/>
      <c r="AI434" s="886">
        <v>5884.51</v>
      </c>
      <c r="AJ434" s="889"/>
      <c r="AK434" s="899"/>
      <c r="AL434" s="886">
        <v>8487.58</v>
      </c>
      <c r="AM434" s="889"/>
      <c r="AN434" s="899"/>
      <c r="AO434" s="886">
        <v>11032.3</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c r="B435" s="44"/>
      <c r="C435" s="889"/>
      <c r="D435" s="888"/>
      <c r="E435" s="886"/>
      <c r="F435" s="889"/>
      <c r="G435" s="888"/>
      <c r="H435" s="886"/>
      <c r="I435" s="889"/>
      <c r="J435" s="888"/>
      <c r="K435" s="886"/>
      <c r="L435" s="889"/>
      <c r="M435" s="888"/>
      <c r="N435" s="886"/>
      <c r="O435" s="889"/>
      <c r="P435" s="888"/>
      <c r="Q435" s="886"/>
      <c r="R435" s="889"/>
      <c r="S435" s="888"/>
      <c r="T435" s="886"/>
      <c r="U435" s="889"/>
      <c r="V435" s="888"/>
      <c r="W435" s="886"/>
      <c r="X435" s="889"/>
      <c r="Y435" s="888"/>
      <c r="Z435" s="886"/>
      <c r="AA435" s="889"/>
      <c r="AB435" s="888"/>
      <c r="AC435" s="886"/>
      <c r="AD435" s="889"/>
      <c r="AE435" s="888"/>
      <c r="AF435" s="886"/>
      <c r="AG435" s="889"/>
      <c r="AH435" s="888"/>
      <c r="AI435" s="886"/>
      <c r="AJ435" s="889"/>
      <c r="AK435" s="888"/>
      <c r="AL435" s="886"/>
      <c r="AM435" s="889"/>
      <c r="AN435" s="888"/>
      <c r="AO435" s="886"/>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6"/>
        <v>TOTAL PERSONNEL</v>
      </c>
      <c r="B436" s="70" t="s">
        <v>128</v>
      </c>
      <c r="C436" s="893">
        <v>0.48095769605213395</v>
      </c>
      <c r="D436" s="900"/>
      <c r="E436" s="895">
        <v>3477136.2899999986</v>
      </c>
      <c r="F436" s="893"/>
      <c r="G436" s="900"/>
      <c r="H436" s="895">
        <v>270084.64999999898</v>
      </c>
      <c r="I436" s="893"/>
      <c r="J436" s="900"/>
      <c r="K436" s="895">
        <v>280906.26</v>
      </c>
      <c r="L436" s="893"/>
      <c r="M436" s="900"/>
      <c r="N436" s="895">
        <v>295685.73</v>
      </c>
      <c r="O436" s="893"/>
      <c r="P436" s="900"/>
      <c r="Q436" s="895">
        <v>305718.82</v>
      </c>
      <c r="R436" s="893"/>
      <c r="S436" s="900"/>
      <c r="T436" s="895">
        <v>336344.1</v>
      </c>
      <c r="U436" s="893"/>
      <c r="V436" s="900"/>
      <c r="W436" s="895">
        <v>269945.61</v>
      </c>
      <c r="X436" s="893"/>
      <c r="Y436" s="900"/>
      <c r="Z436" s="895">
        <v>266559.06</v>
      </c>
      <c r="AA436" s="893"/>
      <c r="AB436" s="900"/>
      <c r="AC436" s="895">
        <v>304617.8</v>
      </c>
      <c r="AD436" s="893"/>
      <c r="AE436" s="900"/>
      <c r="AF436" s="895">
        <v>278269.93</v>
      </c>
      <c r="AG436" s="893"/>
      <c r="AH436" s="900"/>
      <c r="AI436" s="895">
        <v>283857.56</v>
      </c>
      <c r="AJ436" s="893"/>
      <c r="AK436" s="900"/>
      <c r="AL436" s="895">
        <v>328495.51999999897</v>
      </c>
      <c r="AM436" s="893"/>
      <c r="AN436" s="900"/>
      <c r="AO436" s="895">
        <v>256651.24999999901</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6"/>
        <v>Publicité 2</v>
      </c>
      <c r="B437" s="63" t="s">
        <v>129</v>
      </c>
      <c r="C437" s="901"/>
      <c r="D437" s="902"/>
      <c r="E437" s="903">
        <v>184727.43999999992</v>
      </c>
      <c r="F437" s="901"/>
      <c r="G437" s="902"/>
      <c r="H437" s="903">
        <v>16759.11</v>
      </c>
      <c r="I437" s="901"/>
      <c r="J437" s="902"/>
      <c r="K437" s="903">
        <v>17676.28</v>
      </c>
      <c r="L437" s="901"/>
      <c r="M437" s="902"/>
      <c r="N437" s="903">
        <v>17021.64</v>
      </c>
      <c r="O437" s="901"/>
      <c r="P437" s="902"/>
      <c r="Q437" s="903">
        <v>15551.54</v>
      </c>
      <c r="R437" s="901"/>
      <c r="S437" s="902"/>
      <c r="T437" s="903">
        <v>16013.77</v>
      </c>
      <c r="U437" s="901"/>
      <c r="V437" s="902"/>
      <c r="W437" s="903">
        <v>14517.59</v>
      </c>
      <c r="X437" s="901"/>
      <c r="Y437" s="902"/>
      <c r="Z437" s="903">
        <v>13920.66</v>
      </c>
      <c r="AA437" s="901"/>
      <c r="AB437" s="902"/>
      <c r="AC437" s="903">
        <v>13400.82</v>
      </c>
      <c r="AD437" s="901"/>
      <c r="AE437" s="902"/>
      <c r="AF437" s="903">
        <v>12561.539999999901</v>
      </c>
      <c r="AG437" s="901"/>
      <c r="AH437" s="902"/>
      <c r="AI437" s="903">
        <v>15405.01</v>
      </c>
      <c r="AJ437" s="901"/>
      <c r="AK437" s="902"/>
      <c r="AL437" s="903">
        <v>16041.85</v>
      </c>
      <c r="AM437" s="901"/>
      <c r="AN437" s="902"/>
      <c r="AO437" s="903">
        <v>15857.63</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6"/>
        <v>Service gratuit 2</v>
      </c>
      <c r="B438" s="54" t="s">
        <v>130</v>
      </c>
      <c r="C438" s="889"/>
      <c r="D438" s="888"/>
      <c r="E438" s="886">
        <v>74078.119999999981</v>
      </c>
      <c r="F438" s="889"/>
      <c r="G438" s="888"/>
      <c r="H438" s="886">
        <v>-2619.91</v>
      </c>
      <c r="I438" s="889"/>
      <c r="J438" s="888"/>
      <c r="K438" s="886">
        <v>3288.27</v>
      </c>
      <c r="L438" s="889"/>
      <c r="M438" s="888"/>
      <c r="N438" s="886">
        <v>895.45</v>
      </c>
      <c r="O438" s="889"/>
      <c r="P438" s="888"/>
      <c r="Q438" s="886">
        <v>3957.41</v>
      </c>
      <c r="R438" s="889"/>
      <c r="S438" s="888"/>
      <c r="T438" s="886">
        <v>6870.41</v>
      </c>
      <c r="U438" s="889"/>
      <c r="V438" s="888"/>
      <c r="W438" s="886">
        <v>6353.59</v>
      </c>
      <c r="X438" s="889"/>
      <c r="Y438" s="888"/>
      <c r="Z438" s="886">
        <v>6479.70999999999</v>
      </c>
      <c r="AA438" s="889"/>
      <c r="AB438" s="888"/>
      <c r="AC438" s="886">
        <v>4493.88</v>
      </c>
      <c r="AD438" s="889"/>
      <c r="AE438" s="888"/>
      <c r="AF438" s="886">
        <v>6673.85</v>
      </c>
      <c r="AG438" s="889"/>
      <c r="AH438" s="888"/>
      <c r="AI438" s="886">
        <v>12189.38</v>
      </c>
      <c r="AJ438" s="889"/>
      <c r="AK438" s="888"/>
      <c r="AL438" s="886">
        <v>9244.6799999999894</v>
      </c>
      <c r="AM438" s="889"/>
      <c r="AN438" s="888"/>
      <c r="AO438" s="886">
        <v>16251.4</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6"/>
        <v>Frais véhicules de cie</v>
      </c>
      <c r="B439" s="55" t="s">
        <v>131</v>
      </c>
      <c r="C439" s="892"/>
      <c r="D439" s="891"/>
      <c r="E439" s="880">
        <v>278853.1299999996</v>
      </c>
      <c r="F439" s="892"/>
      <c r="G439" s="891"/>
      <c r="H439" s="880">
        <v>19209.72</v>
      </c>
      <c r="I439" s="892"/>
      <c r="J439" s="891"/>
      <c r="K439" s="880">
        <v>17688.3999999999</v>
      </c>
      <c r="L439" s="892"/>
      <c r="M439" s="891"/>
      <c r="N439" s="880">
        <v>19342.02</v>
      </c>
      <c r="O439" s="892"/>
      <c r="P439" s="891"/>
      <c r="Q439" s="880">
        <v>26786.48</v>
      </c>
      <c r="R439" s="892"/>
      <c r="S439" s="891"/>
      <c r="T439" s="880">
        <v>22664.019999999899</v>
      </c>
      <c r="U439" s="892"/>
      <c r="V439" s="891"/>
      <c r="W439" s="880">
        <v>22511.9</v>
      </c>
      <c r="X439" s="892"/>
      <c r="Y439" s="891"/>
      <c r="Z439" s="880">
        <v>26599.97</v>
      </c>
      <c r="AA439" s="892"/>
      <c r="AB439" s="891"/>
      <c r="AC439" s="880">
        <v>26004.389999999901</v>
      </c>
      <c r="AD439" s="892"/>
      <c r="AE439" s="891"/>
      <c r="AF439" s="880">
        <v>17512.330000000002</v>
      </c>
      <c r="AG439" s="892"/>
      <c r="AH439" s="891"/>
      <c r="AI439" s="880">
        <v>20642.87</v>
      </c>
      <c r="AJ439" s="892"/>
      <c r="AK439" s="891"/>
      <c r="AL439" s="880">
        <v>31171.79</v>
      </c>
      <c r="AM439" s="892"/>
      <c r="AN439" s="891"/>
      <c r="AO439" s="880">
        <v>28719.2399999999</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6"/>
        <v>Informatique</v>
      </c>
      <c r="B440" s="54" t="s">
        <v>132</v>
      </c>
      <c r="C440" s="889"/>
      <c r="D440" s="888"/>
      <c r="E440" s="886">
        <v>268902.5499999997</v>
      </c>
      <c r="F440" s="889"/>
      <c r="G440" s="888"/>
      <c r="H440" s="886">
        <v>20331.73</v>
      </c>
      <c r="I440" s="889"/>
      <c r="J440" s="888"/>
      <c r="K440" s="886">
        <v>21884.6499999999</v>
      </c>
      <c r="L440" s="889"/>
      <c r="M440" s="888"/>
      <c r="N440" s="886">
        <v>21562.63</v>
      </c>
      <c r="O440" s="889"/>
      <c r="P440" s="888"/>
      <c r="Q440" s="886">
        <v>22793.11</v>
      </c>
      <c r="R440" s="889"/>
      <c r="S440" s="888"/>
      <c r="T440" s="886">
        <v>22579.48</v>
      </c>
      <c r="U440" s="889"/>
      <c r="V440" s="888"/>
      <c r="W440" s="886">
        <v>21215.53</v>
      </c>
      <c r="X440" s="889"/>
      <c r="Y440" s="888"/>
      <c r="Z440" s="886">
        <v>17673.09</v>
      </c>
      <c r="AA440" s="889"/>
      <c r="AB440" s="888"/>
      <c r="AC440" s="886">
        <v>26430.91</v>
      </c>
      <c r="AD440" s="889"/>
      <c r="AE440" s="888"/>
      <c r="AF440" s="886">
        <v>26753.58</v>
      </c>
      <c r="AG440" s="889"/>
      <c r="AH440" s="888"/>
      <c r="AI440" s="886">
        <v>22270.73</v>
      </c>
      <c r="AJ440" s="889"/>
      <c r="AK440" s="888"/>
      <c r="AL440" s="886">
        <v>20276.379999999899</v>
      </c>
      <c r="AM440" s="889"/>
      <c r="AN440" s="888"/>
      <c r="AO440" s="886">
        <v>25130.729999999901</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6"/>
        <v>Frais de déplacement</v>
      </c>
      <c r="B441" s="54" t="s">
        <v>133</v>
      </c>
      <c r="C441" s="889"/>
      <c r="D441" s="888"/>
      <c r="E441" s="886">
        <v>54107.670000000006</v>
      </c>
      <c r="F441" s="889"/>
      <c r="G441" s="888"/>
      <c r="H441" s="886">
        <v>3173.5</v>
      </c>
      <c r="I441" s="889"/>
      <c r="J441" s="888"/>
      <c r="K441" s="886">
        <v>1268.96</v>
      </c>
      <c r="L441" s="889"/>
      <c r="M441" s="888"/>
      <c r="N441" s="886">
        <v>3103.79</v>
      </c>
      <c r="O441" s="889"/>
      <c r="P441" s="888"/>
      <c r="Q441" s="886">
        <v>7708.47</v>
      </c>
      <c r="R441" s="889"/>
      <c r="S441" s="888"/>
      <c r="T441" s="886">
        <v>2910.03</v>
      </c>
      <c r="U441" s="889"/>
      <c r="V441" s="888"/>
      <c r="W441" s="886">
        <v>4364.88</v>
      </c>
      <c r="X441" s="889"/>
      <c r="Y441" s="888"/>
      <c r="Z441" s="886">
        <v>5104.3599999999997</v>
      </c>
      <c r="AA441" s="889"/>
      <c r="AB441" s="888"/>
      <c r="AC441" s="886">
        <v>3954.67</v>
      </c>
      <c r="AD441" s="889"/>
      <c r="AE441" s="888"/>
      <c r="AF441" s="886">
        <v>6229.24</v>
      </c>
      <c r="AG441" s="889"/>
      <c r="AH441" s="888"/>
      <c r="AI441" s="886">
        <v>5287.25</v>
      </c>
      <c r="AJ441" s="889"/>
      <c r="AK441" s="888"/>
      <c r="AL441" s="886">
        <v>7234.8</v>
      </c>
      <c r="AM441" s="889"/>
      <c r="AN441" s="888"/>
      <c r="AO441" s="886">
        <v>3767.72</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6"/>
        <v>Services extérieurs</v>
      </c>
      <c r="B442" s="54" t="s">
        <v>134</v>
      </c>
      <c r="C442" s="904"/>
      <c r="D442" s="905"/>
      <c r="E442" s="906">
        <v>409895.26999999979</v>
      </c>
      <c r="F442" s="904"/>
      <c r="G442" s="905"/>
      <c r="H442" s="906">
        <v>39217.94</v>
      </c>
      <c r="I442" s="904"/>
      <c r="J442" s="905"/>
      <c r="K442" s="906">
        <v>32381.999999999902</v>
      </c>
      <c r="L442" s="904"/>
      <c r="M442" s="905"/>
      <c r="N442" s="906">
        <v>26042.879999999899</v>
      </c>
      <c r="O442" s="904"/>
      <c r="P442" s="905"/>
      <c r="Q442" s="906">
        <v>31322.5</v>
      </c>
      <c r="R442" s="904"/>
      <c r="S442" s="905"/>
      <c r="T442" s="906">
        <v>32122.880000000001</v>
      </c>
      <c r="U442" s="904"/>
      <c r="V442" s="905"/>
      <c r="W442" s="906">
        <v>29035.8</v>
      </c>
      <c r="X442" s="904"/>
      <c r="Y442" s="905"/>
      <c r="Z442" s="906">
        <v>31737.46</v>
      </c>
      <c r="AA442" s="904"/>
      <c r="AB442" s="905"/>
      <c r="AC442" s="906">
        <v>35276</v>
      </c>
      <c r="AD442" s="904"/>
      <c r="AE442" s="905"/>
      <c r="AF442" s="906">
        <v>37356.06</v>
      </c>
      <c r="AG442" s="904"/>
      <c r="AH442" s="905"/>
      <c r="AI442" s="906">
        <v>41642.44</v>
      </c>
      <c r="AJ442" s="904"/>
      <c r="AK442" s="905"/>
      <c r="AL442" s="906">
        <v>36937.01</v>
      </c>
      <c r="AM442" s="904"/>
      <c r="AN442" s="905"/>
      <c r="AO442" s="906">
        <v>36822.300000000003</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54" t="s">
        <v>490</v>
      </c>
      <c r="C443" s="907"/>
      <c r="D443" s="908"/>
      <c r="E443" s="886">
        <v>0</v>
      </c>
      <c r="F443" s="889"/>
      <c r="G443" s="888"/>
      <c r="H443" s="886">
        <v>0</v>
      </c>
      <c r="I443" s="889"/>
      <c r="J443" s="888"/>
      <c r="K443" s="886">
        <v>0</v>
      </c>
      <c r="L443" s="889"/>
      <c r="M443" s="888"/>
      <c r="N443" s="886">
        <v>0</v>
      </c>
      <c r="O443" s="889"/>
      <c r="P443" s="888"/>
      <c r="Q443" s="886">
        <v>0</v>
      </c>
      <c r="R443" s="889"/>
      <c r="S443" s="888"/>
      <c r="T443" s="886">
        <v>0</v>
      </c>
      <c r="U443" s="889"/>
      <c r="V443" s="888"/>
      <c r="W443" s="886">
        <v>0</v>
      </c>
      <c r="X443" s="889"/>
      <c r="Y443" s="888"/>
      <c r="Z443" s="886">
        <v>0</v>
      </c>
      <c r="AA443" s="889"/>
      <c r="AB443" s="888"/>
      <c r="AC443" s="886">
        <v>0</v>
      </c>
      <c r="AD443" s="889"/>
      <c r="AE443" s="888"/>
      <c r="AF443" s="886">
        <v>0</v>
      </c>
      <c r="AG443" s="889"/>
      <c r="AH443" s="888"/>
      <c r="AI443" s="886">
        <v>0</v>
      </c>
      <c r="AJ443" s="889"/>
      <c r="AK443" s="888"/>
      <c r="AL443" s="886">
        <v>0</v>
      </c>
      <c r="AM443" s="889"/>
      <c r="AN443" s="888"/>
      <c r="AO443" s="886">
        <v>0</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7">B444</f>
        <v>Fournitures autres</v>
      </c>
      <c r="B444" s="63" t="s">
        <v>135</v>
      </c>
      <c r="C444" s="889"/>
      <c r="D444" s="888"/>
      <c r="E444" s="886">
        <v>61597.399999999958</v>
      </c>
      <c r="F444" s="889"/>
      <c r="G444" s="888"/>
      <c r="H444" s="886">
        <v>7192.02</v>
      </c>
      <c r="I444" s="889"/>
      <c r="J444" s="888"/>
      <c r="K444" s="886">
        <v>6925.84</v>
      </c>
      <c r="L444" s="889"/>
      <c r="M444" s="888"/>
      <c r="N444" s="886">
        <v>4035.3699999999899</v>
      </c>
      <c r="O444" s="889"/>
      <c r="P444" s="888"/>
      <c r="Q444" s="886">
        <v>4652.8900000000003</v>
      </c>
      <c r="R444" s="889"/>
      <c r="S444" s="888"/>
      <c r="T444" s="886">
        <v>1656.44</v>
      </c>
      <c r="U444" s="889"/>
      <c r="V444" s="888"/>
      <c r="W444" s="886">
        <v>2791.05</v>
      </c>
      <c r="X444" s="889"/>
      <c r="Y444" s="888"/>
      <c r="Z444" s="886">
        <v>3621.82</v>
      </c>
      <c r="AA444" s="889"/>
      <c r="AB444" s="888"/>
      <c r="AC444" s="886">
        <v>5399.2</v>
      </c>
      <c r="AD444" s="889"/>
      <c r="AE444" s="888"/>
      <c r="AF444" s="886">
        <v>4068.2599999999902</v>
      </c>
      <c r="AG444" s="889"/>
      <c r="AH444" s="888"/>
      <c r="AI444" s="886">
        <v>6914.34</v>
      </c>
      <c r="AJ444" s="889"/>
      <c r="AK444" s="888"/>
      <c r="AL444" s="886">
        <v>4505.9299999999903</v>
      </c>
      <c r="AM444" s="889"/>
      <c r="AN444" s="888"/>
      <c r="AO444" s="886">
        <v>9834.24</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7"/>
        <v>Uniformes</v>
      </c>
      <c r="B445" s="54" t="s">
        <v>136</v>
      </c>
      <c r="C445" s="889"/>
      <c r="D445" s="888"/>
      <c r="E445" s="886">
        <v>15645.359999999991</v>
      </c>
      <c r="F445" s="889"/>
      <c r="G445" s="888"/>
      <c r="H445" s="886">
        <v>1327.56</v>
      </c>
      <c r="I445" s="889"/>
      <c r="J445" s="888"/>
      <c r="K445" s="886">
        <v>786.75</v>
      </c>
      <c r="L445" s="889"/>
      <c r="M445" s="888"/>
      <c r="N445" s="886">
        <v>858.19</v>
      </c>
      <c r="O445" s="889"/>
      <c r="P445" s="888"/>
      <c r="Q445" s="886">
        <v>893.35</v>
      </c>
      <c r="R445" s="889"/>
      <c r="S445" s="888"/>
      <c r="T445" s="886">
        <v>1556.43</v>
      </c>
      <c r="U445" s="889"/>
      <c r="V445" s="888"/>
      <c r="W445" s="886">
        <v>1811.25</v>
      </c>
      <c r="X445" s="889"/>
      <c r="Y445" s="888"/>
      <c r="Z445" s="886">
        <v>1654</v>
      </c>
      <c r="AA445" s="889"/>
      <c r="AB445" s="888"/>
      <c r="AC445" s="886">
        <v>583.12</v>
      </c>
      <c r="AD445" s="889"/>
      <c r="AE445" s="888"/>
      <c r="AF445" s="886">
        <v>798.78</v>
      </c>
      <c r="AG445" s="889"/>
      <c r="AH445" s="888"/>
      <c r="AI445" s="886">
        <v>3130.8199999999902</v>
      </c>
      <c r="AJ445" s="889"/>
      <c r="AK445" s="888"/>
      <c r="AL445" s="886">
        <v>1200.28</v>
      </c>
      <c r="AM445" s="889"/>
      <c r="AN445" s="888"/>
      <c r="AO445" s="886">
        <v>1044.83</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7"/>
        <v>Papeterie</v>
      </c>
      <c r="B446" s="54" t="s">
        <v>137</v>
      </c>
      <c r="C446" s="889"/>
      <c r="D446" s="888"/>
      <c r="E446" s="886">
        <v>35578.489999999969</v>
      </c>
      <c r="F446" s="889"/>
      <c r="G446" s="888"/>
      <c r="H446" s="886">
        <v>1328.81</v>
      </c>
      <c r="I446" s="889"/>
      <c r="J446" s="888"/>
      <c r="K446" s="886">
        <v>4208.28</v>
      </c>
      <c r="L446" s="889"/>
      <c r="M446" s="888"/>
      <c r="N446" s="886">
        <v>1313.78</v>
      </c>
      <c r="O446" s="889"/>
      <c r="P446" s="888"/>
      <c r="Q446" s="886">
        <v>1384.85</v>
      </c>
      <c r="R446" s="889"/>
      <c r="S446" s="888"/>
      <c r="T446" s="886">
        <v>3223.6699999999901</v>
      </c>
      <c r="U446" s="889"/>
      <c r="V446" s="888"/>
      <c r="W446" s="886">
        <v>1450.33</v>
      </c>
      <c r="X446" s="889"/>
      <c r="Y446" s="888"/>
      <c r="Z446" s="886">
        <v>1541.95999999999</v>
      </c>
      <c r="AA446" s="889"/>
      <c r="AB446" s="888"/>
      <c r="AC446" s="886">
        <v>7677.95</v>
      </c>
      <c r="AD446" s="889"/>
      <c r="AE446" s="888"/>
      <c r="AF446" s="886">
        <v>2156.9699999999998</v>
      </c>
      <c r="AG446" s="889"/>
      <c r="AH446" s="888"/>
      <c r="AI446" s="886">
        <v>1565.73999999999</v>
      </c>
      <c r="AJ446" s="889"/>
      <c r="AK446" s="888"/>
      <c r="AL446" s="886">
        <v>4314.07</v>
      </c>
      <c r="AM446" s="889"/>
      <c r="AN446" s="888"/>
      <c r="AO446" s="886">
        <v>5412.08</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7"/>
        <v>Téléphone</v>
      </c>
      <c r="B447" s="54" t="s">
        <v>138</v>
      </c>
      <c r="C447" s="889"/>
      <c r="D447" s="888"/>
      <c r="E447" s="886">
        <v>8789.1999999999953</v>
      </c>
      <c r="F447" s="889"/>
      <c r="G447" s="888"/>
      <c r="H447" s="886">
        <v>772.76999999999896</v>
      </c>
      <c r="I447" s="889"/>
      <c r="J447" s="888"/>
      <c r="K447" s="886">
        <v>547.28</v>
      </c>
      <c r="L447" s="889"/>
      <c r="M447" s="888"/>
      <c r="N447" s="886">
        <v>640.21</v>
      </c>
      <c r="O447" s="889"/>
      <c r="P447" s="888"/>
      <c r="Q447" s="886">
        <v>797.78</v>
      </c>
      <c r="R447" s="889"/>
      <c r="S447" s="888"/>
      <c r="T447" s="886">
        <v>621.94000000000005</v>
      </c>
      <c r="U447" s="889"/>
      <c r="V447" s="888"/>
      <c r="W447" s="886">
        <v>610.55999999999995</v>
      </c>
      <c r="X447" s="889"/>
      <c r="Y447" s="888"/>
      <c r="Z447" s="886">
        <v>623.20000000000005</v>
      </c>
      <c r="AA447" s="889"/>
      <c r="AB447" s="888"/>
      <c r="AC447" s="886">
        <v>917.099999999999</v>
      </c>
      <c r="AD447" s="889"/>
      <c r="AE447" s="888"/>
      <c r="AF447" s="886">
        <v>686.729999999999</v>
      </c>
      <c r="AG447" s="889"/>
      <c r="AH447" s="888"/>
      <c r="AI447" s="886">
        <v>1132.3599999999999</v>
      </c>
      <c r="AJ447" s="889"/>
      <c r="AK447" s="888"/>
      <c r="AL447" s="886">
        <v>750.08999999999901</v>
      </c>
      <c r="AM447" s="889"/>
      <c r="AN447" s="888"/>
      <c r="AO447" s="886">
        <v>689.18</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7"/>
        <v>Frais postaux</v>
      </c>
      <c r="B448" s="54" t="s">
        <v>139</v>
      </c>
      <c r="C448" s="889"/>
      <c r="D448" s="888"/>
      <c r="E448" s="886">
        <v>557.96999999999889</v>
      </c>
      <c r="F448" s="889"/>
      <c r="G448" s="888"/>
      <c r="H448" s="886">
        <v>59.52</v>
      </c>
      <c r="I448" s="889"/>
      <c r="J448" s="888"/>
      <c r="K448" s="886">
        <v>730.92</v>
      </c>
      <c r="L448" s="889"/>
      <c r="M448" s="888"/>
      <c r="N448" s="886">
        <v>535.47</v>
      </c>
      <c r="O448" s="889"/>
      <c r="P448" s="888"/>
      <c r="Q448" s="886">
        <v>-27.62</v>
      </c>
      <c r="R448" s="889"/>
      <c r="S448" s="888"/>
      <c r="T448" s="886">
        <v>-212.039999999999</v>
      </c>
      <c r="U448" s="889"/>
      <c r="V448" s="888"/>
      <c r="W448" s="886">
        <v>102.99999999999901</v>
      </c>
      <c r="X448" s="889"/>
      <c r="Y448" s="888"/>
      <c r="Z448" s="886">
        <v>102.99999999999901</v>
      </c>
      <c r="AA448" s="889"/>
      <c r="AB448" s="888"/>
      <c r="AC448" s="886">
        <v>-374.16</v>
      </c>
      <c r="AD448" s="889"/>
      <c r="AE448" s="888"/>
      <c r="AF448" s="886">
        <v>-92.09</v>
      </c>
      <c r="AG448" s="889"/>
      <c r="AH448" s="888"/>
      <c r="AI448" s="886">
        <v>73.19</v>
      </c>
      <c r="AJ448" s="889"/>
      <c r="AK448" s="888"/>
      <c r="AL448" s="886">
        <v>-54.58</v>
      </c>
      <c r="AM448" s="889"/>
      <c r="AN448" s="888"/>
      <c r="AO448" s="886">
        <v>-286.64</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7"/>
        <v>Divers</v>
      </c>
      <c r="B449" s="54" t="s">
        <v>140</v>
      </c>
      <c r="C449" s="889"/>
      <c r="D449" s="888"/>
      <c r="E449" s="886">
        <v>6768.0999999999995</v>
      </c>
      <c r="F449" s="889"/>
      <c r="G449" s="888"/>
      <c r="H449" s="886">
        <v>322.69</v>
      </c>
      <c r="I449" s="889"/>
      <c r="J449" s="888"/>
      <c r="K449" s="886">
        <v>642.70000000000005</v>
      </c>
      <c r="L449" s="889"/>
      <c r="M449" s="888"/>
      <c r="N449" s="886">
        <v>799.93</v>
      </c>
      <c r="O449" s="889"/>
      <c r="P449" s="888"/>
      <c r="Q449" s="886">
        <v>631.05999999999995</v>
      </c>
      <c r="R449" s="889"/>
      <c r="S449" s="888"/>
      <c r="T449" s="886">
        <v>329.1</v>
      </c>
      <c r="U449" s="889"/>
      <c r="V449" s="888"/>
      <c r="W449" s="886">
        <v>386.75</v>
      </c>
      <c r="X449" s="889"/>
      <c r="Y449" s="888"/>
      <c r="Z449" s="886">
        <v>589.04</v>
      </c>
      <c r="AA449" s="889"/>
      <c r="AB449" s="888"/>
      <c r="AC449" s="886">
        <v>163.98</v>
      </c>
      <c r="AD449" s="889"/>
      <c r="AE449" s="888"/>
      <c r="AF449" s="886">
        <v>475.02</v>
      </c>
      <c r="AG449" s="889"/>
      <c r="AH449" s="888"/>
      <c r="AI449" s="886">
        <v>732.69999999999902</v>
      </c>
      <c r="AJ449" s="889"/>
      <c r="AK449" s="888"/>
      <c r="AL449" s="886">
        <v>1396.28</v>
      </c>
      <c r="AM449" s="889"/>
      <c r="AN449" s="888"/>
      <c r="AO449" s="886">
        <v>298.85000000000002</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7"/>
        <v>Formation</v>
      </c>
      <c r="B450" s="54" t="s">
        <v>141</v>
      </c>
      <c r="C450" s="889"/>
      <c r="D450" s="888"/>
      <c r="E450" s="886">
        <v>51205.879999999976</v>
      </c>
      <c r="F450" s="889"/>
      <c r="G450" s="888"/>
      <c r="H450" s="886">
        <v>5266.9</v>
      </c>
      <c r="I450" s="889"/>
      <c r="J450" s="888"/>
      <c r="K450" s="886">
        <v>5281.3899999999903</v>
      </c>
      <c r="L450" s="889"/>
      <c r="M450" s="888"/>
      <c r="N450" s="886">
        <v>5210.92</v>
      </c>
      <c r="O450" s="889"/>
      <c r="P450" s="888"/>
      <c r="Q450" s="886">
        <v>2402.5699999999902</v>
      </c>
      <c r="R450" s="889"/>
      <c r="S450" s="888"/>
      <c r="T450" s="886">
        <v>2278.56</v>
      </c>
      <c r="U450" s="889"/>
      <c r="V450" s="888"/>
      <c r="W450" s="886">
        <v>4618.51</v>
      </c>
      <c r="X450" s="889"/>
      <c r="Y450" s="888"/>
      <c r="Z450" s="886">
        <v>6583.58</v>
      </c>
      <c r="AA450" s="889"/>
      <c r="AB450" s="888"/>
      <c r="AC450" s="886">
        <v>5711.08</v>
      </c>
      <c r="AD450" s="889"/>
      <c r="AE450" s="888"/>
      <c r="AF450" s="886">
        <v>4612.0599999999904</v>
      </c>
      <c r="AG450" s="889"/>
      <c r="AH450" s="888"/>
      <c r="AI450" s="886">
        <v>5551.54</v>
      </c>
      <c r="AJ450" s="889"/>
      <c r="AK450" s="888"/>
      <c r="AL450" s="886">
        <v>3108.06</v>
      </c>
      <c r="AM450" s="889"/>
      <c r="AN450" s="888"/>
      <c r="AO450" s="886">
        <v>580.71</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7"/>
        <v>Frais bancaires</v>
      </c>
      <c r="B451" s="54" t="s">
        <v>142</v>
      </c>
      <c r="C451" s="889"/>
      <c r="D451" s="888"/>
      <c r="E451" s="886">
        <v>105490.88999999977</v>
      </c>
      <c r="F451" s="889"/>
      <c r="G451" s="888"/>
      <c r="H451" s="886">
        <v>6862.04</v>
      </c>
      <c r="I451" s="889"/>
      <c r="J451" s="888"/>
      <c r="K451" s="886">
        <v>5432.78</v>
      </c>
      <c r="L451" s="889"/>
      <c r="M451" s="888"/>
      <c r="N451" s="886">
        <v>7157.2599999999902</v>
      </c>
      <c r="O451" s="889"/>
      <c r="P451" s="888"/>
      <c r="Q451" s="886">
        <v>9504.61</v>
      </c>
      <c r="R451" s="889"/>
      <c r="S451" s="888"/>
      <c r="T451" s="886">
        <v>10571.46</v>
      </c>
      <c r="U451" s="889"/>
      <c r="V451" s="888"/>
      <c r="W451" s="886">
        <v>7461.8099999999904</v>
      </c>
      <c r="X451" s="889"/>
      <c r="Y451" s="888"/>
      <c r="Z451" s="886">
        <v>8293.56</v>
      </c>
      <c r="AA451" s="889"/>
      <c r="AB451" s="888"/>
      <c r="AC451" s="886">
        <v>7961.99</v>
      </c>
      <c r="AD451" s="889"/>
      <c r="AE451" s="888"/>
      <c r="AF451" s="886">
        <v>7260.23</v>
      </c>
      <c r="AG451" s="889"/>
      <c r="AH451" s="888"/>
      <c r="AI451" s="886">
        <v>10659.9399999999</v>
      </c>
      <c r="AJ451" s="889"/>
      <c r="AK451" s="888"/>
      <c r="AL451" s="886">
        <v>15108.859999999901</v>
      </c>
      <c r="AM451" s="889"/>
      <c r="AN451" s="888"/>
      <c r="AO451" s="886">
        <v>9216.3499999999894</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7"/>
        <v>[...]</v>
      </c>
      <c r="B452" s="54" t="s">
        <v>59</v>
      </c>
      <c r="C452" s="889"/>
      <c r="D452" s="888"/>
      <c r="E452" s="886">
        <v>0</v>
      </c>
      <c r="F452" s="889"/>
      <c r="G452" s="888"/>
      <c r="H452" s="886"/>
      <c r="I452" s="889"/>
      <c r="J452" s="888"/>
      <c r="K452" s="886"/>
      <c r="L452" s="889"/>
      <c r="M452" s="888"/>
      <c r="N452" s="886"/>
      <c r="O452" s="889"/>
      <c r="P452" s="888"/>
      <c r="Q452" s="886"/>
      <c r="R452" s="889"/>
      <c r="S452" s="888"/>
      <c r="T452" s="886"/>
      <c r="U452" s="889"/>
      <c r="V452" s="888"/>
      <c r="W452" s="886"/>
      <c r="X452" s="889"/>
      <c r="Y452" s="888"/>
      <c r="Z452" s="886"/>
      <c r="AA452" s="889"/>
      <c r="AB452" s="888"/>
      <c r="AC452" s="886"/>
      <c r="AD452" s="889"/>
      <c r="AE452" s="888"/>
      <c r="AF452" s="886"/>
      <c r="AG452" s="889"/>
      <c r="AH452" s="888"/>
      <c r="AI452" s="886"/>
      <c r="AJ452" s="889"/>
      <c r="AK452" s="888"/>
      <c r="AL452" s="886"/>
      <c r="AM452" s="889"/>
      <c r="AN452" s="888"/>
      <c r="AO452" s="886"/>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7"/>
        <v>[...]</v>
      </c>
      <c r="B453" s="54" t="s">
        <v>59</v>
      </c>
      <c r="C453" s="889"/>
      <c r="D453" s="888"/>
      <c r="E453" s="886">
        <v>0</v>
      </c>
      <c r="F453" s="889"/>
      <c r="G453" s="888"/>
      <c r="H453" s="886"/>
      <c r="I453" s="889"/>
      <c r="J453" s="888"/>
      <c r="K453" s="886"/>
      <c r="L453" s="889"/>
      <c r="M453" s="888"/>
      <c r="N453" s="886"/>
      <c r="O453" s="889"/>
      <c r="P453" s="888"/>
      <c r="Q453" s="886"/>
      <c r="R453" s="889"/>
      <c r="S453" s="888"/>
      <c r="T453" s="886"/>
      <c r="U453" s="889"/>
      <c r="V453" s="888"/>
      <c r="W453" s="886"/>
      <c r="X453" s="889"/>
      <c r="Y453" s="888"/>
      <c r="Z453" s="886"/>
      <c r="AA453" s="889"/>
      <c r="AB453" s="888"/>
      <c r="AC453" s="886"/>
      <c r="AD453" s="889"/>
      <c r="AE453" s="888"/>
      <c r="AF453" s="886"/>
      <c r="AG453" s="889"/>
      <c r="AH453" s="888"/>
      <c r="AI453" s="886"/>
      <c r="AJ453" s="889"/>
      <c r="AK453" s="888"/>
      <c r="AL453" s="886"/>
      <c r="AM453" s="889"/>
      <c r="AN453" s="888"/>
      <c r="AO453" s="886"/>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f t="shared" si="7"/>
        <v>0</v>
      </c>
      <c r="B454" s="54"/>
      <c r="C454" s="889"/>
      <c r="D454" s="888"/>
      <c r="E454" s="886"/>
      <c r="F454" s="889"/>
      <c r="G454" s="888"/>
      <c r="H454" s="886"/>
      <c r="I454" s="889"/>
      <c r="J454" s="888"/>
      <c r="K454" s="886"/>
      <c r="L454" s="889"/>
      <c r="M454" s="888"/>
      <c r="N454" s="886"/>
      <c r="O454" s="889"/>
      <c r="P454" s="888"/>
      <c r="Q454" s="886"/>
      <c r="R454" s="889"/>
      <c r="S454" s="888"/>
      <c r="T454" s="886"/>
      <c r="U454" s="889"/>
      <c r="V454" s="888"/>
      <c r="W454" s="886"/>
      <c r="X454" s="889"/>
      <c r="Y454" s="888"/>
      <c r="Z454" s="886"/>
      <c r="AA454" s="889"/>
      <c r="AB454" s="888"/>
      <c r="AC454" s="886"/>
      <c r="AD454" s="889"/>
      <c r="AE454" s="888"/>
      <c r="AF454" s="886"/>
      <c r="AG454" s="889"/>
      <c r="AH454" s="888"/>
      <c r="AI454" s="886"/>
      <c r="AJ454" s="889"/>
      <c r="AK454" s="888"/>
      <c r="AL454" s="886"/>
      <c r="AM454" s="889"/>
      <c r="AN454" s="888"/>
      <c r="AO454" s="886"/>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7"/>
        <v>TOTAL SEMI-FIXES</v>
      </c>
      <c r="B455" s="70" t="s">
        <v>143</v>
      </c>
      <c r="C455" s="893">
        <v>0.21525332553857401</v>
      </c>
      <c r="D455" s="896"/>
      <c r="E455" s="895">
        <v>1556197.4699999986</v>
      </c>
      <c r="F455" s="893"/>
      <c r="G455" s="896"/>
      <c r="H455" s="895">
        <v>119204.4</v>
      </c>
      <c r="I455" s="893"/>
      <c r="J455" s="896"/>
      <c r="K455" s="895">
        <v>118744.499999999</v>
      </c>
      <c r="L455" s="893"/>
      <c r="M455" s="896"/>
      <c r="N455" s="895">
        <v>108519.54</v>
      </c>
      <c r="O455" s="893"/>
      <c r="P455" s="896"/>
      <c r="Q455" s="895">
        <v>128359</v>
      </c>
      <c r="R455" s="893"/>
      <c r="S455" s="896"/>
      <c r="T455" s="895">
        <v>123186.15</v>
      </c>
      <c r="U455" s="893"/>
      <c r="V455" s="896"/>
      <c r="W455" s="895">
        <v>117232.55</v>
      </c>
      <c r="X455" s="893"/>
      <c r="Y455" s="896"/>
      <c r="Z455" s="895">
        <v>124525.41</v>
      </c>
      <c r="AA455" s="893"/>
      <c r="AB455" s="896"/>
      <c r="AC455" s="895">
        <v>137600.93</v>
      </c>
      <c r="AD455" s="893"/>
      <c r="AE455" s="896"/>
      <c r="AF455" s="895">
        <v>127052.56</v>
      </c>
      <c r="AG455" s="893"/>
      <c r="AH455" s="896"/>
      <c r="AI455" s="895">
        <v>147198.31</v>
      </c>
      <c r="AJ455" s="893"/>
      <c r="AK455" s="896"/>
      <c r="AL455" s="895">
        <v>151235.5</v>
      </c>
      <c r="AM455" s="893"/>
      <c r="AN455" s="896"/>
      <c r="AO455" s="895">
        <v>153338.61999999901</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7"/>
        <v>Loyer</v>
      </c>
      <c r="B456" s="54" t="s">
        <v>205</v>
      </c>
      <c r="C456" s="889"/>
      <c r="D456" s="888"/>
      <c r="E456" s="886">
        <v>432000</v>
      </c>
      <c r="F456" s="889"/>
      <c r="G456" s="888"/>
      <c r="H456" s="897">
        <v>36000</v>
      </c>
      <c r="I456" s="889"/>
      <c r="J456" s="888"/>
      <c r="K456" s="897">
        <v>36000</v>
      </c>
      <c r="L456" s="889"/>
      <c r="M456" s="888"/>
      <c r="N456" s="897">
        <v>36000</v>
      </c>
      <c r="O456" s="889"/>
      <c r="P456" s="888"/>
      <c r="Q456" s="897">
        <v>36000</v>
      </c>
      <c r="R456" s="889"/>
      <c r="S456" s="888"/>
      <c r="T456" s="897">
        <v>36000</v>
      </c>
      <c r="U456" s="889"/>
      <c r="V456" s="888"/>
      <c r="W456" s="897">
        <v>36000</v>
      </c>
      <c r="X456" s="889"/>
      <c r="Y456" s="888"/>
      <c r="Z456" s="897">
        <v>36000</v>
      </c>
      <c r="AA456" s="889"/>
      <c r="AB456" s="888"/>
      <c r="AC456" s="897">
        <v>36000</v>
      </c>
      <c r="AD456" s="889"/>
      <c r="AE456" s="888"/>
      <c r="AF456" s="897">
        <v>36000</v>
      </c>
      <c r="AG456" s="889"/>
      <c r="AH456" s="888"/>
      <c r="AI456" s="897">
        <v>36000</v>
      </c>
      <c r="AJ456" s="889"/>
      <c r="AK456" s="888"/>
      <c r="AL456" s="897">
        <v>36000</v>
      </c>
      <c r="AM456" s="889"/>
      <c r="AN456" s="888"/>
      <c r="AO456" s="897">
        <v>36000</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7"/>
        <v>Taxes foncières</v>
      </c>
      <c r="B457" s="54" t="s">
        <v>206</v>
      </c>
      <c r="C457" s="889"/>
      <c r="D457" s="888"/>
      <c r="E457" s="886">
        <v>62124</v>
      </c>
      <c r="F457" s="889"/>
      <c r="G457" s="888"/>
      <c r="H457" s="897">
        <v>5177</v>
      </c>
      <c r="I457" s="889"/>
      <c r="J457" s="888"/>
      <c r="K457" s="897">
        <v>5177</v>
      </c>
      <c r="L457" s="889"/>
      <c r="M457" s="888"/>
      <c r="N457" s="897">
        <v>5177</v>
      </c>
      <c r="O457" s="889"/>
      <c r="P457" s="888"/>
      <c r="Q457" s="897">
        <v>5177</v>
      </c>
      <c r="R457" s="889"/>
      <c r="S457" s="888"/>
      <c r="T457" s="897">
        <v>5177</v>
      </c>
      <c r="U457" s="889"/>
      <c r="V457" s="888"/>
      <c r="W457" s="897">
        <v>5177</v>
      </c>
      <c r="X457" s="889"/>
      <c r="Y457" s="888"/>
      <c r="Z457" s="897">
        <v>5177</v>
      </c>
      <c r="AA457" s="889"/>
      <c r="AB457" s="888"/>
      <c r="AC457" s="897">
        <v>5177</v>
      </c>
      <c r="AD457" s="889"/>
      <c r="AE457" s="888"/>
      <c r="AF457" s="897">
        <v>5177</v>
      </c>
      <c r="AG457" s="889"/>
      <c r="AH457" s="888"/>
      <c r="AI457" s="897">
        <v>5177</v>
      </c>
      <c r="AJ457" s="889"/>
      <c r="AK457" s="888"/>
      <c r="AL457" s="897">
        <v>5177</v>
      </c>
      <c r="AM457" s="889"/>
      <c r="AN457" s="888"/>
      <c r="AO457" s="897">
        <v>5177</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7"/>
        <v>Taxes d`affaires</v>
      </c>
      <c r="B458" s="55" t="s">
        <v>207</v>
      </c>
      <c r="C458" s="892"/>
      <c r="D458" s="891"/>
      <c r="E458" s="880">
        <v>41937.979999999996</v>
      </c>
      <c r="F458" s="892"/>
      <c r="G458" s="891"/>
      <c r="H458" s="909">
        <v>3445</v>
      </c>
      <c r="I458" s="892"/>
      <c r="J458" s="891"/>
      <c r="K458" s="909">
        <v>3445</v>
      </c>
      <c r="L458" s="892"/>
      <c r="M458" s="891"/>
      <c r="N458" s="909">
        <v>3445</v>
      </c>
      <c r="O458" s="892"/>
      <c r="P458" s="891"/>
      <c r="Q458" s="909">
        <v>3445</v>
      </c>
      <c r="R458" s="892"/>
      <c r="S458" s="891"/>
      <c r="T458" s="909">
        <v>3445</v>
      </c>
      <c r="U458" s="892"/>
      <c r="V458" s="891"/>
      <c r="W458" s="909">
        <v>3761.7</v>
      </c>
      <c r="X458" s="892"/>
      <c r="Y458" s="891"/>
      <c r="Z458" s="909">
        <v>3726.28</v>
      </c>
      <c r="AA458" s="892"/>
      <c r="AB458" s="891"/>
      <c r="AC458" s="909">
        <v>3445</v>
      </c>
      <c r="AD458" s="892"/>
      <c r="AE458" s="891"/>
      <c r="AF458" s="909">
        <v>3445</v>
      </c>
      <c r="AG458" s="892"/>
      <c r="AH458" s="891"/>
      <c r="AI458" s="909">
        <v>3445</v>
      </c>
      <c r="AJ458" s="892"/>
      <c r="AK458" s="891"/>
      <c r="AL458" s="909">
        <v>3445</v>
      </c>
      <c r="AM458" s="892"/>
      <c r="AN458" s="891"/>
      <c r="AO458" s="909">
        <v>3445</v>
      </c>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7"/>
        <v>Taxe sur le capital</v>
      </c>
      <c r="B459" s="54" t="s">
        <v>208</v>
      </c>
      <c r="C459" s="889"/>
      <c r="D459" s="888"/>
      <c r="E459" s="886">
        <v>0</v>
      </c>
      <c r="F459" s="889"/>
      <c r="G459" s="888"/>
      <c r="H459" s="897">
        <v>0</v>
      </c>
      <c r="I459" s="889"/>
      <c r="J459" s="888"/>
      <c r="K459" s="897">
        <v>0</v>
      </c>
      <c r="L459" s="889"/>
      <c r="M459" s="888"/>
      <c r="N459" s="897">
        <v>0</v>
      </c>
      <c r="O459" s="889"/>
      <c r="P459" s="888"/>
      <c r="Q459" s="897">
        <v>0</v>
      </c>
      <c r="R459" s="889"/>
      <c r="S459" s="888"/>
      <c r="T459" s="897">
        <v>0</v>
      </c>
      <c r="U459" s="889"/>
      <c r="V459" s="888"/>
      <c r="W459" s="897">
        <v>0</v>
      </c>
      <c r="X459" s="889"/>
      <c r="Y459" s="888"/>
      <c r="Z459" s="897">
        <v>0</v>
      </c>
      <c r="AA459" s="889"/>
      <c r="AB459" s="888"/>
      <c r="AC459" s="897">
        <v>0</v>
      </c>
      <c r="AD459" s="889"/>
      <c r="AE459" s="888"/>
      <c r="AF459" s="897">
        <v>0</v>
      </c>
      <c r="AG459" s="889"/>
      <c r="AH459" s="888"/>
      <c r="AI459" s="897">
        <v>0</v>
      </c>
      <c r="AJ459" s="889"/>
      <c r="AK459" s="888"/>
      <c r="AL459" s="897">
        <v>0</v>
      </c>
      <c r="AM459" s="889"/>
      <c r="AN459" s="888"/>
      <c r="AO459" s="897">
        <v>0</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7"/>
        <v>Assurances</v>
      </c>
      <c r="B460" s="55" t="s">
        <v>209</v>
      </c>
      <c r="C460" s="892"/>
      <c r="D460" s="891"/>
      <c r="E460" s="880">
        <v>46716.960000000014</v>
      </c>
      <c r="F460" s="892"/>
      <c r="G460" s="891"/>
      <c r="H460" s="909">
        <v>3893.08</v>
      </c>
      <c r="I460" s="892"/>
      <c r="J460" s="891"/>
      <c r="K460" s="909">
        <v>3893.08</v>
      </c>
      <c r="L460" s="892"/>
      <c r="M460" s="891"/>
      <c r="N460" s="909">
        <v>3893.08</v>
      </c>
      <c r="O460" s="892"/>
      <c r="P460" s="891"/>
      <c r="Q460" s="909">
        <v>3893.08</v>
      </c>
      <c r="R460" s="892"/>
      <c r="S460" s="891"/>
      <c r="T460" s="909">
        <v>3893.08</v>
      </c>
      <c r="U460" s="892"/>
      <c r="V460" s="891"/>
      <c r="W460" s="909">
        <v>3893.08</v>
      </c>
      <c r="X460" s="892"/>
      <c r="Y460" s="891"/>
      <c r="Z460" s="909">
        <v>3893.08</v>
      </c>
      <c r="AA460" s="892"/>
      <c r="AB460" s="891"/>
      <c r="AC460" s="909">
        <v>3893.08</v>
      </c>
      <c r="AD460" s="892"/>
      <c r="AE460" s="891"/>
      <c r="AF460" s="909">
        <v>3893.08</v>
      </c>
      <c r="AG460" s="892"/>
      <c r="AH460" s="891"/>
      <c r="AI460" s="909">
        <v>3893.08</v>
      </c>
      <c r="AJ460" s="892"/>
      <c r="AK460" s="891"/>
      <c r="AL460" s="909">
        <v>3893.08</v>
      </c>
      <c r="AM460" s="892"/>
      <c r="AN460" s="891"/>
      <c r="AO460" s="909">
        <v>3893.08</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7"/>
        <v>Chauffage, éclairage</v>
      </c>
      <c r="B461" s="54" t="s">
        <v>210</v>
      </c>
      <c r="C461" s="889"/>
      <c r="D461" s="888"/>
      <c r="E461" s="886">
        <v>48185.749999999978</v>
      </c>
      <c r="F461" s="889"/>
      <c r="G461" s="888"/>
      <c r="H461" s="897">
        <v>3759.83</v>
      </c>
      <c r="I461" s="889"/>
      <c r="J461" s="888"/>
      <c r="K461" s="897">
        <v>3668.39</v>
      </c>
      <c r="L461" s="889"/>
      <c r="M461" s="888"/>
      <c r="N461" s="897">
        <v>5234.0599999999904</v>
      </c>
      <c r="O461" s="889"/>
      <c r="P461" s="888"/>
      <c r="Q461" s="897">
        <v>8641.99</v>
      </c>
      <c r="R461" s="889"/>
      <c r="S461" s="888"/>
      <c r="T461" s="897">
        <v>2432.3200000000002</v>
      </c>
      <c r="U461" s="889"/>
      <c r="V461" s="888"/>
      <c r="W461" s="897">
        <v>767.85</v>
      </c>
      <c r="X461" s="889"/>
      <c r="Y461" s="888"/>
      <c r="Z461" s="897">
        <v>4087.0299999999902</v>
      </c>
      <c r="AA461" s="889"/>
      <c r="AB461" s="888"/>
      <c r="AC461" s="897">
        <v>3536.68</v>
      </c>
      <c r="AD461" s="889"/>
      <c r="AE461" s="888"/>
      <c r="AF461" s="897">
        <v>3249.79</v>
      </c>
      <c r="AG461" s="889"/>
      <c r="AH461" s="888"/>
      <c r="AI461" s="897">
        <v>2723.54</v>
      </c>
      <c r="AJ461" s="889"/>
      <c r="AK461" s="888"/>
      <c r="AL461" s="897">
        <v>4271.4799999999996</v>
      </c>
      <c r="AM461" s="889"/>
      <c r="AN461" s="888"/>
      <c r="AO461" s="897">
        <v>5812.79</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7"/>
        <v>Honoraires</v>
      </c>
      <c r="B462" s="54" t="s">
        <v>211</v>
      </c>
      <c r="C462" s="889"/>
      <c r="D462" s="888"/>
      <c r="E462" s="886">
        <v>83256.219999999914</v>
      </c>
      <c r="F462" s="889"/>
      <c r="G462" s="888"/>
      <c r="H462" s="897">
        <v>6423.3299999999899</v>
      </c>
      <c r="I462" s="889"/>
      <c r="J462" s="888"/>
      <c r="K462" s="897">
        <v>6423.3299999999899</v>
      </c>
      <c r="L462" s="889"/>
      <c r="M462" s="888"/>
      <c r="N462" s="897">
        <v>6423.3299999999899</v>
      </c>
      <c r="O462" s="889"/>
      <c r="P462" s="888"/>
      <c r="Q462" s="897">
        <v>6423.3299999999899</v>
      </c>
      <c r="R462" s="889"/>
      <c r="S462" s="888"/>
      <c r="T462" s="897">
        <v>7623.3299999999899</v>
      </c>
      <c r="U462" s="889"/>
      <c r="V462" s="888"/>
      <c r="W462" s="897">
        <v>7623.3299999999899</v>
      </c>
      <c r="X462" s="889"/>
      <c r="Y462" s="888"/>
      <c r="Z462" s="897">
        <v>7623.3299999999899</v>
      </c>
      <c r="AA462" s="889"/>
      <c r="AB462" s="888"/>
      <c r="AC462" s="897">
        <v>7223.3299999999899</v>
      </c>
      <c r="AD462" s="889"/>
      <c r="AE462" s="888"/>
      <c r="AF462" s="897">
        <v>6866.77</v>
      </c>
      <c r="AG462" s="889"/>
      <c r="AH462" s="888"/>
      <c r="AI462" s="897">
        <v>6837.21</v>
      </c>
      <c r="AJ462" s="889"/>
      <c r="AK462" s="888"/>
      <c r="AL462" s="897">
        <v>7342.27</v>
      </c>
      <c r="AM462" s="889"/>
      <c r="AN462" s="888"/>
      <c r="AO462" s="897">
        <v>6423.3299999999899</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7"/>
        <v>Réparation équipement</v>
      </c>
      <c r="B463" s="55" t="s">
        <v>212</v>
      </c>
      <c r="C463" s="892"/>
      <c r="D463" s="891"/>
      <c r="E463" s="880">
        <v>9055.1299999999992</v>
      </c>
      <c r="F463" s="892"/>
      <c r="G463" s="891"/>
      <c r="H463" s="909">
        <v>1130.2</v>
      </c>
      <c r="I463" s="892"/>
      <c r="J463" s="891"/>
      <c r="K463" s="909">
        <v>287.2</v>
      </c>
      <c r="L463" s="892"/>
      <c r="M463" s="891"/>
      <c r="N463" s="909">
        <v>74.7</v>
      </c>
      <c r="O463" s="892"/>
      <c r="P463" s="891"/>
      <c r="Q463" s="909">
        <v>254.6</v>
      </c>
      <c r="R463" s="892"/>
      <c r="S463" s="891"/>
      <c r="T463" s="909">
        <v>311.39999999999998</v>
      </c>
      <c r="U463" s="892"/>
      <c r="V463" s="891"/>
      <c r="W463" s="909">
        <v>329.85</v>
      </c>
      <c r="X463" s="892"/>
      <c r="Y463" s="891"/>
      <c r="Z463" s="909">
        <v>274.05</v>
      </c>
      <c r="AA463" s="892"/>
      <c r="AB463" s="891"/>
      <c r="AC463" s="909">
        <v>4436.45</v>
      </c>
      <c r="AD463" s="892"/>
      <c r="AE463" s="891"/>
      <c r="AF463" s="909">
        <v>369.7</v>
      </c>
      <c r="AG463" s="892"/>
      <c r="AH463" s="891"/>
      <c r="AI463" s="909">
        <v>282.25</v>
      </c>
      <c r="AJ463" s="892"/>
      <c r="AK463" s="891"/>
      <c r="AL463" s="909">
        <v>1304.73</v>
      </c>
      <c r="AM463" s="892"/>
      <c r="AN463" s="891"/>
      <c r="AO463" s="909">
        <v>0</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7"/>
        <v>Location équipement</v>
      </c>
      <c r="B464" s="54" t="s">
        <v>213</v>
      </c>
      <c r="C464" s="889"/>
      <c r="D464" s="888"/>
      <c r="E464" s="886">
        <v>10467.630000000001</v>
      </c>
      <c r="F464" s="889"/>
      <c r="G464" s="888"/>
      <c r="H464" s="897">
        <v>1775.46</v>
      </c>
      <c r="I464" s="889"/>
      <c r="J464" s="888"/>
      <c r="K464" s="897">
        <v>562.73</v>
      </c>
      <c r="L464" s="889"/>
      <c r="M464" s="888"/>
      <c r="N464" s="897">
        <v>562.74</v>
      </c>
      <c r="O464" s="889"/>
      <c r="P464" s="888"/>
      <c r="Q464" s="897">
        <v>830.07</v>
      </c>
      <c r="R464" s="889"/>
      <c r="S464" s="888"/>
      <c r="T464" s="897">
        <v>614.35</v>
      </c>
      <c r="U464" s="889"/>
      <c r="V464" s="888"/>
      <c r="W464" s="897">
        <v>1067.6300000000001</v>
      </c>
      <c r="X464" s="889"/>
      <c r="Y464" s="888"/>
      <c r="Z464" s="897">
        <v>897.64</v>
      </c>
      <c r="AA464" s="889"/>
      <c r="AB464" s="888"/>
      <c r="AC464" s="897">
        <v>1171.24</v>
      </c>
      <c r="AD464" s="889"/>
      <c r="AE464" s="888"/>
      <c r="AF464" s="897">
        <v>698.08</v>
      </c>
      <c r="AG464" s="889"/>
      <c r="AH464" s="888"/>
      <c r="AI464" s="897">
        <v>1159.0899999999999</v>
      </c>
      <c r="AJ464" s="889"/>
      <c r="AK464" s="888"/>
      <c r="AL464" s="897">
        <v>1128.5999999999999</v>
      </c>
      <c r="AM464" s="889"/>
      <c r="AN464" s="888"/>
      <c r="AO464" s="897">
        <v>0</v>
      </c>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7"/>
        <v>Dons</v>
      </c>
      <c r="B465" s="54" t="s">
        <v>214</v>
      </c>
      <c r="C465" s="889"/>
      <c r="D465" s="888"/>
      <c r="E465" s="886">
        <v>0</v>
      </c>
      <c r="F465" s="889"/>
      <c r="G465" s="888"/>
      <c r="H465" s="897"/>
      <c r="I465" s="889"/>
      <c r="J465" s="888"/>
      <c r="K465" s="897">
        <v>0</v>
      </c>
      <c r="L465" s="889"/>
      <c r="M465" s="888"/>
      <c r="N465" s="897">
        <v>0</v>
      </c>
      <c r="O465" s="889"/>
      <c r="P465" s="888"/>
      <c r="Q465" s="897">
        <v>0</v>
      </c>
      <c r="R465" s="889"/>
      <c r="S465" s="888"/>
      <c r="T465" s="897">
        <v>0</v>
      </c>
      <c r="U465" s="889"/>
      <c r="V465" s="888"/>
      <c r="W465" s="897">
        <v>0</v>
      </c>
      <c r="X465" s="889"/>
      <c r="Y465" s="888"/>
      <c r="Z465" s="897">
        <v>0</v>
      </c>
      <c r="AA465" s="889"/>
      <c r="AB465" s="888"/>
      <c r="AC465" s="897">
        <v>0</v>
      </c>
      <c r="AD465" s="889"/>
      <c r="AE465" s="888"/>
      <c r="AF465" s="897">
        <v>0</v>
      </c>
      <c r="AG465" s="889"/>
      <c r="AH465" s="888"/>
      <c r="AI465" s="897">
        <v>0</v>
      </c>
      <c r="AJ465" s="889"/>
      <c r="AK465" s="888"/>
      <c r="AL465" s="897">
        <v>0</v>
      </c>
      <c r="AM465" s="889"/>
      <c r="AN465" s="888"/>
      <c r="AO465" s="897">
        <v>0</v>
      </c>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7"/>
        <v>[...]</v>
      </c>
      <c r="B466" s="54" t="s">
        <v>59</v>
      </c>
      <c r="C466" s="889"/>
      <c r="D466" s="888"/>
      <c r="E466" s="886">
        <v>0</v>
      </c>
      <c r="F466" s="889"/>
      <c r="G466" s="888"/>
      <c r="H466" s="886"/>
      <c r="I466" s="889"/>
      <c r="J466" s="888"/>
      <c r="K466" s="886"/>
      <c r="L466" s="889"/>
      <c r="M466" s="888"/>
      <c r="N466" s="886"/>
      <c r="O466" s="889"/>
      <c r="P466" s="888"/>
      <c r="Q466" s="886"/>
      <c r="R466" s="889"/>
      <c r="S466" s="888"/>
      <c r="T466" s="886"/>
      <c r="U466" s="889"/>
      <c r="V466" s="888"/>
      <c r="W466" s="886"/>
      <c r="X466" s="889"/>
      <c r="Y466" s="888"/>
      <c r="Z466" s="886"/>
      <c r="AA466" s="889"/>
      <c r="AB466" s="888"/>
      <c r="AC466" s="886"/>
      <c r="AD466" s="889"/>
      <c r="AE466" s="888"/>
      <c r="AF466" s="886"/>
      <c r="AG466" s="889"/>
      <c r="AH466" s="888"/>
      <c r="AI466" s="886"/>
      <c r="AJ466" s="889"/>
      <c r="AK466" s="888"/>
      <c r="AL466" s="886"/>
      <c r="AM466" s="889"/>
      <c r="AN466" s="888"/>
      <c r="AO466" s="886"/>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7"/>
        <v>[...]</v>
      </c>
      <c r="B467" s="54" t="s">
        <v>59</v>
      </c>
      <c r="C467" s="889"/>
      <c r="D467" s="888"/>
      <c r="E467" s="886">
        <v>0</v>
      </c>
      <c r="F467" s="889"/>
      <c r="G467" s="888"/>
      <c r="H467" s="886"/>
      <c r="I467" s="889"/>
      <c r="J467" s="888"/>
      <c r="K467" s="886"/>
      <c r="L467" s="889"/>
      <c r="M467" s="888"/>
      <c r="N467" s="886"/>
      <c r="O467" s="889"/>
      <c r="P467" s="888"/>
      <c r="Q467" s="886"/>
      <c r="R467" s="889"/>
      <c r="S467" s="888"/>
      <c r="T467" s="886"/>
      <c r="U467" s="889"/>
      <c r="V467" s="888"/>
      <c r="W467" s="886"/>
      <c r="X467" s="889"/>
      <c r="Y467" s="888"/>
      <c r="Z467" s="886"/>
      <c r="AA467" s="889"/>
      <c r="AB467" s="888"/>
      <c r="AC467" s="886"/>
      <c r="AD467" s="889"/>
      <c r="AE467" s="888"/>
      <c r="AF467" s="886"/>
      <c r="AG467" s="889"/>
      <c r="AH467" s="888"/>
      <c r="AI467" s="886"/>
      <c r="AJ467" s="889"/>
      <c r="AK467" s="888"/>
      <c r="AL467" s="886"/>
      <c r="AM467" s="889"/>
      <c r="AN467" s="888"/>
      <c r="AO467" s="886"/>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7"/>
        <v>[...]</v>
      </c>
      <c r="B468" s="54" t="s">
        <v>59</v>
      </c>
      <c r="C468" s="889"/>
      <c r="D468" s="888"/>
      <c r="E468" s="886">
        <v>0</v>
      </c>
      <c r="F468" s="889"/>
      <c r="G468" s="888"/>
      <c r="H468" s="886"/>
      <c r="I468" s="889"/>
      <c r="J468" s="888"/>
      <c r="K468" s="886"/>
      <c r="L468" s="889"/>
      <c r="M468" s="888"/>
      <c r="N468" s="886"/>
      <c r="O468" s="889"/>
      <c r="P468" s="888"/>
      <c r="Q468" s="886"/>
      <c r="R468" s="889"/>
      <c r="S468" s="888"/>
      <c r="T468" s="886"/>
      <c r="U468" s="889"/>
      <c r="V468" s="888"/>
      <c r="W468" s="886"/>
      <c r="X468" s="889"/>
      <c r="Y468" s="888"/>
      <c r="Z468" s="886"/>
      <c r="AA468" s="889"/>
      <c r="AB468" s="888"/>
      <c r="AC468" s="886"/>
      <c r="AD468" s="889"/>
      <c r="AE468" s="888"/>
      <c r="AF468" s="886"/>
      <c r="AG468" s="889"/>
      <c r="AH468" s="888"/>
      <c r="AI468" s="886"/>
      <c r="AJ468" s="889"/>
      <c r="AK468" s="888"/>
      <c r="AL468" s="886"/>
      <c r="AM468" s="889"/>
      <c r="AN468" s="888"/>
      <c r="AO468" s="886"/>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7"/>
        <v>TOTAL DÉPENSES FIXES</v>
      </c>
      <c r="B469" s="70" t="s">
        <v>215</v>
      </c>
      <c r="C469" s="893">
        <v>0.10149146757087206</v>
      </c>
      <c r="D469" s="896"/>
      <c r="E469" s="895">
        <v>733743.66999999993</v>
      </c>
      <c r="F469" s="893"/>
      <c r="G469" s="896"/>
      <c r="H469" s="895">
        <v>61603.899999999987</v>
      </c>
      <c r="I469" s="893"/>
      <c r="J469" s="896"/>
      <c r="K469" s="895">
        <v>59456.729999999989</v>
      </c>
      <c r="L469" s="893"/>
      <c r="M469" s="896"/>
      <c r="N469" s="895">
        <v>60809.909999999974</v>
      </c>
      <c r="O469" s="893"/>
      <c r="P469" s="896"/>
      <c r="Q469" s="895">
        <v>64665.069999999985</v>
      </c>
      <c r="R469" s="893"/>
      <c r="S469" s="896"/>
      <c r="T469" s="895">
        <v>59496.479999999989</v>
      </c>
      <c r="U469" s="893"/>
      <c r="V469" s="896"/>
      <c r="W469" s="895">
        <v>58620.439999999981</v>
      </c>
      <c r="X469" s="893"/>
      <c r="Y469" s="896"/>
      <c r="Z469" s="895">
        <v>61678.409999999982</v>
      </c>
      <c r="AA469" s="893"/>
      <c r="AB469" s="896"/>
      <c r="AC469" s="895">
        <v>64882.779999999984</v>
      </c>
      <c r="AD469" s="893"/>
      <c r="AE469" s="896"/>
      <c r="AF469" s="895">
        <v>59699.42</v>
      </c>
      <c r="AG469" s="893"/>
      <c r="AH469" s="896"/>
      <c r="AI469" s="895">
        <v>59517.17</v>
      </c>
      <c r="AJ469" s="893"/>
      <c r="AK469" s="896"/>
      <c r="AL469" s="895">
        <v>62562.16</v>
      </c>
      <c r="AM469" s="893"/>
      <c r="AN469" s="896"/>
      <c r="AO469" s="895">
        <v>60751.19999999999</v>
      </c>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7"/>
        <v>0</v>
      </c>
      <c r="B470" s="54"/>
      <c r="C470" s="910"/>
      <c r="D470" s="911"/>
      <c r="E470" s="912">
        <v>339740.95999999967</v>
      </c>
      <c r="F470" s="910"/>
      <c r="G470" s="911"/>
      <c r="H470" s="912"/>
      <c r="I470" s="910"/>
      <c r="J470" s="911"/>
      <c r="K470" s="912"/>
      <c r="L470" s="910"/>
      <c r="M470" s="911"/>
      <c r="N470" s="912"/>
      <c r="O470" s="910"/>
      <c r="P470" s="911"/>
      <c r="Q470" s="912"/>
      <c r="R470" s="910"/>
      <c r="S470" s="911"/>
      <c r="T470" s="912"/>
      <c r="U470" s="910"/>
      <c r="V470" s="911"/>
      <c r="W470" s="912"/>
      <c r="X470" s="910"/>
      <c r="Y470" s="911"/>
      <c r="Z470" s="912"/>
      <c r="AA470" s="910"/>
      <c r="AB470" s="911"/>
      <c r="AC470" s="912"/>
      <c r="AD470" s="910"/>
      <c r="AE470" s="911"/>
      <c r="AF470" s="912"/>
      <c r="AG470" s="910"/>
      <c r="AH470" s="911"/>
      <c r="AI470" s="912"/>
      <c r="AJ470" s="910"/>
      <c r="AK470" s="911"/>
      <c r="AL470" s="912"/>
      <c r="AM470" s="910"/>
      <c r="AN470" s="911"/>
      <c r="AO470" s="912"/>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7"/>
        <v>TOTAL DES DÉPENSES</v>
      </c>
      <c r="B471" s="70" t="s">
        <v>144</v>
      </c>
      <c r="C471" s="893">
        <v>1.0608148911590871</v>
      </c>
      <c r="D471" s="896"/>
      <c r="E471" s="895">
        <v>7669277.3299999973</v>
      </c>
      <c r="F471" s="893"/>
      <c r="G471" s="896"/>
      <c r="H471" s="895">
        <v>575639.63</v>
      </c>
      <c r="I471" s="893"/>
      <c r="J471" s="896"/>
      <c r="K471" s="895">
        <v>615291.54</v>
      </c>
      <c r="L471" s="893"/>
      <c r="M471" s="896"/>
      <c r="N471" s="895">
        <v>663334.43999999994</v>
      </c>
      <c r="O471" s="893"/>
      <c r="P471" s="896"/>
      <c r="Q471" s="895">
        <v>677348.62</v>
      </c>
      <c r="R471" s="893"/>
      <c r="S471" s="896"/>
      <c r="T471" s="895">
        <v>721828.38</v>
      </c>
      <c r="U471" s="893"/>
      <c r="V471" s="896"/>
      <c r="W471" s="895">
        <v>594499.6</v>
      </c>
      <c r="X471" s="893"/>
      <c r="Y471" s="896"/>
      <c r="Z471" s="895">
        <v>646102.14</v>
      </c>
      <c r="AA471" s="893"/>
      <c r="AB471" s="896"/>
      <c r="AC471" s="895">
        <v>686853.05</v>
      </c>
      <c r="AD471" s="893"/>
      <c r="AE471" s="896"/>
      <c r="AF471" s="895">
        <v>625275.68000000005</v>
      </c>
      <c r="AG471" s="893"/>
      <c r="AH471" s="896"/>
      <c r="AI471" s="895">
        <v>657650.66</v>
      </c>
      <c r="AJ471" s="893"/>
      <c r="AK471" s="896"/>
      <c r="AL471" s="895">
        <v>640093.78</v>
      </c>
      <c r="AM471" s="893"/>
      <c r="AN471" s="896"/>
      <c r="AO471" s="895">
        <v>565359.80999999901</v>
      </c>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7"/>
        <v>Revenus autres</v>
      </c>
      <c r="B472" s="54" t="s">
        <v>216</v>
      </c>
      <c r="C472" s="913"/>
      <c r="D472" s="914"/>
      <c r="E472" s="915">
        <v>183398.22</v>
      </c>
      <c r="F472" s="913"/>
      <c r="G472" s="914"/>
      <c r="H472" s="915">
        <v>7.62</v>
      </c>
      <c r="I472" s="913"/>
      <c r="J472" s="914"/>
      <c r="K472" s="915">
        <v>1162.58</v>
      </c>
      <c r="L472" s="913"/>
      <c r="M472" s="914"/>
      <c r="N472" s="915">
        <v>31389.32</v>
      </c>
      <c r="O472" s="913"/>
      <c r="P472" s="914"/>
      <c r="Q472" s="915">
        <v>39288.01</v>
      </c>
      <c r="R472" s="913"/>
      <c r="S472" s="914"/>
      <c r="T472" s="915">
        <v>125.88</v>
      </c>
      <c r="U472" s="913"/>
      <c r="V472" s="914"/>
      <c r="W472" s="915">
        <v>22818.3</v>
      </c>
      <c r="X472" s="913"/>
      <c r="Y472" s="914"/>
      <c r="Z472" s="915">
        <v>7191.32</v>
      </c>
      <c r="AA472" s="913"/>
      <c r="AB472" s="914"/>
      <c r="AC472" s="915">
        <v>19034.12</v>
      </c>
      <c r="AD472" s="913"/>
      <c r="AE472" s="914"/>
      <c r="AF472" s="915">
        <v>15409.31</v>
      </c>
      <c r="AG472" s="913"/>
      <c r="AH472" s="914"/>
      <c r="AI472" s="915">
        <v>32956.15</v>
      </c>
      <c r="AJ472" s="913"/>
      <c r="AK472" s="914"/>
      <c r="AL472" s="915">
        <v>52.79</v>
      </c>
      <c r="AM472" s="913"/>
      <c r="AN472" s="914"/>
      <c r="AO472" s="915">
        <v>13962.82</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7"/>
        <v>Holdbacks</v>
      </c>
      <c r="B473" s="54" t="s">
        <v>148</v>
      </c>
      <c r="C473" s="916"/>
      <c r="D473" s="917"/>
      <c r="E473" s="886">
        <v>953913.25</v>
      </c>
      <c r="F473" s="916"/>
      <c r="G473" s="917"/>
      <c r="H473" s="886">
        <v>51590</v>
      </c>
      <c r="I473" s="916"/>
      <c r="J473" s="917"/>
      <c r="K473" s="886">
        <v>91804.85</v>
      </c>
      <c r="L473" s="916"/>
      <c r="M473" s="917"/>
      <c r="N473" s="886">
        <v>83565</v>
      </c>
      <c r="O473" s="916"/>
      <c r="P473" s="917"/>
      <c r="Q473" s="886">
        <v>106078.85</v>
      </c>
      <c r="R473" s="916"/>
      <c r="S473" s="917"/>
      <c r="T473" s="886">
        <v>99044.7</v>
      </c>
      <c r="U473" s="916"/>
      <c r="V473" s="917"/>
      <c r="W473" s="886">
        <v>55522</v>
      </c>
      <c r="X473" s="916"/>
      <c r="Y473" s="917"/>
      <c r="Z473" s="886">
        <v>127510</v>
      </c>
      <c r="AA473" s="916"/>
      <c r="AB473" s="917"/>
      <c r="AC473" s="886">
        <v>110039</v>
      </c>
      <c r="AD473" s="916"/>
      <c r="AE473" s="917"/>
      <c r="AF473" s="886">
        <v>52835</v>
      </c>
      <c r="AG473" s="916"/>
      <c r="AH473" s="917"/>
      <c r="AI473" s="886">
        <v>66750.850000000006</v>
      </c>
      <c r="AJ473" s="916"/>
      <c r="AK473" s="917"/>
      <c r="AL473" s="886">
        <v>55120</v>
      </c>
      <c r="AM473" s="916"/>
      <c r="AN473" s="917"/>
      <c r="AO473" s="886">
        <v>54053</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7"/>
        <v>Programme neuf 1</v>
      </c>
      <c r="B474" s="54" t="s">
        <v>145</v>
      </c>
      <c r="C474" s="916"/>
      <c r="D474" s="917"/>
      <c r="E474" s="886">
        <v>87295</v>
      </c>
      <c r="F474" s="916"/>
      <c r="G474" s="917"/>
      <c r="H474" s="886">
        <v>0</v>
      </c>
      <c r="I474" s="916"/>
      <c r="J474" s="917"/>
      <c r="K474" s="886">
        <v>0</v>
      </c>
      <c r="L474" s="916"/>
      <c r="M474" s="917"/>
      <c r="N474" s="886">
        <v>0</v>
      </c>
      <c r="O474" s="916"/>
      <c r="P474" s="917"/>
      <c r="Q474" s="886">
        <v>695</v>
      </c>
      <c r="R474" s="916"/>
      <c r="S474" s="917"/>
      <c r="T474" s="886">
        <v>0</v>
      </c>
      <c r="U474" s="916"/>
      <c r="V474" s="917"/>
      <c r="W474" s="886">
        <v>20000</v>
      </c>
      <c r="X474" s="916"/>
      <c r="Y474" s="917"/>
      <c r="Z474" s="886">
        <v>18100</v>
      </c>
      <c r="AA474" s="916"/>
      <c r="AB474" s="917"/>
      <c r="AC474" s="886">
        <v>0</v>
      </c>
      <c r="AD474" s="916"/>
      <c r="AE474" s="917"/>
      <c r="AF474" s="886">
        <v>16000</v>
      </c>
      <c r="AG474" s="916"/>
      <c r="AH474" s="917"/>
      <c r="AI474" s="886">
        <v>0</v>
      </c>
      <c r="AJ474" s="916"/>
      <c r="AK474" s="917"/>
      <c r="AL474" s="886">
        <v>12500</v>
      </c>
      <c r="AM474" s="916"/>
      <c r="AN474" s="917"/>
      <c r="AO474" s="886">
        <v>20000</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7"/>
        <v>Programme neuf 2</v>
      </c>
      <c r="B475" s="54" t="s">
        <v>146</v>
      </c>
      <c r="C475" s="916"/>
      <c r="D475" s="917"/>
      <c r="E475" s="886">
        <v>0</v>
      </c>
      <c r="F475" s="916"/>
      <c r="G475" s="917"/>
      <c r="H475" s="886">
        <v>0</v>
      </c>
      <c r="I475" s="916"/>
      <c r="J475" s="917"/>
      <c r="K475" s="886">
        <v>0</v>
      </c>
      <c r="L475" s="916"/>
      <c r="M475" s="917"/>
      <c r="N475" s="886">
        <v>0</v>
      </c>
      <c r="O475" s="916"/>
      <c r="P475" s="917"/>
      <c r="Q475" s="886">
        <v>0</v>
      </c>
      <c r="R475" s="916"/>
      <c r="S475" s="917"/>
      <c r="T475" s="886">
        <v>0</v>
      </c>
      <c r="U475" s="916"/>
      <c r="V475" s="917"/>
      <c r="W475" s="886">
        <v>0</v>
      </c>
      <c r="X475" s="916"/>
      <c r="Y475" s="917"/>
      <c r="Z475" s="886">
        <v>0</v>
      </c>
      <c r="AA475" s="916"/>
      <c r="AB475" s="917"/>
      <c r="AC475" s="886">
        <v>0</v>
      </c>
      <c r="AD475" s="916"/>
      <c r="AE475" s="917"/>
      <c r="AF475" s="886">
        <v>0</v>
      </c>
      <c r="AG475" s="916"/>
      <c r="AH475" s="917"/>
      <c r="AI475" s="886">
        <v>0</v>
      </c>
      <c r="AJ475" s="916"/>
      <c r="AK475" s="917"/>
      <c r="AL475" s="886">
        <v>0</v>
      </c>
      <c r="AM475" s="916"/>
      <c r="AN475" s="917"/>
      <c r="AO475" s="886">
        <v>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7"/>
        <v>Programme neuf 3</v>
      </c>
      <c r="B476" s="54" t="s">
        <v>147</v>
      </c>
      <c r="C476" s="916"/>
      <c r="D476" s="917"/>
      <c r="E476" s="886">
        <v>0</v>
      </c>
      <c r="F476" s="916"/>
      <c r="G476" s="917"/>
      <c r="H476" s="886">
        <v>0</v>
      </c>
      <c r="I476" s="916"/>
      <c r="J476" s="917"/>
      <c r="K476" s="886">
        <v>0</v>
      </c>
      <c r="L476" s="916"/>
      <c r="M476" s="917"/>
      <c r="N476" s="886">
        <v>0</v>
      </c>
      <c r="O476" s="916"/>
      <c r="P476" s="917"/>
      <c r="Q476" s="886">
        <v>0</v>
      </c>
      <c r="R476" s="916"/>
      <c r="S476" s="917"/>
      <c r="T476" s="886">
        <v>0</v>
      </c>
      <c r="U476" s="916"/>
      <c r="V476" s="917"/>
      <c r="W476" s="886">
        <v>0</v>
      </c>
      <c r="X476" s="916"/>
      <c r="Y476" s="917"/>
      <c r="Z476" s="886">
        <v>0</v>
      </c>
      <c r="AA476" s="916"/>
      <c r="AB476" s="917"/>
      <c r="AC476" s="886">
        <v>0</v>
      </c>
      <c r="AD476" s="916"/>
      <c r="AE476" s="917"/>
      <c r="AF476" s="886">
        <v>0</v>
      </c>
      <c r="AG476" s="916"/>
      <c r="AH476" s="917"/>
      <c r="AI476" s="886">
        <v>0</v>
      </c>
      <c r="AJ476" s="916"/>
      <c r="AK476" s="917"/>
      <c r="AL476" s="886">
        <v>0</v>
      </c>
      <c r="AM476" s="916"/>
      <c r="AN476" s="917"/>
      <c r="AO476" s="886">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7"/>
        <v>Programme used 1</v>
      </c>
      <c r="B477" s="54" t="s">
        <v>158</v>
      </c>
      <c r="C477" s="916"/>
      <c r="D477" s="917"/>
      <c r="E477" s="886">
        <v>0</v>
      </c>
      <c r="F477" s="916"/>
      <c r="G477" s="917"/>
      <c r="H477" s="886">
        <v>0</v>
      </c>
      <c r="I477" s="916"/>
      <c r="J477" s="917"/>
      <c r="K477" s="886">
        <v>0</v>
      </c>
      <c r="L477" s="916"/>
      <c r="M477" s="917"/>
      <c r="N477" s="886">
        <v>0</v>
      </c>
      <c r="O477" s="916"/>
      <c r="P477" s="917"/>
      <c r="Q477" s="886">
        <v>0</v>
      </c>
      <c r="R477" s="916"/>
      <c r="S477" s="917"/>
      <c r="T477" s="886">
        <v>0</v>
      </c>
      <c r="U477" s="916"/>
      <c r="V477" s="917"/>
      <c r="W477" s="886">
        <v>0</v>
      </c>
      <c r="X477" s="916"/>
      <c r="Y477" s="917"/>
      <c r="Z477" s="886">
        <v>0</v>
      </c>
      <c r="AA477" s="916"/>
      <c r="AB477" s="917"/>
      <c r="AC477" s="886">
        <v>0</v>
      </c>
      <c r="AD477" s="916"/>
      <c r="AE477" s="917"/>
      <c r="AF477" s="886">
        <v>0</v>
      </c>
      <c r="AG477" s="916"/>
      <c r="AH477" s="917"/>
      <c r="AI477" s="886">
        <v>0</v>
      </c>
      <c r="AJ477" s="916"/>
      <c r="AK477" s="917"/>
      <c r="AL477" s="886">
        <v>0</v>
      </c>
      <c r="AM477" s="916"/>
      <c r="AN477" s="917"/>
      <c r="AO477" s="886">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7"/>
        <v>Programme used 2</v>
      </c>
      <c r="B478" s="54" t="s">
        <v>159</v>
      </c>
      <c r="C478" s="916"/>
      <c r="D478" s="917"/>
      <c r="E478" s="886">
        <v>0</v>
      </c>
      <c r="F478" s="916"/>
      <c r="G478" s="917"/>
      <c r="H478" s="886">
        <v>0</v>
      </c>
      <c r="I478" s="916"/>
      <c r="J478" s="917"/>
      <c r="K478" s="886">
        <v>0</v>
      </c>
      <c r="L478" s="916"/>
      <c r="M478" s="917"/>
      <c r="N478" s="886">
        <v>0</v>
      </c>
      <c r="O478" s="916"/>
      <c r="P478" s="917"/>
      <c r="Q478" s="886">
        <v>0</v>
      </c>
      <c r="R478" s="916"/>
      <c r="S478" s="917"/>
      <c r="T478" s="886">
        <v>0</v>
      </c>
      <c r="U478" s="916"/>
      <c r="V478" s="917"/>
      <c r="W478" s="886">
        <v>0</v>
      </c>
      <c r="X478" s="916"/>
      <c r="Y478" s="917"/>
      <c r="Z478" s="886">
        <v>0</v>
      </c>
      <c r="AA478" s="916"/>
      <c r="AB478" s="917"/>
      <c r="AC478" s="886">
        <v>0</v>
      </c>
      <c r="AD478" s="916"/>
      <c r="AE478" s="917"/>
      <c r="AF478" s="886">
        <v>0</v>
      </c>
      <c r="AG478" s="916"/>
      <c r="AH478" s="917"/>
      <c r="AI478" s="886">
        <v>0</v>
      </c>
      <c r="AJ478" s="916"/>
      <c r="AK478" s="917"/>
      <c r="AL478" s="886">
        <v>0</v>
      </c>
      <c r="AM478" s="916"/>
      <c r="AN478" s="917"/>
      <c r="AO478" s="886">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7"/>
        <v>Programme used 3</v>
      </c>
      <c r="B479" s="54" t="s">
        <v>160</v>
      </c>
      <c r="C479" s="916"/>
      <c r="D479" s="917"/>
      <c r="E479" s="886">
        <v>0</v>
      </c>
      <c r="F479" s="916"/>
      <c r="G479" s="917"/>
      <c r="H479" s="886">
        <v>0</v>
      </c>
      <c r="I479" s="916"/>
      <c r="J479" s="917"/>
      <c r="K479" s="886">
        <v>0</v>
      </c>
      <c r="L479" s="916"/>
      <c r="M479" s="917"/>
      <c r="N479" s="886">
        <v>0</v>
      </c>
      <c r="O479" s="916"/>
      <c r="P479" s="917"/>
      <c r="Q479" s="886">
        <v>0</v>
      </c>
      <c r="R479" s="916"/>
      <c r="S479" s="917"/>
      <c r="T479" s="886">
        <v>0</v>
      </c>
      <c r="U479" s="916"/>
      <c r="V479" s="917"/>
      <c r="W479" s="886">
        <v>0</v>
      </c>
      <c r="X479" s="916"/>
      <c r="Y479" s="917"/>
      <c r="Z479" s="886">
        <v>0</v>
      </c>
      <c r="AA479" s="916"/>
      <c r="AB479" s="917"/>
      <c r="AC479" s="886">
        <v>0</v>
      </c>
      <c r="AD479" s="916"/>
      <c r="AE479" s="917"/>
      <c r="AF479" s="886">
        <v>0</v>
      </c>
      <c r="AG479" s="916"/>
      <c r="AH479" s="917"/>
      <c r="AI479" s="886">
        <v>0</v>
      </c>
      <c r="AJ479" s="916"/>
      <c r="AK479" s="917"/>
      <c r="AL479" s="886">
        <v>0</v>
      </c>
      <c r="AM479" s="916"/>
      <c r="AN479" s="917"/>
      <c r="AO479" s="886">
        <v>0</v>
      </c>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7"/>
        <v>[...]</v>
      </c>
      <c r="B480" s="44" t="s">
        <v>59</v>
      </c>
      <c r="C480" s="916"/>
      <c r="D480" s="917"/>
      <c r="E480" s="886">
        <v>0</v>
      </c>
      <c r="F480" s="916"/>
      <c r="G480" s="917"/>
      <c r="H480" s="886">
        <v>0</v>
      </c>
      <c r="I480" s="916"/>
      <c r="J480" s="917"/>
      <c r="K480" s="886">
        <v>0</v>
      </c>
      <c r="L480" s="916"/>
      <c r="M480" s="917"/>
      <c r="N480" s="886">
        <v>0</v>
      </c>
      <c r="O480" s="916"/>
      <c r="P480" s="917"/>
      <c r="Q480" s="886">
        <v>0</v>
      </c>
      <c r="R480" s="916"/>
      <c r="S480" s="917"/>
      <c r="T480" s="886">
        <v>0</v>
      </c>
      <c r="U480" s="916"/>
      <c r="V480" s="917"/>
      <c r="W480" s="886">
        <v>0</v>
      </c>
      <c r="X480" s="916"/>
      <c r="Y480" s="917"/>
      <c r="Z480" s="886">
        <v>0</v>
      </c>
      <c r="AA480" s="916"/>
      <c r="AB480" s="917"/>
      <c r="AC480" s="886">
        <v>0</v>
      </c>
      <c r="AD480" s="916"/>
      <c r="AE480" s="917"/>
      <c r="AF480" s="886">
        <v>0</v>
      </c>
      <c r="AG480" s="916"/>
      <c r="AH480" s="917"/>
      <c r="AI480" s="886">
        <v>0</v>
      </c>
      <c r="AJ480" s="916"/>
      <c r="AK480" s="917"/>
      <c r="AL480" s="886">
        <v>0</v>
      </c>
      <c r="AM480" s="916"/>
      <c r="AN480" s="917"/>
      <c r="AO480" s="886">
        <v>0</v>
      </c>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7"/>
        <v>[...]</v>
      </c>
      <c r="B481" s="44" t="s">
        <v>59</v>
      </c>
      <c r="C481" s="916"/>
      <c r="D481" s="917"/>
      <c r="E481" s="886">
        <v>0</v>
      </c>
      <c r="F481" s="916"/>
      <c r="G481" s="917"/>
      <c r="H481" s="886">
        <v>0</v>
      </c>
      <c r="I481" s="916"/>
      <c r="J481" s="917"/>
      <c r="K481" s="886">
        <v>0</v>
      </c>
      <c r="L481" s="916"/>
      <c r="M481" s="917"/>
      <c r="N481" s="886">
        <v>0</v>
      </c>
      <c r="O481" s="916"/>
      <c r="P481" s="917"/>
      <c r="Q481" s="886">
        <v>0</v>
      </c>
      <c r="R481" s="916"/>
      <c r="S481" s="917"/>
      <c r="T481" s="886">
        <v>0</v>
      </c>
      <c r="U481" s="916"/>
      <c r="V481" s="917"/>
      <c r="W481" s="886">
        <v>0</v>
      </c>
      <c r="X481" s="916"/>
      <c r="Y481" s="917"/>
      <c r="Z481" s="886">
        <v>0</v>
      </c>
      <c r="AA481" s="916"/>
      <c r="AB481" s="917"/>
      <c r="AC481" s="886">
        <v>0</v>
      </c>
      <c r="AD481" s="916"/>
      <c r="AE481" s="917"/>
      <c r="AF481" s="886">
        <v>0</v>
      </c>
      <c r="AG481" s="916"/>
      <c r="AH481" s="917"/>
      <c r="AI481" s="886">
        <v>0</v>
      </c>
      <c r="AJ481" s="916"/>
      <c r="AK481" s="917"/>
      <c r="AL481" s="886">
        <v>0</v>
      </c>
      <c r="AM481" s="916"/>
      <c r="AN481" s="917"/>
      <c r="AO481" s="886">
        <v>0</v>
      </c>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7"/>
        <v>[...]</v>
      </c>
      <c r="B482" s="44" t="s">
        <v>59</v>
      </c>
      <c r="C482" s="916"/>
      <c r="D482" s="917"/>
      <c r="E482" s="886">
        <v>0</v>
      </c>
      <c r="F482" s="916"/>
      <c r="G482" s="917"/>
      <c r="H482" s="886">
        <v>0</v>
      </c>
      <c r="I482" s="916"/>
      <c r="J482" s="917"/>
      <c r="K482" s="886">
        <v>0</v>
      </c>
      <c r="L482" s="916"/>
      <c r="M482" s="917"/>
      <c r="N482" s="886">
        <v>0</v>
      </c>
      <c r="O482" s="916"/>
      <c r="P482" s="917"/>
      <c r="Q482" s="886">
        <v>0</v>
      </c>
      <c r="R482" s="916"/>
      <c r="S482" s="917"/>
      <c r="T482" s="886">
        <v>0</v>
      </c>
      <c r="U482" s="916"/>
      <c r="V482" s="917"/>
      <c r="W482" s="886">
        <v>0</v>
      </c>
      <c r="X482" s="916"/>
      <c r="Y482" s="917"/>
      <c r="Z482" s="886">
        <v>0</v>
      </c>
      <c r="AA482" s="916"/>
      <c r="AB482" s="917"/>
      <c r="AC482" s="886">
        <v>0</v>
      </c>
      <c r="AD482" s="916"/>
      <c r="AE482" s="917"/>
      <c r="AF482" s="886">
        <v>0</v>
      </c>
      <c r="AG482" s="916"/>
      <c r="AH482" s="917"/>
      <c r="AI482" s="886">
        <v>0</v>
      </c>
      <c r="AJ482" s="916"/>
      <c r="AK482" s="917"/>
      <c r="AL482" s="886">
        <v>0</v>
      </c>
      <c r="AM482" s="916"/>
      <c r="AN482" s="917"/>
      <c r="AO482" s="886">
        <v>0</v>
      </c>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7"/>
        <v>Frais administration</v>
      </c>
      <c r="B483" s="55" t="s">
        <v>149</v>
      </c>
      <c r="C483" s="918"/>
      <c r="D483" s="917"/>
      <c r="E483" s="886">
        <v>459937.5</v>
      </c>
      <c r="F483" s="918"/>
      <c r="G483" s="917"/>
      <c r="H483" s="886">
        <v>28662</v>
      </c>
      <c r="I483" s="918"/>
      <c r="J483" s="917"/>
      <c r="K483" s="886">
        <v>38314</v>
      </c>
      <c r="L483" s="918"/>
      <c r="M483" s="917"/>
      <c r="N483" s="886">
        <v>40545</v>
      </c>
      <c r="O483" s="918"/>
      <c r="P483" s="917"/>
      <c r="Q483" s="886">
        <v>42466</v>
      </c>
      <c r="R483" s="918"/>
      <c r="S483" s="917"/>
      <c r="T483" s="886">
        <v>43463</v>
      </c>
      <c r="U483" s="918"/>
      <c r="V483" s="917"/>
      <c r="W483" s="886">
        <v>32999.5</v>
      </c>
      <c r="X483" s="918"/>
      <c r="Y483" s="917"/>
      <c r="Z483" s="886">
        <v>48184</v>
      </c>
      <c r="AA483" s="918"/>
      <c r="AB483" s="917"/>
      <c r="AC483" s="886">
        <v>50928</v>
      </c>
      <c r="AD483" s="918"/>
      <c r="AE483" s="917"/>
      <c r="AF483" s="886">
        <v>32595</v>
      </c>
      <c r="AG483" s="918"/>
      <c r="AH483" s="917"/>
      <c r="AI483" s="886">
        <v>44706</v>
      </c>
      <c r="AJ483" s="918"/>
      <c r="AK483" s="917"/>
      <c r="AL483" s="886">
        <v>31851</v>
      </c>
      <c r="AM483" s="918"/>
      <c r="AN483" s="917"/>
      <c r="AO483" s="886">
        <v>25224</v>
      </c>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7"/>
        <v>TOTAL AUTRES REVENUS</v>
      </c>
      <c r="B484" s="70" t="s">
        <v>217</v>
      </c>
      <c r="C484" s="893">
        <v>0.23300622096400925</v>
      </c>
      <c r="D484" s="919"/>
      <c r="E484" s="895">
        <v>1684543.97</v>
      </c>
      <c r="F484" s="893"/>
      <c r="G484" s="919"/>
      <c r="H484" s="895">
        <v>80259.62</v>
      </c>
      <c r="I484" s="893"/>
      <c r="J484" s="919"/>
      <c r="K484" s="895">
        <v>131281.43</v>
      </c>
      <c r="L484" s="893"/>
      <c r="M484" s="919"/>
      <c r="N484" s="895">
        <v>155499.32</v>
      </c>
      <c r="O484" s="893"/>
      <c r="P484" s="919"/>
      <c r="Q484" s="895">
        <v>188527.86000000002</v>
      </c>
      <c r="R484" s="893"/>
      <c r="S484" s="919"/>
      <c r="T484" s="895">
        <v>142633.58000000002</v>
      </c>
      <c r="U484" s="893"/>
      <c r="V484" s="919"/>
      <c r="W484" s="895">
        <v>131339.79999999999</v>
      </c>
      <c r="X484" s="893"/>
      <c r="Y484" s="919"/>
      <c r="Z484" s="895">
        <v>200985.32</v>
      </c>
      <c r="AA484" s="893"/>
      <c r="AB484" s="919"/>
      <c r="AC484" s="895">
        <v>180001.12</v>
      </c>
      <c r="AD484" s="893"/>
      <c r="AE484" s="919"/>
      <c r="AF484" s="895">
        <v>116839.31</v>
      </c>
      <c r="AG484" s="893"/>
      <c r="AH484" s="919"/>
      <c r="AI484" s="895">
        <v>144413</v>
      </c>
      <c r="AJ484" s="893"/>
      <c r="AK484" s="919"/>
      <c r="AL484" s="895">
        <v>99523.790000000008</v>
      </c>
      <c r="AM484" s="893"/>
      <c r="AN484" s="919"/>
      <c r="AO484" s="895">
        <v>113239.82</v>
      </c>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thickBot="1">
      <c r="A485" s="39">
        <f t="shared" si="7"/>
        <v>0</v>
      </c>
      <c r="B485" s="71"/>
      <c r="C485" s="920"/>
      <c r="D485" s="921"/>
      <c r="E485" s="922">
        <v>218487.45</v>
      </c>
      <c r="F485" s="920"/>
      <c r="G485" s="921"/>
      <c r="H485" s="922"/>
      <c r="I485" s="920"/>
      <c r="J485" s="921"/>
      <c r="K485" s="922"/>
      <c r="L485" s="920"/>
      <c r="M485" s="921"/>
      <c r="N485" s="922"/>
      <c r="O485" s="920"/>
      <c r="P485" s="921"/>
      <c r="Q485" s="922"/>
      <c r="R485" s="920"/>
      <c r="S485" s="921"/>
      <c r="T485" s="922"/>
      <c r="U485" s="920"/>
      <c r="V485" s="921"/>
      <c r="W485" s="922"/>
      <c r="X485" s="920"/>
      <c r="Y485" s="921"/>
      <c r="Z485" s="922"/>
      <c r="AA485" s="920"/>
      <c r="AB485" s="921"/>
      <c r="AC485" s="922"/>
      <c r="AD485" s="920"/>
      <c r="AE485" s="921"/>
      <c r="AF485" s="922"/>
      <c r="AG485" s="920"/>
      <c r="AH485" s="921"/>
      <c r="AI485" s="922"/>
      <c r="AJ485" s="920"/>
      <c r="AK485" s="921"/>
      <c r="AL485" s="922"/>
      <c r="AM485" s="920"/>
      <c r="AN485" s="921"/>
      <c r="AO485" s="922"/>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thickTop="1" thickBot="1">
      <c r="A486" s="39" t="str">
        <f t="shared" si="7"/>
        <v>BAIIA OPÉRATIONNEL</v>
      </c>
      <c r="B486" s="72" t="s">
        <v>218</v>
      </c>
      <c r="C486" s="923" t="s">
        <v>219</v>
      </c>
      <c r="D486" s="924">
        <v>1.9836588235025501E-2</v>
      </c>
      <c r="E486" s="925">
        <v>1244876.0599999905</v>
      </c>
      <c r="F486" s="926" t="s">
        <v>219</v>
      </c>
      <c r="G486" s="927">
        <v>-1.3254848656229098E-2</v>
      </c>
      <c r="H486" s="928">
        <v>-55934.650000000547</v>
      </c>
      <c r="I486" s="926" t="s">
        <v>219</v>
      </c>
      <c r="J486" s="927">
        <v>4.2351526568043833E-3</v>
      </c>
      <c r="K486" s="928">
        <v>24856.299999999523</v>
      </c>
      <c r="L486" s="926" t="s">
        <v>219</v>
      </c>
      <c r="M486" s="927">
        <v>2.129914855042446E-2</v>
      </c>
      <c r="N486" s="928">
        <v>130608.00999999879</v>
      </c>
      <c r="O486" s="926" t="s">
        <v>219</v>
      </c>
      <c r="P486" s="927">
        <v>4.0254102204976987E-2</v>
      </c>
      <c r="Q486" s="928">
        <v>237063.83999999918</v>
      </c>
      <c r="R486" s="926" t="s">
        <v>219</v>
      </c>
      <c r="S486" s="927">
        <v>1.7295577549075389E-2</v>
      </c>
      <c r="T486" s="928">
        <v>113032.21999999956</v>
      </c>
      <c r="U486" s="926" t="s">
        <v>219</v>
      </c>
      <c r="V486" s="927">
        <v>3.9738762376396019E-3</v>
      </c>
      <c r="W486" s="928">
        <v>15909.619999999413</v>
      </c>
      <c r="X486" s="926" t="s">
        <v>219</v>
      </c>
      <c r="Y486" s="927">
        <v>3.3343654457104334E-2</v>
      </c>
      <c r="Z486" s="928">
        <v>221800.53999999847</v>
      </c>
      <c r="AA486" s="926" t="s">
        <v>219</v>
      </c>
      <c r="AB486" s="927">
        <v>2.0696549772625986E-2</v>
      </c>
      <c r="AC486" s="928">
        <v>133813.7399999979</v>
      </c>
      <c r="AD486" s="926" t="s">
        <v>219</v>
      </c>
      <c r="AE486" s="927">
        <v>1.4817575906547737E-2</v>
      </c>
      <c r="AF486" s="928">
        <v>64103.409999999742</v>
      </c>
      <c r="AG486" s="926" t="s">
        <v>219</v>
      </c>
      <c r="AH486" s="927">
        <v>3.1502316578024353E-2</v>
      </c>
      <c r="AI486" s="928">
        <v>149849.96999999892</v>
      </c>
      <c r="AJ486" s="926" t="s">
        <v>219</v>
      </c>
      <c r="AK486" s="927">
        <v>4.8425867697527533E-2</v>
      </c>
      <c r="AL486" s="928">
        <v>204268.02999999849</v>
      </c>
      <c r="AM486" s="926" t="s">
        <v>219</v>
      </c>
      <c r="AN486" s="927">
        <v>1.4923439593736596E-3</v>
      </c>
      <c r="AO486" s="928">
        <v>5505.0300000007264</v>
      </c>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thickTop="1">
      <c r="A487" s="39"/>
      <c r="B487" s="61"/>
      <c r="C487" s="757"/>
      <c r="D487" s="757"/>
      <c r="E487" s="929"/>
      <c r="F487" s="757"/>
      <c r="G487" s="757"/>
      <c r="H487" s="929"/>
      <c r="I487" s="757"/>
      <c r="J487" s="757"/>
      <c r="K487" s="929"/>
      <c r="L487" s="757"/>
      <c r="M487" s="757"/>
      <c r="N487" s="929"/>
      <c r="O487" s="757"/>
      <c r="P487" s="757"/>
      <c r="Q487" s="929"/>
      <c r="R487" s="757"/>
      <c r="S487" s="757"/>
      <c r="T487" s="929"/>
      <c r="U487" s="757"/>
      <c r="V487" s="757"/>
      <c r="W487" s="929"/>
      <c r="X487" s="757"/>
      <c r="Y487" s="757"/>
      <c r="Z487" s="929"/>
      <c r="AA487" s="757"/>
      <c r="AB487" s="757"/>
      <c r="AC487" s="929"/>
      <c r="AD487" s="757"/>
      <c r="AE487" s="757"/>
      <c r="AF487" s="929"/>
      <c r="AG487" s="757"/>
      <c r="AH487" s="757"/>
      <c r="AI487" s="929"/>
      <c r="AJ487" s="757"/>
      <c r="AK487" s="757"/>
      <c r="AL487" s="929"/>
      <c r="AM487" s="757"/>
      <c r="AN487" s="757"/>
      <c r="AO487" s="929"/>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t="s">
        <v>3937</v>
      </c>
      <c r="C488" s="802" t="s">
        <v>220</v>
      </c>
      <c r="D488" s="802"/>
      <c r="E488" s="802"/>
      <c r="F488" s="802"/>
      <c r="G488" s="802"/>
      <c r="H488" s="802"/>
      <c r="I488" s="802"/>
      <c r="J488" s="802"/>
      <c r="K488" s="802"/>
      <c r="L488" s="802"/>
      <c r="M488" s="802"/>
      <c r="N488" s="802"/>
      <c r="O488" s="802"/>
      <c r="P488" s="802"/>
      <c r="Q488" s="802"/>
      <c r="R488" s="802"/>
      <c r="S488" s="802"/>
      <c r="T488" s="802"/>
      <c r="U488" s="802"/>
      <c r="V488" s="802"/>
      <c r="W488" s="802"/>
      <c r="X488" s="802"/>
      <c r="Y488" s="802"/>
      <c r="Z488" s="802"/>
      <c r="AA488" s="802"/>
      <c r="AB488" s="802"/>
      <c r="AC488" s="802"/>
      <c r="AD488" s="802"/>
      <c r="AE488" s="802"/>
      <c r="AF488" s="802"/>
      <c r="AG488" s="802"/>
      <c r="AH488" s="802"/>
      <c r="AI488" s="802"/>
      <c r="AJ488" s="802"/>
      <c r="AK488" s="802"/>
      <c r="AL488" s="802"/>
      <c r="AM488" s="802"/>
      <c r="AN488" s="802"/>
      <c r="AO488" s="802"/>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757"/>
      <c r="D489" s="757"/>
      <c r="E489" s="929"/>
      <c r="F489" s="757"/>
      <c r="G489" s="757"/>
      <c r="H489" s="929"/>
      <c r="I489" s="757"/>
      <c r="J489" s="757"/>
      <c r="K489" s="929"/>
      <c r="L489" s="757"/>
      <c r="M489" s="757"/>
      <c r="N489" s="929"/>
      <c r="O489" s="757"/>
      <c r="P489" s="757"/>
      <c r="Q489" s="929"/>
      <c r="R489" s="757"/>
      <c r="S489" s="757"/>
      <c r="T489" s="929"/>
      <c r="U489" s="757"/>
      <c r="V489" s="757"/>
      <c r="W489" s="929"/>
      <c r="X489" s="757"/>
      <c r="Y489" s="757"/>
      <c r="Z489" s="929"/>
      <c r="AA489" s="757"/>
      <c r="AB489" s="757"/>
      <c r="AC489" s="929"/>
      <c r="AD489" s="757"/>
      <c r="AE489" s="757"/>
      <c r="AF489" s="929"/>
      <c r="AG489" s="757"/>
      <c r="AH489" s="757"/>
      <c r="AI489" s="929"/>
      <c r="AJ489" s="757"/>
      <c r="AK489" s="757"/>
      <c r="AL489" s="929"/>
      <c r="AM489" s="757"/>
      <c r="AN489" s="757"/>
      <c r="AO489" s="929"/>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61"/>
      <c r="C490" s="757"/>
      <c r="D490" s="757"/>
      <c r="E490" s="929"/>
      <c r="F490" s="757"/>
      <c r="G490" s="757"/>
      <c r="H490" s="929"/>
      <c r="I490" s="757"/>
      <c r="J490" s="757"/>
      <c r="K490" s="929"/>
      <c r="L490" s="757"/>
      <c r="M490" s="757"/>
      <c r="N490" s="929"/>
      <c r="O490" s="757"/>
      <c r="P490" s="757"/>
      <c r="Q490" s="929"/>
      <c r="R490" s="757"/>
      <c r="S490" s="757"/>
      <c r="T490" s="929"/>
      <c r="U490" s="757"/>
      <c r="V490" s="757"/>
      <c r="W490" s="929"/>
      <c r="X490" s="757"/>
      <c r="Y490" s="757"/>
      <c r="Z490" s="929"/>
      <c r="AA490" s="757"/>
      <c r="AB490" s="757"/>
      <c r="AC490" s="929"/>
      <c r="AD490" s="757"/>
      <c r="AE490" s="757"/>
      <c r="AF490" s="929"/>
      <c r="AG490" s="757"/>
      <c r="AH490" s="757"/>
      <c r="AI490" s="929"/>
      <c r="AJ490" s="757"/>
      <c r="AK490" s="757"/>
      <c r="AL490" s="929"/>
      <c r="AM490" s="757"/>
      <c r="AN490" s="757"/>
      <c r="AO490" s="929"/>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thickBot="1">
      <c r="A491" s="39"/>
      <c r="B491" s="61" t="s">
        <v>3915</v>
      </c>
      <c r="C491" s="757" t="s">
        <v>219</v>
      </c>
      <c r="D491" s="757">
        <v>2.5670199638354759E-2</v>
      </c>
      <c r="E491" s="929">
        <v>1610973.4499999904</v>
      </c>
      <c r="F491" s="757" t="s">
        <v>219</v>
      </c>
      <c r="G491" s="757">
        <v>-6.3843722245081535E-3</v>
      </c>
      <c r="H491" s="929">
        <v>-26941.660000000546</v>
      </c>
      <c r="I491" s="757" t="s">
        <v>219</v>
      </c>
      <c r="J491" s="757">
        <v>1.0851883723276558E-2</v>
      </c>
      <c r="K491" s="929">
        <v>63690.189999999522</v>
      </c>
      <c r="L491" s="757" t="s">
        <v>219</v>
      </c>
      <c r="M491" s="757">
        <v>2.8335862694004184E-2</v>
      </c>
      <c r="N491" s="929">
        <v>173757.67999999877</v>
      </c>
      <c r="O491" s="757" t="s">
        <v>219</v>
      </c>
      <c r="P491" s="757">
        <v>4.7619244024278397E-2</v>
      </c>
      <c r="Q491" s="929">
        <v>280438.5199999992</v>
      </c>
      <c r="R491" s="757" t="s">
        <v>219</v>
      </c>
      <c r="S491" s="757">
        <v>2.5227307058875523E-2</v>
      </c>
      <c r="T491" s="929">
        <v>164868.64999999956</v>
      </c>
      <c r="U491" s="757" t="s">
        <v>219</v>
      </c>
      <c r="V491" s="757">
        <v>1.5766299683543903E-2</v>
      </c>
      <c r="W491" s="929">
        <v>63121.199999999415</v>
      </c>
      <c r="X491" s="757" t="s">
        <v>219</v>
      </c>
      <c r="Y491" s="757">
        <v>4.0714688795478175E-2</v>
      </c>
      <c r="Z491" s="929">
        <v>270832.33999999845</v>
      </c>
      <c r="AA491" s="757" t="s">
        <v>219</v>
      </c>
      <c r="AB491" s="757">
        <v>2.6381512384250259E-2</v>
      </c>
      <c r="AC491" s="929">
        <v>170569.91999999789</v>
      </c>
      <c r="AD491" s="757" t="s">
        <v>219</v>
      </c>
      <c r="AE491" s="757">
        <v>2.247566151345802E-2</v>
      </c>
      <c r="AF491" s="929">
        <v>97233.619999999733</v>
      </c>
      <c r="AG491" s="757" t="s">
        <v>219</v>
      </c>
      <c r="AH491" s="757">
        <v>3.7753430669183033E-2</v>
      </c>
      <c r="AI491" s="929">
        <v>179585.21999999892</v>
      </c>
      <c r="AJ491" s="757" t="s">
        <v>219</v>
      </c>
      <c r="AK491" s="757">
        <v>4.0166104011308164E-2</v>
      </c>
      <c r="AL491" s="929">
        <v>169427.02999999849</v>
      </c>
      <c r="AM491" s="757" t="s">
        <v>219</v>
      </c>
      <c r="AN491" s="757">
        <v>1.190274043226017E-3</v>
      </c>
      <c r="AO491" s="929">
        <v>4390.7400000007256</v>
      </c>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thickTop="1">
      <c r="A492" s="39"/>
      <c r="B492" s="73" t="s">
        <v>218</v>
      </c>
      <c r="C492" s="930" t="s">
        <v>219</v>
      </c>
      <c r="D492" s="931">
        <v>1.9836588235025501E-2</v>
      </c>
      <c r="E492" s="932">
        <v>1244876.0599999905</v>
      </c>
      <c r="F492" s="933" t="s">
        <v>219</v>
      </c>
      <c r="G492" s="931">
        <v>-1.3254848656229098E-2</v>
      </c>
      <c r="H492" s="934">
        <v>-55934.650000000547</v>
      </c>
      <c r="I492" s="933" t="s">
        <v>219</v>
      </c>
      <c r="J492" s="931">
        <v>4.2351526568043833E-3</v>
      </c>
      <c r="K492" s="934">
        <v>24856.299999999523</v>
      </c>
      <c r="L492" s="933" t="s">
        <v>219</v>
      </c>
      <c r="M492" s="931">
        <v>2.129914855042446E-2</v>
      </c>
      <c r="N492" s="934">
        <v>130608.00999999879</v>
      </c>
      <c r="O492" s="933" t="s">
        <v>219</v>
      </c>
      <c r="P492" s="931">
        <v>4.0254102204976987E-2</v>
      </c>
      <c r="Q492" s="934">
        <v>237063.83999999918</v>
      </c>
      <c r="R492" s="933" t="s">
        <v>219</v>
      </c>
      <c r="S492" s="931">
        <v>1.7295577549075389E-2</v>
      </c>
      <c r="T492" s="934">
        <v>113032.21999999956</v>
      </c>
      <c r="U492" s="933" t="s">
        <v>219</v>
      </c>
      <c r="V492" s="931">
        <v>3.9738762376396019E-3</v>
      </c>
      <c r="W492" s="934">
        <v>15909.619999999413</v>
      </c>
      <c r="X492" s="933" t="s">
        <v>219</v>
      </c>
      <c r="Y492" s="931">
        <v>3.3343654457104334E-2</v>
      </c>
      <c r="Z492" s="934">
        <v>221800.53999999847</v>
      </c>
      <c r="AA492" s="933" t="s">
        <v>219</v>
      </c>
      <c r="AB492" s="931">
        <v>2.0696549772625986E-2</v>
      </c>
      <c r="AC492" s="934">
        <v>133813.7399999979</v>
      </c>
      <c r="AD492" s="933" t="s">
        <v>219</v>
      </c>
      <c r="AE492" s="931">
        <v>1.4817575906547737E-2</v>
      </c>
      <c r="AF492" s="934">
        <v>64103.409999999742</v>
      </c>
      <c r="AG492" s="933" t="s">
        <v>219</v>
      </c>
      <c r="AH492" s="931">
        <v>3.1502316578024353E-2</v>
      </c>
      <c r="AI492" s="934">
        <v>149849.96999999892</v>
      </c>
      <c r="AJ492" s="933" t="s">
        <v>219</v>
      </c>
      <c r="AK492" s="931">
        <v>4.8425867697527533E-2</v>
      </c>
      <c r="AL492" s="934">
        <v>204268.02999999849</v>
      </c>
      <c r="AM492" s="933" t="s">
        <v>219</v>
      </c>
      <c r="AN492" s="931">
        <v>1.4923439593736596E-3</v>
      </c>
      <c r="AO492" s="934">
        <v>5505.0300000007264</v>
      </c>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74"/>
      <c r="C493" s="935"/>
      <c r="D493" s="935"/>
      <c r="E493" s="935"/>
      <c r="F493" s="936"/>
      <c r="G493" s="935"/>
      <c r="H493" s="937"/>
      <c r="I493" s="936"/>
      <c r="J493" s="935"/>
      <c r="K493" s="937"/>
      <c r="L493" s="936"/>
      <c r="M493" s="935"/>
      <c r="N493" s="937"/>
      <c r="O493" s="936"/>
      <c r="P493" s="935"/>
      <c r="Q493" s="937"/>
      <c r="R493" s="936"/>
      <c r="S493" s="935"/>
      <c r="T493" s="937"/>
      <c r="U493" s="936"/>
      <c r="V493" s="935"/>
      <c r="W493" s="937"/>
      <c r="X493" s="936"/>
      <c r="Y493" s="935"/>
      <c r="Z493" s="937"/>
      <c r="AA493" s="936"/>
      <c r="AB493" s="935"/>
      <c r="AC493" s="937"/>
      <c r="AD493" s="936"/>
      <c r="AE493" s="935"/>
      <c r="AF493" s="937"/>
      <c r="AG493" s="936"/>
      <c r="AH493" s="935"/>
      <c r="AI493" s="937"/>
      <c r="AJ493" s="936"/>
      <c r="AK493" s="935"/>
      <c r="AL493" s="937"/>
      <c r="AM493" s="936"/>
      <c r="AN493" s="935"/>
      <c r="AO493" s="937"/>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8">B494</f>
        <v>Amortissement</v>
      </c>
      <c r="B494" s="75" t="s">
        <v>221</v>
      </c>
      <c r="C494" s="885"/>
      <c r="D494" s="888"/>
      <c r="E494" s="938">
        <v>256355.76</v>
      </c>
      <c r="F494" s="889"/>
      <c r="G494" s="888"/>
      <c r="H494" s="897">
        <v>6315</v>
      </c>
      <c r="I494" s="889"/>
      <c r="J494" s="888"/>
      <c r="K494" s="897">
        <v>6315</v>
      </c>
      <c r="L494" s="889"/>
      <c r="M494" s="888"/>
      <c r="N494" s="897">
        <v>6315</v>
      </c>
      <c r="O494" s="889"/>
      <c r="P494" s="888"/>
      <c r="Q494" s="897">
        <v>6315</v>
      </c>
      <c r="R494" s="889"/>
      <c r="S494" s="888"/>
      <c r="T494" s="897">
        <v>6315</v>
      </c>
      <c r="U494" s="889"/>
      <c r="V494" s="888"/>
      <c r="W494" s="897">
        <v>6315</v>
      </c>
      <c r="X494" s="889"/>
      <c r="Y494" s="888"/>
      <c r="Z494" s="897">
        <v>34648</v>
      </c>
      <c r="AA494" s="889"/>
      <c r="AB494" s="888"/>
      <c r="AC494" s="897">
        <v>34648</v>
      </c>
      <c r="AD494" s="889"/>
      <c r="AE494" s="888"/>
      <c r="AF494" s="897">
        <v>34648</v>
      </c>
      <c r="AG494" s="889"/>
      <c r="AH494" s="888"/>
      <c r="AI494" s="897">
        <v>34648</v>
      </c>
      <c r="AJ494" s="889"/>
      <c r="AK494" s="888"/>
      <c r="AL494" s="897">
        <v>34648</v>
      </c>
      <c r="AM494" s="889"/>
      <c r="AN494" s="888"/>
      <c r="AO494" s="897">
        <v>45225.760000000002</v>
      </c>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8"/>
        <v>Intérêts sur marge</v>
      </c>
      <c r="B495" s="75" t="s">
        <v>222</v>
      </c>
      <c r="C495" s="801"/>
      <c r="D495" s="757"/>
      <c r="E495" s="938">
        <v>0</v>
      </c>
      <c r="F495" s="939"/>
      <c r="G495" s="757"/>
      <c r="H495" s="897">
        <v>0</v>
      </c>
      <c r="I495" s="939"/>
      <c r="J495" s="757"/>
      <c r="K495" s="897">
        <v>0</v>
      </c>
      <c r="L495" s="939"/>
      <c r="M495" s="757"/>
      <c r="N495" s="897">
        <v>0</v>
      </c>
      <c r="O495" s="939"/>
      <c r="P495" s="757"/>
      <c r="Q495" s="897">
        <v>0</v>
      </c>
      <c r="R495" s="939"/>
      <c r="S495" s="757"/>
      <c r="T495" s="897">
        <v>0</v>
      </c>
      <c r="U495" s="939"/>
      <c r="V495" s="757"/>
      <c r="W495" s="897">
        <v>0</v>
      </c>
      <c r="X495" s="939"/>
      <c r="Y495" s="757"/>
      <c r="Z495" s="897">
        <v>0</v>
      </c>
      <c r="AA495" s="939"/>
      <c r="AB495" s="757"/>
      <c r="AC495" s="897">
        <v>0</v>
      </c>
      <c r="AD495" s="939"/>
      <c r="AE495" s="757"/>
      <c r="AF495" s="897">
        <v>0</v>
      </c>
      <c r="AG495" s="939"/>
      <c r="AH495" s="757"/>
      <c r="AI495" s="897">
        <v>0</v>
      </c>
      <c r="AJ495" s="939"/>
      <c r="AK495" s="757"/>
      <c r="AL495" s="897">
        <v>0</v>
      </c>
      <c r="AM495" s="939"/>
      <c r="AN495" s="757"/>
      <c r="AO495" s="897">
        <v>0</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8"/>
        <v>Intérêts sur prêt</v>
      </c>
      <c r="B496" s="75" t="s">
        <v>223</v>
      </c>
      <c r="C496" s="757"/>
      <c r="D496" s="757"/>
      <c r="E496" s="938">
        <v>-1916.75</v>
      </c>
      <c r="F496" s="940"/>
      <c r="G496" s="757"/>
      <c r="H496" s="897">
        <v>0</v>
      </c>
      <c r="I496" s="940"/>
      <c r="J496" s="757"/>
      <c r="K496" s="897">
        <v>0</v>
      </c>
      <c r="L496" s="940"/>
      <c r="M496" s="757"/>
      <c r="N496" s="897">
        <v>0</v>
      </c>
      <c r="O496" s="940"/>
      <c r="P496" s="757"/>
      <c r="Q496" s="897">
        <v>-917.02</v>
      </c>
      <c r="R496" s="940"/>
      <c r="S496" s="757"/>
      <c r="T496" s="897">
        <v>0</v>
      </c>
      <c r="U496" s="940"/>
      <c r="V496" s="757"/>
      <c r="W496" s="897">
        <v>0</v>
      </c>
      <c r="X496" s="940"/>
      <c r="Y496" s="757"/>
      <c r="Z496" s="897">
        <v>-666.79</v>
      </c>
      <c r="AA496" s="940"/>
      <c r="AB496" s="757"/>
      <c r="AC496" s="897">
        <v>0</v>
      </c>
      <c r="AD496" s="940"/>
      <c r="AE496" s="757"/>
      <c r="AF496" s="897">
        <v>-332.94</v>
      </c>
      <c r="AG496" s="940"/>
      <c r="AH496" s="757"/>
      <c r="AI496" s="897">
        <v>0</v>
      </c>
      <c r="AJ496" s="940"/>
      <c r="AK496" s="757"/>
      <c r="AL496" s="897">
        <v>0</v>
      </c>
      <c r="AM496" s="940"/>
      <c r="AN496" s="757"/>
      <c r="AO496" s="897">
        <v>0</v>
      </c>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8"/>
        <v>Intérêts sur avance</v>
      </c>
      <c r="B497" s="75" t="s">
        <v>224</v>
      </c>
      <c r="C497" s="810"/>
      <c r="D497" s="810"/>
      <c r="E497" s="938">
        <v>0</v>
      </c>
      <c r="F497" s="941"/>
      <c r="G497" s="810"/>
      <c r="H497" s="897">
        <v>0</v>
      </c>
      <c r="I497" s="941"/>
      <c r="J497" s="810"/>
      <c r="K497" s="897">
        <v>0</v>
      </c>
      <c r="L497" s="941"/>
      <c r="M497" s="810"/>
      <c r="N497" s="897">
        <v>0</v>
      </c>
      <c r="O497" s="941"/>
      <c r="P497" s="810"/>
      <c r="Q497" s="897">
        <v>0</v>
      </c>
      <c r="R497" s="941"/>
      <c r="S497" s="810"/>
      <c r="T497" s="897">
        <v>0</v>
      </c>
      <c r="U497" s="941"/>
      <c r="V497" s="810"/>
      <c r="W497" s="897">
        <v>0</v>
      </c>
      <c r="X497" s="941"/>
      <c r="Y497" s="810"/>
      <c r="Z497" s="897">
        <v>0</v>
      </c>
      <c r="AA497" s="941"/>
      <c r="AB497" s="810"/>
      <c r="AC497" s="897">
        <v>0</v>
      </c>
      <c r="AD497" s="941"/>
      <c r="AE497" s="810"/>
      <c r="AF497" s="897">
        <v>0</v>
      </c>
      <c r="AG497" s="941"/>
      <c r="AH497" s="810"/>
      <c r="AI497" s="897">
        <v>0</v>
      </c>
      <c r="AJ497" s="941"/>
      <c r="AK497" s="810"/>
      <c r="AL497" s="897">
        <v>0</v>
      </c>
      <c r="AM497" s="941"/>
      <c r="AN497" s="810"/>
      <c r="AO497" s="897">
        <v>0</v>
      </c>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8"/>
        <v>Intérêts sur hypothèque</v>
      </c>
      <c r="B498" s="76" t="s">
        <v>3936</v>
      </c>
      <c r="C498" s="810"/>
      <c r="D498" s="810"/>
      <c r="E498" s="938">
        <v>0</v>
      </c>
      <c r="F498" s="941"/>
      <c r="G498" s="810"/>
      <c r="H498" s="897">
        <v>0</v>
      </c>
      <c r="I498" s="941"/>
      <c r="J498" s="810"/>
      <c r="K498" s="897">
        <v>0</v>
      </c>
      <c r="L498" s="941"/>
      <c r="M498" s="810"/>
      <c r="N498" s="897">
        <v>0</v>
      </c>
      <c r="O498" s="941"/>
      <c r="P498" s="810"/>
      <c r="Q498" s="897">
        <v>0</v>
      </c>
      <c r="R498" s="941"/>
      <c r="S498" s="810"/>
      <c r="T498" s="897">
        <v>0</v>
      </c>
      <c r="U498" s="941"/>
      <c r="V498" s="810"/>
      <c r="W498" s="897">
        <v>0</v>
      </c>
      <c r="X498" s="941"/>
      <c r="Y498" s="810"/>
      <c r="Z498" s="897">
        <v>0</v>
      </c>
      <c r="AA498" s="941"/>
      <c r="AB498" s="810"/>
      <c r="AC498" s="897">
        <v>0</v>
      </c>
      <c r="AD498" s="941"/>
      <c r="AE498" s="810"/>
      <c r="AF498" s="897">
        <v>0</v>
      </c>
      <c r="AG498" s="941"/>
      <c r="AH498" s="810"/>
      <c r="AI498" s="897">
        <v>0</v>
      </c>
      <c r="AJ498" s="941"/>
      <c r="AK498" s="810"/>
      <c r="AL498" s="897">
        <v>0</v>
      </c>
      <c r="AM498" s="941"/>
      <c r="AN498" s="810"/>
      <c r="AO498" s="897">
        <v>0</v>
      </c>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8"/>
        <v>Revenus d'intérêts Floor plan</v>
      </c>
      <c r="B499" s="76" t="s">
        <v>3938</v>
      </c>
      <c r="C499" s="810"/>
      <c r="D499" s="810"/>
      <c r="E499" s="938">
        <v>-39335.24</v>
      </c>
      <c r="F499" s="941"/>
      <c r="G499" s="810"/>
      <c r="H499" s="886">
        <v>-4607.6499999999996</v>
      </c>
      <c r="I499" s="941"/>
      <c r="J499" s="810"/>
      <c r="K499" s="886">
        <v>-6685.45</v>
      </c>
      <c r="L499" s="941"/>
      <c r="M499" s="810"/>
      <c r="N499" s="886">
        <v>-4519.5600000000004</v>
      </c>
      <c r="O499" s="941"/>
      <c r="P499" s="810"/>
      <c r="Q499" s="886">
        <v>-4354.1000000000004</v>
      </c>
      <c r="R499" s="941"/>
      <c r="S499" s="810"/>
      <c r="T499" s="886">
        <v>-4607.6499999999996</v>
      </c>
      <c r="U499" s="941"/>
      <c r="V499" s="810"/>
      <c r="W499" s="886">
        <v>-4255.74</v>
      </c>
      <c r="X499" s="941"/>
      <c r="Y499" s="810"/>
      <c r="Z499" s="886">
        <v>-2872.23</v>
      </c>
      <c r="AA499" s="941"/>
      <c r="AB499" s="810"/>
      <c r="AC499" s="886">
        <v>-1789.84</v>
      </c>
      <c r="AD499" s="941"/>
      <c r="AE499" s="810"/>
      <c r="AF499" s="886">
        <v>-1458.19</v>
      </c>
      <c r="AG499" s="941"/>
      <c r="AH499" s="810"/>
      <c r="AI499" s="886">
        <v>-1488.59</v>
      </c>
      <c r="AJ499" s="941"/>
      <c r="AK499" s="810"/>
      <c r="AL499" s="886">
        <v>-1488.59</v>
      </c>
      <c r="AM499" s="941"/>
      <c r="AN499" s="810"/>
      <c r="AO499" s="886">
        <v>-1207.6500000000001</v>
      </c>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thickBot="1">
      <c r="A500" s="39" t="str">
        <f t="shared" si="8"/>
        <v>[...]</v>
      </c>
      <c r="B500" s="77" t="s">
        <v>59</v>
      </c>
      <c r="C500" s="810"/>
      <c r="D500" s="810"/>
      <c r="E500" s="938"/>
      <c r="F500" s="941"/>
      <c r="G500" s="810"/>
      <c r="H500" s="886">
        <v>0</v>
      </c>
      <c r="I500" s="941"/>
      <c r="J500" s="810"/>
      <c r="K500" s="886">
        <v>0</v>
      </c>
      <c r="L500" s="941"/>
      <c r="M500" s="810"/>
      <c r="N500" s="886">
        <v>0</v>
      </c>
      <c r="O500" s="941"/>
      <c r="P500" s="810"/>
      <c r="Q500" s="886">
        <v>0</v>
      </c>
      <c r="R500" s="941"/>
      <c r="S500" s="810"/>
      <c r="T500" s="886">
        <v>0</v>
      </c>
      <c r="U500" s="941"/>
      <c r="V500" s="810"/>
      <c r="W500" s="886">
        <v>0</v>
      </c>
      <c r="X500" s="941"/>
      <c r="Y500" s="810"/>
      <c r="Z500" s="886">
        <v>0</v>
      </c>
      <c r="AA500" s="941"/>
      <c r="AB500" s="810"/>
      <c r="AC500" s="886">
        <v>0</v>
      </c>
      <c r="AD500" s="941"/>
      <c r="AE500" s="810"/>
      <c r="AF500" s="886">
        <v>0</v>
      </c>
      <c r="AG500" s="941"/>
      <c r="AH500" s="810"/>
      <c r="AI500" s="886">
        <v>0</v>
      </c>
      <c r="AJ500" s="941"/>
      <c r="AK500" s="810"/>
      <c r="AL500" s="886">
        <v>0</v>
      </c>
      <c r="AM500" s="941"/>
      <c r="AN500" s="810"/>
      <c r="AO500" s="886">
        <v>0</v>
      </c>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thickTop="1" thickBot="1">
      <c r="A501" s="33"/>
      <c r="B501" s="78" t="s">
        <v>225</v>
      </c>
      <c r="C501" s="942" t="s">
        <v>219</v>
      </c>
      <c r="D501" s="943">
        <v>1.6408998091399746E-2</v>
      </c>
      <c r="E501" s="944">
        <v>1029772.2899999905</v>
      </c>
      <c r="F501" s="945" t="s">
        <v>219</v>
      </c>
      <c r="G501" s="943">
        <v>9.0147187851284342E-3</v>
      </c>
      <c r="H501" s="946">
        <v>-57642.000000000546</v>
      </c>
      <c r="I501" s="945" t="s">
        <v>219</v>
      </c>
      <c r="J501" s="943">
        <v>1.0090147187851299</v>
      </c>
      <c r="K501" s="946">
        <v>25226.749999999523</v>
      </c>
      <c r="L501" s="945" t="s">
        <v>219</v>
      </c>
      <c r="M501" s="943">
        <v>1.0090147187851299</v>
      </c>
      <c r="N501" s="946">
        <v>128812.56999999878</v>
      </c>
      <c r="O501" s="945" t="s">
        <v>219</v>
      </c>
      <c r="P501" s="943">
        <v>1.0090147187851299</v>
      </c>
      <c r="Q501" s="946">
        <v>236019.95999999918</v>
      </c>
      <c r="R501" s="945" t="s">
        <v>219</v>
      </c>
      <c r="S501" s="943">
        <v>2.0090147187851302</v>
      </c>
      <c r="T501" s="946">
        <v>111324.86999999956</v>
      </c>
      <c r="U501" s="945" t="s">
        <v>219</v>
      </c>
      <c r="V501" s="943">
        <v>3.0090147187851302</v>
      </c>
      <c r="W501" s="946">
        <v>13850.359999999413</v>
      </c>
      <c r="X501" s="945" t="s">
        <v>219</v>
      </c>
      <c r="Y501" s="943">
        <v>3.0090147187851302</v>
      </c>
      <c r="Z501" s="946">
        <v>190691.55999999848</v>
      </c>
      <c r="AA501" s="945" t="s">
        <v>219</v>
      </c>
      <c r="AB501" s="943">
        <v>3.0090147187851302</v>
      </c>
      <c r="AC501" s="946">
        <v>100955.57999999789</v>
      </c>
      <c r="AD501" s="945" t="s">
        <v>219</v>
      </c>
      <c r="AE501" s="943">
        <v>3.0090147187851302</v>
      </c>
      <c r="AF501" s="946">
        <v>31246.539999999739</v>
      </c>
      <c r="AG501" s="945" t="s">
        <v>219</v>
      </c>
      <c r="AH501" s="943">
        <v>3.0090147187851302</v>
      </c>
      <c r="AI501" s="946">
        <v>116690.55999999892</v>
      </c>
      <c r="AJ501" s="945" t="s">
        <v>219</v>
      </c>
      <c r="AK501" s="943">
        <v>3.0090147187851302</v>
      </c>
      <c r="AL501" s="946">
        <v>171108.61999999848</v>
      </c>
      <c r="AM501" s="945" t="s">
        <v>219</v>
      </c>
      <c r="AN501" s="943">
        <v>3.0090147187851302</v>
      </c>
      <c r="AO501" s="946">
        <v>-38513.079999999274</v>
      </c>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thickTop="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conditionalFormatting sqref="C6 C9 E9:F9 C11:C17 E11:F17 C19:C27 E19:F27 D122:E124 C159:AO160 C167:AO167 C168:D170 E169:E170 C213:D213 C214:AO231 C232:D232 C235:AO235 C236:D238 E237:E238 C242:AO243 C246:AO246 C255:AO268 C269:D269 C291:AO291 C292:D293 E293 C297:AO332 C333:D333 C355:AO355 C356:D358 C399:AO402 C403:D403">
    <cfRule type="expression" priority="34" stopIfTrue="1">
      <formula>"esterreur(reference)"</formula>
    </cfRule>
  </conditionalFormatting>
  <conditionalFormatting sqref="C94">
    <cfRule type="expression" priority="12" stopIfTrue="1">
      <formula>"esterreur(reference)"</formula>
    </cfRule>
  </conditionalFormatting>
  <conditionalFormatting sqref="C173">
    <cfRule type="expression" priority="10" stopIfTrue="1">
      <formula>"esterreur(reference)"</formula>
    </cfRule>
  </conditionalFormatting>
  <conditionalFormatting sqref="C241">
    <cfRule type="expression" priority="8" stopIfTrue="1">
      <formula>"esterreur(reference)"</formula>
    </cfRule>
  </conditionalFormatting>
  <conditionalFormatting sqref="C296">
    <cfRule type="expression" priority="6" stopIfTrue="1">
      <formula>"esterreur(reference)"</formula>
    </cfRule>
  </conditionalFormatting>
  <conditionalFormatting sqref="C361">
    <cfRule type="expression" priority="4" stopIfTrue="1">
      <formula>"esterreur(reference)"</formula>
    </cfRule>
  </conditionalFormatting>
  <conditionalFormatting sqref="C407">
    <cfRule type="expression" priority="2" stopIfTrue="1">
      <formula>"esterreur(reference)"</formula>
    </cfRule>
  </conditionalFormatting>
  <conditionalFormatting sqref="C253:D257 F253:G257 I253:J257 L253:M257 O253:P257 R253:S257 U253:V257 X253:Y257 AA253:AB257 AD253:AE257 AG253:AH257 AJ253:AK257 AM253:AN257">
    <cfRule type="expression" priority="29" stopIfTrue="1">
      <formula>"esterreur(reference)"</formula>
    </cfRule>
  </conditionalFormatting>
  <conditionalFormatting sqref="C28:AO75">
    <cfRule type="expression" priority="27" stopIfTrue="1">
      <formula>"esterreur(reference)"</formula>
    </cfRule>
  </conditionalFormatting>
  <conditionalFormatting sqref="C86:AO91 C93:AO93 H169:AO170 C172:AO172 H237:AO238 C240:AO240 H293:AO293 C295:AO295 AM356:AN358 C362:AO397 AM403:AN403">
    <cfRule type="expression" priority="16" stopIfTrue="1">
      <formula>"esterreur(reference)"</formula>
    </cfRule>
  </conditionalFormatting>
  <conditionalFormatting sqref="C97:AO121">
    <cfRule type="expression" priority="1" stopIfTrue="1">
      <formula>"esterreur(reference)"</formula>
    </cfRule>
  </conditionalFormatting>
  <conditionalFormatting sqref="C125:AO156">
    <cfRule type="expression" priority="14" stopIfTrue="1">
      <formula>"esterreur(reference)"</formula>
    </cfRule>
  </conditionalFormatting>
  <conditionalFormatting sqref="C174:AO212 E256">
    <cfRule type="expression" priority="28" stopIfTrue="1">
      <formula>"esterreur(reference)"</formula>
    </cfRule>
  </conditionalFormatting>
  <conditionalFormatting sqref="C270:AO288">
    <cfRule type="expression" priority="33" stopIfTrue="1">
      <formula>"esterreur(reference)"</formula>
    </cfRule>
  </conditionalFormatting>
  <conditionalFormatting sqref="C334:AO352">
    <cfRule type="expression" priority="32" stopIfTrue="1">
      <formula>"esterreur(reference)"</formula>
    </cfRule>
  </conditionalFormatting>
  <conditionalFormatting sqref="C360:AO360">
    <cfRule type="expression" priority="15" stopIfTrue="1">
      <formula>"esterreur(reference)"</formula>
    </cfRule>
  </conditionalFormatting>
  <conditionalFormatting sqref="D398">
    <cfRule type="expression" priority="31" stopIfTrue="1">
      <formula>"esterreur(reference)"</formula>
    </cfRule>
  </conditionalFormatting>
  <conditionalFormatting sqref="E253:E254">
    <cfRule type="expression" priority="30" stopIfTrue="1">
      <formula>"esterreur(reference)"</formula>
    </cfRule>
  </conditionalFormatting>
  <conditionalFormatting sqref="F6 I6 L6 O6 R6 U6 X6 AA6 AD6 AG6 AJ6 AM6 H9:I9 K9:L9 N9:O9 Q9:R9 T9:U9 W9:X9 Z9:AA9 AC9:AD9 AF9:AG9 AI9:AJ9 AL9:AM9 AO9 H11:I17 K11:L17 N11:O17 Q11:R17 T11:U17 W11:X17 Z11:AA17 AC11:AD17 AF11:AG17 AI11:AJ17 AL11:AM17 AO11:AO17 H19:I27 K19:L27 N19:O27 Q19:R27 T19:U27 W19:X27 Z19:AA27 AC19:AD27 AF19:AG27 AI19:AJ27 AL19:AM27 AO19:AO27 G122:H124 J122:K124 M122:N124 P122:Q124 S122:T124 V122:W124 Y122:Z124 AB122:AC124 AE122:AF124 AH122:AI124 AK122:AL124 AN122:AO124 I168:J168 L168:M168 O168:P168 R168:S168 U168:V168 X168:Y168 AA168:AB168 AD168:AE168 AG168:AH168 AJ168:AK168 AM168:AN168 F168:G170 F213:G213 I213:J213 L213:M213 O213:P213 R213:S213 U213:V213 X213:Y213 AA213:AB213 AD213:AE213 AG213:AH213 AJ213:AK213 AM213:AN213 F232:G232 I232:J232 L232:M232 O232:P232 R232:S232 U232:V232 X232:Y232 AA232:AB232 AD232:AE232 AG232:AH232 AJ232:AK232 AM232:AN232 I236:J236 L236:M236 O236:P236 R236:S236 U236:V236 X236:Y236 AA236:AB236 AD236:AE236 AG236:AH236 AJ236:AK236 AM236:AN236 F236:G238 C252:AO252 H253:H254 K253:K254 N253:N254 Q253:Q254 T253:T254 W253:W254 Z253:Z254 AC253:AC254 AF253:AF254 AI253:AI254 AL253:AL254 AO253:AO254 F269:G269 I269:J269 L269:M269 O269:P269 R269:S269 U269:V269 X269:Y269 AA269:AB269 AD269:AE269 AG269:AH269 AJ269:AK269 AM269:AN269 I292:J292 L292:M292 O292:P292 R292:S292 U292:V292 X292:Y292 AA292:AB292 AD292:AE292 AG292:AH292 AJ292:AK292 AM292:AN292 F292:G293 F333:G333 I333:J333 L333:M333 O333:P333 R333:S333 U333:V333 X333:Y333 AA333:AB333 AD333:AE333 AG333:AH333 AJ333:AK333 AM333:AN333 F356:G358 F403:G403">
    <cfRule type="expression" priority="36" stopIfTrue="1">
      <formula>"esterreur(reference)"</formula>
    </cfRule>
  </conditionalFormatting>
  <conditionalFormatting sqref="F94 I94 L94 O94 R94 U94 X94 AA94 AD94 AG94 AJ94 AM94">
    <cfRule type="expression" priority="13" stopIfTrue="1">
      <formula>"esterreur(reference)"</formula>
    </cfRule>
  </conditionalFormatting>
  <conditionalFormatting sqref="F173 I173 L173 O173 R173 U173 X173 AA173 AD173 AG173 AJ173 AM173">
    <cfRule type="expression" priority="11" stopIfTrue="1">
      <formula>"esterreur(reference)"</formula>
    </cfRule>
  </conditionalFormatting>
  <conditionalFormatting sqref="F241 I241 L241 O241 R241 U241 X241 AA241 AD241 AG241 AJ241 AM241">
    <cfRule type="expression" priority="9" stopIfTrue="1">
      <formula>"esterreur(reference)"</formula>
    </cfRule>
  </conditionalFormatting>
  <conditionalFormatting sqref="F296 I296 L296 O296 R296 U296 X296 AA296 AD296 AG296 AJ296 AM296">
    <cfRule type="expression" priority="7" stopIfTrue="1">
      <formula>"esterreur(reference)"</formula>
    </cfRule>
  </conditionalFormatting>
  <conditionalFormatting sqref="F361 I361 L361 O361 R361 U361 X361 AA361 AD361 AG361 AJ361 AM361">
    <cfRule type="expression" priority="5" stopIfTrue="1">
      <formula>"esterreur(reference)"</formula>
    </cfRule>
  </conditionalFormatting>
  <conditionalFormatting sqref="F407 I407 L407 O407 R407 U407 X407 AA407 AD407 AG407 AJ407 AM407">
    <cfRule type="expression" priority="3" stopIfTrue="1">
      <formula>"esterreur(reference)"</formula>
    </cfRule>
  </conditionalFormatting>
  <conditionalFormatting sqref="G398 J398 M398 P398 S398 V398 Y398 AB398 AE398 AH398 AK398 AN398">
    <cfRule type="expression" priority="35" stopIfTrue="1">
      <formula>"esterreur(reference)"</formula>
    </cfRule>
  </conditionalFormatting>
  <conditionalFormatting sqref="I356:J358 I403:J403">
    <cfRule type="expression" priority="26" stopIfTrue="1">
      <formula>"esterreur(reference)"</formula>
    </cfRule>
  </conditionalFormatting>
  <conditionalFormatting sqref="L356:M358 L403:M403">
    <cfRule type="expression" priority="25" stopIfTrue="1">
      <formula>"esterreur(reference)"</formula>
    </cfRule>
  </conditionalFormatting>
  <conditionalFormatting sqref="O356:P358 O403:P403">
    <cfRule type="expression" priority="24" stopIfTrue="1">
      <formula>"esterreur(reference)"</formula>
    </cfRule>
  </conditionalFormatting>
  <conditionalFormatting sqref="R356:S358 R403:S403">
    <cfRule type="expression" priority="23" stopIfTrue="1">
      <formula>"esterreur(reference)"</formula>
    </cfRule>
  </conditionalFormatting>
  <conditionalFormatting sqref="U356:V358 U403:V403">
    <cfRule type="expression" priority="22" stopIfTrue="1">
      <formula>"esterreur(reference)"</formula>
    </cfRule>
  </conditionalFormatting>
  <conditionalFormatting sqref="X356:Y358 X403:Y403">
    <cfRule type="expression" priority="21" stopIfTrue="1">
      <formula>"esterreur(reference)"</formula>
    </cfRule>
  </conditionalFormatting>
  <conditionalFormatting sqref="AA356:AB358 AA403:AB403">
    <cfRule type="expression" priority="20" stopIfTrue="1">
      <formula>"esterreur(reference)"</formula>
    </cfRule>
  </conditionalFormatting>
  <conditionalFormatting sqref="AD356:AE358 AD403:AE403">
    <cfRule type="expression" priority="19" stopIfTrue="1">
      <formula>"esterreur(reference)"</formula>
    </cfRule>
  </conditionalFormatting>
  <conditionalFormatting sqref="AG356:AH358 AG403:AH403">
    <cfRule type="expression" priority="18" stopIfTrue="1">
      <formula>"esterreur(reference)"</formula>
    </cfRule>
  </conditionalFormatting>
  <conditionalFormatting sqref="AJ356:AK358 AJ403:AK403">
    <cfRule type="expression" priority="17"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999"/>
  <sheetViews>
    <sheetView topLeftCell="B1" workbookViewId="0">
      <selection activeCell="H9" sqref="H9"/>
    </sheetView>
  </sheetViews>
  <sheetFormatPr baseColWidth="10" defaultColWidth="12.58203125" defaultRowHeight="15" customHeight="1"/>
  <cols>
    <col min="1" max="1" width="11.58203125" hidden="1" customWidth="1"/>
    <col min="2" max="2" width="12.08203125" customWidth="1"/>
    <col min="3" max="3" width="27" customWidth="1"/>
    <col min="4" max="4" width="22.6640625" customWidth="1"/>
    <col min="5" max="7" width="13.58203125" customWidth="1"/>
    <col min="8" max="19" width="10.5" customWidth="1"/>
    <col min="20" max="20" width="37.9140625" customWidth="1"/>
    <col min="21" max="26" width="11" customWidth="1"/>
  </cols>
  <sheetData>
    <row r="1" spans="1:26" ht="31">
      <c r="A1" s="95" t="s">
        <v>226</v>
      </c>
      <c r="B1" s="95" t="s">
        <v>226</v>
      </c>
      <c r="C1" s="3"/>
      <c r="D1" s="95"/>
      <c r="E1" s="95"/>
      <c r="F1" s="95"/>
      <c r="G1" s="95"/>
      <c r="H1" s="95"/>
      <c r="I1" s="95"/>
      <c r="J1" s="95"/>
      <c r="K1" s="95"/>
      <c r="L1" s="95"/>
      <c r="M1" s="95"/>
      <c r="N1" s="95"/>
      <c r="O1" s="95"/>
      <c r="P1" s="95"/>
      <c r="Q1" s="95"/>
      <c r="R1" s="95"/>
      <c r="S1" s="95"/>
      <c r="T1" s="95"/>
      <c r="U1" s="3"/>
      <c r="V1" s="3"/>
      <c r="W1" s="3"/>
      <c r="X1" s="3"/>
      <c r="Y1" s="3"/>
      <c r="Z1" s="3"/>
    </row>
    <row r="2" spans="1:26" ht="21">
      <c r="A2" s="96" t="s">
        <v>227</v>
      </c>
      <c r="B2" s="96" t="s">
        <v>3932</v>
      </c>
      <c r="C2" s="3"/>
      <c r="D2" s="96"/>
      <c r="E2" s="96"/>
      <c r="F2" s="96"/>
      <c r="G2" s="96"/>
      <c r="H2" s="97">
        <v>1</v>
      </c>
      <c r="I2" s="97">
        <v>2</v>
      </c>
      <c r="J2" s="97">
        <v>3</v>
      </c>
      <c r="K2" s="97">
        <v>4</v>
      </c>
      <c r="L2" s="97">
        <v>5</v>
      </c>
      <c r="M2" s="97">
        <v>6</v>
      </c>
      <c r="N2" s="97">
        <v>7</v>
      </c>
      <c r="O2" s="97">
        <v>8</v>
      </c>
      <c r="P2" s="97">
        <v>9</v>
      </c>
      <c r="Q2" s="97">
        <v>10</v>
      </c>
      <c r="R2" s="97">
        <v>11</v>
      </c>
      <c r="S2" s="97">
        <v>12</v>
      </c>
      <c r="T2" s="96"/>
      <c r="U2" s="3"/>
      <c r="V2" s="3"/>
      <c r="W2" s="3"/>
      <c r="X2" s="3"/>
      <c r="Y2" s="3"/>
      <c r="Z2" s="3"/>
    </row>
    <row r="3" spans="1:26" ht="14.5">
      <c r="A3" s="3"/>
      <c r="B3" s="3"/>
      <c r="C3" s="3"/>
      <c r="D3" s="33"/>
      <c r="E3" s="33"/>
      <c r="F3" s="33"/>
      <c r="G3" s="33"/>
      <c r="H3" s="98" t="str">
        <f>+IF(VLOOKUP(H2,Parametres!$L$3:$N$14,3,0)="X","REEL","FORECAST")</f>
        <v>REEL</v>
      </c>
      <c r="I3" s="98" t="str">
        <f>+IF(VLOOKUP(I2,Parametres!$L$3:$N$14,3,0)="X","REEL","FORECAST")</f>
        <v>REEL</v>
      </c>
      <c r="J3" s="98" t="str">
        <f>+IF(VLOOKUP(J2,Parametres!$L$3:$N$14,3,0)="X","REEL","FORECAST")</f>
        <v>FORECAST</v>
      </c>
      <c r="K3" s="98" t="str">
        <f>+IF(VLOOKUP(K2,Parametres!$L$3:$N$14,3,0)="X","REEL","FORECAST")</f>
        <v>FORECAST</v>
      </c>
      <c r="L3" s="98" t="str">
        <f>+IF(VLOOKUP(L2,Parametres!$L$3:$N$14,3,0)="X","REEL","FORECAST")</f>
        <v>FORECAST</v>
      </c>
      <c r="M3" s="98" t="str">
        <f>+IF(VLOOKUP(M2,Parametres!$L$3:$N$14,3,0)="X","REEL","FORECAST")</f>
        <v>FORECAST</v>
      </c>
      <c r="N3" s="98" t="str">
        <f>+IF(VLOOKUP(N2,Parametres!$L$3:$N$14,3,0)="X","REEL","FORECAST")</f>
        <v>FORECAST</v>
      </c>
      <c r="O3" s="98" t="str">
        <f>+IF(VLOOKUP(O2,Parametres!$L$3:$N$14,3,0)="X","REEL","FORECAST")</f>
        <v>FORECAST</v>
      </c>
      <c r="P3" s="98" t="str">
        <f>+IF(VLOOKUP(P2,Parametres!$L$3:$N$14,3,0)="X","REEL","FORECAST")</f>
        <v>FORECAST</v>
      </c>
      <c r="Q3" s="98" t="str">
        <f>+IF(VLOOKUP(Q2,Parametres!$L$3:$N$14,3,0)="X","REEL","FORECAST")</f>
        <v>FORECAST</v>
      </c>
      <c r="R3" s="98" t="str">
        <f>+IF(VLOOKUP(R2,Parametres!$L$3:$N$14,3,0)="X","REEL","FORECAST")</f>
        <v>FORECAST</v>
      </c>
      <c r="S3" s="98" t="str">
        <f>+IF(VLOOKUP(S2,Parametres!$L$3:$N$14,3,0)="X","REEL","FORECAST")</f>
        <v>FORECAST</v>
      </c>
      <c r="T3" s="3"/>
      <c r="U3" s="3"/>
      <c r="V3" s="3"/>
      <c r="W3" s="3"/>
      <c r="X3" s="3"/>
      <c r="Y3" s="3"/>
      <c r="Z3" s="3"/>
    </row>
    <row r="4" spans="1:26" ht="30" customHeight="1">
      <c r="A4" s="1227" t="s">
        <v>228</v>
      </c>
      <c r="B4" s="1227" t="s">
        <v>229</v>
      </c>
      <c r="C4" s="99" t="s">
        <v>230</v>
      </c>
      <c r="D4" s="100" t="s">
        <v>231</v>
      </c>
      <c r="E4" s="101" t="s">
        <v>232</v>
      </c>
      <c r="F4" s="99" t="s">
        <v>233</v>
      </c>
      <c r="G4" s="99" t="s">
        <v>234</v>
      </c>
      <c r="H4" s="101" t="s">
        <v>235</v>
      </c>
      <c r="I4" s="99" t="s">
        <v>236</v>
      </c>
      <c r="J4" s="99" t="s">
        <v>237</v>
      </c>
      <c r="K4" s="99" t="s">
        <v>238</v>
      </c>
      <c r="L4" s="99" t="s">
        <v>239</v>
      </c>
      <c r="M4" s="99" t="s">
        <v>240</v>
      </c>
      <c r="N4" s="99" t="s">
        <v>241</v>
      </c>
      <c r="O4" s="99" t="s">
        <v>242</v>
      </c>
      <c r="P4" s="99" t="s">
        <v>243</v>
      </c>
      <c r="Q4" s="99" t="s">
        <v>244</v>
      </c>
      <c r="R4" s="99" t="s">
        <v>245</v>
      </c>
      <c r="S4" s="99" t="s">
        <v>246</v>
      </c>
      <c r="T4" s="102" t="s">
        <v>247</v>
      </c>
      <c r="U4" s="1"/>
      <c r="V4" s="1"/>
      <c r="W4" s="1"/>
      <c r="X4" s="1"/>
      <c r="Y4" s="1"/>
      <c r="Z4" s="1"/>
    </row>
    <row r="5" spans="1:26" ht="30" customHeight="1">
      <c r="A5" s="1228"/>
      <c r="B5" s="1228"/>
      <c r="C5" s="1229" t="s">
        <v>248</v>
      </c>
      <c r="D5" s="1230"/>
      <c r="E5" s="103">
        <f t="shared" ref="E5:S5" si="0">+SUM(E6:E20)</f>
        <v>30931.3</v>
      </c>
      <c r="F5" s="104">
        <f t="shared" si="0"/>
        <v>40000</v>
      </c>
      <c r="G5" s="104">
        <f t="shared" si="0"/>
        <v>-9068.7000000000007</v>
      </c>
      <c r="H5" s="105">
        <f t="shared" si="0"/>
        <v>30931.3</v>
      </c>
      <c r="I5" s="106">
        <f t="shared" si="0"/>
        <v>0</v>
      </c>
      <c r="J5" s="106">
        <f t="shared" si="0"/>
        <v>0</v>
      </c>
      <c r="K5" s="106">
        <f t="shared" si="0"/>
        <v>0</v>
      </c>
      <c r="L5" s="106">
        <f t="shared" si="0"/>
        <v>0</v>
      </c>
      <c r="M5" s="106">
        <f t="shared" si="0"/>
        <v>0</v>
      </c>
      <c r="N5" s="106">
        <f t="shared" si="0"/>
        <v>0</v>
      </c>
      <c r="O5" s="106">
        <f t="shared" si="0"/>
        <v>0</v>
      </c>
      <c r="P5" s="106">
        <f t="shared" si="0"/>
        <v>0</v>
      </c>
      <c r="Q5" s="106">
        <f t="shared" si="0"/>
        <v>0</v>
      </c>
      <c r="R5" s="106">
        <f t="shared" si="0"/>
        <v>0</v>
      </c>
      <c r="S5" s="106">
        <f t="shared" si="0"/>
        <v>0</v>
      </c>
      <c r="T5" s="107"/>
      <c r="U5" s="3"/>
      <c r="V5" s="3"/>
      <c r="W5" s="3"/>
      <c r="X5" s="1" t="s">
        <v>66</v>
      </c>
      <c r="Y5" s="3"/>
      <c r="Z5" s="3"/>
    </row>
    <row r="6" spans="1:26" ht="30" customHeight="1">
      <c r="A6" s="108" t="str">
        <f>+Parametres!$B$1</f>
        <v>Volks</v>
      </c>
      <c r="B6" s="109" t="s">
        <v>249</v>
      </c>
      <c r="C6" t="s">
        <v>3886</v>
      </c>
      <c r="D6" s="110"/>
      <c r="E6" s="111">
        <f t="shared" ref="E6:E20" si="1">+SUM(H6:S6)</f>
        <v>0</v>
      </c>
      <c r="F6" s="111">
        <v>40000</v>
      </c>
      <c r="G6" s="111">
        <f t="shared" ref="G6:G20" si="2">+E6-F6</f>
        <v>-40000</v>
      </c>
      <c r="H6" s="112"/>
      <c r="I6" s="111"/>
      <c r="J6" s="111"/>
      <c r="K6" s="111"/>
      <c r="L6" s="111"/>
      <c r="M6" s="111"/>
      <c r="N6" s="111"/>
      <c r="O6" s="111"/>
      <c r="P6" s="111"/>
      <c r="Q6" s="111"/>
      <c r="R6" s="111"/>
      <c r="S6" s="111"/>
      <c r="T6" s="113"/>
      <c r="U6" s="3"/>
      <c r="V6" s="3"/>
      <c r="W6" s="3"/>
      <c r="X6" s="3" t="s">
        <v>68</v>
      </c>
      <c r="Y6" s="3"/>
      <c r="Z6" s="3"/>
    </row>
    <row r="7" spans="1:26" ht="30" customHeight="1">
      <c r="A7" s="113" t="str">
        <f>+Parametres!$B$1</f>
        <v>Volks</v>
      </c>
      <c r="B7" s="114" t="s">
        <v>250</v>
      </c>
      <c r="C7" t="s">
        <v>3933</v>
      </c>
      <c r="D7" s="110"/>
      <c r="E7" s="112">
        <f t="shared" si="1"/>
        <v>0</v>
      </c>
      <c r="F7" s="111"/>
      <c r="G7" s="111">
        <f t="shared" si="2"/>
        <v>0</v>
      </c>
      <c r="H7" s="112"/>
      <c r="I7" s="111"/>
      <c r="J7" s="111"/>
      <c r="K7" s="111"/>
      <c r="L7" s="111"/>
      <c r="M7" s="111"/>
      <c r="N7" s="111"/>
      <c r="O7" s="111"/>
      <c r="P7" s="111"/>
      <c r="Q7" s="111"/>
      <c r="R7" s="111"/>
      <c r="S7" s="111"/>
      <c r="T7" s="113"/>
      <c r="U7" s="3"/>
      <c r="V7" s="3"/>
      <c r="W7" s="3"/>
      <c r="X7" s="3" t="s">
        <v>70</v>
      </c>
      <c r="Y7" s="3"/>
      <c r="Z7" s="3"/>
    </row>
    <row r="8" spans="1:26" ht="30" customHeight="1">
      <c r="A8" s="113" t="str">
        <f>+Parametres!$B$1</f>
        <v>Volks</v>
      </c>
      <c r="B8" s="114"/>
      <c r="C8" t="s">
        <v>3940</v>
      </c>
      <c r="D8" s="110"/>
      <c r="E8" s="112">
        <f t="shared" si="1"/>
        <v>30931.3</v>
      </c>
      <c r="F8" s="111"/>
      <c r="G8" s="111">
        <f t="shared" si="2"/>
        <v>30931.3</v>
      </c>
      <c r="H8" s="112">
        <v>30931.3</v>
      </c>
      <c r="I8" s="111"/>
      <c r="J8" s="111"/>
      <c r="K8" s="111"/>
      <c r="L8" s="111"/>
      <c r="M8" s="33"/>
      <c r="N8" s="111"/>
      <c r="O8" s="111"/>
      <c r="P8" s="111"/>
      <c r="Q8" s="111"/>
      <c r="R8" s="111"/>
      <c r="S8" s="111"/>
      <c r="T8" s="113"/>
      <c r="U8" s="3"/>
      <c r="V8" s="3"/>
      <c r="W8" s="3"/>
      <c r="X8" s="3" t="s">
        <v>75</v>
      </c>
      <c r="Y8" s="3"/>
      <c r="Z8" s="3"/>
    </row>
    <row r="9" spans="1:26" ht="30" customHeight="1">
      <c r="A9" s="113" t="str">
        <f>+Parametres!$B$1</f>
        <v>Volks</v>
      </c>
      <c r="B9" s="114"/>
      <c r="D9" s="110"/>
      <c r="E9" s="112">
        <f t="shared" si="1"/>
        <v>0</v>
      </c>
      <c r="F9" s="111"/>
      <c r="G9" s="111">
        <f t="shared" si="2"/>
        <v>0</v>
      </c>
      <c r="H9" s="112"/>
      <c r="I9" s="111"/>
      <c r="J9" s="111"/>
      <c r="K9" s="111"/>
      <c r="L9" s="111"/>
      <c r="M9" s="33"/>
      <c r="N9" s="111"/>
      <c r="O9" s="111"/>
      <c r="P9" s="111"/>
      <c r="Q9" s="111"/>
      <c r="R9" s="111"/>
      <c r="S9" s="111"/>
      <c r="T9" s="113"/>
      <c r="U9" s="3"/>
      <c r="V9" s="3"/>
      <c r="W9" s="3"/>
      <c r="X9" s="3" t="s">
        <v>76</v>
      </c>
      <c r="Y9" s="3"/>
      <c r="Z9" s="3"/>
    </row>
    <row r="10" spans="1:26" ht="30" customHeight="1">
      <c r="A10" s="113" t="str">
        <f>+Parametres!$B$1</f>
        <v>Volks</v>
      </c>
      <c r="B10" s="114"/>
      <c r="D10" s="110"/>
      <c r="E10" s="112">
        <f t="shared" si="1"/>
        <v>0</v>
      </c>
      <c r="F10" s="111"/>
      <c r="G10" s="111">
        <f t="shared" si="2"/>
        <v>0</v>
      </c>
      <c r="H10" s="112"/>
      <c r="I10" s="111"/>
      <c r="J10" s="111"/>
      <c r="K10" s="111"/>
      <c r="L10" s="111"/>
      <c r="M10" s="111"/>
      <c r="N10" s="111"/>
      <c r="O10" s="111"/>
      <c r="P10" s="111"/>
      <c r="Q10" s="111"/>
      <c r="R10" s="111"/>
      <c r="S10" s="111"/>
      <c r="T10" s="113"/>
      <c r="U10" s="3"/>
      <c r="V10" s="3"/>
      <c r="W10" s="3"/>
      <c r="X10" s="3" t="s">
        <v>77</v>
      </c>
      <c r="Y10" s="3"/>
      <c r="Z10" s="3"/>
    </row>
    <row r="11" spans="1:26" ht="30" customHeight="1">
      <c r="A11" s="113" t="str">
        <f>+Parametres!$B$1</f>
        <v>Volks</v>
      </c>
      <c r="B11" s="114"/>
      <c r="C11" s="115"/>
      <c r="D11" s="110"/>
      <c r="E11" s="112">
        <f t="shared" si="1"/>
        <v>0</v>
      </c>
      <c r="F11" s="111"/>
      <c r="G11" s="111">
        <f t="shared" si="2"/>
        <v>0</v>
      </c>
      <c r="H11" s="112"/>
      <c r="I11" s="111"/>
      <c r="J11" s="33"/>
      <c r="K11" s="33"/>
      <c r="L11" s="111"/>
      <c r="M11" s="111"/>
      <c r="N11" s="111"/>
      <c r="O11" s="111"/>
      <c r="P11" s="111"/>
      <c r="Q11" s="111"/>
      <c r="R11" s="111"/>
      <c r="S11" s="111"/>
      <c r="T11" s="113"/>
      <c r="U11" s="3"/>
      <c r="V11" s="3"/>
      <c r="W11" s="3"/>
      <c r="X11" s="3" t="s">
        <v>79</v>
      </c>
      <c r="Y11" s="3"/>
      <c r="Z11" s="3"/>
    </row>
    <row r="12" spans="1:26" ht="30" customHeight="1">
      <c r="A12" s="113" t="str">
        <f>+Parametres!$B$1</f>
        <v>Volks</v>
      </c>
      <c r="B12" s="114"/>
      <c r="C12" s="115"/>
      <c r="D12" s="110"/>
      <c r="E12" s="112">
        <f t="shared" si="1"/>
        <v>0</v>
      </c>
      <c r="F12" s="111"/>
      <c r="G12" s="111">
        <f t="shared" si="2"/>
        <v>0</v>
      </c>
      <c r="H12" s="112"/>
      <c r="I12" s="111"/>
      <c r="J12" s="33"/>
      <c r="K12" s="111"/>
      <c r="L12" s="111"/>
      <c r="M12" s="111"/>
      <c r="N12" s="111"/>
      <c r="O12" s="111"/>
      <c r="P12" s="111"/>
      <c r="Q12" s="111"/>
      <c r="R12" s="111"/>
      <c r="S12" s="111"/>
      <c r="T12" s="113"/>
      <c r="U12" s="3"/>
      <c r="V12" s="3"/>
      <c r="W12" s="3"/>
      <c r="X12" s="3"/>
      <c r="Y12" s="3"/>
      <c r="Z12" s="3"/>
    </row>
    <row r="13" spans="1:26" ht="30" customHeight="1">
      <c r="A13" s="113" t="str">
        <f>+Parametres!$B$1</f>
        <v>Volks</v>
      </c>
      <c r="B13" s="114"/>
      <c r="C13" s="115"/>
      <c r="D13" s="110"/>
      <c r="E13" s="112">
        <f t="shared" si="1"/>
        <v>0</v>
      </c>
      <c r="F13" s="111"/>
      <c r="G13" s="111">
        <f t="shared" si="2"/>
        <v>0</v>
      </c>
      <c r="H13" s="112"/>
      <c r="I13" s="111"/>
      <c r="J13" s="111"/>
      <c r="K13" s="111"/>
      <c r="L13" s="111"/>
      <c r="M13" s="111"/>
      <c r="N13" s="111"/>
      <c r="O13" s="111"/>
      <c r="P13" s="111"/>
      <c r="Q13" s="111"/>
      <c r="R13" s="111"/>
      <c r="S13" s="111"/>
      <c r="T13" s="113"/>
      <c r="U13" s="3"/>
      <c r="V13" s="3"/>
      <c r="W13" s="3"/>
      <c r="X13" s="3"/>
      <c r="Y13" s="3"/>
      <c r="Z13" s="3"/>
    </row>
    <row r="14" spans="1:26" ht="30" customHeight="1">
      <c r="A14" s="113" t="str">
        <f>+Parametres!$B$1</f>
        <v>Volks</v>
      </c>
      <c r="B14" s="114"/>
      <c r="C14" s="115"/>
      <c r="D14" s="110"/>
      <c r="E14" s="112">
        <f t="shared" si="1"/>
        <v>0</v>
      </c>
      <c r="F14" s="111"/>
      <c r="G14" s="111">
        <f t="shared" si="2"/>
        <v>0</v>
      </c>
      <c r="H14" s="112"/>
      <c r="I14" s="111"/>
      <c r="J14" s="111"/>
      <c r="K14" s="111"/>
      <c r="L14" s="111"/>
      <c r="M14" s="111"/>
      <c r="N14" s="111"/>
      <c r="O14" s="111"/>
      <c r="P14" s="111"/>
      <c r="Q14" s="111"/>
      <c r="R14" s="111"/>
      <c r="S14" s="111"/>
      <c r="T14" s="113"/>
      <c r="U14" s="3"/>
      <c r="V14" s="3"/>
      <c r="W14" s="3"/>
      <c r="X14" s="3"/>
      <c r="Y14" s="3"/>
      <c r="Z14" s="3"/>
    </row>
    <row r="15" spans="1:26" ht="30" customHeight="1">
      <c r="A15" s="113" t="str">
        <f>+Parametres!$B$1</f>
        <v>Volks</v>
      </c>
      <c r="B15" s="114"/>
      <c r="C15" s="115"/>
      <c r="D15" s="110"/>
      <c r="E15" s="112">
        <f t="shared" si="1"/>
        <v>0</v>
      </c>
      <c r="F15" s="111"/>
      <c r="G15" s="111">
        <f t="shared" si="2"/>
        <v>0</v>
      </c>
      <c r="H15" s="112"/>
      <c r="I15" s="111"/>
      <c r="J15" s="111"/>
      <c r="K15" s="111"/>
      <c r="L15" s="111"/>
      <c r="M15" s="111"/>
      <c r="N15" s="111"/>
      <c r="O15" s="111"/>
      <c r="P15" s="111"/>
      <c r="Q15" s="111"/>
      <c r="R15" s="111"/>
      <c r="S15" s="111"/>
      <c r="T15" s="113"/>
      <c r="U15" s="3"/>
      <c r="V15" s="3"/>
      <c r="W15" s="3"/>
      <c r="X15" s="3"/>
      <c r="Y15" s="3"/>
      <c r="Z15" s="3"/>
    </row>
    <row r="16" spans="1:26" ht="30" customHeight="1">
      <c r="A16" s="113" t="str">
        <f>+Parametres!$B$1</f>
        <v>Volks</v>
      </c>
      <c r="B16" s="114"/>
      <c r="C16" s="115"/>
      <c r="D16" s="110"/>
      <c r="E16" s="112">
        <f t="shared" si="1"/>
        <v>0</v>
      </c>
      <c r="F16" s="111"/>
      <c r="G16" s="111">
        <f t="shared" si="2"/>
        <v>0</v>
      </c>
      <c r="H16" s="112"/>
      <c r="I16" s="111"/>
      <c r="J16" s="111"/>
      <c r="K16" s="111"/>
      <c r="L16" s="111"/>
      <c r="M16" s="111"/>
      <c r="N16" s="111"/>
      <c r="O16" s="111"/>
      <c r="P16" s="111"/>
      <c r="Q16" s="111"/>
      <c r="R16" s="111"/>
      <c r="S16" s="111"/>
      <c r="T16" s="113"/>
      <c r="U16" s="3"/>
      <c r="V16" s="3"/>
      <c r="W16" s="3"/>
      <c r="X16" s="3"/>
      <c r="Y16" s="3"/>
      <c r="Z16" s="3"/>
    </row>
    <row r="17" spans="1:26" ht="30" customHeight="1">
      <c r="A17" s="113" t="str">
        <f>+Parametres!$B$1</f>
        <v>Volks</v>
      </c>
      <c r="B17" s="114"/>
      <c r="C17" s="115"/>
      <c r="D17" s="116"/>
      <c r="E17" s="112">
        <f t="shared" si="1"/>
        <v>0</v>
      </c>
      <c r="F17" s="111"/>
      <c r="G17" s="111">
        <f t="shared" si="2"/>
        <v>0</v>
      </c>
      <c r="H17" s="112"/>
      <c r="I17" s="111"/>
      <c r="J17" s="111"/>
      <c r="K17" s="111"/>
      <c r="L17" s="111"/>
      <c r="M17" s="111"/>
      <c r="N17" s="111"/>
      <c r="O17" s="111"/>
      <c r="P17" s="111"/>
      <c r="Q17" s="111"/>
      <c r="R17" s="111"/>
      <c r="S17" s="111"/>
      <c r="T17" s="113"/>
      <c r="U17" s="3"/>
      <c r="V17" s="3"/>
      <c r="W17" s="3"/>
      <c r="X17" s="3" t="s">
        <v>250</v>
      </c>
      <c r="Y17" s="3"/>
      <c r="Z17" s="3"/>
    </row>
    <row r="18" spans="1:26" ht="30" customHeight="1">
      <c r="A18" s="113" t="str">
        <f>+Parametres!$B$1</f>
        <v>Volks</v>
      </c>
      <c r="B18" s="114"/>
      <c r="C18" s="115"/>
      <c r="D18" s="110"/>
      <c r="E18" s="112">
        <f t="shared" si="1"/>
        <v>0</v>
      </c>
      <c r="F18" s="111"/>
      <c r="G18" s="111">
        <f t="shared" si="2"/>
        <v>0</v>
      </c>
      <c r="H18" s="112"/>
      <c r="I18" s="111"/>
      <c r="J18" s="111"/>
      <c r="K18" s="111"/>
      <c r="L18" s="111"/>
      <c r="M18" s="111"/>
      <c r="N18" s="33"/>
      <c r="O18" s="111"/>
      <c r="P18" s="111"/>
      <c r="Q18" s="111"/>
      <c r="R18" s="111"/>
      <c r="S18" s="111"/>
      <c r="T18" s="113"/>
      <c r="U18" s="3"/>
      <c r="V18" s="3"/>
      <c r="W18" s="3"/>
      <c r="X18" s="3"/>
      <c r="Y18" s="3"/>
      <c r="Z18" s="3"/>
    </row>
    <row r="19" spans="1:26" ht="30" customHeight="1">
      <c r="A19" s="113" t="str">
        <f>+Parametres!$B$1</f>
        <v>Volks</v>
      </c>
      <c r="B19" s="114"/>
      <c r="C19" s="117"/>
      <c r="D19" s="116"/>
      <c r="E19" s="112">
        <f t="shared" si="1"/>
        <v>0</v>
      </c>
      <c r="F19" s="111"/>
      <c r="G19" s="111">
        <f t="shared" si="2"/>
        <v>0</v>
      </c>
      <c r="H19" s="112"/>
      <c r="I19" s="111"/>
      <c r="J19" s="111"/>
      <c r="K19" s="111"/>
      <c r="L19" s="111"/>
      <c r="M19" s="111"/>
      <c r="N19" s="111"/>
      <c r="O19" s="111"/>
      <c r="P19" s="111"/>
      <c r="Q19" s="111"/>
      <c r="R19" s="111"/>
      <c r="S19" s="111"/>
      <c r="T19" s="113"/>
      <c r="U19" s="3"/>
      <c r="V19" s="3"/>
      <c r="W19" s="3"/>
      <c r="X19" s="3"/>
      <c r="Y19" s="3"/>
      <c r="Z19" s="3"/>
    </row>
    <row r="20" spans="1:26" ht="30" customHeight="1">
      <c r="A20" s="118" t="str">
        <f>+Parametres!$B$1</f>
        <v>Volks</v>
      </c>
      <c r="B20" s="119"/>
      <c r="C20" s="120"/>
      <c r="D20" s="121"/>
      <c r="E20" s="122">
        <f t="shared" si="1"/>
        <v>0</v>
      </c>
      <c r="F20" s="123"/>
      <c r="G20" s="123">
        <f t="shared" si="2"/>
        <v>0</v>
      </c>
      <c r="H20" s="122"/>
      <c r="I20" s="123"/>
      <c r="J20" s="123"/>
      <c r="K20" s="123"/>
      <c r="L20" s="123"/>
      <c r="M20" s="123"/>
      <c r="N20" s="123"/>
      <c r="O20" s="123"/>
      <c r="P20" s="123"/>
      <c r="Q20" s="123"/>
      <c r="R20" s="123"/>
      <c r="S20" s="123"/>
      <c r="T20" s="118"/>
      <c r="U20" s="3"/>
      <c r="V20" s="3"/>
      <c r="W20" s="3"/>
      <c r="X20" s="3"/>
      <c r="Y20" s="3"/>
      <c r="Z20" s="3"/>
    </row>
    <row r="21" spans="1:26" ht="15.75" customHeight="1">
      <c r="A21" s="3"/>
      <c r="B21" s="3"/>
      <c r="C21" s="3"/>
      <c r="D21" s="33"/>
      <c r="E21" s="33"/>
      <c r="F21" s="33"/>
      <c r="G21" s="33"/>
      <c r="H21" s="33"/>
      <c r="I21" s="33"/>
      <c r="J21" s="33"/>
      <c r="K21" s="33"/>
      <c r="L21" s="33"/>
      <c r="M21" s="33"/>
      <c r="N21" s="33"/>
      <c r="O21" s="33"/>
      <c r="P21" s="33"/>
      <c r="Q21" s="33"/>
      <c r="R21" s="33"/>
      <c r="S21" s="33"/>
      <c r="T21" s="124"/>
      <c r="U21" s="3"/>
      <c r="V21" s="3"/>
      <c r="W21" s="3"/>
      <c r="X21" s="3"/>
      <c r="Y21" s="3"/>
      <c r="Z21" s="3"/>
    </row>
    <row r="22" spans="1:26" ht="30" customHeight="1">
      <c r="A22" s="3"/>
      <c r="B22" s="3"/>
      <c r="C22" s="125"/>
      <c r="D22" s="125"/>
      <c r="E22" s="33"/>
      <c r="F22" s="33"/>
      <c r="G22" s="126"/>
      <c r="H22" s="127"/>
      <c r="I22" s="127"/>
      <c r="J22" s="127"/>
      <c r="K22" s="127"/>
      <c r="L22" s="127"/>
      <c r="M22" s="127"/>
      <c r="N22" s="127"/>
      <c r="O22" s="127"/>
      <c r="P22" s="127"/>
      <c r="Q22" s="127"/>
      <c r="R22" s="127"/>
      <c r="S22" s="127"/>
      <c r="T22" s="124"/>
      <c r="U22" s="3"/>
      <c r="V22" s="3"/>
      <c r="W22" s="3"/>
      <c r="X22" s="3"/>
      <c r="Y22" s="3"/>
      <c r="Z22" s="3"/>
    </row>
    <row r="23" spans="1:26" ht="30" customHeight="1">
      <c r="A23" s="128"/>
      <c r="B23" s="129"/>
      <c r="C23" s="130"/>
      <c r="D23" s="131"/>
      <c r="E23" s="132"/>
      <c r="F23" s="33"/>
      <c r="G23" s="33"/>
      <c r="H23" s="33"/>
      <c r="I23" s="33"/>
      <c r="J23" s="33"/>
      <c r="K23" s="33"/>
      <c r="L23" s="33"/>
      <c r="M23" s="33"/>
      <c r="N23" s="33"/>
      <c r="O23" s="33"/>
      <c r="P23" s="33"/>
      <c r="Q23" s="127"/>
      <c r="R23" s="33"/>
      <c r="S23" s="33"/>
      <c r="T23" s="124"/>
      <c r="U23" s="3"/>
      <c r="V23" s="3"/>
      <c r="W23" s="3"/>
      <c r="X23" s="3"/>
      <c r="Y23" s="3"/>
      <c r="Z23" s="3"/>
    </row>
    <row r="24" spans="1:26" ht="15.75" customHeight="1">
      <c r="A24" s="126"/>
      <c r="B24" s="133"/>
      <c r="C24" s="134"/>
      <c r="D24" s="127"/>
      <c r="E24" s="127"/>
      <c r="F24" s="33"/>
      <c r="G24" s="33"/>
      <c r="H24" s="33"/>
      <c r="I24" s="33"/>
      <c r="J24" s="33"/>
      <c r="K24" s="33"/>
      <c r="L24" s="33"/>
      <c r="M24" s="33"/>
      <c r="N24" s="33"/>
      <c r="O24" s="33"/>
      <c r="P24" s="33"/>
      <c r="Q24" s="33"/>
      <c r="R24" s="33"/>
      <c r="S24" s="33"/>
      <c r="T24" s="124"/>
      <c r="U24" s="3"/>
      <c r="V24" s="3"/>
      <c r="W24" s="3"/>
      <c r="X24" s="3"/>
      <c r="Y24" s="3"/>
      <c r="Z24" s="3"/>
    </row>
    <row r="25" spans="1:26" ht="15.75" customHeight="1">
      <c r="A25" s="126"/>
      <c r="B25" s="133"/>
      <c r="C25" s="134"/>
      <c r="D25" s="127"/>
      <c r="E25" s="127"/>
      <c r="F25" s="33"/>
      <c r="G25" s="33"/>
      <c r="H25" s="33"/>
      <c r="I25" s="33"/>
      <c r="J25" s="33"/>
      <c r="K25" s="33"/>
      <c r="L25" s="33"/>
      <c r="M25" s="33"/>
      <c r="N25" s="33"/>
      <c r="O25" s="33"/>
      <c r="P25" s="33"/>
      <c r="Q25" s="127"/>
      <c r="R25" s="33"/>
      <c r="S25" s="33"/>
      <c r="T25" s="124"/>
      <c r="U25" s="3"/>
      <c r="V25" s="3"/>
      <c r="W25" s="3"/>
      <c r="X25" s="3"/>
      <c r="Y25" s="3"/>
      <c r="Z25" s="3"/>
    </row>
    <row r="26" spans="1:26" ht="15.75" customHeight="1">
      <c r="A26" s="126"/>
      <c r="B26" s="133"/>
      <c r="C26" s="134"/>
      <c r="D26" s="127"/>
      <c r="E26" s="127"/>
      <c r="F26" s="33"/>
      <c r="G26" s="33"/>
      <c r="H26" s="33"/>
      <c r="I26" s="33"/>
      <c r="J26" s="33"/>
      <c r="K26" s="33"/>
      <c r="L26" s="33"/>
      <c r="M26" s="33"/>
      <c r="N26" s="33"/>
      <c r="O26" s="33"/>
      <c r="P26" s="33"/>
      <c r="Q26" s="33"/>
      <c r="R26" s="33"/>
      <c r="S26" s="33"/>
      <c r="T26" s="124"/>
      <c r="U26" s="3"/>
      <c r="V26" s="3"/>
      <c r="W26" s="3"/>
      <c r="X26" s="3"/>
      <c r="Y26" s="3"/>
      <c r="Z26" s="3"/>
    </row>
    <row r="27" spans="1:26" ht="15.75" customHeight="1">
      <c r="A27" s="126"/>
      <c r="B27" s="133"/>
      <c r="C27" s="134"/>
      <c r="D27" s="127"/>
      <c r="E27" s="127"/>
      <c r="F27" s="33"/>
      <c r="G27" s="33"/>
      <c r="H27" s="33"/>
      <c r="I27" s="33"/>
      <c r="J27" s="33"/>
      <c r="K27" s="33"/>
      <c r="L27" s="33"/>
      <c r="M27" s="33"/>
      <c r="N27" s="33"/>
      <c r="O27" s="33"/>
      <c r="P27" s="33"/>
      <c r="Q27" s="33"/>
      <c r="R27" s="33"/>
      <c r="S27" s="33"/>
      <c r="T27" s="124"/>
      <c r="U27" s="3"/>
      <c r="V27" s="3"/>
      <c r="W27" s="3"/>
      <c r="X27" s="3"/>
      <c r="Y27" s="3"/>
      <c r="Z27" s="3"/>
    </row>
    <row r="28" spans="1:26" ht="15.75" customHeight="1">
      <c r="A28" s="126"/>
      <c r="B28" s="133"/>
      <c r="C28" s="134"/>
      <c r="D28" s="127"/>
      <c r="E28" s="127"/>
      <c r="F28" s="33"/>
      <c r="G28" s="33"/>
      <c r="H28" s="33"/>
      <c r="I28" s="33"/>
      <c r="J28" s="33"/>
      <c r="K28" s="33"/>
      <c r="L28" s="33"/>
      <c r="M28" s="33"/>
      <c r="N28" s="33"/>
      <c r="O28" s="33"/>
      <c r="P28" s="33"/>
      <c r="Q28" s="33"/>
      <c r="R28" s="33"/>
      <c r="S28" s="33"/>
      <c r="T28" s="124"/>
      <c r="U28" s="3"/>
      <c r="V28" s="3"/>
      <c r="W28" s="3"/>
      <c r="X28" s="3"/>
      <c r="Y28" s="3"/>
      <c r="Z28" s="3"/>
    </row>
    <row r="29" spans="1:26" ht="15.75" customHeight="1">
      <c r="A29" s="126"/>
      <c r="B29" s="133"/>
      <c r="C29" s="134"/>
      <c r="D29" s="127"/>
      <c r="E29" s="127"/>
      <c r="F29" s="33"/>
      <c r="G29" s="33"/>
      <c r="H29" s="33"/>
      <c r="I29" s="33"/>
      <c r="J29" s="33"/>
      <c r="K29" s="33"/>
      <c r="L29" s="33"/>
      <c r="M29" s="33"/>
      <c r="N29" s="33"/>
      <c r="O29" s="33"/>
      <c r="P29" s="33"/>
      <c r="Q29" s="33"/>
      <c r="R29" s="33"/>
      <c r="S29" s="33"/>
      <c r="T29" s="124"/>
      <c r="U29" s="3"/>
      <c r="V29" s="3"/>
      <c r="W29" s="3"/>
      <c r="X29" s="3"/>
      <c r="Y29" s="3"/>
      <c r="Z29" s="3"/>
    </row>
    <row r="30" spans="1:26" ht="15.75" customHeight="1">
      <c r="A30" s="126"/>
      <c r="B30" s="133"/>
      <c r="C30" s="134"/>
      <c r="D30" s="127"/>
      <c r="E30" s="127"/>
      <c r="F30" s="33"/>
      <c r="G30" s="33"/>
      <c r="H30" s="33"/>
      <c r="I30" s="33"/>
      <c r="J30" s="33"/>
      <c r="K30" s="33"/>
      <c r="L30" s="33"/>
      <c r="M30" s="33"/>
      <c r="N30" s="33"/>
      <c r="O30" s="33"/>
      <c r="P30" s="33"/>
      <c r="Q30" s="33"/>
      <c r="R30" s="33"/>
      <c r="S30" s="33"/>
      <c r="T30" s="124"/>
      <c r="U30" s="3"/>
      <c r="V30" s="3"/>
      <c r="W30" s="3"/>
      <c r="X30" s="3"/>
      <c r="Y30" s="3"/>
      <c r="Z30" s="3"/>
    </row>
    <row r="31" spans="1:26" ht="15.75" customHeight="1">
      <c r="A31" s="126"/>
      <c r="B31" s="133"/>
      <c r="C31" s="134"/>
      <c r="D31" s="127"/>
      <c r="E31" s="127"/>
      <c r="F31" s="33"/>
      <c r="G31" s="33"/>
      <c r="H31" s="33"/>
      <c r="I31" s="33"/>
      <c r="J31" s="33"/>
      <c r="K31" s="33"/>
      <c r="L31" s="33"/>
      <c r="M31" s="33"/>
      <c r="N31" s="33"/>
      <c r="O31" s="33"/>
      <c r="P31" s="33"/>
      <c r="Q31" s="33"/>
      <c r="R31" s="33"/>
      <c r="S31" s="33"/>
      <c r="T31" s="124"/>
      <c r="U31" s="3"/>
      <c r="V31" s="3"/>
      <c r="W31" s="3"/>
      <c r="X31" s="3"/>
      <c r="Y31" s="3"/>
      <c r="Z31" s="3"/>
    </row>
    <row r="32" spans="1:26" ht="15.75" customHeight="1">
      <c r="A32" s="126"/>
      <c r="B32" s="3"/>
      <c r="C32" s="135"/>
      <c r="D32" s="135"/>
      <c r="E32" s="135"/>
      <c r="F32" s="33"/>
      <c r="G32" s="33"/>
      <c r="H32" s="33"/>
      <c r="I32" s="33"/>
      <c r="J32" s="33"/>
      <c r="K32" s="33"/>
      <c r="L32" s="33"/>
      <c r="M32" s="33"/>
      <c r="N32" s="33"/>
      <c r="O32" s="33"/>
      <c r="P32" s="33"/>
      <c r="Q32" s="33"/>
      <c r="R32" s="33"/>
      <c r="S32" s="33"/>
      <c r="T32" s="124"/>
      <c r="U32" s="3"/>
      <c r="V32" s="3"/>
      <c r="W32" s="3"/>
      <c r="X32" s="3"/>
      <c r="Y32" s="3"/>
      <c r="Z32" s="3"/>
    </row>
    <row r="33" spans="1:26" ht="15.75" customHeight="1">
      <c r="A33" s="126"/>
      <c r="B33" s="3"/>
      <c r="C33" s="3"/>
      <c r="D33" s="33"/>
      <c r="E33" s="33"/>
      <c r="F33" s="33"/>
      <c r="G33" s="33"/>
      <c r="H33" s="33"/>
      <c r="I33" s="33"/>
      <c r="J33" s="33"/>
      <c r="K33" s="33"/>
      <c r="L33" s="33"/>
      <c r="M33" s="33"/>
      <c r="N33" s="33"/>
      <c r="O33" s="33"/>
      <c r="P33" s="33"/>
      <c r="Q33" s="33"/>
      <c r="R33" s="33"/>
      <c r="S33" s="33"/>
      <c r="T33" s="124"/>
      <c r="U33" s="3"/>
      <c r="V33" s="3"/>
      <c r="W33" s="3"/>
      <c r="X33" s="3"/>
      <c r="Y33" s="3"/>
      <c r="Z33" s="3"/>
    </row>
    <row r="34" spans="1:26" ht="15.75" customHeight="1">
      <c r="A34" s="126"/>
      <c r="B34" s="133"/>
      <c r="C34" s="134"/>
      <c r="D34" s="127"/>
      <c r="E34" s="127"/>
      <c r="F34" s="33"/>
      <c r="G34" s="33"/>
      <c r="H34" s="33"/>
      <c r="I34" s="33"/>
      <c r="J34" s="33"/>
      <c r="K34" s="33"/>
      <c r="L34" s="33"/>
      <c r="M34" s="33"/>
      <c r="N34" s="33"/>
      <c r="O34" s="33"/>
      <c r="P34" s="33"/>
      <c r="Q34" s="33"/>
      <c r="R34" s="33"/>
      <c r="S34" s="33"/>
      <c r="T34" s="124"/>
      <c r="U34" s="3"/>
      <c r="V34" s="3"/>
      <c r="W34" s="3"/>
      <c r="X34" s="3"/>
      <c r="Y34" s="3"/>
      <c r="Z34" s="3"/>
    </row>
    <row r="35" spans="1:26" ht="15.75" customHeight="1">
      <c r="A35" s="126"/>
      <c r="B35" s="133"/>
      <c r="C35" s="134"/>
      <c r="D35" s="127"/>
      <c r="E35" s="127"/>
      <c r="F35" s="33"/>
      <c r="G35" s="33"/>
      <c r="H35" s="33"/>
      <c r="I35" s="33"/>
      <c r="J35" s="33"/>
      <c r="K35" s="33"/>
      <c r="L35" s="33"/>
      <c r="M35" s="33"/>
      <c r="N35" s="33"/>
      <c r="O35" s="33"/>
      <c r="P35" s="33"/>
      <c r="Q35" s="33"/>
      <c r="R35" s="33"/>
      <c r="S35" s="33"/>
      <c r="T35" s="124"/>
      <c r="U35" s="3"/>
      <c r="V35" s="3"/>
      <c r="W35" s="3"/>
      <c r="X35" s="3"/>
      <c r="Y35" s="3"/>
      <c r="Z35" s="3"/>
    </row>
    <row r="36" spans="1:26" ht="15.75" customHeight="1">
      <c r="A36" s="126"/>
      <c r="B36" s="133"/>
      <c r="C36" s="134"/>
      <c r="D36" s="127"/>
      <c r="E36" s="127"/>
      <c r="F36" s="33"/>
      <c r="G36" s="33"/>
      <c r="H36" s="33"/>
      <c r="I36" s="33"/>
      <c r="J36" s="33"/>
      <c r="K36" s="33"/>
      <c r="L36" s="33"/>
      <c r="M36" s="33"/>
      <c r="N36" s="33"/>
      <c r="O36" s="33"/>
      <c r="P36" s="33"/>
      <c r="Q36" s="33"/>
      <c r="R36" s="33"/>
      <c r="S36" s="33"/>
      <c r="T36" s="124"/>
      <c r="U36" s="3"/>
      <c r="V36" s="3"/>
      <c r="W36" s="3"/>
      <c r="X36" s="3"/>
      <c r="Y36" s="3"/>
      <c r="Z36" s="3"/>
    </row>
    <row r="37" spans="1:26" ht="15.75" customHeight="1">
      <c r="A37" s="126"/>
      <c r="B37" s="133"/>
      <c r="C37" s="134"/>
      <c r="D37" s="127"/>
      <c r="E37" s="127"/>
      <c r="F37" s="33"/>
      <c r="G37" s="33"/>
      <c r="H37" s="33"/>
      <c r="I37" s="33"/>
      <c r="J37" s="33"/>
      <c r="K37" s="33"/>
      <c r="L37" s="33"/>
      <c r="M37" s="33"/>
      <c r="N37" s="33"/>
      <c r="O37" s="33"/>
      <c r="P37" s="33"/>
      <c r="Q37" s="33"/>
      <c r="R37" s="33"/>
      <c r="S37" s="33"/>
      <c r="T37" s="124"/>
      <c r="U37" s="3"/>
      <c r="V37" s="3"/>
      <c r="W37" s="3"/>
      <c r="X37" s="3"/>
      <c r="Y37" s="3"/>
      <c r="Z37" s="3"/>
    </row>
    <row r="38" spans="1:26" ht="15.75" customHeight="1">
      <c r="A38" s="126"/>
      <c r="B38" s="133"/>
      <c r="C38" s="134"/>
      <c r="D38" s="127"/>
      <c r="E38" s="127"/>
      <c r="F38" s="33"/>
      <c r="G38" s="33"/>
      <c r="H38" s="33"/>
      <c r="I38" s="33"/>
      <c r="J38" s="33"/>
      <c r="K38" s="33"/>
      <c r="L38" s="33"/>
      <c r="M38" s="33"/>
      <c r="N38" s="33"/>
      <c r="O38" s="33"/>
      <c r="P38" s="33"/>
      <c r="Q38" s="33"/>
      <c r="R38" s="33"/>
      <c r="S38" s="33"/>
      <c r="T38" s="124"/>
      <c r="U38" s="3"/>
      <c r="V38" s="3"/>
      <c r="W38" s="3"/>
      <c r="X38" s="3"/>
      <c r="Y38" s="3"/>
      <c r="Z38" s="3"/>
    </row>
    <row r="39" spans="1:26" ht="15.75" customHeight="1">
      <c r="A39" s="126"/>
      <c r="B39" s="133"/>
      <c r="C39" s="134"/>
      <c r="D39" s="127"/>
      <c r="E39" s="127"/>
      <c r="F39" s="33"/>
      <c r="G39" s="33"/>
      <c r="H39" s="33"/>
      <c r="I39" s="33"/>
      <c r="J39" s="33"/>
      <c r="K39" s="33"/>
      <c r="L39" s="33"/>
      <c r="M39" s="33"/>
      <c r="N39" s="33"/>
      <c r="O39" s="33"/>
      <c r="P39" s="33"/>
      <c r="Q39" s="33"/>
      <c r="R39" s="33"/>
      <c r="S39" s="33"/>
      <c r="T39" s="124"/>
      <c r="U39" s="3"/>
      <c r="V39" s="3"/>
      <c r="W39" s="3"/>
      <c r="X39" s="3"/>
      <c r="Y39" s="3"/>
      <c r="Z39" s="3"/>
    </row>
    <row r="40" spans="1:26" ht="15.75" customHeight="1">
      <c r="A40" s="126"/>
      <c r="B40" s="133"/>
      <c r="C40" s="134"/>
      <c r="D40" s="127"/>
      <c r="E40" s="127"/>
      <c r="F40" s="33"/>
      <c r="G40" s="33"/>
      <c r="H40" s="33"/>
      <c r="I40" s="33"/>
      <c r="J40" s="33"/>
      <c r="K40" s="33"/>
      <c r="L40" s="33"/>
      <c r="M40" s="33"/>
      <c r="N40" s="33"/>
      <c r="O40" s="33"/>
      <c r="P40" s="33"/>
      <c r="Q40" s="33"/>
      <c r="R40" s="33"/>
      <c r="S40" s="33"/>
      <c r="T40" s="124"/>
      <c r="U40" s="3"/>
      <c r="V40" s="3"/>
      <c r="W40" s="3"/>
      <c r="X40" s="3"/>
      <c r="Y40" s="3"/>
      <c r="Z40" s="3"/>
    </row>
    <row r="41" spans="1:26" ht="15.75" customHeight="1">
      <c r="A41" s="3"/>
      <c r="B41" s="3"/>
      <c r="C41" s="134"/>
      <c r="D41" s="127"/>
      <c r="E41" s="127"/>
      <c r="F41" s="33"/>
      <c r="G41" s="33"/>
      <c r="H41" s="33"/>
      <c r="I41" s="33"/>
      <c r="J41" s="33"/>
      <c r="K41" s="33"/>
      <c r="L41" s="33"/>
      <c r="M41" s="33"/>
      <c r="N41" s="33"/>
      <c r="O41" s="33"/>
      <c r="P41" s="33"/>
      <c r="Q41" s="33"/>
      <c r="R41" s="33"/>
      <c r="S41" s="33"/>
      <c r="T41" s="124"/>
      <c r="U41" s="3"/>
      <c r="V41" s="3"/>
      <c r="W41" s="3"/>
      <c r="X41" s="3"/>
      <c r="Y41" s="3"/>
      <c r="Z41" s="3"/>
    </row>
    <row r="42" spans="1:26" ht="15.75" customHeight="1">
      <c r="A42" s="3"/>
      <c r="B42" s="3"/>
      <c r="C42" s="136"/>
      <c r="D42" s="136"/>
      <c r="E42" s="136"/>
      <c r="F42" s="33"/>
      <c r="G42" s="33"/>
      <c r="H42" s="33"/>
      <c r="I42" s="33"/>
      <c r="J42" s="33"/>
      <c r="K42" s="33"/>
      <c r="L42" s="33"/>
      <c r="M42" s="33"/>
      <c r="N42" s="33"/>
      <c r="O42" s="33"/>
      <c r="P42" s="33"/>
      <c r="Q42" s="33"/>
      <c r="R42" s="33"/>
      <c r="S42" s="33"/>
      <c r="T42" s="124"/>
      <c r="U42" s="3"/>
      <c r="V42" s="3"/>
      <c r="W42" s="3"/>
      <c r="X42" s="3"/>
      <c r="Y42" s="3"/>
      <c r="Z42" s="3"/>
    </row>
    <row r="43" spans="1:26" ht="15.75" customHeight="1">
      <c r="A43" s="3"/>
      <c r="B43" s="3"/>
      <c r="C43" s="3"/>
      <c r="D43" s="33"/>
      <c r="E43" s="33"/>
      <c r="F43" s="33"/>
      <c r="G43" s="33"/>
      <c r="H43" s="33"/>
      <c r="I43" s="33"/>
      <c r="J43" s="33"/>
      <c r="K43" s="33"/>
      <c r="L43" s="33"/>
      <c r="M43" s="33"/>
      <c r="N43" s="33"/>
      <c r="O43" s="33"/>
      <c r="P43" s="33"/>
      <c r="Q43" s="33"/>
      <c r="R43" s="33"/>
      <c r="S43" s="33"/>
      <c r="T43" s="124"/>
      <c r="U43" s="3"/>
      <c r="V43" s="3"/>
      <c r="W43" s="3"/>
      <c r="X43" s="3"/>
      <c r="Y43" s="3"/>
      <c r="Z43" s="3"/>
    </row>
    <row r="44" spans="1:26" ht="15.75" customHeight="1">
      <c r="A44" s="3"/>
      <c r="B44" s="3"/>
      <c r="C44" s="137"/>
      <c r="D44" s="137"/>
      <c r="E44" s="137"/>
      <c r="F44" s="33"/>
      <c r="G44" s="33"/>
      <c r="H44" s="33"/>
      <c r="I44" s="33"/>
      <c r="J44" s="33"/>
      <c r="K44" s="33"/>
      <c r="L44" s="33"/>
      <c r="M44" s="33"/>
      <c r="N44" s="33"/>
      <c r="O44" s="33"/>
      <c r="P44" s="33"/>
      <c r="Q44" s="33"/>
      <c r="R44" s="33"/>
      <c r="S44" s="33"/>
      <c r="T44" s="124"/>
      <c r="U44" s="3"/>
      <c r="V44" s="3"/>
      <c r="W44" s="3"/>
      <c r="X44" s="3"/>
      <c r="Y44" s="3"/>
      <c r="Z44" s="3"/>
    </row>
    <row r="45" spans="1:26" ht="15.75" customHeight="1">
      <c r="A45" s="3"/>
      <c r="B45" s="3"/>
      <c r="C45" s="3"/>
      <c r="D45" s="33"/>
      <c r="E45" s="33"/>
      <c r="F45" s="33"/>
      <c r="G45" s="33"/>
      <c r="H45" s="33"/>
      <c r="I45" s="33"/>
      <c r="J45" s="33"/>
      <c r="K45" s="33"/>
      <c r="L45" s="33"/>
      <c r="M45" s="33"/>
      <c r="N45" s="33"/>
      <c r="O45" s="33"/>
      <c r="P45" s="33"/>
      <c r="Q45" s="33"/>
      <c r="R45" s="33"/>
      <c r="S45" s="33"/>
      <c r="T45" s="124"/>
      <c r="U45" s="3"/>
      <c r="V45" s="3"/>
      <c r="W45" s="3"/>
      <c r="X45" s="3"/>
      <c r="Y45" s="3"/>
      <c r="Z45" s="3"/>
    </row>
    <row r="46" spans="1:26" ht="15.75" customHeight="1">
      <c r="A46" s="3"/>
      <c r="B46" s="3"/>
      <c r="C46" s="3"/>
      <c r="D46" s="33"/>
      <c r="E46" s="33"/>
      <c r="F46" s="33"/>
      <c r="G46" s="33"/>
      <c r="H46" s="33"/>
      <c r="I46" s="33"/>
      <c r="J46" s="33"/>
      <c r="K46" s="33"/>
      <c r="L46" s="33"/>
      <c r="M46" s="33"/>
      <c r="N46" s="33"/>
      <c r="O46" s="33"/>
      <c r="P46" s="33"/>
      <c r="Q46" s="33"/>
      <c r="R46" s="33"/>
      <c r="S46" s="33"/>
      <c r="T46" s="124"/>
      <c r="U46" s="3"/>
      <c r="V46" s="3"/>
      <c r="W46" s="3"/>
      <c r="X46" s="3"/>
      <c r="Y46" s="3"/>
      <c r="Z46" s="3"/>
    </row>
    <row r="47" spans="1:26" ht="15.75" customHeight="1">
      <c r="A47" s="3"/>
      <c r="B47" s="3"/>
      <c r="C47" s="3"/>
      <c r="D47" s="33"/>
      <c r="E47" s="33"/>
      <c r="F47" s="33"/>
      <c r="G47" s="33"/>
      <c r="H47" s="33"/>
      <c r="I47" s="33"/>
      <c r="J47" s="33"/>
      <c r="K47" s="33"/>
      <c r="L47" s="33"/>
      <c r="M47" s="33"/>
      <c r="N47" s="33"/>
      <c r="O47" s="33"/>
      <c r="P47" s="33"/>
      <c r="Q47" s="33"/>
      <c r="R47" s="33"/>
      <c r="S47" s="33"/>
      <c r="T47" s="124"/>
      <c r="U47" s="3"/>
      <c r="V47" s="3"/>
      <c r="W47" s="3"/>
      <c r="X47" s="3"/>
      <c r="Y47" s="3"/>
      <c r="Z47" s="3"/>
    </row>
    <row r="48" spans="1:26" ht="15.75" customHeight="1">
      <c r="A48" s="3"/>
      <c r="B48" s="3"/>
      <c r="C48" s="3"/>
      <c r="D48" s="33"/>
      <c r="E48" s="33"/>
      <c r="F48" s="33"/>
      <c r="G48" s="33"/>
      <c r="H48" s="33"/>
      <c r="I48" s="33"/>
      <c r="J48" s="33"/>
      <c r="K48" s="33"/>
      <c r="L48" s="33"/>
      <c r="M48" s="33"/>
      <c r="N48" s="33"/>
      <c r="O48" s="33"/>
      <c r="P48" s="33"/>
      <c r="Q48" s="33"/>
      <c r="R48" s="33"/>
      <c r="S48" s="33"/>
      <c r="T48" s="124"/>
      <c r="U48" s="3"/>
      <c r="V48" s="3"/>
      <c r="W48" s="3"/>
      <c r="X48" s="3"/>
      <c r="Y48" s="3"/>
      <c r="Z48" s="3"/>
    </row>
    <row r="49" spans="1:26" ht="15.75" customHeight="1">
      <c r="A49" s="3"/>
      <c r="B49" s="3"/>
      <c r="C49" s="3"/>
      <c r="D49" s="33"/>
      <c r="E49" s="33"/>
      <c r="F49" s="33"/>
      <c r="G49" s="33"/>
      <c r="H49" s="33"/>
      <c r="I49" s="33"/>
      <c r="J49" s="33"/>
      <c r="K49" s="33"/>
      <c r="L49" s="33"/>
      <c r="M49" s="33"/>
      <c r="N49" s="33"/>
      <c r="O49" s="33"/>
      <c r="P49" s="33"/>
      <c r="Q49" s="33"/>
      <c r="R49" s="33"/>
      <c r="S49" s="33"/>
      <c r="T49" s="124"/>
      <c r="U49" s="3"/>
      <c r="V49" s="3"/>
      <c r="W49" s="3"/>
      <c r="X49" s="3"/>
      <c r="Y49" s="3"/>
      <c r="Z49" s="3"/>
    </row>
    <row r="50" spans="1:26" ht="15.75" customHeight="1">
      <c r="A50" s="3"/>
      <c r="B50" s="3"/>
      <c r="C50" s="3"/>
      <c r="D50" s="33"/>
      <c r="E50" s="33"/>
      <c r="F50" s="33"/>
      <c r="G50" s="33"/>
      <c r="H50" s="33"/>
      <c r="I50" s="33"/>
      <c r="J50" s="33"/>
      <c r="K50" s="33"/>
      <c r="L50" s="33"/>
      <c r="M50" s="33"/>
      <c r="N50" s="33"/>
      <c r="O50" s="33"/>
      <c r="P50" s="33"/>
      <c r="Q50" s="33"/>
      <c r="R50" s="33"/>
      <c r="S50" s="33"/>
      <c r="T50" s="124"/>
      <c r="U50" s="3"/>
      <c r="V50" s="3"/>
      <c r="W50" s="3"/>
      <c r="X50" s="3"/>
      <c r="Y50" s="3"/>
      <c r="Z50" s="3"/>
    </row>
    <row r="51" spans="1:26" ht="15.75" customHeight="1">
      <c r="A51" s="3"/>
      <c r="B51" s="3"/>
      <c r="C51" s="3"/>
      <c r="D51" s="33"/>
      <c r="E51" s="33"/>
      <c r="F51" s="33"/>
      <c r="G51" s="33"/>
      <c r="H51" s="33"/>
      <c r="I51" s="33"/>
      <c r="J51" s="33"/>
      <c r="K51" s="33"/>
      <c r="L51" s="33"/>
      <c r="M51" s="33"/>
      <c r="N51" s="33"/>
      <c r="O51" s="33"/>
      <c r="P51" s="33"/>
      <c r="Q51" s="33"/>
      <c r="R51" s="33"/>
      <c r="S51" s="33"/>
      <c r="T51" s="124"/>
      <c r="U51" s="3"/>
      <c r="V51" s="3"/>
      <c r="W51" s="3"/>
      <c r="X51" s="3"/>
      <c r="Y51" s="3"/>
      <c r="Z51" s="3"/>
    </row>
    <row r="52" spans="1:26" ht="15.75" customHeight="1">
      <c r="A52" s="3"/>
      <c r="B52" s="3"/>
      <c r="C52" s="3"/>
      <c r="D52" s="33"/>
      <c r="E52" s="33"/>
      <c r="F52" s="33"/>
      <c r="G52" s="33"/>
      <c r="H52" s="33"/>
      <c r="I52" s="33"/>
      <c r="J52" s="33"/>
      <c r="K52" s="33"/>
      <c r="L52" s="33"/>
      <c r="M52" s="33"/>
      <c r="N52" s="33"/>
      <c r="O52" s="33"/>
      <c r="P52" s="33"/>
      <c r="Q52" s="33"/>
      <c r="R52" s="33"/>
      <c r="S52" s="33"/>
      <c r="T52" s="124"/>
      <c r="U52" s="3"/>
      <c r="V52" s="3"/>
      <c r="W52" s="3"/>
      <c r="X52" s="3"/>
      <c r="Y52" s="3"/>
      <c r="Z52" s="3"/>
    </row>
    <row r="53" spans="1:26" ht="15.75" customHeight="1">
      <c r="A53" s="3"/>
      <c r="B53" s="3"/>
      <c r="C53" s="3"/>
      <c r="D53" s="33"/>
      <c r="E53" s="33"/>
      <c r="F53" s="33"/>
      <c r="G53" s="33"/>
      <c r="H53" s="33"/>
      <c r="I53" s="33"/>
      <c r="J53" s="33"/>
      <c r="K53" s="33"/>
      <c r="L53" s="33"/>
      <c r="M53" s="33"/>
      <c r="N53" s="33"/>
      <c r="O53" s="33"/>
      <c r="P53" s="33"/>
      <c r="Q53" s="33"/>
      <c r="R53" s="33"/>
      <c r="S53" s="33"/>
      <c r="T53" s="124"/>
      <c r="U53" s="3"/>
      <c r="V53" s="3"/>
      <c r="W53" s="3"/>
      <c r="X53" s="3"/>
      <c r="Y53" s="3"/>
      <c r="Z53" s="3"/>
    </row>
    <row r="54" spans="1:26" ht="15.75" customHeight="1">
      <c r="A54" s="3"/>
      <c r="B54" s="3"/>
      <c r="C54" s="3"/>
      <c r="D54" s="33"/>
      <c r="E54" s="33"/>
      <c r="F54" s="33"/>
      <c r="G54" s="33"/>
      <c r="H54" s="33"/>
      <c r="I54" s="33"/>
      <c r="J54" s="33"/>
      <c r="K54" s="33"/>
      <c r="L54" s="33"/>
      <c r="M54" s="33"/>
      <c r="N54" s="33"/>
      <c r="O54" s="33"/>
      <c r="P54" s="33"/>
      <c r="Q54" s="33"/>
      <c r="R54" s="33"/>
      <c r="S54" s="33"/>
      <c r="T54" s="124"/>
      <c r="U54" s="3"/>
      <c r="V54" s="3"/>
      <c r="W54" s="3"/>
      <c r="X54" s="3"/>
      <c r="Y54" s="3"/>
      <c r="Z54" s="3"/>
    </row>
    <row r="55" spans="1:26" ht="15.75" customHeight="1">
      <c r="A55" s="3"/>
      <c r="B55" s="3"/>
      <c r="C55" s="3"/>
      <c r="D55" s="33"/>
      <c r="E55" s="33"/>
      <c r="F55" s="33"/>
      <c r="G55" s="33"/>
      <c r="H55" s="33"/>
      <c r="I55" s="33"/>
      <c r="J55" s="33"/>
      <c r="K55" s="33"/>
      <c r="L55" s="33"/>
      <c r="M55" s="33"/>
      <c r="N55" s="33"/>
      <c r="O55" s="33"/>
      <c r="P55" s="33"/>
      <c r="Q55" s="33"/>
      <c r="R55" s="33"/>
      <c r="S55" s="33"/>
      <c r="T55" s="124"/>
      <c r="U55" s="3"/>
      <c r="V55" s="3"/>
      <c r="W55" s="3"/>
      <c r="X55" s="3"/>
      <c r="Y55" s="3"/>
      <c r="Z55" s="3"/>
    </row>
    <row r="56" spans="1:26" ht="15.75" customHeight="1">
      <c r="A56" s="3"/>
      <c r="B56" s="3"/>
      <c r="C56" s="3"/>
      <c r="D56" s="33"/>
      <c r="E56" s="33"/>
      <c r="F56" s="33"/>
      <c r="G56" s="33"/>
      <c r="H56" s="33"/>
      <c r="I56" s="33"/>
      <c r="J56" s="33"/>
      <c r="K56" s="33"/>
      <c r="L56" s="33"/>
      <c r="M56" s="33"/>
      <c r="N56" s="33"/>
      <c r="O56" s="33"/>
      <c r="P56" s="33"/>
      <c r="Q56" s="33"/>
      <c r="R56" s="33"/>
      <c r="S56" s="33"/>
      <c r="T56" s="124"/>
      <c r="U56" s="3"/>
      <c r="V56" s="3"/>
      <c r="W56" s="3"/>
      <c r="X56" s="3"/>
      <c r="Y56" s="3"/>
      <c r="Z56" s="3"/>
    </row>
    <row r="57" spans="1:26" ht="15.75" customHeight="1">
      <c r="A57" s="3"/>
      <c r="B57" s="3"/>
      <c r="C57" s="3"/>
      <c r="D57" s="33"/>
      <c r="E57" s="33"/>
      <c r="F57" s="33"/>
      <c r="G57" s="33"/>
      <c r="H57" s="33"/>
      <c r="I57" s="33"/>
      <c r="J57" s="33"/>
      <c r="K57" s="33"/>
      <c r="L57" s="33"/>
      <c r="M57" s="33"/>
      <c r="N57" s="33"/>
      <c r="O57" s="33"/>
      <c r="P57" s="33"/>
      <c r="Q57" s="33"/>
      <c r="R57" s="33"/>
      <c r="S57" s="33"/>
      <c r="T57" s="124"/>
      <c r="U57" s="3"/>
      <c r="V57" s="3"/>
      <c r="W57" s="3"/>
      <c r="X57" s="3"/>
      <c r="Y57" s="3"/>
      <c r="Z57" s="3"/>
    </row>
    <row r="58" spans="1:26" ht="15.75" customHeight="1">
      <c r="A58" s="3"/>
      <c r="B58" s="3"/>
      <c r="C58" s="3"/>
      <c r="D58" s="33"/>
      <c r="E58" s="33"/>
      <c r="F58" s="33"/>
      <c r="G58" s="33"/>
      <c r="H58" s="33"/>
      <c r="I58" s="33"/>
      <c r="J58" s="33"/>
      <c r="K58" s="33"/>
      <c r="L58" s="33"/>
      <c r="M58" s="33"/>
      <c r="N58" s="33"/>
      <c r="O58" s="33"/>
      <c r="P58" s="33"/>
      <c r="Q58" s="33"/>
      <c r="R58" s="33"/>
      <c r="S58" s="33"/>
      <c r="T58" s="124"/>
      <c r="U58" s="3"/>
      <c r="V58" s="3"/>
      <c r="W58" s="3"/>
      <c r="X58" s="3"/>
      <c r="Y58" s="3"/>
      <c r="Z58" s="3"/>
    </row>
    <row r="59" spans="1:26" ht="15.75" customHeight="1">
      <c r="A59" s="3"/>
      <c r="B59" s="3"/>
      <c r="C59" s="3"/>
      <c r="D59" s="33"/>
      <c r="E59" s="33"/>
      <c r="F59" s="33"/>
      <c r="G59" s="33"/>
      <c r="H59" s="33"/>
      <c r="I59" s="33"/>
      <c r="J59" s="33"/>
      <c r="K59" s="33"/>
      <c r="L59" s="33"/>
      <c r="M59" s="33"/>
      <c r="N59" s="33"/>
      <c r="O59" s="33"/>
      <c r="P59" s="33"/>
      <c r="Q59" s="33"/>
      <c r="R59" s="33"/>
      <c r="S59" s="33"/>
      <c r="T59" s="124"/>
      <c r="U59" s="3"/>
      <c r="V59" s="3"/>
      <c r="W59" s="3"/>
      <c r="X59" s="3"/>
      <c r="Y59" s="3"/>
      <c r="Z59" s="3"/>
    </row>
    <row r="60" spans="1:26" ht="15.75" customHeight="1">
      <c r="A60" s="3"/>
      <c r="B60" s="3"/>
      <c r="C60" s="3"/>
      <c r="D60" s="33"/>
      <c r="E60" s="33"/>
      <c r="F60" s="33"/>
      <c r="G60" s="33"/>
      <c r="H60" s="33"/>
      <c r="I60" s="33"/>
      <c r="J60" s="33"/>
      <c r="K60" s="33"/>
      <c r="L60" s="33"/>
      <c r="M60" s="33"/>
      <c r="N60" s="33"/>
      <c r="O60" s="33"/>
      <c r="P60" s="33"/>
      <c r="Q60" s="33"/>
      <c r="R60" s="33"/>
      <c r="S60" s="33"/>
      <c r="T60" s="124"/>
      <c r="U60" s="3"/>
      <c r="V60" s="3"/>
      <c r="W60" s="3"/>
      <c r="X60" s="3"/>
      <c r="Y60" s="3"/>
      <c r="Z60" s="3"/>
    </row>
    <row r="61" spans="1:26" ht="15.75" customHeight="1">
      <c r="A61" s="3"/>
      <c r="B61" s="3"/>
      <c r="C61" s="3"/>
      <c r="D61" s="33"/>
      <c r="E61" s="33"/>
      <c r="F61" s="33"/>
      <c r="G61" s="33"/>
      <c r="H61" s="33"/>
      <c r="I61" s="33"/>
      <c r="J61" s="33"/>
      <c r="K61" s="33"/>
      <c r="L61" s="33"/>
      <c r="M61" s="33"/>
      <c r="N61" s="33"/>
      <c r="O61" s="33"/>
      <c r="P61" s="33"/>
      <c r="Q61" s="33"/>
      <c r="R61" s="33"/>
      <c r="S61" s="33"/>
      <c r="T61" s="124"/>
      <c r="U61" s="3"/>
      <c r="V61" s="3"/>
      <c r="W61" s="3"/>
      <c r="X61" s="3"/>
      <c r="Y61" s="3"/>
      <c r="Z61" s="3"/>
    </row>
    <row r="62" spans="1:26" ht="15.75" customHeight="1">
      <c r="A62" s="3"/>
      <c r="B62" s="3"/>
      <c r="C62" s="3"/>
      <c r="D62" s="33"/>
      <c r="E62" s="33"/>
      <c r="F62" s="33"/>
      <c r="G62" s="33"/>
      <c r="H62" s="33"/>
      <c r="I62" s="33"/>
      <c r="J62" s="33"/>
      <c r="K62" s="33"/>
      <c r="L62" s="33"/>
      <c r="M62" s="33"/>
      <c r="N62" s="33"/>
      <c r="O62" s="33"/>
      <c r="P62" s="33"/>
      <c r="Q62" s="33"/>
      <c r="R62" s="33"/>
      <c r="S62" s="33"/>
      <c r="T62" s="124"/>
      <c r="U62" s="3"/>
      <c r="V62" s="3"/>
      <c r="W62" s="3"/>
      <c r="X62" s="3"/>
      <c r="Y62" s="3"/>
      <c r="Z62" s="3"/>
    </row>
    <row r="63" spans="1:26" ht="15.75" customHeight="1">
      <c r="A63" s="3"/>
      <c r="B63" s="3"/>
      <c r="C63" s="3"/>
      <c r="D63" s="33"/>
      <c r="E63" s="33"/>
      <c r="F63" s="33"/>
      <c r="G63" s="33"/>
      <c r="H63" s="33"/>
      <c r="I63" s="33"/>
      <c r="J63" s="33"/>
      <c r="K63" s="33"/>
      <c r="L63" s="33"/>
      <c r="M63" s="33"/>
      <c r="N63" s="33"/>
      <c r="O63" s="33"/>
      <c r="P63" s="33"/>
      <c r="Q63" s="33"/>
      <c r="R63" s="33"/>
      <c r="S63" s="33"/>
      <c r="T63" s="124"/>
      <c r="U63" s="3"/>
      <c r="V63" s="3"/>
      <c r="W63" s="3"/>
      <c r="X63" s="3"/>
      <c r="Y63" s="3"/>
      <c r="Z63" s="3"/>
    </row>
    <row r="64" spans="1:26" ht="15.75" customHeight="1">
      <c r="A64" s="3"/>
      <c r="B64" s="3"/>
      <c r="C64" s="3"/>
      <c r="D64" s="33"/>
      <c r="E64" s="33"/>
      <c r="F64" s="33"/>
      <c r="G64" s="33"/>
      <c r="H64" s="33"/>
      <c r="I64" s="33"/>
      <c r="J64" s="33"/>
      <c r="K64" s="33"/>
      <c r="L64" s="33"/>
      <c r="M64" s="33"/>
      <c r="N64" s="33"/>
      <c r="O64" s="33"/>
      <c r="P64" s="33"/>
      <c r="Q64" s="33"/>
      <c r="R64" s="33"/>
      <c r="S64" s="33"/>
      <c r="T64" s="124"/>
      <c r="U64" s="3"/>
      <c r="V64" s="3"/>
      <c r="W64" s="3"/>
      <c r="X64" s="3"/>
      <c r="Y64" s="3"/>
      <c r="Z64" s="3"/>
    </row>
    <row r="65" spans="1:26" ht="15.75" customHeight="1">
      <c r="A65" s="3"/>
      <c r="B65" s="3"/>
      <c r="C65" s="3"/>
      <c r="D65" s="33"/>
      <c r="E65" s="33"/>
      <c r="F65" s="33"/>
      <c r="G65" s="33"/>
      <c r="H65" s="33"/>
      <c r="I65" s="33"/>
      <c r="J65" s="33"/>
      <c r="K65" s="33"/>
      <c r="L65" s="33"/>
      <c r="M65" s="33"/>
      <c r="N65" s="33"/>
      <c r="O65" s="33"/>
      <c r="P65" s="33"/>
      <c r="Q65" s="33"/>
      <c r="R65" s="33"/>
      <c r="S65" s="33"/>
      <c r="T65" s="124"/>
      <c r="U65" s="3"/>
      <c r="V65" s="3"/>
      <c r="W65" s="3"/>
      <c r="X65" s="3"/>
      <c r="Y65" s="3"/>
      <c r="Z65" s="3"/>
    </row>
    <row r="66" spans="1:26" ht="15.75" customHeight="1">
      <c r="A66" s="3"/>
      <c r="B66" s="3"/>
      <c r="C66" s="3"/>
      <c r="D66" s="33"/>
      <c r="E66" s="33"/>
      <c r="F66" s="33"/>
      <c r="G66" s="33"/>
      <c r="H66" s="33"/>
      <c r="I66" s="33"/>
      <c r="J66" s="33"/>
      <c r="K66" s="33"/>
      <c r="L66" s="33"/>
      <c r="M66" s="33"/>
      <c r="N66" s="33"/>
      <c r="O66" s="33"/>
      <c r="P66" s="33"/>
      <c r="Q66" s="33"/>
      <c r="R66" s="33"/>
      <c r="S66" s="33"/>
      <c r="T66" s="124"/>
      <c r="U66" s="3"/>
      <c r="V66" s="3"/>
      <c r="W66" s="3"/>
      <c r="X66" s="3"/>
      <c r="Y66" s="3"/>
      <c r="Z66" s="3"/>
    </row>
    <row r="67" spans="1:26" ht="15.75" customHeight="1">
      <c r="A67" s="3"/>
      <c r="B67" s="3"/>
      <c r="C67" s="3"/>
      <c r="D67" s="33"/>
      <c r="E67" s="33"/>
      <c r="F67" s="33"/>
      <c r="G67" s="33"/>
      <c r="H67" s="33"/>
      <c r="I67" s="33"/>
      <c r="J67" s="33"/>
      <c r="K67" s="33"/>
      <c r="L67" s="33"/>
      <c r="M67" s="33"/>
      <c r="N67" s="33"/>
      <c r="O67" s="33"/>
      <c r="P67" s="33"/>
      <c r="Q67" s="33"/>
      <c r="R67" s="33"/>
      <c r="S67" s="33"/>
      <c r="T67" s="124"/>
      <c r="U67" s="3"/>
      <c r="V67" s="3"/>
      <c r="W67" s="3"/>
      <c r="X67" s="3"/>
      <c r="Y67" s="3"/>
      <c r="Z67" s="3"/>
    </row>
    <row r="68" spans="1:26" ht="15.75" customHeight="1">
      <c r="A68" s="3"/>
      <c r="B68" s="3"/>
      <c r="C68" s="3"/>
      <c r="D68" s="33"/>
      <c r="E68" s="33"/>
      <c r="F68" s="33"/>
      <c r="G68" s="33"/>
      <c r="H68" s="33"/>
      <c r="I68" s="33"/>
      <c r="J68" s="33"/>
      <c r="K68" s="33"/>
      <c r="L68" s="33"/>
      <c r="M68" s="33"/>
      <c r="N68" s="33"/>
      <c r="O68" s="33"/>
      <c r="P68" s="33"/>
      <c r="Q68" s="33"/>
      <c r="R68" s="33"/>
      <c r="S68" s="33"/>
      <c r="T68" s="124"/>
      <c r="U68" s="3"/>
      <c r="V68" s="3"/>
      <c r="W68" s="3"/>
      <c r="X68" s="3"/>
      <c r="Y68" s="3"/>
      <c r="Z68" s="3"/>
    </row>
    <row r="69" spans="1:26" ht="15.75" customHeight="1">
      <c r="A69" s="3"/>
      <c r="B69" s="3"/>
      <c r="C69" s="3"/>
      <c r="D69" s="33"/>
      <c r="E69" s="33"/>
      <c r="F69" s="33"/>
      <c r="G69" s="33"/>
      <c r="H69" s="33"/>
      <c r="I69" s="33"/>
      <c r="J69" s="33"/>
      <c r="K69" s="33"/>
      <c r="L69" s="33"/>
      <c r="M69" s="33"/>
      <c r="N69" s="33"/>
      <c r="O69" s="33"/>
      <c r="P69" s="33"/>
      <c r="Q69" s="33"/>
      <c r="R69" s="33"/>
      <c r="S69" s="33"/>
      <c r="T69" s="124"/>
      <c r="U69" s="3"/>
      <c r="V69" s="3"/>
      <c r="W69" s="3"/>
      <c r="X69" s="3"/>
      <c r="Y69" s="3"/>
      <c r="Z69" s="3"/>
    </row>
    <row r="70" spans="1:26" ht="15.75" customHeight="1">
      <c r="A70" s="3"/>
      <c r="B70" s="3"/>
      <c r="C70" s="3"/>
      <c r="D70" s="33"/>
      <c r="E70" s="33"/>
      <c r="F70" s="33"/>
      <c r="G70" s="33"/>
      <c r="H70" s="33"/>
      <c r="I70" s="33"/>
      <c r="J70" s="33"/>
      <c r="K70" s="33"/>
      <c r="L70" s="33"/>
      <c r="M70" s="33"/>
      <c r="N70" s="33"/>
      <c r="O70" s="33"/>
      <c r="P70" s="33"/>
      <c r="Q70" s="33"/>
      <c r="R70" s="33"/>
      <c r="S70" s="33"/>
      <c r="T70" s="124"/>
      <c r="U70" s="3"/>
      <c r="V70" s="3"/>
      <c r="W70" s="3"/>
      <c r="X70" s="3"/>
      <c r="Y70" s="3"/>
      <c r="Z70" s="3"/>
    </row>
    <row r="71" spans="1:26" ht="15.75" customHeight="1">
      <c r="A71" s="3"/>
      <c r="B71" s="3"/>
      <c r="C71" s="3"/>
      <c r="D71" s="33"/>
      <c r="E71" s="33"/>
      <c r="F71" s="33"/>
      <c r="G71" s="33"/>
      <c r="H71" s="33"/>
      <c r="I71" s="33"/>
      <c r="J71" s="33"/>
      <c r="K71" s="33"/>
      <c r="L71" s="33"/>
      <c r="M71" s="33"/>
      <c r="N71" s="33"/>
      <c r="O71" s="33"/>
      <c r="P71" s="33"/>
      <c r="Q71" s="33"/>
      <c r="R71" s="33"/>
      <c r="S71" s="33"/>
      <c r="T71" s="124"/>
      <c r="U71" s="3"/>
      <c r="V71" s="3"/>
      <c r="W71" s="3"/>
      <c r="X71" s="3"/>
      <c r="Y71" s="3"/>
      <c r="Z71" s="3"/>
    </row>
    <row r="72" spans="1:26" ht="15.75" customHeight="1">
      <c r="A72" s="3"/>
      <c r="B72" s="3"/>
      <c r="C72" s="3"/>
      <c r="D72" s="33"/>
      <c r="E72" s="33"/>
      <c r="F72" s="33"/>
      <c r="G72" s="33"/>
      <c r="H72" s="33"/>
      <c r="I72" s="33"/>
      <c r="J72" s="33"/>
      <c r="K72" s="33"/>
      <c r="L72" s="33"/>
      <c r="M72" s="33"/>
      <c r="N72" s="33"/>
      <c r="O72" s="33"/>
      <c r="P72" s="33"/>
      <c r="Q72" s="33"/>
      <c r="R72" s="33"/>
      <c r="S72" s="33"/>
      <c r="T72" s="124"/>
      <c r="U72" s="3"/>
      <c r="V72" s="3"/>
      <c r="W72" s="3"/>
      <c r="X72" s="3"/>
      <c r="Y72" s="3"/>
      <c r="Z72" s="3"/>
    </row>
    <row r="73" spans="1:26" ht="15.75" customHeight="1">
      <c r="A73" s="3"/>
      <c r="B73" s="3"/>
      <c r="C73" s="3"/>
      <c r="D73" s="33"/>
      <c r="E73" s="33"/>
      <c r="F73" s="33"/>
      <c r="G73" s="33"/>
      <c r="H73" s="33"/>
      <c r="I73" s="33"/>
      <c r="J73" s="33"/>
      <c r="K73" s="33"/>
      <c r="L73" s="33"/>
      <c r="M73" s="33"/>
      <c r="N73" s="33"/>
      <c r="O73" s="33"/>
      <c r="P73" s="33"/>
      <c r="Q73" s="33"/>
      <c r="R73" s="33"/>
      <c r="S73" s="33"/>
      <c r="T73" s="124"/>
      <c r="U73" s="3"/>
      <c r="V73" s="3"/>
      <c r="W73" s="3"/>
      <c r="X73" s="3"/>
      <c r="Y73" s="3"/>
      <c r="Z73" s="3"/>
    </row>
    <row r="74" spans="1:26" ht="15.75" customHeight="1">
      <c r="A74" s="3"/>
      <c r="B74" s="3"/>
      <c r="C74" s="3"/>
      <c r="D74" s="33"/>
      <c r="E74" s="33"/>
      <c r="F74" s="33"/>
      <c r="G74" s="33"/>
      <c r="H74" s="33"/>
      <c r="I74" s="33"/>
      <c r="J74" s="33"/>
      <c r="K74" s="33"/>
      <c r="L74" s="33"/>
      <c r="M74" s="33"/>
      <c r="N74" s="33"/>
      <c r="O74" s="33"/>
      <c r="P74" s="33"/>
      <c r="Q74" s="33"/>
      <c r="R74" s="33"/>
      <c r="S74" s="33"/>
      <c r="T74" s="124"/>
      <c r="U74" s="3"/>
      <c r="V74" s="3"/>
      <c r="W74" s="3"/>
      <c r="X74" s="3"/>
      <c r="Y74" s="3"/>
      <c r="Z74" s="3"/>
    </row>
    <row r="75" spans="1:26" ht="15.75" customHeight="1">
      <c r="A75" s="3"/>
      <c r="B75" s="3"/>
      <c r="C75" s="3"/>
      <c r="D75" s="33"/>
      <c r="E75" s="33"/>
      <c r="F75" s="33"/>
      <c r="G75" s="33"/>
      <c r="H75" s="33"/>
      <c r="I75" s="33"/>
      <c r="J75" s="33"/>
      <c r="K75" s="33"/>
      <c r="L75" s="33"/>
      <c r="M75" s="33"/>
      <c r="N75" s="33"/>
      <c r="O75" s="33"/>
      <c r="P75" s="33"/>
      <c r="Q75" s="33"/>
      <c r="R75" s="33"/>
      <c r="S75" s="33"/>
      <c r="T75" s="124"/>
      <c r="U75" s="3"/>
      <c r="V75" s="3"/>
      <c r="W75" s="3"/>
      <c r="X75" s="3"/>
      <c r="Y75" s="3"/>
      <c r="Z75" s="3"/>
    </row>
    <row r="76" spans="1:26" ht="15.75" customHeight="1">
      <c r="A76" s="3"/>
      <c r="B76" s="3"/>
      <c r="C76" s="3"/>
      <c r="D76" s="33"/>
      <c r="E76" s="33"/>
      <c r="F76" s="33"/>
      <c r="G76" s="33"/>
      <c r="H76" s="33"/>
      <c r="I76" s="33"/>
      <c r="J76" s="33"/>
      <c r="K76" s="33"/>
      <c r="L76" s="33"/>
      <c r="M76" s="33"/>
      <c r="N76" s="33"/>
      <c r="O76" s="33"/>
      <c r="P76" s="33"/>
      <c r="Q76" s="33"/>
      <c r="R76" s="33"/>
      <c r="S76" s="33"/>
      <c r="T76" s="124"/>
      <c r="U76" s="3"/>
      <c r="V76" s="3"/>
      <c r="W76" s="3"/>
      <c r="X76" s="3"/>
      <c r="Y76" s="3"/>
      <c r="Z76" s="3"/>
    </row>
    <row r="77" spans="1:26" ht="15.75" customHeight="1">
      <c r="A77" s="3"/>
      <c r="B77" s="3"/>
      <c r="C77" s="3"/>
      <c r="D77" s="33"/>
      <c r="E77" s="33"/>
      <c r="F77" s="33"/>
      <c r="G77" s="33"/>
      <c r="H77" s="33"/>
      <c r="I77" s="33"/>
      <c r="J77" s="33"/>
      <c r="K77" s="33"/>
      <c r="L77" s="33"/>
      <c r="M77" s="33"/>
      <c r="N77" s="33"/>
      <c r="O77" s="33"/>
      <c r="P77" s="33"/>
      <c r="Q77" s="33"/>
      <c r="R77" s="33"/>
      <c r="S77" s="33"/>
      <c r="T77" s="124"/>
      <c r="U77" s="3"/>
      <c r="V77" s="3"/>
      <c r="W77" s="3"/>
      <c r="X77" s="3"/>
      <c r="Y77" s="3"/>
      <c r="Z77" s="3"/>
    </row>
    <row r="78" spans="1:26" ht="15.75" customHeight="1">
      <c r="A78" s="3"/>
      <c r="B78" s="3"/>
      <c r="C78" s="3"/>
      <c r="D78" s="33"/>
      <c r="E78" s="33"/>
      <c r="F78" s="33"/>
      <c r="G78" s="33"/>
      <c r="H78" s="33"/>
      <c r="I78" s="33"/>
      <c r="J78" s="33"/>
      <c r="K78" s="33"/>
      <c r="L78" s="33"/>
      <c r="M78" s="33"/>
      <c r="N78" s="33"/>
      <c r="O78" s="33"/>
      <c r="P78" s="33"/>
      <c r="Q78" s="33"/>
      <c r="R78" s="33"/>
      <c r="S78" s="33"/>
      <c r="T78" s="124"/>
      <c r="U78" s="3"/>
      <c r="V78" s="3"/>
      <c r="W78" s="3"/>
      <c r="X78" s="3"/>
      <c r="Y78" s="3"/>
      <c r="Z78" s="3"/>
    </row>
    <row r="79" spans="1:26" ht="15.75" customHeight="1">
      <c r="A79" s="3"/>
      <c r="B79" s="3"/>
      <c r="C79" s="3"/>
      <c r="D79" s="33"/>
      <c r="E79" s="33"/>
      <c r="F79" s="33"/>
      <c r="G79" s="33"/>
      <c r="H79" s="33"/>
      <c r="I79" s="33"/>
      <c r="J79" s="33"/>
      <c r="K79" s="33"/>
      <c r="L79" s="33"/>
      <c r="M79" s="33"/>
      <c r="N79" s="33"/>
      <c r="O79" s="33"/>
      <c r="P79" s="33"/>
      <c r="Q79" s="33"/>
      <c r="R79" s="33"/>
      <c r="S79" s="33"/>
      <c r="T79" s="124"/>
      <c r="U79" s="3"/>
      <c r="V79" s="3"/>
      <c r="W79" s="3"/>
      <c r="X79" s="3"/>
      <c r="Y79" s="3"/>
      <c r="Z79" s="3"/>
    </row>
    <row r="80" spans="1:26" ht="15.75" customHeight="1">
      <c r="A80" s="3"/>
      <c r="B80" s="3"/>
      <c r="C80" s="3"/>
      <c r="D80" s="33"/>
      <c r="E80" s="33"/>
      <c r="F80" s="33"/>
      <c r="G80" s="33"/>
      <c r="H80" s="33"/>
      <c r="I80" s="33"/>
      <c r="J80" s="33"/>
      <c r="K80" s="33"/>
      <c r="L80" s="33"/>
      <c r="M80" s="33"/>
      <c r="N80" s="33"/>
      <c r="O80" s="33"/>
      <c r="P80" s="33"/>
      <c r="Q80" s="33"/>
      <c r="R80" s="33"/>
      <c r="S80" s="33"/>
      <c r="T80" s="124"/>
      <c r="U80" s="3"/>
      <c r="V80" s="3"/>
      <c r="W80" s="3"/>
      <c r="X80" s="3"/>
      <c r="Y80" s="3"/>
      <c r="Z80" s="3"/>
    </row>
    <row r="81" spans="1:26" ht="15.75" customHeight="1">
      <c r="A81" s="3"/>
      <c r="B81" s="3"/>
      <c r="C81" s="3"/>
      <c r="D81" s="33"/>
      <c r="E81" s="33"/>
      <c r="F81" s="33"/>
      <c r="G81" s="33"/>
      <c r="H81" s="33"/>
      <c r="I81" s="33"/>
      <c r="J81" s="33"/>
      <c r="K81" s="33"/>
      <c r="L81" s="33"/>
      <c r="M81" s="33"/>
      <c r="N81" s="33"/>
      <c r="O81" s="33"/>
      <c r="P81" s="33"/>
      <c r="Q81" s="33"/>
      <c r="R81" s="33"/>
      <c r="S81" s="33"/>
      <c r="T81" s="124"/>
      <c r="U81" s="3"/>
      <c r="V81" s="3"/>
      <c r="W81" s="3"/>
      <c r="X81" s="3"/>
      <c r="Y81" s="3"/>
      <c r="Z81" s="3"/>
    </row>
    <row r="82" spans="1:26" ht="15.75" customHeight="1">
      <c r="A82" s="3"/>
      <c r="B82" s="3"/>
      <c r="C82" s="3"/>
      <c r="D82" s="33"/>
      <c r="E82" s="33"/>
      <c r="F82" s="33"/>
      <c r="G82" s="33"/>
      <c r="H82" s="33"/>
      <c r="I82" s="33"/>
      <c r="J82" s="33"/>
      <c r="K82" s="33"/>
      <c r="L82" s="33"/>
      <c r="M82" s="33"/>
      <c r="N82" s="33"/>
      <c r="O82" s="33"/>
      <c r="P82" s="33"/>
      <c r="Q82" s="33"/>
      <c r="R82" s="33"/>
      <c r="S82" s="33"/>
      <c r="T82" s="124"/>
      <c r="U82" s="3"/>
      <c r="V82" s="3"/>
      <c r="W82" s="3"/>
      <c r="X82" s="3"/>
      <c r="Y82" s="3"/>
      <c r="Z82" s="3"/>
    </row>
    <row r="83" spans="1:26" ht="15.75" customHeight="1">
      <c r="A83" s="3"/>
      <c r="B83" s="3"/>
      <c r="C83" s="3"/>
      <c r="D83" s="33"/>
      <c r="E83" s="33"/>
      <c r="F83" s="33"/>
      <c r="G83" s="33"/>
      <c r="H83" s="33"/>
      <c r="I83" s="33"/>
      <c r="J83" s="33"/>
      <c r="K83" s="33"/>
      <c r="L83" s="33"/>
      <c r="M83" s="33"/>
      <c r="N83" s="33"/>
      <c r="O83" s="33"/>
      <c r="P83" s="33"/>
      <c r="Q83" s="33"/>
      <c r="R83" s="33"/>
      <c r="S83" s="33"/>
      <c r="T83" s="124"/>
      <c r="U83" s="3"/>
      <c r="V83" s="3"/>
      <c r="W83" s="3"/>
      <c r="X83" s="3"/>
      <c r="Y83" s="3"/>
      <c r="Z83" s="3"/>
    </row>
    <row r="84" spans="1:26" ht="15.75" customHeight="1">
      <c r="A84" s="3"/>
      <c r="B84" s="3"/>
      <c r="C84" s="3"/>
      <c r="D84" s="33"/>
      <c r="E84" s="33"/>
      <c r="F84" s="33"/>
      <c r="G84" s="33"/>
      <c r="H84" s="33"/>
      <c r="I84" s="33"/>
      <c r="J84" s="33"/>
      <c r="K84" s="33"/>
      <c r="L84" s="33"/>
      <c r="M84" s="33"/>
      <c r="N84" s="33"/>
      <c r="O84" s="33"/>
      <c r="P84" s="33"/>
      <c r="Q84" s="33"/>
      <c r="R84" s="33"/>
      <c r="S84" s="33"/>
      <c r="T84" s="124"/>
      <c r="U84" s="3"/>
      <c r="V84" s="3"/>
      <c r="W84" s="3"/>
      <c r="X84" s="3"/>
      <c r="Y84" s="3"/>
      <c r="Z84" s="3"/>
    </row>
    <row r="85" spans="1:26" ht="15.75" customHeight="1">
      <c r="A85" s="3"/>
      <c r="B85" s="3"/>
      <c r="C85" s="3"/>
      <c r="D85" s="33"/>
      <c r="E85" s="33"/>
      <c r="F85" s="33"/>
      <c r="G85" s="33"/>
      <c r="H85" s="33"/>
      <c r="I85" s="33"/>
      <c r="J85" s="33"/>
      <c r="K85" s="33"/>
      <c r="L85" s="33"/>
      <c r="M85" s="33"/>
      <c r="N85" s="33"/>
      <c r="O85" s="33"/>
      <c r="P85" s="33"/>
      <c r="Q85" s="33"/>
      <c r="R85" s="33"/>
      <c r="S85" s="33"/>
      <c r="T85" s="124"/>
      <c r="U85" s="3"/>
      <c r="V85" s="3"/>
      <c r="W85" s="3"/>
      <c r="X85" s="3"/>
      <c r="Y85" s="3"/>
      <c r="Z85" s="3"/>
    </row>
    <row r="86" spans="1:26" ht="15.75" customHeight="1">
      <c r="A86" s="3"/>
      <c r="B86" s="3"/>
      <c r="C86" s="3"/>
      <c r="D86" s="33"/>
      <c r="E86" s="33"/>
      <c r="F86" s="33"/>
      <c r="G86" s="33"/>
      <c r="H86" s="33"/>
      <c r="I86" s="33"/>
      <c r="J86" s="33"/>
      <c r="K86" s="33"/>
      <c r="L86" s="33"/>
      <c r="M86" s="33"/>
      <c r="N86" s="33"/>
      <c r="O86" s="33"/>
      <c r="P86" s="33"/>
      <c r="Q86" s="33"/>
      <c r="R86" s="33"/>
      <c r="S86" s="33"/>
      <c r="T86" s="124"/>
      <c r="U86" s="3"/>
      <c r="V86" s="3"/>
      <c r="W86" s="3"/>
      <c r="X86" s="3"/>
      <c r="Y86" s="3"/>
      <c r="Z86" s="3"/>
    </row>
    <row r="87" spans="1:26" ht="15.75" customHeight="1">
      <c r="A87" s="3"/>
      <c r="B87" s="3"/>
      <c r="C87" s="3"/>
      <c r="D87" s="33"/>
      <c r="E87" s="33"/>
      <c r="F87" s="33"/>
      <c r="G87" s="33"/>
      <c r="H87" s="33"/>
      <c r="I87" s="33"/>
      <c r="J87" s="33"/>
      <c r="K87" s="33"/>
      <c r="L87" s="33"/>
      <c r="M87" s="33"/>
      <c r="N87" s="33"/>
      <c r="O87" s="33"/>
      <c r="P87" s="33"/>
      <c r="Q87" s="33"/>
      <c r="R87" s="33"/>
      <c r="S87" s="33"/>
      <c r="T87" s="124"/>
      <c r="U87" s="3"/>
      <c r="V87" s="3"/>
      <c r="W87" s="3"/>
      <c r="X87" s="3"/>
      <c r="Y87" s="3"/>
      <c r="Z87" s="3"/>
    </row>
    <row r="88" spans="1:26" ht="15.75" customHeight="1">
      <c r="A88" s="3"/>
      <c r="B88" s="3"/>
      <c r="C88" s="3"/>
      <c r="D88" s="33"/>
      <c r="E88" s="33"/>
      <c r="F88" s="33"/>
      <c r="G88" s="33"/>
      <c r="H88" s="33"/>
      <c r="I88" s="33"/>
      <c r="J88" s="33"/>
      <c r="K88" s="33"/>
      <c r="L88" s="33"/>
      <c r="M88" s="33"/>
      <c r="N88" s="33"/>
      <c r="O88" s="33"/>
      <c r="P88" s="33"/>
      <c r="Q88" s="33"/>
      <c r="R88" s="33"/>
      <c r="S88" s="33"/>
      <c r="T88" s="124"/>
      <c r="U88" s="3"/>
      <c r="V88" s="3"/>
      <c r="W88" s="3"/>
      <c r="X88" s="3"/>
      <c r="Y88" s="3"/>
      <c r="Z88" s="3"/>
    </row>
    <row r="89" spans="1:26" ht="15.75" customHeight="1">
      <c r="A89" s="3"/>
      <c r="B89" s="3"/>
      <c r="C89" s="3"/>
      <c r="D89" s="33"/>
      <c r="E89" s="33"/>
      <c r="F89" s="33"/>
      <c r="G89" s="33"/>
      <c r="H89" s="33"/>
      <c r="I89" s="33"/>
      <c r="J89" s="33"/>
      <c r="K89" s="33"/>
      <c r="L89" s="33"/>
      <c r="M89" s="33"/>
      <c r="N89" s="33"/>
      <c r="O89" s="33"/>
      <c r="P89" s="33"/>
      <c r="Q89" s="33"/>
      <c r="R89" s="33"/>
      <c r="S89" s="33"/>
      <c r="T89" s="124"/>
      <c r="U89" s="3"/>
      <c r="V89" s="3"/>
      <c r="W89" s="3"/>
      <c r="X89" s="3"/>
      <c r="Y89" s="3"/>
      <c r="Z89" s="3"/>
    </row>
    <row r="90" spans="1:26" ht="15.75" customHeight="1">
      <c r="A90" s="3"/>
      <c r="B90" s="3"/>
      <c r="C90" s="3"/>
      <c r="D90" s="33"/>
      <c r="E90" s="33"/>
      <c r="F90" s="33"/>
      <c r="G90" s="33"/>
      <c r="H90" s="33"/>
      <c r="I90" s="33"/>
      <c r="J90" s="33"/>
      <c r="K90" s="33"/>
      <c r="L90" s="33"/>
      <c r="M90" s="33"/>
      <c r="N90" s="33"/>
      <c r="O90" s="33"/>
      <c r="P90" s="33"/>
      <c r="Q90" s="33"/>
      <c r="R90" s="33"/>
      <c r="S90" s="33"/>
      <c r="T90" s="124"/>
      <c r="U90" s="3"/>
      <c r="V90" s="3"/>
      <c r="W90" s="3"/>
      <c r="X90" s="3"/>
      <c r="Y90" s="3"/>
      <c r="Z90" s="3"/>
    </row>
    <row r="91" spans="1:26" ht="15.75" customHeight="1">
      <c r="A91" s="3"/>
      <c r="B91" s="3"/>
      <c r="C91" s="3"/>
      <c r="D91" s="33"/>
      <c r="E91" s="33"/>
      <c r="F91" s="33"/>
      <c r="G91" s="33"/>
      <c r="H91" s="33"/>
      <c r="I91" s="33"/>
      <c r="J91" s="33"/>
      <c r="K91" s="33"/>
      <c r="L91" s="33"/>
      <c r="M91" s="33"/>
      <c r="N91" s="33"/>
      <c r="O91" s="33"/>
      <c r="P91" s="33"/>
      <c r="Q91" s="33"/>
      <c r="R91" s="33"/>
      <c r="S91" s="33"/>
      <c r="T91" s="124"/>
      <c r="U91" s="3"/>
      <c r="V91" s="3"/>
      <c r="W91" s="3"/>
      <c r="X91" s="3"/>
      <c r="Y91" s="3"/>
      <c r="Z91" s="3"/>
    </row>
    <row r="92" spans="1:26" ht="15.75" customHeight="1">
      <c r="A92" s="3"/>
      <c r="B92" s="3"/>
      <c r="C92" s="3"/>
      <c r="D92" s="33"/>
      <c r="E92" s="33"/>
      <c r="F92" s="33"/>
      <c r="G92" s="33"/>
      <c r="H92" s="33"/>
      <c r="I92" s="33"/>
      <c r="J92" s="33"/>
      <c r="K92" s="33"/>
      <c r="L92" s="33"/>
      <c r="M92" s="33"/>
      <c r="N92" s="33"/>
      <c r="O92" s="33"/>
      <c r="P92" s="33"/>
      <c r="Q92" s="33"/>
      <c r="R92" s="33"/>
      <c r="S92" s="33"/>
      <c r="T92" s="124"/>
      <c r="U92" s="3"/>
      <c r="V92" s="3"/>
      <c r="W92" s="3"/>
      <c r="X92" s="3"/>
      <c r="Y92" s="3"/>
      <c r="Z92" s="3"/>
    </row>
    <row r="93" spans="1:26" ht="15.75" customHeight="1">
      <c r="A93" s="3"/>
      <c r="B93" s="3"/>
      <c r="C93" s="3"/>
      <c r="D93" s="33"/>
      <c r="E93" s="33"/>
      <c r="F93" s="33"/>
      <c r="G93" s="33"/>
      <c r="H93" s="33"/>
      <c r="I93" s="33"/>
      <c r="J93" s="33"/>
      <c r="K93" s="33"/>
      <c r="L93" s="33"/>
      <c r="M93" s="33"/>
      <c r="N93" s="33"/>
      <c r="O93" s="33"/>
      <c r="P93" s="33"/>
      <c r="Q93" s="33"/>
      <c r="R93" s="33"/>
      <c r="S93" s="33"/>
      <c r="T93" s="124"/>
      <c r="U93" s="3"/>
      <c r="V93" s="3"/>
      <c r="W93" s="3"/>
      <c r="X93" s="3"/>
      <c r="Y93" s="3"/>
      <c r="Z93" s="3"/>
    </row>
    <row r="94" spans="1:26" ht="15.75" customHeight="1">
      <c r="A94" s="3"/>
      <c r="B94" s="3"/>
      <c r="C94" s="3"/>
      <c r="D94" s="33"/>
      <c r="E94" s="33"/>
      <c r="F94" s="33"/>
      <c r="G94" s="33"/>
      <c r="H94" s="33"/>
      <c r="I94" s="33"/>
      <c r="J94" s="33"/>
      <c r="K94" s="33"/>
      <c r="L94" s="33"/>
      <c r="M94" s="33"/>
      <c r="N94" s="33"/>
      <c r="O94" s="33"/>
      <c r="P94" s="33"/>
      <c r="Q94" s="33"/>
      <c r="R94" s="33"/>
      <c r="S94" s="33"/>
      <c r="T94" s="124"/>
      <c r="U94" s="3"/>
      <c r="V94" s="3"/>
      <c r="W94" s="3"/>
      <c r="X94" s="3"/>
      <c r="Y94" s="3"/>
      <c r="Z94" s="3"/>
    </row>
    <row r="95" spans="1:26" ht="15.75" customHeight="1">
      <c r="A95" s="3"/>
      <c r="B95" s="3"/>
      <c r="C95" s="3"/>
      <c r="D95" s="33"/>
      <c r="E95" s="33"/>
      <c r="F95" s="33"/>
      <c r="G95" s="33"/>
      <c r="H95" s="33"/>
      <c r="I95" s="33"/>
      <c r="J95" s="33"/>
      <c r="K95" s="33"/>
      <c r="L95" s="33"/>
      <c r="M95" s="33"/>
      <c r="N95" s="33"/>
      <c r="O95" s="33"/>
      <c r="P95" s="33"/>
      <c r="Q95" s="33"/>
      <c r="R95" s="33"/>
      <c r="S95" s="33"/>
      <c r="T95" s="124"/>
      <c r="U95" s="3"/>
      <c r="V95" s="3"/>
      <c r="W95" s="3"/>
      <c r="X95" s="3"/>
      <c r="Y95" s="3"/>
      <c r="Z95" s="3"/>
    </row>
    <row r="96" spans="1:26" ht="15.75" customHeight="1">
      <c r="A96" s="3"/>
      <c r="B96" s="3"/>
      <c r="C96" s="3"/>
      <c r="D96" s="33"/>
      <c r="E96" s="33"/>
      <c r="F96" s="33"/>
      <c r="G96" s="33"/>
      <c r="H96" s="33"/>
      <c r="I96" s="33"/>
      <c r="J96" s="33"/>
      <c r="K96" s="33"/>
      <c r="L96" s="33"/>
      <c r="M96" s="33"/>
      <c r="N96" s="33"/>
      <c r="O96" s="33"/>
      <c r="P96" s="33"/>
      <c r="Q96" s="33"/>
      <c r="R96" s="33"/>
      <c r="S96" s="33"/>
      <c r="T96" s="124"/>
      <c r="U96" s="3"/>
      <c r="V96" s="3"/>
      <c r="W96" s="3"/>
      <c r="X96" s="3"/>
      <c r="Y96" s="3"/>
      <c r="Z96" s="3"/>
    </row>
    <row r="97" spans="1:26" ht="15.75" customHeight="1">
      <c r="A97" s="3"/>
      <c r="B97" s="3"/>
      <c r="C97" s="3"/>
      <c r="D97" s="33"/>
      <c r="E97" s="33"/>
      <c r="F97" s="33"/>
      <c r="G97" s="33"/>
      <c r="H97" s="33"/>
      <c r="I97" s="33"/>
      <c r="J97" s="33"/>
      <c r="K97" s="33"/>
      <c r="L97" s="33"/>
      <c r="M97" s="33"/>
      <c r="N97" s="33"/>
      <c r="O97" s="33"/>
      <c r="P97" s="33"/>
      <c r="Q97" s="33"/>
      <c r="R97" s="33"/>
      <c r="S97" s="33"/>
      <c r="T97" s="124"/>
      <c r="U97" s="3"/>
      <c r="V97" s="3"/>
      <c r="W97" s="3"/>
      <c r="X97" s="3"/>
      <c r="Y97" s="3"/>
      <c r="Z97" s="3"/>
    </row>
    <row r="98" spans="1:26" ht="15.75" customHeight="1">
      <c r="A98" s="3"/>
      <c r="B98" s="3"/>
      <c r="C98" s="3"/>
      <c r="D98" s="33"/>
      <c r="E98" s="33"/>
      <c r="F98" s="33"/>
      <c r="G98" s="33"/>
      <c r="H98" s="33"/>
      <c r="I98" s="33"/>
      <c r="J98" s="33"/>
      <c r="K98" s="33"/>
      <c r="L98" s="33"/>
      <c r="M98" s="33"/>
      <c r="N98" s="33"/>
      <c r="O98" s="33"/>
      <c r="P98" s="33"/>
      <c r="Q98" s="33"/>
      <c r="R98" s="33"/>
      <c r="S98" s="33"/>
      <c r="T98" s="124"/>
      <c r="U98" s="3"/>
      <c r="V98" s="3"/>
      <c r="W98" s="3"/>
      <c r="X98" s="3"/>
      <c r="Y98" s="3"/>
      <c r="Z98" s="3"/>
    </row>
    <row r="99" spans="1:26" ht="15.75" customHeight="1">
      <c r="A99" s="3"/>
      <c r="B99" s="3"/>
      <c r="C99" s="3"/>
      <c r="D99" s="33"/>
      <c r="E99" s="33"/>
      <c r="F99" s="33"/>
      <c r="G99" s="33"/>
      <c r="H99" s="33"/>
      <c r="I99" s="33"/>
      <c r="J99" s="33"/>
      <c r="K99" s="33"/>
      <c r="L99" s="33"/>
      <c r="M99" s="33"/>
      <c r="N99" s="33"/>
      <c r="O99" s="33"/>
      <c r="P99" s="33"/>
      <c r="Q99" s="33"/>
      <c r="R99" s="33"/>
      <c r="S99" s="33"/>
      <c r="T99" s="124"/>
      <c r="U99" s="3"/>
      <c r="V99" s="3"/>
      <c r="W99" s="3"/>
      <c r="X99" s="3"/>
      <c r="Y99" s="3"/>
      <c r="Z99" s="3"/>
    </row>
    <row r="100" spans="1:26" ht="15.75" customHeight="1">
      <c r="A100" s="3"/>
      <c r="B100" s="3"/>
      <c r="C100" s="3"/>
      <c r="D100" s="33"/>
      <c r="E100" s="33"/>
      <c r="F100" s="33"/>
      <c r="G100" s="33"/>
      <c r="H100" s="33"/>
      <c r="I100" s="33"/>
      <c r="J100" s="33"/>
      <c r="K100" s="33"/>
      <c r="L100" s="33"/>
      <c r="M100" s="33"/>
      <c r="N100" s="33"/>
      <c r="O100" s="33"/>
      <c r="P100" s="33"/>
      <c r="Q100" s="33"/>
      <c r="R100" s="33"/>
      <c r="S100" s="33"/>
      <c r="T100" s="124"/>
      <c r="U100" s="3"/>
      <c r="V100" s="3"/>
      <c r="W100" s="3"/>
      <c r="X100" s="3"/>
      <c r="Y100" s="3"/>
      <c r="Z100" s="3"/>
    </row>
    <row r="101" spans="1:26" ht="15.75" customHeight="1">
      <c r="A101" s="3"/>
      <c r="B101" s="3"/>
      <c r="C101" s="3"/>
      <c r="D101" s="33"/>
      <c r="E101" s="33"/>
      <c r="F101" s="33"/>
      <c r="G101" s="33"/>
      <c r="H101" s="33"/>
      <c r="I101" s="33"/>
      <c r="J101" s="33"/>
      <c r="K101" s="33"/>
      <c r="L101" s="33"/>
      <c r="M101" s="33"/>
      <c r="N101" s="33"/>
      <c r="O101" s="33"/>
      <c r="P101" s="33"/>
      <c r="Q101" s="33"/>
      <c r="R101" s="33"/>
      <c r="S101" s="33"/>
      <c r="T101" s="124"/>
      <c r="U101" s="3"/>
      <c r="V101" s="3"/>
      <c r="W101" s="3"/>
      <c r="X101" s="3"/>
      <c r="Y101" s="3"/>
      <c r="Z101" s="3"/>
    </row>
    <row r="102" spans="1:26" ht="15.75" customHeight="1">
      <c r="A102" s="3"/>
      <c r="B102" s="3"/>
      <c r="C102" s="3"/>
      <c r="D102" s="33"/>
      <c r="E102" s="33"/>
      <c r="F102" s="33"/>
      <c r="G102" s="33"/>
      <c r="H102" s="33"/>
      <c r="I102" s="33"/>
      <c r="J102" s="33"/>
      <c r="K102" s="33"/>
      <c r="L102" s="33"/>
      <c r="M102" s="33"/>
      <c r="N102" s="33"/>
      <c r="O102" s="33"/>
      <c r="P102" s="33"/>
      <c r="Q102" s="33"/>
      <c r="R102" s="33"/>
      <c r="S102" s="33"/>
      <c r="T102" s="124"/>
      <c r="U102" s="3"/>
      <c r="V102" s="3"/>
      <c r="W102" s="3"/>
      <c r="X102" s="3"/>
      <c r="Y102" s="3"/>
      <c r="Z102" s="3"/>
    </row>
    <row r="103" spans="1:26" ht="15.75" customHeight="1">
      <c r="A103" s="3"/>
      <c r="B103" s="3"/>
      <c r="C103" s="3"/>
      <c r="D103" s="33"/>
      <c r="E103" s="33"/>
      <c r="F103" s="33"/>
      <c r="G103" s="33"/>
      <c r="H103" s="33"/>
      <c r="I103" s="33"/>
      <c r="J103" s="33"/>
      <c r="K103" s="33"/>
      <c r="L103" s="33"/>
      <c r="M103" s="33"/>
      <c r="N103" s="33"/>
      <c r="O103" s="33"/>
      <c r="P103" s="33"/>
      <c r="Q103" s="33"/>
      <c r="R103" s="33"/>
      <c r="S103" s="33"/>
      <c r="T103" s="124"/>
      <c r="U103" s="3"/>
      <c r="V103" s="3"/>
      <c r="W103" s="3"/>
      <c r="X103" s="3"/>
      <c r="Y103" s="3"/>
      <c r="Z103" s="3"/>
    </row>
    <row r="104" spans="1:26" ht="15.75" customHeight="1">
      <c r="A104" s="3"/>
      <c r="B104" s="3"/>
      <c r="C104" s="3"/>
      <c r="D104" s="33"/>
      <c r="E104" s="33"/>
      <c r="F104" s="33"/>
      <c r="G104" s="33"/>
      <c r="H104" s="33"/>
      <c r="I104" s="33"/>
      <c r="J104" s="33"/>
      <c r="K104" s="33"/>
      <c r="L104" s="33"/>
      <c r="M104" s="33"/>
      <c r="N104" s="33"/>
      <c r="O104" s="33"/>
      <c r="P104" s="33"/>
      <c r="Q104" s="33"/>
      <c r="R104" s="33"/>
      <c r="S104" s="33"/>
      <c r="T104" s="124"/>
      <c r="U104" s="3"/>
      <c r="V104" s="3"/>
      <c r="W104" s="3"/>
      <c r="X104" s="3"/>
      <c r="Y104" s="3"/>
      <c r="Z104" s="3"/>
    </row>
    <row r="105" spans="1:26" ht="15.75" customHeight="1">
      <c r="A105" s="3"/>
      <c r="B105" s="3"/>
      <c r="C105" s="3"/>
      <c r="D105" s="33"/>
      <c r="E105" s="33"/>
      <c r="F105" s="33"/>
      <c r="G105" s="33"/>
      <c r="H105" s="33"/>
      <c r="I105" s="33"/>
      <c r="J105" s="33"/>
      <c r="K105" s="33"/>
      <c r="L105" s="33"/>
      <c r="M105" s="33"/>
      <c r="N105" s="33"/>
      <c r="O105" s="33"/>
      <c r="P105" s="33"/>
      <c r="Q105" s="33"/>
      <c r="R105" s="33"/>
      <c r="S105" s="33"/>
      <c r="T105" s="124"/>
      <c r="U105" s="3"/>
      <c r="V105" s="3"/>
      <c r="W105" s="3"/>
      <c r="X105" s="3"/>
      <c r="Y105" s="3"/>
      <c r="Z105" s="3"/>
    </row>
    <row r="106" spans="1:26" ht="15.75" customHeight="1">
      <c r="A106" s="3"/>
      <c r="B106" s="3"/>
      <c r="C106" s="3"/>
      <c r="D106" s="33"/>
      <c r="E106" s="33"/>
      <c r="F106" s="33"/>
      <c r="G106" s="33"/>
      <c r="H106" s="33"/>
      <c r="I106" s="33"/>
      <c r="J106" s="33"/>
      <c r="K106" s="33"/>
      <c r="L106" s="33"/>
      <c r="M106" s="33"/>
      <c r="N106" s="33"/>
      <c r="O106" s="33"/>
      <c r="P106" s="33"/>
      <c r="Q106" s="33"/>
      <c r="R106" s="33"/>
      <c r="S106" s="33"/>
      <c r="T106" s="124"/>
      <c r="U106" s="3"/>
      <c r="V106" s="3"/>
      <c r="W106" s="3"/>
      <c r="X106" s="3"/>
      <c r="Y106" s="3"/>
      <c r="Z106" s="3"/>
    </row>
    <row r="107" spans="1:26" ht="15.75" customHeight="1">
      <c r="A107" s="3"/>
      <c r="B107" s="3"/>
      <c r="C107" s="3"/>
      <c r="D107" s="33"/>
      <c r="E107" s="33"/>
      <c r="F107" s="33"/>
      <c r="G107" s="33"/>
      <c r="H107" s="33"/>
      <c r="I107" s="33"/>
      <c r="J107" s="33"/>
      <c r="K107" s="33"/>
      <c r="L107" s="33"/>
      <c r="M107" s="33"/>
      <c r="N107" s="33"/>
      <c r="O107" s="33"/>
      <c r="P107" s="33"/>
      <c r="Q107" s="33"/>
      <c r="R107" s="33"/>
      <c r="S107" s="33"/>
      <c r="T107" s="124"/>
      <c r="U107" s="3"/>
      <c r="V107" s="3"/>
      <c r="W107" s="3"/>
      <c r="X107" s="3"/>
      <c r="Y107" s="3"/>
      <c r="Z107" s="3"/>
    </row>
    <row r="108" spans="1:26" ht="15.75" customHeight="1">
      <c r="A108" s="3"/>
      <c r="B108" s="3"/>
      <c r="C108" s="3"/>
      <c r="D108" s="33"/>
      <c r="E108" s="33"/>
      <c r="F108" s="33"/>
      <c r="G108" s="33"/>
      <c r="H108" s="33"/>
      <c r="I108" s="33"/>
      <c r="J108" s="33"/>
      <c r="K108" s="33"/>
      <c r="L108" s="33"/>
      <c r="M108" s="33"/>
      <c r="N108" s="33"/>
      <c r="O108" s="33"/>
      <c r="P108" s="33"/>
      <c r="Q108" s="33"/>
      <c r="R108" s="33"/>
      <c r="S108" s="33"/>
      <c r="T108" s="124"/>
      <c r="U108" s="3"/>
      <c r="V108" s="3"/>
      <c r="W108" s="3"/>
      <c r="X108" s="3"/>
      <c r="Y108" s="3"/>
      <c r="Z108" s="3"/>
    </row>
    <row r="109" spans="1:26" ht="15.75" customHeight="1">
      <c r="A109" s="3"/>
      <c r="B109" s="3"/>
      <c r="C109" s="3"/>
      <c r="D109" s="33"/>
      <c r="E109" s="33"/>
      <c r="F109" s="33"/>
      <c r="G109" s="33"/>
      <c r="H109" s="33"/>
      <c r="I109" s="33"/>
      <c r="J109" s="33"/>
      <c r="K109" s="33"/>
      <c r="L109" s="33"/>
      <c r="M109" s="33"/>
      <c r="N109" s="33"/>
      <c r="O109" s="33"/>
      <c r="P109" s="33"/>
      <c r="Q109" s="33"/>
      <c r="R109" s="33"/>
      <c r="S109" s="33"/>
      <c r="T109" s="124"/>
      <c r="U109" s="3"/>
      <c r="V109" s="3"/>
      <c r="W109" s="3"/>
      <c r="X109" s="3"/>
      <c r="Y109" s="3"/>
      <c r="Z109" s="3"/>
    </row>
    <row r="110" spans="1:26" ht="15.75" customHeight="1">
      <c r="A110" s="3"/>
      <c r="B110" s="3"/>
      <c r="C110" s="3"/>
      <c r="D110" s="33"/>
      <c r="E110" s="33"/>
      <c r="F110" s="33"/>
      <c r="G110" s="33"/>
      <c r="H110" s="33"/>
      <c r="I110" s="33"/>
      <c r="J110" s="33"/>
      <c r="K110" s="33"/>
      <c r="L110" s="33"/>
      <c r="M110" s="33"/>
      <c r="N110" s="33"/>
      <c r="O110" s="33"/>
      <c r="P110" s="33"/>
      <c r="Q110" s="33"/>
      <c r="R110" s="33"/>
      <c r="S110" s="33"/>
      <c r="T110" s="124"/>
      <c r="U110" s="3"/>
      <c r="V110" s="3"/>
      <c r="W110" s="3"/>
      <c r="X110" s="3"/>
      <c r="Y110" s="3"/>
      <c r="Z110" s="3"/>
    </row>
    <row r="111" spans="1:26" ht="15.75" customHeight="1">
      <c r="A111" s="3"/>
      <c r="B111" s="3"/>
      <c r="C111" s="3"/>
      <c r="D111" s="33"/>
      <c r="E111" s="33"/>
      <c r="F111" s="33"/>
      <c r="G111" s="33"/>
      <c r="H111" s="33"/>
      <c r="I111" s="33"/>
      <c r="J111" s="33"/>
      <c r="K111" s="33"/>
      <c r="L111" s="33"/>
      <c r="M111" s="33"/>
      <c r="N111" s="33"/>
      <c r="O111" s="33"/>
      <c r="P111" s="33"/>
      <c r="Q111" s="33"/>
      <c r="R111" s="33"/>
      <c r="S111" s="33"/>
      <c r="T111" s="124"/>
      <c r="U111" s="3"/>
      <c r="V111" s="3"/>
      <c r="W111" s="3"/>
      <c r="X111" s="3"/>
      <c r="Y111" s="3"/>
      <c r="Z111" s="3"/>
    </row>
    <row r="112" spans="1:26" ht="15.75" customHeight="1">
      <c r="A112" s="3"/>
      <c r="B112" s="3"/>
      <c r="C112" s="3"/>
      <c r="D112" s="33"/>
      <c r="E112" s="33"/>
      <c r="F112" s="33"/>
      <c r="G112" s="33"/>
      <c r="H112" s="33"/>
      <c r="I112" s="33"/>
      <c r="J112" s="33"/>
      <c r="K112" s="33"/>
      <c r="L112" s="33"/>
      <c r="M112" s="33"/>
      <c r="N112" s="33"/>
      <c r="O112" s="33"/>
      <c r="P112" s="33"/>
      <c r="Q112" s="33"/>
      <c r="R112" s="33"/>
      <c r="S112" s="33"/>
      <c r="T112" s="124"/>
      <c r="U112" s="3"/>
      <c r="V112" s="3"/>
      <c r="W112" s="3"/>
      <c r="X112" s="3"/>
      <c r="Y112" s="3"/>
      <c r="Z112" s="3"/>
    </row>
    <row r="113" spans="1:26" ht="15.75" customHeight="1">
      <c r="A113" s="3"/>
      <c r="B113" s="3"/>
      <c r="C113" s="3"/>
      <c r="D113" s="33"/>
      <c r="E113" s="33"/>
      <c r="F113" s="33"/>
      <c r="G113" s="33"/>
      <c r="H113" s="33"/>
      <c r="I113" s="33"/>
      <c r="J113" s="33"/>
      <c r="K113" s="33"/>
      <c r="L113" s="33"/>
      <c r="M113" s="33"/>
      <c r="N113" s="33"/>
      <c r="O113" s="33"/>
      <c r="P113" s="33"/>
      <c r="Q113" s="33"/>
      <c r="R113" s="33"/>
      <c r="S113" s="33"/>
      <c r="T113" s="124"/>
      <c r="U113" s="3"/>
      <c r="V113" s="3"/>
      <c r="W113" s="3"/>
      <c r="X113" s="3"/>
      <c r="Y113" s="3"/>
      <c r="Z113" s="3"/>
    </row>
    <row r="114" spans="1:26" ht="15.75" customHeight="1">
      <c r="A114" s="3"/>
      <c r="B114" s="3"/>
      <c r="C114" s="3"/>
      <c r="D114" s="33"/>
      <c r="E114" s="33"/>
      <c r="F114" s="33"/>
      <c r="G114" s="33"/>
      <c r="H114" s="33"/>
      <c r="I114" s="33"/>
      <c r="J114" s="33"/>
      <c r="K114" s="33"/>
      <c r="L114" s="33"/>
      <c r="M114" s="33"/>
      <c r="N114" s="33"/>
      <c r="O114" s="33"/>
      <c r="P114" s="33"/>
      <c r="Q114" s="33"/>
      <c r="R114" s="33"/>
      <c r="S114" s="33"/>
      <c r="T114" s="124"/>
      <c r="U114" s="3"/>
      <c r="V114" s="3"/>
      <c r="W114" s="3"/>
      <c r="X114" s="3"/>
      <c r="Y114" s="3"/>
      <c r="Z114" s="3"/>
    </row>
    <row r="115" spans="1:26" ht="15.75" customHeight="1">
      <c r="A115" s="3"/>
      <c r="B115" s="3"/>
      <c r="C115" s="3"/>
      <c r="D115" s="33"/>
      <c r="E115" s="33"/>
      <c r="F115" s="33"/>
      <c r="G115" s="33"/>
      <c r="H115" s="33"/>
      <c r="I115" s="33"/>
      <c r="J115" s="33"/>
      <c r="K115" s="33"/>
      <c r="L115" s="33"/>
      <c r="M115" s="33"/>
      <c r="N115" s="33"/>
      <c r="O115" s="33"/>
      <c r="P115" s="33"/>
      <c r="Q115" s="33"/>
      <c r="R115" s="33"/>
      <c r="S115" s="33"/>
      <c r="T115" s="124"/>
      <c r="U115" s="3"/>
      <c r="V115" s="3"/>
      <c r="W115" s="3"/>
      <c r="X115" s="3"/>
      <c r="Y115" s="3"/>
      <c r="Z115" s="3"/>
    </row>
    <row r="116" spans="1:26" ht="15.75" customHeight="1">
      <c r="A116" s="3"/>
      <c r="B116" s="3"/>
      <c r="C116" s="3"/>
      <c r="D116" s="33"/>
      <c r="E116" s="33"/>
      <c r="F116" s="33"/>
      <c r="G116" s="33"/>
      <c r="H116" s="33"/>
      <c r="I116" s="33"/>
      <c r="J116" s="33"/>
      <c r="K116" s="33"/>
      <c r="L116" s="33"/>
      <c r="M116" s="33"/>
      <c r="N116" s="33"/>
      <c r="O116" s="33"/>
      <c r="P116" s="33"/>
      <c r="Q116" s="33"/>
      <c r="R116" s="33"/>
      <c r="S116" s="33"/>
      <c r="T116" s="124"/>
      <c r="U116" s="3"/>
      <c r="V116" s="3"/>
      <c r="W116" s="3"/>
      <c r="X116" s="3"/>
      <c r="Y116" s="3"/>
      <c r="Z116" s="3"/>
    </row>
    <row r="117" spans="1:26" ht="15.75" customHeight="1">
      <c r="A117" s="3"/>
      <c r="B117" s="3"/>
      <c r="C117" s="3"/>
      <c r="D117" s="33"/>
      <c r="E117" s="33"/>
      <c r="F117" s="33"/>
      <c r="G117" s="33"/>
      <c r="H117" s="33"/>
      <c r="I117" s="33"/>
      <c r="J117" s="33"/>
      <c r="K117" s="33"/>
      <c r="L117" s="33"/>
      <c r="M117" s="33"/>
      <c r="N117" s="33"/>
      <c r="O117" s="33"/>
      <c r="P117" s="33"/>
      <c r="Q117" s="33"/>
      <c r="R117" s="33"/>
      <c r="S117" s="33"/>
      <c r="T117" s="124"/>
      <c r="U117" s="3"/>
      <c r="V117" s="3"/>
      <c r="W117" s="3"/>
      <c r="X117" s="3"/>
      <c r="Y117" s="3"/>
      <c r="Z117" s="3"/>
    </row>
    <row r="118" spans="1:26" ht="15.75" customHeight="1">
      <c r="A118" s="3"/>
      <c r="B118" s="3"/>
      <c r="C118" s="3"/>
      <c r="D118" s="33"/>
      <c r="E118" s="33"/>
      <c r="F118" s="33"/>
      <c r="G118" s="33"/>
      <c r="H118" s="33"/>
      <c r="I118" s="33"/>
      <c r="J118" s="33"/>
      <c r="K118" s="33"/>
      <c r="L118" s="33"/>
      <c r="M118" s="33"/>
      <c r="N118" s="33"/>
      <c r="O118" s="33"/>
      <c r="P118" s="33"/>
      <c r="Q118" s="33"/>
      <c r="R118" s="33"/>
      <c r="S118" s="33"/>
      <c r="T118" s="124"/>
      <c r="U118" s="3"/>
      <c r="V118" s="3"/>
      <c r="W118" s="3"/>
      <c r="X118" s="3"/>
      <c r="Y118" s="3"/>
      <c r="Z118" s="3"/>
    </row>
    <row r="119" spans="1:26" ht="15.75" customHeight="1">
      <c r="A119" s="3"/>
      <c r="B119" s="3"/>
      <c r="C119" s="3"/>
      <c r="D119" s="33"/>
      <c r="E119" s="33"/>
      <c r="F119" s="33"/>
      <c r="G119" s="33"/>
      <c r="H119" s="33"/>
      <c r="I119" s="33"/>
      <c r="J119" s="33"/>
      <c r="K119" s="33"/>
      <c r="L119" s="33"/>
      <c r="M119" s="33"/>
      <c r="N119" s="33"/>
      <c r="O119" s="33"/>
      <c r="P119" s="33"/>
      <c r="Q119" s="33"/>
      <c r="R119" s="33"/>
      <c r="S119" s="33"/>
      <c r="T119" s="124"/>
      <c r="U119" s="3"/>
      <c r="V119" s="3"/>
      <c r="W119" s="3"/>
      <c r="X119" s="3"/>
      <c r="Y119" s="3"/>
      <c r="Z119" s="3"/>
    </row>
    <row r="120" spans="1:26" ht="15.75" customHeight="1">
      <c r="A120" s="3"/>
      <c r="B120" s="3"/>
      <c r="C120" s="3"/>
      <c r="D120" s="33"/>
      <c r="E120" s="33"/>
      <c r="F120" s="33"/>
      <c r="G120" s="33"/>
      <c r="H120" s="33"/>
      <c r="I120" s="33"/>
      <c r="J120" s="33"/>
      <c r="K120" s="33"/>
      <c r="L120" s="33"/>
      <c r="M120" s="33"/>
      <c r="N120" s="33"/>
      <c r="O120" s="33"/>
      <c r="P120" s="33"/>
      <c r="Q120" s="33"/>
      <c r="R120" s="33"/>
      <c r="S120" s="33"/>
      <c r="T120" s="124"/>
      <c r="U120" s="3"/>
      <c r="V120" s="3"/>
      <c r="W120" s="3"/>
      <c r="X120" s="3"/>
      <c r="Y120" s="3"/>
      <c r="Z120" s="3"/>
    </row>
    <row r="121" spans="1:26" ht="15.75" customHeight="1">
      <c r="A121" s="3"/>
      <c r="B121" s="3"/>
      <c r="C121" s="3"/>
      <c r="D121" s="33"/>
      <c r="E121" s="33"/>
      <c r="F121" s="33"/>
      <c r="G121" s="33"/>
      <c r="H121" s="33"/>
      <c r="I121" s="33"/>
      <c r="J121" s="33"/>
      <c r="K121" s="33"/>
      <c r="L121" s="33"/>
      <c r="M121" s="33"/>
      <c r="N121" s="33"/>
      <c r="O121" s="33"/>
      <c r="P121" s="33"/>
      <c r="Q121" s="33"/>
      <c r="R121" s="33"/>
      <c r="S121" s="33"/>
      <c r="T121" s="124"/>
      <c r="U121" s="3"/>
      <c r="V121" s="3"/>
      <c r="W121" s="3"/>
      <c r="X121" s="3"/>
      <c r="Y121" s="3"/>
      <c r="Z121" s="3"/>
    </row>
    <row r="122" spans="1:26" ht="15.75" customHeight="1">
      <c r="A122" s="3"/>
      <c r="B122" s="3"/>
      <c r="C122" s="3"/>
      <c r="D122" s="33"/>
      <c r="E122" s="33"/>
      <c r="F122" s="33"/>
      <c r="G122" s="33"/>
      <c r="H122" s="33"/>
      <c r="I122" s="33"/>
      <c r="J122" s="33"/>
      <c r="K122" s="33"/>
      <c r="L122" s="33"/>
      <c r="M122" s="33"/>
      <c r="N122" s="33"/>
      <c r="O122" s="33"/>
      <c r="P122" s="33"/>
      <c r="Q122" s="33"/>
      <c r="R122" s="33"/>
      <c r="S122" s="33"/>
      <c r="T122" s="124"/>
      <c r="U122" s="3"/>
      <c r="V122" s="3"/>
      <c r="W122" s="3"/>
      <c r="X122" s="3"/>
      <c r="Y122" s="3"/>
      <c r="Z122" s="3"/>
    </row>
    <row r="123" spans="1:26" ht="15.75" customHeight="1">
      <c r="A123" s="3"/>
      <c r="B123" s="3"/>
      <c r="C123" s="3"/>
      <c r="D123" s="33"/>
      <c r="E123" s="33"/>
      <c r="F123" s="33"/>
      <c r="G123" s="33"/>
      <c r="H123" s="33"/>
      <c r="I123" s="33"/>
      <c r="J123" s="33"/>
      <c r="K123" s="33"/>
      <c r="L123" s="33"/>
      <c r="M123" s="33"/>
      <c r="N123" s="33"/>
      <c r="O123" s="33"/>
      <c r="P123" s="33"/>
      <c r="Q123" s="33"/>
      <c r="R123" s="33"/>
      <c r="S123" s="33"/>
      <c r="T123" s="124"/>
      <c r="U123" s="3"/>
      <c r="V123" s="3"/>
      <c r="W123" s="3"/>
      <c r="X123" s="3"/>
      <c r="Y123" s="3"/>
      <c r="Z123" s="3"/>
    </row>
    <row r="124" spans="1:26" ht="15.75" customHeight="1">
      <c r="A124" s="3"/>
      <c r="B124" s="3"/>
      <c r="C124" s="3"/>
      <c r="D124" s="33"/>
      <c r="E124" s="33"/>
      <c r="F124" s="33"/>
      <c r="G124" s="33"/>
      <c r="H124" s="33"/>
      <c r="I124" s="33"/>
      <c r="J124" s="33"/>
      <c r="K124" s="33"/>
      <c r="L124" s="33"/>
      <c r="M124" s="33"/>
      <c r="N124" s="33"/>
      <c r="O124" s="33"/>
      <c r="P124" s="33"/>
      <c r="Q124" s="33"/>
      <c r="R124" s="33"/>
      <c r="S124" s="33"/>
      <c r="T124" s="124"/>
      <c r="U124" s="3"/>
      <c r="V124" s="3"/>
      <c r="W124" s="3"/>
      <c r="X124" s="3"/>
      <c r="Y124" s="3"/>
      <c r="Z124" s="3"/>
    </row>
    <row r="125" spans="1:26" ht="15.75" customHeight="1">
      <c r="A125" s="3"/>
      <c r="B125" s="3"/>
      <c r="C125" s="3"/>
      <c r="D125" s="33"/>
      <c r="E125" s="33"/>
      <c r="F125" s="33"/>
      <c r="G125" s="33"/>
      <c r="H125" s="33"/>
      <c r="I125" s="33"/>
      <c r="J125" s="33"/>
      <c r="K125" s="33"/>
      <c r="L125" s="33"/>
      <c r="M125" s="33"/>
      <c r="N125" s="33"/>
      <c r="O125" s="33"/>
      <c r="P125" s="33"/>
      <c r="Q125" s="33"/>
      <c r="R125" s="33"/>
      <c r="S125" s="33"/>
      <c r="T125" s="124"/>
      <c r="U125" s="3"/>
      <c r="V125" s="3"/>
      <c r="W125" s="3"/>
      <c r="X125" s="3"/>
      <c r="Y125" s="3"/>
      <c r="Z125" s="3"/>
    </row>
    <row r="126" spans="1:26" ht="15.75" customHeight="1">
      <c r="A126" s="3"/>
      <c r="B126" s="3"/>
      <c r="C126" s="3"/>
      <c r="D126" s="33"/>
      <c r="E126" s="33"/>
      <c r="F126" s="33"/>
      <c r="G126" s="33"/>
      <c r="H126" s="33"/>
      <c r="I126" s="33"/>
      <c r="J126" s="33"/>
      <c r="K126" s="33"/>
      <c r="L126" s="33"/>
      <c r="M126" s="33"/>
      <c r="N126" s="33"/>
      <c r="O126" s="33"/>
      <c r="P126" s="33"/>
      <c r="Q126" s="33"/>
      <c r="R126" s="33"/>
      <c r="S126" s="33"/>
      <c r="T126" s="124"/>
      <c r="U126" s="3"/>
      <c r="V126" s="3"/>
      <c r="W126" s="3"/>
      <c r="X126" s="3"/>
      <c r="Y126" s="3"/>
      <c r="Z126" s="3"/>
    </row>
    <row r="127" spans="1:26" ht="15.75" customHeight="1">
      <c r="A127" s="3"/>
      <c r="B127" s="3"/>
      <c r="C127" s="3"/>
      <c r="D127" s="33"/>
      <c r="E127" s="33"/>
      <c r="F127" s="33"/>
      <c r="G127" s="33"/>
      <c r="H127" s="33"/>
      <c r="I127" s="33"/>
      <c r="J127" s="33"/>
      <c r="K127" s="33"/>
      <c r="L127" s="33"/>
      <c r="M127" s="33"/>
      <c r="N127" s="33"/>
      <c r="O127" s="33"/>
      <c r="P127" s="33"/>
      <c r="Q127" s="33"/>
      <c r="R127" s="33"/>
      <c r="S127" s="33"/>
      <c r="T127" s="124"/>
      <c r="U127" s="3"/>
      <c r="V127" s="3"/>
      <c r="W127" s="3"/>
      <c r="X127" s="3"/>
      <c r="Y127" s="3"/>
      <c r="Z127" s="3"/>
    </row>
    <row r="128" spans="1:26" ht="15.75" customHeight="1">
      <c r="A128" s="3"/>
      <c r="B128" s="3"/>
      <c r="C128" s="3"/>
      <c r="D128" s="33"/>
      <c r="E128" s="33"/>
      <c r="F128" s="33"/>
      <c r="G128" s="33"/>
      <c r="H128" s="33"/>
      <c r="I128" s="33"/>
      <c r="J128" s="33"/>
      <c r="K128" s="33"/>
      <c r="L128" s="33"/>
      <c r="M128" s="33"/>
      <c r="N128" s="33"/>
      <c r="O128" s="33"/>
      <c r="P128" s="33"/>
      <c r="Q128" s="33"/>
      <c r="R128" s="33"/>
      <c r="S128" s="33"/>
      <c r="T128" s="124"/>
      <c r="U128" s="3"/>
      <c r="V128" s="3"/>
      <c r="W128" s="3"/>
      <c r="X128" s="3"/>
      <c r="Y128" s="3"/>
      <c r="Z128" s="3"/>
    </row>
    <row r="129" spans="1:26" ht="15.75" customHeight="1">
      <c r="A129" s="3"/>
      <c r="B129" s="3"/>
      <c r="C129" s="3"/>
      <c r="D129" s="33"/>
      <c r="E129" s="33"/>
      <c r="F129" s="33"/>
      <c r="G129" s="33"/>
      <c r="H129" s="33"/>
      <c r="I129" s="33"/>
      <c r="J129" s="33"/>
      <c r="K129" s="33"/>
      <c r="L129" s="33"/>
      <c r="M129" s="33"/>
      <c r="N129" s="33"/>
      <c r="O129" s="33"/>
      <c r="P129" s="33"/>
      <c r="Q129" s="33"/>
      <c r="R129" s="33"/>
      <c r="S129" s="33"/>
      <c r="T129" s="124"/>
      <c r="U129" s="3"/>
      <c r="V129" s="3"/>
      <c r="W129" s="3"/>
      <c r="X129" s="3"/>
      <c r="Y129" s="3"/>
      <c r="Z129" s="3"/>
    </row>
    <row r="130" spans="1:26" ht="15.75" customHeight="1">
      <c r="A130" s="3"/>
      <c r="B130" s="3"/>
      <c r="C130" s="3"/>
      <c r="D130" s="33"/>
      <c r="E130" s="33"/>
      <c r="F130" s="33"/>
      <c r="G130" s="33"/>
      <c r="H130" s="33"/>
      <c r="I130" s="33"/>
      <c r="J130" s="33"/>
      <c r="K130" s="33"/>
      <c r="L130" s="33"/>
      <c r="M130" s="33"/>
      <c r="N130" s="33"/>
      <c r="O130" s="33"/>
      <c r="P130" s="33"/>
      <c r="Q130" s="33"/>
      <c r="R130" s="33"/>
      <c r="S130" s="33"/>
      <c r="T130" s="124"/>
      <c r="U130" s="3"/>
      <c r="V130" s="3"/>
      <c r="W130" s="3"/>
      <c r="X130" s="3"/>
      <c r="Y130" s="3"/>
      <c r="Z130" s="3"/>
    </row>
    <row r="131" spans="1:26" ht="15.75" customHeight="1">
      <c r="A131" s="3"/>
      <c r="B131" s="3"/>
      <c r="C131" s="3"/>
      <c r="D131" s="33"/>
      <c r="E131" s="33"/>
      <c r="F131" s="33"/>
      <c r="G131" s="33"/>
      <c r="H131" s="33"/>
      <c r="I131" s="33"/>
      <c r="J131" s="33"/>
      <c r="K131" s="33"/>
      <c r="L131" s="33"/>
      <c r="M131" s="33"/>
      <c r="N131" s="33"/>
      <c r="O131" s="33"/>
      <c r="P131" s="33"/>
      <c r="Q131" s="33"/>
      <c r="R131" s="33"/>
      <c r="S131" s="33"/>
      <c r="T131" s="124"/>
      <c r="U131" s="3"/>
      <c r="V131" s="3"/>
      <c r="W131" s="3"/>
      <c r="X131" s="3"/>
      <c r="Y131" s="3"/>
      <c r="Z131" s="3"/>
    </row>
    <row r="132" spans="1:26" ht="15.75" customHeight="1">
      <c r="A132" s="3"/>
      <c r="B132" s="3"/>
      <c r="C132" s="3"/>
      <c r="D132" s="33"/>
      <c r="E132" s="33"/>
      <c r="F132" s="33"/>
      <c r="G132" s="33"/>
      <c r="H132" s="33"/>
      <c r="I132" s="33"/>
      <c r="J132" s="33"/>
      <c r="K132" s="33"/>
      <c r="L132" s="33"/>
      <c r="M132" s="33"/>
      <c r="N132" s="33"/>
      <c r="O132" s="33"/>
      <c r="P132" s="33"/>
      <c r="Q132" s="33"/>
      <c r="R132" s="33"/>
      <c r="S132" s="33"/>
      <c r="T132" s="124"/>
      <c r="U132" s="3"/>
      <c r="V132" s="3"/>
      <c r="W132" s="3"/>
      <c r="X132" s="3"/>
      <c r="Y132" s="3"/>
      <c r="Z132" s="3"/>
    </row>
    <row r="133" spans="1:26" ht="15.75" customHeight="1">
      <c r="A133" s="3"/>
      <c r="B133" s="3"/>
      <c r="C133" s="3"/>
      <c r="D133" s="33"/>
      <c r="E133" s="33"/>
      <c r="F133" s="33"/>
      <c r="G133" s="33"/>
      <c r="H133" s="33"/>
      <c r="I133" s="33"/>
      <c r="J133" s="33"/>
      <c r="K133" s="33"/>
      <c r="L133" s="33"/>
      <c r="M133" s="33"/>
      <c r="N133" s="33"/>
      <c r="O133" s="33"/>
      <c r="P133" s="33"/>
      <c r="Q133" s="33"/>
      <c r="R133" s="33"/>
      <c r="S133" s="33"/>
      <c r="T133" s="124"/>
      <c r="U133" s="3"/>
      <c r="V133" s="3"/>
      <c r="W133" s="3"/>
      <c r="X133" s="3"/>
      <c r="Y133" s="3"/>
      <c r="Z133" s="3"/>
    </row>
    <row r="134" spans="1:26" ht="15.75" customHeight="1">
      <c r="A134" s="3"/>
      <c r="B134" s="3"/>
      <c r="C134" s="3"/>
      <c r="D134" s="33"/>
      <c r="E134" s="33"/>
      <c r="F134" s="33"/>
      <c r="G134" s="33"/>
      <c r="H134" s="33"/>
      <c r="I134" s="33"/>
      <c r="J134" s="33"/>
      <c r="K134" s="33"/>
      <c r="L134" s="33"/>
      <c r="M134" s="33"/>
      <c r="N134" s="33"/>
      <c r="O134" s="33"/>
      <c r="P134" s="33"/>
      <c r="Q134" s="33"/>
      <c r="R134" s="33"/>
      <c r="S134" s="33"/>
      <c r="T134" s="124"/>
      <c r="U134" s="3"/>
      <c r="V134" s="3"/>
      <c r="W134" s="3"/>
      <c r="X134" s="3"/>
      <c r="Y134" s="3"/>
      <c r="Z134" s="3"/>
    </row>
    <row r="135" spans="1:26" ht="15.75" customHeight="1">
      <c r="A135" s="3"/>
      <c r="B135" s="3"/>
      <c r="C135" s="3"/>
      <c r="D135" s="33"/>
      <c r="E135" s="33"/>
      <c r="F135" s="33"/>
      <c r="G135" s="33"/>
      <c r="H135" s="33"/>
      <c r="I135" s="33"/>
      <c r="J135" s="33"/>
      <c r="K135" s="33"/>
      <c r="L135" s="33"/>
      <c r="M135" s="33"/>
      <c r="N135" s="33"/>
      <c r="O135" s="33"/>
      <c r="P135" s="33"/>
      <c r="Q135" s="33"/>
      <c r="R135" s="33"/>
      <c r="S135" s="33"/>
      <c r="T135" s="124"/>
      <c r="U135" s="3"/>
      <c r="V135" s="3"/>
      <c r="W135" s="3"/>
      <c r="X135" s="3"/>
      <c r="Y135" s="3"/>
      <c r="Z135" s="3"/>
    </row>
    <row r="136" spans="1:26" ht="15.75" customHeight="1">
      <c r="A136" s="3"/>
      <c r="B136" s="3"/>
      <c r="C136" s="3"/>
      <c r="D136" s="33"/>
      <c r="E136" s="33"/>
      <c r="F136" s="33"/>
      <c r="G136" s="33"/>
      <c r="H136" s="33"/>
      <c r="I136" s="33"/>
      <c r="J136" s="33"/>
      <c r="K136" s="33"/>
      <c r="L136" s="33"/>
      <c r="M136" s="33"/>
      <c r="N136" s="33"/>
      <c r="O136" s="33"/>
      <c r="P136" s="33"/>
      <c r="Q136" s="33"/>
      <c r="R136" s="33"/>
      <c r="S136" s="33"/>
      <c r="T136" s="124"/>
      <c r="U136" s="3"/>
      <c r="V136" s="3"/>
      <c r="W136" s="3"/>
      <c r="X136" s="3"/>
      <c r="Y136" s="3"/>
      <c r="Z136" s="3"/>
    </row>
    <row r="137" spans="1:26" ht="15.75" customHeight="1">
      <c r="A137" s="3"/>
      <c r="B137" s="3"/>
      <c r="C137" s="3"/>
      <c r="D137" s="33"/>
      <c r="E137" s="33"/>
      <c r="F137" s="33"/>
      <c r="G137" s="33"/>
      <c r="H137" s="33"/>
      <c r="I137" s="33"/>
      <c r="J137" s="33"/>
      <c r="K137" s="33"/>
      <c r="L137" s="33"/>
      <c r="M137" s="33"/>
      <c r="N137" s="33"/>
      <c r="O137" s="33"/>
      <c r="P137" s="33"/>
      <c r="Q137" s="33"/>
      <c r="R137" s="33"/>
      <c r="S137" s="33"/>
      <c r="T137" s="124"/>
      <c r="U137" s="3"/>
      <c r="V137" s="3"/>
      <c r="W137" s="3"/>
      <c r="X137" s="3"/>
      <c r="Y137" s="3"/>
      <c r="Z137" s="3"/>
    </row>
    <row r="138" spans="1:26" ht="15.75" customHeight="1">
      <c r="A138" s="3"/>
      <c r="B138" s="3"/>
      <c r="C138" s="3"/>
      <c r="D138" s="33"/>
      <c r="E138" s="33"/>
      <c r="F138" s="33"/>
      <c r="G138" s="33"/>
      <c r="H138" s="33"/>
      <c r="I138" s="33"/>
      <c r="J138" s="33"/>
      <c r="K138" s="33"/>
      <c r="L138" s="33"/>
      <c r="M138" s="33"/>
      <c r="N138" s="33"/>
      <c r="O138" s="33"/>
      <c r="P138" s="33"/>
      <c r="Q138" s="33"/>
      <c r="R138" s="33"/>
      <c r="S138" s="33"/>
      <c r="T138" s="124"/>
      <c r="U138" s="3"/>
      <c r="V138" s="3"/>
      <c r="W138" s="3"/>
      <c r="X138" s="3"/>
      <c r="Y138" s="3"/>
      <c r="Z138" s="3"/>
    </row>
    <row r="139" spans="1:26" ht="15.75" customHeight="1">
      <c r="A139" s="3"/>
      <c r="B139" s="3"/>
      <c r="C139" s="3"/>
      <c r="D139" s="33"/>
      <c r="E139" s="33"/>
      <c r="F139" s="33"/>
      <c r="G139" s="33"/>
      <c r="H139" s="33"/>
      <c r="I139" s="33"/>
      <c r="J139" s="33"/>
      <c r="K139" s="33"/>
      <c r="L139" s="33"/>
      <c r="M139" s="33"/>
      <c r="N139" s="33"/>
      <c r="O139" s="33"/>
      <c r="P139" s="33"/>
      <c r="Q139" s="33"/>
      <c r="R139" s="33"/>
      <c r="S139" s="33"/>
      <c r="T139" s="124"/>
      <c r="U139" s="3"/>
      <c r="V139" s="3"/>
      <c r="W139" s="3"/>
      <c r="X139" s="3"/>
      <c r="Y139" s="3"/>
      <c r="Z139" s="3"/>
    </row>
    <row r="140" spans="1:26" ht="15.75" customHeight="1">
      <c r="A140" s="3"/>
      <c r="B140" s="3"/>
      <c r="C140" s="3"/>
      <c r="D140" s="33"/>
      <c r="E140" s="33"/>
      <c r="F140" s="33"/>
      <c r="G140" s="33"/>
      <c r="H140" s="33"/>
      <c r="I140" s="33"/>
      <c r="J140" s="33"/>
      <c r="K140" s="33"/>
      <c r="L140" s="33"/>
      <c r="M140" s="33"/>
      <c r="N140" s="33"/>
      <c r="O140" s="33"/>
      <c r="P140" s="33"/>
      <c r="Q140" s="33"/>
      <c r="R140" s="33"/>
      <c r="S140" s="33"/>
      <c r="T140" s="124"/>
      <c r="U140" s="3"/>
      <c r="V140" s="3"/>
      <c r="W140" s="3"/>
      <c r="X140" s="3"/>
      <c r="Y140" s="3"/>
      <c r="Z140" s="3"/>
    </row>
    <row r="141" spans="1:26" ht="15.75" customHeight="1">
      <c r="A141" s="3"/>
      <c r="B141" s="3"/>
      <c r="C141" s="3"/>
      <c r="D141" s="33"/>
      <c r="E141" s="33"/>
      <c r="F141" s="33"/>
      <c r="G141" s="33"/>
      <c r="H141" s="33"/>
      <c r="I141" s="33"/>
      <c r="J141" s="33"/>
      <c r="K141" s="33"/>
      <c r="L141" s="33"/>
      <c r="M141" s="33"/>
      <c r="N141" s="33"/>
      <c r="O141" s="33"/>
      <c r="P141" s="33"/>
      <c r="Q141" s="33"/>
      <c r="R141" s="33"/>
      <c r="S141" s="33"/>
      <c r="T141" s="124"/>
      <c r="U141" s="3"/>
      <c r="V141" s="3"/>
      <c r="W141" s="3"/>
      <c r="X141" s="3"/>
      <c r="Y141" s="3"/>
      <c r="Z141" s="3"/>
    </row>
    <row r="142" spans="1:26" ht="15.75" customHeight="1">
      <c r="A142" s="3"/>
      <c r="B142" s="3"/>
      <c r="C142" s="3"/>
      <c r="D142" s="33"/>
      <c r="E142" s="33"/>
      <c r="F142" s="33"/>
      <c r="G142" s="33"/>
      <c r="H142" s="33"/>
      <c r="I142" s="33"/>
      <c r="J142" s="33"/>
      <c r="K142" s="33"/>
      <c r="L142" s="33"/>
      <c r="M142" s="33"/>
      <c r="N142" s="33"/>
      <c r="O142" s="33"/>
      <c r="P142" s="33"/>
      <c r="Q142" s="33"/>
      <c r="R142" s="33"/>
      <c r="S142" s="33"/>
      <c r="T142" s="124"/>
      <c r="U142" s="3"/>
      <c r="V142" s="3"/>
      <c r="W142" s="3"/>
      <c r="X142" s="3"/>
      <c r="Y142" s="3"/>
      <c r="Z142" s="3"/>
    </row>
    <row r="143" spans="1:26" ht="15.75" customHeight="1">
      <c r="A143" s="3"/>
      <c r="B143" s="3"/>
      <c r="C143" s="3"/>
      <c r="D143" s="33"/>
      <c r="E143" s="33"/>
      <c r="F143" s="33"/>
      <c r="G143" s="33"/>
      <c r="H143" s="33"/>
      <c r="I143" s="33"/>
      <c r="J143" s="33"/>
      <c r="K143" s="33"/>
      <c r="L143" s="33"/>
      <c r="M143" s="33"/>
      <c r="N143" s="33"/>
      <c r="O143" s="33"/>
      <c r="P143" s="33"/>
      <c r="Q143" s="33"/>
      <c r="R143" s="33"/>
      <c r="S143" s="33"/>
      <c r="T143" s="124"/>
      <c r="U143" s="3"/>
      <c r="V143" s="3"/>
      <c r="W143" s="3"/>
      <c r="X143" s="3"/>
      <c r="Y143" s="3"/>
      <c r="Z143" s="3"/>
    </row>
    <row r="144" spans="1:26" ht="15.75" customHeight="1">
      <c r="A144" s="3"/>
      <c r="B144" s="3"/>
      <c r="C144" s="3"/>
      <c r="D144" s="33"/>
      <c r="E144" s="33"/>
      <c r="F144" s="33"/>
      <c r="G144" s="33"/>
      <c r="H144" s="33"/>
      <c r="I144" s="33"/>
      <c r="J144" s="33"/>
      <c r="K144" s="33"/>
      <c r="L144" s="33"/>
      <c r="M144" s="33"/>
      <c r="N144" s="33"/>
      <c r="O144" s="33"/>
      <c r="P144" s="33"/>
      <c r="Q144" s="33"/>
      <c r="R144" s="33"/>
      <c r="S144" s="33"/>
      <c r="T144" s="124"/>
      <c r="U144" s="3"/>
      <c r="V144" s="3"/>
      <c r="W144" s="3"/>
      <c r="X144" s="3"/>
      <c r="Y144" s="3"/>
      <c r="Z144" s="3"/>
    </row>
    <row r="145" spans="1:26" ht="15.75" customHeight="1">
      <c r="A145" s="3"/>
      <c r="B145" s="3"/>
      <c r="C145" s="3"/>
      <c r="D145" s="33"/>
      <c r="E145" s="33"/>
      <c r="F145" s="33"/>
      <c r="G145" s="33"/>
      <c r="H145" s="33"/>
      <c r="I145" s="33"/>
      <c r="J145" s="33"/>
      <c r="K145" s="33"/>
      <c r="L145" s="33"/>
      <c r="M145" s="33"/>
      <c r="N145" s="33"/>
      <c r="O145" s="33"/>
      <c r="P145" s="33"/>
      <c r="Q145" s="33"/>
      <c r="R145" s="33"/>
      <c r="S145" s="33"/>
      <c r="T145" s="124"/>
      <c r="U145" s="3"/>
      <c r="V145" s="3"/>
      <c r="W145" s="3"/>
      <c r="X145" s="3"/>
      <c r="Y145" s="3"/>
      <c r="Z145" s="3"/>
    </row>
    <row r="146" spans="1:26" ht="15.75" customHeight="1">
      <c r="A146" s="3"/>
      <c r="B146" s="3"/>
      <c r="C146" s="3"/>
      <c r="D146" s="33"/>
      <c r="E146" s="33"/>
      <c r="F146" s="33"/>
      <c r="G146" s="33"/>
      <c r="H146" s="33"/>
      <c r="I146" s="33"/>
      <c r="J146" s="33"/>
      <c r="K146" s="33"/>
      <c r="L146" s="33"/>
      <c r="M146" s="33"/>
      <c r="N146" s="33"/>
      <c r="O146" s="33"/>
      <c r="P146" s="33"/>
      <c r="Q146" s="33"/>
      <c r="R146" s="33"/>
      <c r="S146" s="33"/>
      <c r="T146" s="124"/>
      <c r="U146" s="3"/>
      <c r="V146" s="3"/>
      <c r="W146" s="3"/>
      <c r="X146" s="3"/>
      <c r="Y146" s="3"/>
      <c r="Z146" s="3"/>
    </row>
    <row r="147" spans="1:26" ht="15.75" customHeight="1">
      <c r="A147" s="3"/>
      <c r="B147" s="3"/>
      <c r="C147" s="3"/>
      <c r="D147" s="33"/>
      <c r="E147" s="33"/>
      <c r="F147" s="33"/>
      <c r="G147" s="33"/>
      <c r="H147" s="33"/>
      <c r="I147" s="33"/>
      <c r="J147" s="33"/>
      <c r="K147" s="33"/>
      <c r="L147" s="33"/>
      <c r="M147" s="33"/>
      <c r="N147" s="33"/>
      <c r="O147" s="33"/>
      <c r="P147" s="33"/>
      <c r="Q147" s="33"/>
      <c r="R147" s="33"/>
      <c r="S147" s="33"/>
      <c r="T147" s="124"/>
      <c r="U147" s="3"/>
      <c r="V147" s="3"/>
      <c r="W147" s="3"/>
      <c r="X147" s="3"/>
      <c r="Y147" s="3"/>
      <c r="Z147" s="3"/>
    </row>
    <row r="148" spans="1:26" ht="15.75" customHeight="1">
      <c r="A148" s="3"/>
      <c r="B148" s="3"/>
      <c r="C148" s="3"/>
      <c r="D148" s="33"/>
      <c r="E148" s="33"/>
      <c r="F148" s="33"/>
      <c r="G148" s="33"/>
      <c r="H148" s="33"/>
      <c r="I148" s="33"/>
      <c r="J148" s="33"/>
      <c r="K148" s="33"/>
      <c r="L148" s="33"/>
      <c r="M148" s="33"/>
      <c r="N148" s="33"/>
      <c r="O148" s="33"/>
      <c r="P148" s="33"/>
      <c r="Q148" s="33"/>
      <c r="R148" s="33"/>
      <c r="S148" s="33"/>
      <c r="T148" s="124"/>
      <c r="U148" s="3"/>
      <c r="V148" s="3"/>
      <c r="W148" s="3"/>
      <c r="X148" s="3"/>
      <c r="Y148" s="3"/>
      <c r="Z148" s="3"/>
    </row>
    <row r="149" spans="1:26" ht="15.75" customHeight="1">
      <c r="A149" s="3"/>
      <c r="B149" s="3"/>
      <c r="C149" s="3"/>
      <c r="D149" s="33"/>
      <c r="E149" s="33"/>
      <c r="F149" s="33"/>
      <c r="G149" s="33"/>
      <c r="H149" s="33"/>
      <c r="I149" s="33"/>
      <c r="J149" s="33"/>
      <c r="K149" s="33"/>
      <c r="L149" s="33"/>
      <c r="M149" s="33"/>
      <c r="N149" s="33"/>
      <c r="O149" s="33"/>
      <c r="P149" s="33"/>
      <c r="Q149" s="33"/>
      <c r="R149" s="33"/>
      <c r="S149" s="33"/>
      <c r="T149" s="124"/>
      <c r="U149" s="3"/>
      <c r="V149" s="3"/>
      <c r="W149" s="3"/>
      <c r="X149" s="3"/>
      <c r="Y149" s="3"/>
      <c r="Z149" s="3"/>
    </row>
    <row r="150" spans="1:26" ht="15.75" customHeight="1">
      <c r="A150" s="3"/>
      <c r="B150" s="3"/>
      <c r="C150" s="3"/>
      <c r="D150" s="33"/>
      <c r="E150" s="33"/>
      <c r="F150" s="33"/>
      <c r="G150" s="33"/>
      <c r="H150" s="33"/>
      <c r="I150" s="33"/>
      <c r="J150" s="33"/>
      <c r="K150" s="33"/>
      <c r="L150" s="33"/>
      <c r="M150" s="33"/>
      <c r="N150" s="33"/>
      <c r="O150" s="33"/>
      <c r="P150" s="33"/>
      <c r="Q150" s="33"/>
      <c r="R150" s="33"/>
      <c r="S150" s="33"/>
      <c r="T150" s="124"/>
      <c r="U150" s="3"/>
      <c r="V150" s="3"/>
      <c r="W150" s="3"/>
      <c r="X150" s="3"/>
      <c r="Y150" s="3"/>
      <c r="Z150" s="3"/>
    </row>
    <row r="151" spans="1:26" ht="15.75" customHeight="1">
      <c r="A151" s="3"/>
      <c r="B151" s="3"/>
      <c r="C151" s="3"/>
      <c r="D151" s="33"/>
      <c r="E151" s="33"/>
      <c r="F151" s="33"/>
      <c r="G151" s="33"/>
      <c r="H151" s="33"/>
      <c r="I151" s="33"/>
      <c r="J151" s="33"/>
      <c r="K151" s="33"/>
      <c r="L151" s="33"/>
      <c r="M151" s="33"/>
      <c r="N151" s="33"/>
      <c r="O151" s="33"/>
      <c r="P151" s="33"/>
      <c r="Q151" s="33"/>
      <c r="R151" s="33"/>
      <c r="S151" s="33"/>
      <c r="T151" s="124"/>
      <c r="U151" s="3"/>
      <c r="V151" s="3"/>
      <c r="W151" s="3"/>
      <c r="X151" s="3"/>
      <c r="Y151" s="3"/>
      <c r="Z151" s="3"/>
    </row>
    <row r="152" spans="1:26" ht="15.75" customHeight="1">
      <c r="A152" s="3"/>
      <c r="B152" s="3"/>
      <c r="C152" s="3"/>
      <c r="D152" s="33"/>
      <c r="E152" s="33"/>
      <c r="F152" s="33"/>
      <c r="G152" s="33"/>
      <c r="H152" s="33"/>
      <c r="I152" s="33"/>
      <c r="J152" s="33"/>
      <c r="K152" s="33"/>
      <c r="L152" s="33"/>
      <c r="M152" s="33"/>
      <c r="N152" s="33"/>
      <c r="O152" s="33"/>
      <c r="P152" s="33"/>
      <c r="Q152" s="33"/>
      <c r="R152" s="33"/>
      <c r="S152" s="33"/>
      <c r="T152" s="124"/>
      <c r="U152" s="3"/>
      <c r="V152" s="3"/>
      <c r="W152" s="3"/>
      <c r="X152" s="3"/>
      <c r="Y152" s="3"/>
      <c r="Z152" s="3"/>
    </row>
    <row r="153" spans="1:26" ht="15.75" customHeight="1">
      <c r="A153" s="3"/>
      <c r="B153" s="3"/>
      <c r="C153" s="3"/>
      <c r="D153" s="33"/>
      <c r="E153" s="33"/>
      <c r="F153" s="33"/>
      <c r="G153" s="33"/>
      <c r="H153" s="33"/>
      <c r="I153" s="33"/>
      <c r="J153" s="33"/>
      <c r="K153" s="33"/>
      <c r="L153" s="33"/>
      <c r="M153" s="33"/>
      <c r="N153" s="33"/>
      <c r="O153" s="33"/>
      <c r="P153" s="33"/>
      <c r="Q153" s="33"/>
      <c r="R153" s="33"/>
      <c r="S153" s="33"/>
      <c r="T153" s="124"/>
      <c r="U153" s="3"/>
      <c r="V153" s="3"/>
      <c r="W153" s="3"/>
      <c r="X153" s="3"/>
      <c r="Y153" s="3"/>
      <c r="Z153" s="3"/>
    </row>
    <row r="154" spans="1:26" ht="15.75" customHeight="1">
      <c r="A154" s="3"/>
      <c r="B154" s="3"/>
      <c r="C154" s="3"/>
      <c r="D154" s="33"/>
      <c r="E154" s="33"/>
      <c r="F154" s="33"/>
      <c r="G154" s="33"/>
      <c r="H154" s="33"/>
      <c r="I154" s="33"/>
      <c r="J154" s="33"/>
      <c r="K154" s="33"/>
      <c r="L154" s="33"/>
      <c r="M154" s="33"/>
      <c r="N154" s="33"/>
      <c r="O154" s="33"/>
      <c r="P154" s="33"/>
      <c r="Q154" s="33"/>
      <c r="R154" s="33"/>
      <c r="S154" s="33"/>
      <c r="T154" s="124"/>
      <c r="U154" s="3"/>
      <c r="V154" s="3"/>
      <c r="W154" s="3"/>
      <c r="X154" s="3"/>
      <c r="Y154" s="3"/>
      <c r="Z154" s="3"/>
    </row>
    <row r="155" spans="1:26" ht="15.75" customHeight="1">
      <c r="A155" s="3"/>
      <c r="B155" s="3"/>
      <c r="C155" s="3"/>
      <c r="D155" s="33"/>
      <c r="E155" s="33"/>
      <c r="F155" s="33"/>
      <c r="G155" s="33"/>
      <c r="H155" s="33"/>
      <c r="I155" s="33"/>
      <c r="J155" s="33"/>
      <c r="K155" s="33"/>
      <c r="L155" s="33"/>
      <c r="M155" s="33"/>
      <c r="N155" s="33"/>
      <c r="O155" s="33"/>
      <c r="P155" s="33"/>
      <c r="Q155" s="33"/>
      <c r="R155" s="33"/>
      <c r="S155" s="33"/>
      <c r="T155" s="124"/>
      <c r="U155" s="3"/>
      <c r="V155" s="3"/>
      <c r="W155" s="3"/>
      <c r="X155" s="3"/>
      <c r="Y155" s="3"/>
      <c r="Z155" s="3"/>
    </row>
    <row r="156" spans="1:26" ht="15.75" customHeight="1">
      <c r="A156" s="3"/>
      <c r="B156" s="3"/>
      <c r="C156" s="3"/>
      <c r="D156" s="33"/>
      <c r="E156" s="33"/>
      <c r="F156" s="33"/>
      <c r="G156" s="33"/>
      <c r="H156" s="33"/>
      <c r="I156" s="33"/>
      <c r="J156" s="33"/>
      <c r="K156" s="33"/>
      <c r="L156" s="33"/>
      <c r="M156" s="33"/>
      <c r="N156" s="33"/>
      <c r="O156" s="33"/>
      <c r="P156" s="33"/>
      <c r="Q156" s="33"/>
      <c r="R156" s="33"/>
      <c r="S156" s="33"/>
      <c r="T156" s="124"/>
      <c r="U156" s="3"/>
      <c r="V156" s="3"/>
      <c r="W156" s="3"/>
      <c r="X156" s="3"/>
      <c r="Y156" s="3"/>
      <c r="Z156" s="3"/>
    </row>
    <row r="157" spans="1:26" ht="15.75" customHeight="1">
      <c r="A157" s="3"/>
      <c r="B157" s="3"/>
      <c r="C157" s="3"/>
      <c r="D157" s="33"/>
      <c r="E157" s="33"/>
      <c r="F157" s="33"/>
      <c r="G157" s="33"/>
      <c r="H157" s="33"/>
      <c r="I157" s="33"/>
      <c r="J157" s="33"/>
      <c r="K157" s="33"/>
      <c r="L157" s="33"/>
      <c r="M157" s="33"/>
      <c r="N157" s="33"/>
      <c r="O157" s="33"/>
      <c r="P157" s="33"/>
      <c r="Q157" s="33"/>
      <c r="R157" s="33"/>
      <c r="S157" s="33"/>
      <c r="T157" s="124"/>
      <c r="U157" s="3"/>
      <c r="V157" s="3"/>
      <c r="W157" s="3"/>
      <c r="X157" s="3"/>
      <c r="Y157" s="3"/>
      <c r="Z157" s="3"/>
    </row>
    <row r="158" spans="1:26" ht="15.75" customHeight="1">
      <c r="A158" s="3"/>
      <c r="B158" s="3"/>
      <c r="C158" s="3"/>
      <c r="D158" s="33"/>
      <c r="E158" s="33"/>
      <c r="F158" s="33"/>
      <c r="G158" s="33"/>
      <c r="H158" s="33"/>
      <c r="I158" s="33"/>
      <c r="J158" s="33"/>
      <c r="K158" s="33"/>
      <c r="L158" s="33"/>
      <c r="M158" s="33"/>
      <c r="N158" s="33"/>
      <c r="O158" s="33"/>
      <c r="P158" s="33"/>
      <c r="Q158" s="33"/>
      <c r="R158" s="33"/>
      <c r="S158" s="33"/>
      <c r="T158" s="124"/>
      <c r="U158" s="3"/>
      <c r="V158" s="3"/>
      <c r="W158" s="3"/>
      <c r="X158" s="3"/>
      <c r="Y158" s="3"/>
      <c r="Z158" s="3"/>
    </row>
    <row r="159" spans="1:26" ht="15.75" customHeight="1">
      <c r="A159" s="3"/>
      <c r="B159" s="3"/>
      <c r="C159" s="3"/>
      <c r="D159" s="33"/>
      <c r="E159" s="33"/>
      <c r="F159" s="33"/>
      <c r="G159" s="33"/>
      <c r="H159" s="33"/>
      <c r="I159" s="33"/>
      <c r="J159" s="33"/>
      <c r="K159" s="33"/>
      <c r="L159" s="33"/>
      <c r="M159" s="33"/>
      <c r="N159" s="33"/>
      <c r="O159" s="33"/>
      <c r="P159" s="33"/>
      <c r="Q159" s="33"/>
      <c r="R159" s="33"/>
      <c r="S159" s="33"/>
      <c r="T159" s="124"/>
      <c r="U159" s="3"/>
      <c r="V159" s="3"/>
      <c r="W159" s="3"/>
      <c r="X159" s="3"/>
      <c r="Y159" s="3"/>
      <c r="Z159" s="3"/>
    </row>
    <row r="160" spans="1:26" ht="15.75" customHeight="1">
      <c r="A160" s="3"/>
      <c r="B160" s="3"/>
      <c r="C160" s="3"/>
      <c r="D160" s="33"/>
      <c r="E160" s="33"/>
      <c r="F160" s="33"/>
      <c r="G160" s="33"/>
      <c r="H160" s="33"/>
      <c r="I160" s="33"/>
      <c r="J160" s="33"/>
      <c r="K160" s="33"/>
      <c r="L160" s="33"/>
      <c r="M160" s="33"/>
      <c r="N160" s="33"/>
      <c r="O160" s="33"/>
      <c r="P160" s="33"/>
      <c r="Q160" s="33"/>
      <c r="R160" s="33"/>
      <c r="S160" s="33"/>
      <c r="T160" s="124"/>
      <c r="U160" s="3"/>
      <c r="V160" s="3"/>
      <c r="W160" s="3"/>
      <c r="X160" s="3"/>
      <c r="Y160" s="3"/>
      <c r="Z160" s="3"/>
    </row>
    <row r="161" spans="1:26" ht="15.75" customHeight="1">
      <c r="A161" s="3"/>
      <c r="B161" s="3"/>
      <c r="C161" s="3"/>
      <c r="D161" s="33"/>
      <c r="E161" s="33"/>
      <c r="F161" s="33"/>
      <c r="G161" s="33"/>
      <c r="H161" s="33"/>
      <c r="I161" s="33"/>
      <c r="J161" s="33"/>
      <c r="K161" s="33"/>
      <c r="L161" s="33"/>
      <c r="M161" s="33"/>
      <c r="N161" s="33"/>
      <c r="O161" s="33"/>
      <c r="P161" s="33"/>
      <c r="Q161" s="33"/>
      <c r="R161" s="33"/>
      <c r="S161" s="33"/>
      <c r="T161" s="124"/>
      <c r="U161" s="3"/>
      <c r="V161" s="3"/>
      <c r="W161" s="3"/>
      <c r="X161" s="3"/>
      <c r="Y161" s="3"/>
      <c r="Z161" s="3"/>
    </row>
    <row r="162" spans="1:26" ht="15.75" customHeight="1">
      <c r="A162" s="3"/>
      <c r="B162" s="3"/>
      <c r="C162" s="3"/>
      <c r="D162" s="33"/>
      <c r="E162" s="33"/>
      <c r="F162" s="33"/>
      <c r="G162" s="33"/>
      <c r="H162" s="33"/>
      <c r="I162" s="33"/>
      <c r="J162" s="33"/>
      <c r="K162" s="33"/>
      <c r="L162" s="33"/>
      <c r="M162" s="33"/>
      <c r="N162" s="33"/>
      <c r="O162" s="33"/>
      <c r="P162" s="33"/>
      <c r="Q162" s="33"/>
      <c r="R162" s="33"/>
      <c r="S162" s="33"/>
      <c r="T162" s="124"/>
      <c r="U162" s="3"/>
      <c r="V162" s="3"/>
      <c r="W162" s="3"/>
      <c r="X162" s="3"/>
      <c r="Y162" s="3"/>
      <c r="Z162" s="3"/>
    </row>
    <row r="163" spans="1:26" ht="15.75" customHeight="1">
      <c r="A163" s="3"/>
      <c r="B163" s="3"/>
      <c r="C163" s="3"/>
      <c r="D163" s="33"/>
      <c r="E163" s="33"/>
      <c r="F163" s="33"/>
      <c r="G163" s="33"/>
      <c r="H163" s="33"/>
      <c r="I163" s="33"/>
      <c r="J163" s="33"/>
      <c r="K163" s="33"/>
      <c r="L163" s="33"/>
      <c r="M163" s="33"/>
      <c r="N163" s="33"/>
      <c r="O163" s="33"/>
      <c r="P163" s="33"/>
      <c r="Q163" s="33"/>
      <c r="R163" s="33"/>
      <c r="S163" s="33"/>
      <c r="T163" s="124"/>
      <c r="U163" s="3"/>
      <c r="V163" s="3"/>
      <c r="W163" s="3"/>
      <c r="X163" s="3"/>
      <c r="Y163" s="3"/>
      <c r="Z163" s="3"/>
    </row>
    <row r="164" spans="1:26" ht="15.75" customHeight="1">
      <c r="A164" s="3"/>
      <c r="B164" s="3"/>
      <c r="C164" s="3"/>
      <c r="D164" s="33"/>
      <c r="E164" s="33"/>
      <c r="F164" s="33"/>
      <c r="G164" s="33"/>
      <c r="H164" s="33"/>
      <c r="I164" s="33"/>
      <c r="J164" s="33"/>
      <c r="K164" s="33"/>
      <c r="L164" s="33"/>
      <c r="M164" s="33"/>
      <c r="N164" s="33"/>
      <c r="O164" s="33"/>
      <c r="P164" s="33"/>
      <c r="Q164" s="33"/>
      <c r="R164" s="33"/>
      <c r="S164" s="33"/>
      <c r="T164" s="124"/>
      <c r="U164" s="3"/>
      <c r="V164" s="3"/>
      <c r="W164" s="3"/>
      <c r="X164" s="3"/>
      <c r="Y164" s="3"/>
      <c r="Z164" s="3"/>
    </row>
    <row r="165" spans="1:26" ht="15.75" customHeight="1">
      <c r="A165" s="3"/>
      <c r="B165" s="3"/>
      <c r="C165" s="3"/>
      <c r="D165" s="33"/>
      <c r="E165" s="33"/>
      <c r="F165" s="33"/>
      <c r="G165" s="33"/>
      <c r="H165" s="33"/>
      <c r="I165" s="33"/>
      <c r="J165" s="33"/>
      <c r="K165" s="33"/>
      <c r="L165" s="33"/>
      <c r="M165" s="33"/>
      <c r="N165" s="33"/>
      <c r="O165" s="33"/>
      <c r="P165" s="33"/>
      <c r="Q165" s="33"/>
      <c r="R165" s="33"/>
      <c r="S165" s="33"/>
      <c r="T165" s="124"/>
      <c r="U165" s="3"/>
      <c r="V165" s="3"/>
      <c r="W165" s="3"/>
      <c r="X165" s="3"/>
      <c r="Y165" s="3"/>
      <c r="Z165" s="3"/>
    </row>
    <row r="166" spans="1:26" ht="15.75" customHeight="1">
      <c r="A166" s="3"/>
      <c r="B166" s="3"/>
      <c r="C166" s="3"/>
      <c r="D166" s="33"/>
      <c r="E166" s="33"/>
      <c r="F166" s="33"/>
      <c r="G166" s="33"/>
      <c r="H166" s="33"/>
      <c r="I166" s="33"/>
      <c r="J166" s="33"/>
      <c r="K166" s="33"/>
      <c r="L166" s="33"/>
      <c r="M166" s="33"/>
      <c r="N166" s="33"/>
      <c r="O166" s="33"/>
      <c r="P166" s="33"/>
      <c r="Q166" s="33"/>
      <c r="R166" s="33"/>
      <c r="S166" s="33"/>
      <c r="T166" s="124"/>
      <c r="U166" s="3"/>
      <c r="V166" s="3"/>
      <c r="W166" s="3"/>
      <c r="X166" s="3"/>
      <c r="Y166" s="3"/>
      <c r="Z166" s="3"/>
    </row>
    <row r="167" spans="1:26" ht="15.75" customHeight="1">
      <c r="A167" s="3"/>
      <c r="B167" s="3"/>
      <c r="C167" s="3"/>
      <c r="D167" s="33"/>
      <c r="E167" s="33"/>
      <c r="F167" s="33"/>
      <c r="G167" s="33"/>
      <c r="H167" s="33"/>
      <c r="I167" s="33"/>
      <c r="J167" s="33"/>
      <c r="K167" s="33"/>
      <c r="L167" s="33"/>
      <c r="M167" s="33"/>
      <c r="N167" s="33"/>
      <c r="O167" s="33"/>
      <c r="P167" s="33"/>
      <c r="Q167" s="33"/>
      <c r="R167" s="33"/>
      <c r="S167" s="33"/>
      <c r="T167" s="124"/>
      <c r="U167" s="3"/>
      <c r="V167" s="3"/>
      <c r="W167" s="3"/>
      <c r="X167" s="3"/>
      <c r="Y167" s="3"/>
      <c r="Z167" s="3"/>
    </row>
    <row r="168" spans="1:26" ht="15.75" customHeight="1">
      <c r="A168" s="3"/>
      <c r="B168" s="3"/>
      <c r="C168" s="3"/>
      <c r="D168" s="33"/>
      <c r="E168" s="33"/>
      <c r="F168" s="33"/>
      <c r="G168" s="33"/>
      <c r="H168" s="33"/>
      <c r="I168" s="33"/>
      <c r="J168" s="33"/>
      <c r="K168" s="33"/>
      <c r="L168" s="33"/>
      <c r="M168" s="33"/>
      <c r="N168" s="33"/>
      <c r="O168" s="33"/>
      <c r="P168" s="33"/>
      <c r="Q168" s="33"/>
      <c r="R168" s="33"/>
      <c r="S168" s="33"/>
      <c r="T168" s="124"/>
      <c r="U168" s="3"/>
      <c r="V168" s="3"/>
      <c r="W168" s="3"/>
      <c r="X168" s="3"/>
      <c r="Y168" s="3"/>
      <c r="Z168" s="3"/>
    </row>
    <row r="169" spans="1:26" ht="15.75" customHeight="1">
      <c r="A169" s="3"/>
      <c r="B169" s="3"/>
      <c r="C169" s="3"/>
      <c r="D169" s="33"/>
      <c r="E169" s="33"/>
      <c r="F169" s="33"/>
      <c r="G169" s="33"/>
      <c r="H169" s="33"/>
      <c r="I169" s="33"/>
      <c r="J169" s="33"/>
      <c r="K169" s="33"/>
      <c r="L169" s="33"/>
      <c r="M169" s="33"/>
      <c r="N169" s="33"/>
      <c r="O169" s="33"/>
      <c r="P169" s="33"/>
      <c r="Q169" s="33"/>
      <c r="R169" s="33"/>
      <c r="S169" s="33"/>
      <c r="T169" s="124"/>
      <c r="U169" s="3"/>
      <c r="V169" s="3"/>
      <c r="W169" s="3"/>
      <c r="X169" s="3"/>
      <c r="Y169" s="3"/>
      <c r="Z169" s="3"/>
    </row>
    <row r="170" spans="1:26" ht="15.75" customHeight="1">
      <c r="A170" s="3"/>
      <c r="B170" s="3"/>
      <c r="C170" s="3"/>
      <c r="D170" s="33"/>
      <c r="E170" s="33"/>
      <c r="F170" s="33"/>
      <c r="G170" s="33"/>
      <c r="H170" s="33"/>
      <c r="I170" s="33"/>
      <c r="J170" s="33"/>
      <c r="K170" s="33"/>
      <c r="L170" s="33"/>
      <c r="M170" s="33"/>
      <c r="N170" s="33"/>
      <c r="O170" s="33"/>
      <c r="P170" s="33"/>
      <c r="Q170" s="33"/>
      <c r="R170" s="33"/>
      <c r="S170" s="33"/>
      <c r="T170" s="124"/>
      <c r="U170" s="3"/>
      <c r="V170" s="3"/>
      <c r="W170" s="3"/>
      <c r="X170" s="3"/>
      <c r="Y170" s="3"/>
      <c r="Z170" s="3"/>
    </row>
    <row r="171" spans="1:26" ht="15.75" customHeight="1">
      <c r="A171" s="3"/>
      <c r="B171" s="3"/>
      <c r="C171" s="3"/>
      <c r="D171" s="33"/>
      <c r="E171" s="33"/>
      <c r="F171" s="33"/>
      <c r="G171" s="33"/>
      <c r="H171" s="33"/>
      <c r="I171" s="33"/>
      <c r="J171" s="33"/>
      <c r="K171" s="33"/>
      <c r="L171" s="33"/>
      <c r="M171" s="33"/>
      <c r="N171" s="33"/>
      <c r="O171" s="33"/>
      <c r="P171" s="33"/>
      <c r="Q171" s="33"/>
      <c r="R171" s="33"/>
      <c r="S171" s="33"/>
      <c r="T171" s="124"/>
      <c r="U171" s="3"/>
      <c r="V171" s="3"/>
      <c r="W171" s="3"/>
      <c r="X171" s="3"/>
      <c r="Y171" s="3"/>
      <c r="Z171" s="3"/>
    </row>
    <row r="172" spans="1:26" ht="15.75" customHeight="1">
      <c r="A172" s="3"/>
      <c r="B172" s="3"/>
      <c r="C172" s="3"/>
      <c r="D172" s="33"/>
      <c r="E172" s="33"/>
      <c r="F172" s="33"/>
      <c r="G172" s="33"/>
      <c r="H172" s="33"/>
      <c r="I172" s="33"/>
      <c r="J172" s="33"/>
      <c r="K172" s="33"/>
      <c r="L172" s="33"/>
      <c r="M172" s="33"/>
      <c r="N172" s="33"/>
      <c r="O172" s="33"/>
      <c r="P172" s="33"/>
      <c r="Q172" s="33"/>
      <c r="R172" s="33"/>
      <c r="S172" s="33"/>
      <c r="T172" s="124"/>
      <c r="U172" s="3"/>
      <c r="V172" s="3"/>
      <c r="W172" s="3"/>
      <c r="X172" s="3"/>
      <c r="Y172" s="3"/>
      <c r="Z172" s="3"/>
    </row>
    <row r="173" spans="1:26" ht="15.75" customHeight="1">
      <c r="A173" s="3"/>
      <c r="B173" s="3"/>
      <c r="C173" s="3"/>
      <c r="D173" s="33"/>
      <c r="E173" s="33"/>
      <c r="F173" s="33"/>
      <c r="G173" s="33"/>
      <c r="H173" s="33"/>
      <c r="I173" s="33"/>
      <c r="J173" s="33"/>
      <c r="K173" s="33"/>
      <c r="L173" s="33"/>
      <c r="M173" s="33"/>
      <c r="N173" s="33"/>
      <c r="O173" s="33"/>
      <c r="P173" s="33"/>
      <c r="Q173" s="33"/>
      <c r="R173" s="33"/>
      <c r="S173" s="33"/>
      <c r="T173" s="124"/>
      <c r="U173" s="3"/>
      <c r="V173" s="3"/>
      <c r="W173" s="3"/>
      <c r="X173" s="3"/>
      <c r="Y173" s="3"/>
      <c r="Z173" s="3"/>
    </row>
    <row r="174" spans="1:26" ht="15.75" customHeight="1">
      <c r="A174" s="3"/>
      <c r="B174" s="3"/>
      <c r="C174" s="3"/>
      <c r="D174" s="33"/>
      <c r="E174" s="33"/>
      <c r="F174" s="33"/>
      <c r="G174" s="33"/>
      <c r="H174" s="33"/>
      <c r="I174" s="33"/>
      <c r="J174" s="33"/>
      <c r="K174" s="33"/>
      <c r="L174" s="33"/>
      <c r="M174" s="33"/>
      <c r="N174" s="33"/>
      <c r="O174" s="33"/>
      <c r="P174" s="33"/>
      <c r="Q174" s="33"/>
      <c r="R174" s="33"/>
      <c r="S174" s="33"/>
      <c r="T174" s="124"/>
      <c r="U174" s="3"/>
      <c r="V174" s="3"/>
      <c r="W174" s="3"/>
      <c r="X174" s="3"/>
      <c r="Y174" s="3"/>
      <c r="Z174" s="3"/>
    </row>
    <row r="175" spans="1:26" ht="15.75" customHeight="1">
      <c r="A175" s="3"/>
      <c r="B175" s="3"/>
      <c r="C175" s="3"/>
      <c r="D175" s="33"/>
      <c r="E175" s="33"/>
      <c r="F175" s="33"/>
      <c r="G175" s="33"/>
      <c r="H175" s="33"/>
      <c r="I175" s="33"/>
      <c r="J175" s="33"/>
      <c r="K175" s="33"/>
      <c r="L175" s="33"/>
      <c r="M175" s="33"/>
      <c r="N175" s="33"/>
      <c r="O175" s="33"/>
      <c r="P175" s="33"/>
      <c r="Q175" s="33"/>
      <c r="R175" s="33"/>
      <c r="S175" s="33"/>
      <c r="T175" s="124"/>
      <c r="U175" s="3"/>
      <c r="V175" s="3"/>
      <c r="W175" s="3"/>
      <c r="X175" s="3"/>
      <c r="Y175" s="3"/>
      <c r="Z175" s="3"/>
    </row>
    <row r="176" spans="1:26" ht="15.75" customHeight="1">
      <c r="A176" s="3"/>
      <c r="B176" s="3"/>
      <c r="C176" s="3"/>
      <c r="D176" s="33"/>
      <c r="E176" s="33"/>
      <c r="F176" s="33"/>
      <c r="G176" s="33"/>
      <c r="H176" s="33"/>
      <c r="I176" s="33"/>
      <c r="J176" s="33"/>
      <c r="K176" s="33"/>
      <c r="L176" s="33"/>
      <c r="M176" s="33"/>
      <c r="N176" s="33"/>
      <c r="O176" s="33"/>
      <c r="P176" s="33"/>
      <c r="Q176" s="33"/>
      <c r="R176" s="33"/>
      <c r="S176" s="33"/>
      <c r="T176" s="124"/>
      <c r="U176" s="3"/>
      <c r="V176" s="3"/>
      <c r="W176" s="3"/>
      <c r="X176" s="3"/>
      <c r="Y176" s="3"/>
      <c r="Z176" s="3"/>
    </row>
    <row r="177" spans="1:26" ht="15.75" customHeight="1">
      <c r="A177" s="3"/>
      <c r="B177" s="3"/>
      <c r="C177" s="3"/>
      <c r="D177" s="33"/>
      <c r="E177" s="33"/>
      <c r="F177" s="33"/>
      <c r="G177" s="33"/>
      <c r="H177" s="33"/>
      <c r="I177" s="33"/>
      <c r="J177" s="33"/>
      <c r="K177" s="33"/>
      <c r="L177" s="33"/>
      <c r="M177" s="33"/>
      <c r="N177" s="33"/>
      <c r="O177" s="33"/>
      <c r="P177" s="33"/>
      <c r="Q177" s="33"/>
      <c r="R177" s="33"/>
      <c r="S177" s="33"/>
      <c r="T177" s="124"/>
      <c r="U177" s="3"/>
      <c r="V177" s="3"/>
      <c r="W177" s="3"/>
      <c r="X177" s="3"/>
      <c r="Y177" s="3"/>
      <c r="Z177" s="3"/>
    </row>
    <row r="178" spans="1:26" ht="15.75" customHeight="1">
      <c r="A178" s="3"/>
      <c r="B178" s="3"/>
      <c r="C178" s="3"/>
      <c r="D178" s="33"/>
      <c r="E178" s="33"/>
      <c r="F178" s="33"/>
      <c r="G178" s="33"/>
      <c r="H178" s="33"/>
      <c r="I178" s="33"/>
      <c r="J178" s="33"/>
      <c r="K178" s="33"/>
      <c r="L178" s="33"/>
      <c r="M178" s="33"/>
      <c r="N178" s="33"/>
      <c r="O178" s="33"/>
      <c r="P178" s="33"/>
      <c r="Q178" s="33"/>
      <c r="R178" s="33"/>
      <c r="S178" s="33"/>
      <c r="T178" s="124"/>
      <c r="U178" s="3"/>
      <c r="V178" s="3"/>
      <c r="W178" s="3"/>
      <c r="X178" s="3"/>
      <c r="Y178" s="3"/>
      <c r="Z178" s="3"/>
    </row>
    <row r="179" spans="1:26" ht="15.75" customHeight="1">
      <c r="A179" s="3"/>
      <c r="B179" s="3"/>
      <c r="C179" s="3"/>
      <c r="D179" s="33"/>
      <c r="E179" s="33"/>
      <c r="F179" s="33"/>
      <c r="G179" s="33"/>
      <c r="H179" s="33"/>
      <c r="I179" s="33"/>
      <c r="J179" s="33"/>
      <c r="K179" s="33"/>
      <c r="L179" s="33"/>
      <c r="M179" s="33"/>
      <c r="N179" s="33"/>
      <c r="O179" s="33"/>
      <c r="P179" s="33"/>
      <c r="Q179" s="33"/>
      <c r="R179" s="33"/>
      <c r="S179" s="33"/>
      <c r="T179" s="124"/>
      <c r="U179" s="3"/>
      <c r="V179" s="3"/>
      <c r="W179" s="3"/>
      <c r="X179" s="3"/>
      <c r="Y179" s="3"/>
      <c r="Z179" s="3"/>
    </row>
    <row r="180" spans="1:26" ht="15.75" customHeight="1">
      <c r="A180" s="3"/>
      <c r="B180" s="3"/>
      <c r="C180" s="3"/>
      <c r="D180" s="33"/>
      <c r="E180" s="33"/>
      <c r="F180" s="33"/>
      <c r="G180" s="33"/>
      <c r="H180" s="33"/>
      <c r="I180" s="33"/>
      <c r="J180" s="33"/>
      <c r="K180" s="33"/>
      <c r="L180" s="33"/>
      <c r="M180" s="33"/>
      <c r="N180" s="33"/>
      <c r="O180" s="33"/>
      <c r="P180" s="33"/>
      <c r="Q180" s="33"/>
      <c r="R180" s="33"/>
      <c r="S180" s="33"/>
      <c r="T180" s="124"/>
      <c r="U180" s="3"/>
      <c r="V180" s="3"/>
      <c r="W180" s="3"/>
      <c r="X180" s="3"/>
      <c r="Y180" s="3"/>
      <c r="Z180" s="3"/>
    </row>
    <row r="181" spans="1:26" ht="15.75" customHeight="1">
      <c r="A181" s="3"/>
      <c r="B181" s="3"/>
      <c r="C181" s="3"/>
      <c r="D181" s="33"/>
      <c r="E181" s="33"/>
      <c r="F181" s="33"/>
      <c r="G181" s="33"/>
      <c r="H181" s="33"/>
      <c r="I181" s="33"/>
      <c r="J181" s="33"/>
      <c r="K181" s="33"/>
      <c r="L181" s="33"/>
      <c r="M181" s="33"/>
      <c r="N181" s="33"/>
      <c r="O181" s="33"/>
      <c r="P181" s="33"/>
      <c r="Q181" s="33"/>
      <c r="R181" s="33"/>
      <c r="S181" s="33"/>
      <c r="T181" s="124"/>
      <c r="U181" s="3"/>
      <c r="V181" s="3"/>
      <c r="W181" s="3"/>
      <c r="X181" s="3"/>
      <c r="Y181" s="3"/>
      <c r="Z181" s="3"/>
    </row>
    <row r="182" spans="1:26" ht="15.75" customHeight="1">
      <c r="A182" s="3"/>
      <c r="B182" s="3"/>
      <c r="C182" s="3"/>
      <c r="D182" s="33"/>
      <c r="E182" s="33"/>
      <c r="F182" s="33"/>
      <c r="G182" s="33"/>
      <c r="H182" s="33"/>
      <c r="I182" s="33"/>
      <c r="J182" s="33"/>
      <c r="K182" s="33"/>
      <c r="L182" s="33"/>
      <c r="M182" s="33"/>
      <c r="N182" s="33"/>
      <c r="O182" s="33"/>
      <c r="P182" s="33"/>
      <c r="Q182" s="33"/>
      <c r="R182" s="33"/>
      <c r="S182" s="33"/>
      <c r="T182" s="124"/>
      <c r="U182" s="3"/>
      <c r="V182" s="3"/>
      <c r="W182" s="3"/>
      <c r="X182" s="3"/>
      <c r="Y182" s="3"/>
      <c r="Z182" s="3"/>
    </row>
    <row r="183" spans="1:26" ht="15.75" customHeight="1">
      <c r="A183" s="3"/>
      <c r="B183" s="3"/>
      <c r="C183" s="3"/>
      <c r="D183" s="33"/>
      <c r="E183" s="33"/>
      <c r="F183" s="33"/>
      <c r="G183" s="33"/>
      <c r="H183" s="33"/>
      <c r="I183" s="33"/>
      <c r="J183" s="33"/>
      <c r="K183" s="33"/>
      <c r="L183" s="33"/>
      <c r="M183" s="33"/>
      <c r="N183" s="33"/>
      <c r="O183" s="33"/>
      <c r="P183" s="33"/>
      <c r="Q183" s="33"/>
      <c r="R183" s="33"/>
      <c r="S183" s="33"/>
      <c r="T183" s="124"/>
      <c r="U183" s="3"/>
      <c r="V183" s="3"/>
      <c r="W183" s="3"/>
      <c r="X183" s="3"/>
      <c r="Y183" s="3"/>
      <c r="Z183" s="3"/>
    </row>
    <row r="184" spans="1:26" ht="15.75" customHeight="1">
      <c r="A184" s="3"/>
      <c r="B184" s="3"/>
      <c r="C184" s="3"/>
      <c r="D184" s="33"/>
      <c r="E184" s="33"/>
      <c r="F184" s="33"/>
      <c r="G184" s="33"/>
      <c r="H184" s="33"/>
      <c r="I184" s="33"/>
      <c r="J184" s="33"/>
      <c r="K184" s="33"/>
      <c r="L184" s="33"/>
      <c r="M184" s="33"/>
      <c r="N184" s="33"/>
      <c r="O184" s="33"/>
      <c r="P184" s="33"/>
      <c r="Q184" s="33"/>
      <c r="R184" s="33"/>
      <c r="S184" s="33"/>
      <c r="T184" s="124"/>
      <c r="U184" s="3"/>
      <c r="V184" s="3"/>
      <c r="W184" s="3"/>
      <c r="X184" s="3"/>
      <c r="Y184" s="3"/>
      <c r="Z184" s="3"/>
    </row>
    <row r="185" spans="1:26" ht="15.75" customHeight="1">
      <c r="A185" s="3"/>
      <c r="B185" s="3"/>
      <c r="C185" s="3"/>
      <c r="D185" s="33"/>
      <c r="E185" s="33"/>
      <c r="F185" s="33"/>
      <c r="G185" s="33"/>
      <c r="H185" s="33"/>
      <c r="I185" s="33"/>
      <c r="J185" s="33"/>
      <c r="K185" s="33"/>
      <c r="L185" s="33"/>
      <c r="M185" s="33"/>
      <c r="N185" s="33"/>
      <c r="O185" s="33"/>
      <c r="P185" s="33"/>
      <c r="Q185" s="33"/>
      <c r="R185" s="33"/>
      <c r="S185" s="33"/>
      <c r="T185" s="124"/>
      <c r="U185" s="3"/>
      <c r="V185" s="3"/>
      <c r="W185" s="3"/>
      <c r="X185" s="3"/>
      <c r="Y185" s="3"/>
      <c r="Z185" s="3"/>
    </row>
    <row r="186" spans="1:26" ht="15.75" customHeight="1">
      <c r="A186" s="3"/>
      <c r="B186" s="3"/>
      <c r="C186" s="3"/>
      <c r="D186" s="33"/>
      <c r="E186" s="33"/>
      <c r="F186" s="33"/>
      <c r="G186" s="33"/>
      <c r="H186" s="33"/>
      <c r="I186" s="33"/>
      <c r="J186" s="33"/>
      <c r="K186" s="33"/>
      <c r="L186" s="33"/>
      <c r="M186" s="33"/>
      <c r="N186" s="33"/>
      <c r="O186" s="33"/>
      <c r="P186" s="33"/>
      <c r="Q186" s="33"/>
      <c r="R186" s="33"/>
      <c r="S186" s="33"/>
      <c r="T186" s="124"/>
      <c r="U186" s="3"/>
      <c r="V186" s="3"/>
      <c r="W186" s="3"/>
      <c r="X186" s="3"/>
      <c r="Y186" s="3"/>
      <c r="Z186" s="3"/>
    </row>
    <row r="187" spans="1:26" ht="15.75" customHeight="1">
      <c r="A187" s="3"/>
      <c r="B187" s="3"/>
      <c r="C187" s="3"/>
      <c r="D187" s="33"/>
      <c r="E187" s="33"/>
      <c r="F187" s="33"/>
      <c r="G187" s="33"/>
      <c r="H187" s="33"/>
      <c r="I187" s="33"/>
      <c r="J187" s="33"/>
      <c r="K187" s="33"/>
      <c r="L187" s="33"/>
      <c r="M187" s="33"/>
      <c r="N187" s="33"/>
      <c r="O187" s="33"/>
      <c r="P187" s="33"/>
      <c r="Q187" s="33"/>
      <c r="R187" s="33"/>
      <c r="S187" s="33"/>
      <c r="T187" s="124"/>
      <c r="U187" s="3"/>
      <c r="V187" s="3"/>
      <c r="W187" s="3"/>
      <c r="X187" s="3"/>
      <c r="Y187" s="3"/>
      <c r="Z187" s="3"/>
    </row>
    <row r="188" spans="1:26" ht="15.75" customHeight="1">
      <c r="A188" s="3"/>
      <c r="B188" s="3"/>
      <c r="C188" s="3"/>
      <c r="D188" s="33"/>
      <c r="E188" s="33"/>
      <c r="F188" s="33"/>
      <c r="G188" s="33"/>
      <c r="H188" s="33"/>
      <c r="I188" s="33"/>
      <c r="J188" s="33"/>
      <c r="K188" s="33"/>
      <c r="L188" s="33"/>
      <c r="M188" s="33"/>
      <c r="N188" s="33"/>
      <c r="O188" s="33"/>
      <c r="P188" s="33"/>
      <c r="Q188" s="33"/>
      <c r="R188" s="33"/>
      <c r="S188" s="33"/>
      <c r="T188" s="124"/>
      <c r="U188" s="3"/>
      <c r="V188" s="3"/>
      <c r="W188" s="3"/>
      <c r="X188" s="3"/>
      <c r="Y188" s="3"/>
      <c r="Z188" s="3"/>
    </row>
    <row r="189" spans="1:26" ht="15.75" customHeight="1">
      <c r="A189" s="3"/>
      <c r="B189" s="3"/>
      <c r="C189" s="3"/>
      <c r="D189" s="33"/>
      <c r="E189" s="33"/>
      <c r="F189" s="33"/>
      <c r="G189" s="33"/>
      <c r="H189" s="33"/>
      <c r="I189" s="33"/>
      <c r="J189" s="33"/>
      <c r="K189" s="33"/>
      <c r="L189" s="33"/>
      <c r="M189" s="33"/>
      <c r="N189" s="33"/>
      <c r="O189" s="33"/>
      <c r="P189" s="33"/>
      <c r="Q189" s="33"/>
      <c r="R189" s="33"/>
      <c r="S189" s="33"/>
      <c r="T189" s="124"/>
      <c r="U189" s="3"/>
      <c r="V189" s="3"/>
      <c r="W189" s="3"/>
      <c r="X189" s="3"/>
      <c r="Y189" s="3"/>
      <c r="Z189" s="3"/>
    </row>
    <row r="190" spans="1:26" ht="15.75" customHeight="1">
      <c r="A190" s="3"/>
      <c r="B190" s="3"/>
      <c r="C190" s="3"/>
      <c r="D190" s="33"/>
      <c r="E190" s="33"/>
      <c r="F190" s="33"/>
      <c r="G190" s="33"/>
      <c r="H190" s="33"/>
      <c r="I190" s="33"/>
      <c r="J190" s="33"/>
      <c r="K190" s="33"/>
      <c r="L190" s="33"/>
      <c r="M190" s="33"/>
      <c r="N190" s="33"/>
      <c r="O190" s="33"/>
      <c r="P190" s="33"/>
      <c r="Q190" s="33"/>
      <c r="R190" s="33"/>
      <c r="S190" s="33"/>
      <c r="T190" s="124"/>
      <c r="U190" s="3"/>
      <c r="V190" s="3"/>
      <c r="W190" s="3"/>
      <c r="X190" s="3"/>
      <c r="Y190" s="3"/>
      <c r="Z190" s="3"/>
    </row>
    <row r="191" spans="1:26" ht="15.75" customHeight="1">
      <c r="A191" s="3"/>
      <c r="B191" s="3"/>
      <c r="C191" s="3"/>
      <c r="D191" s="33"/>
      <c r="E191" s="33"/>
      <c r="F191" s="33"/>
      <c r="G191" s="33"/>
      <c r="H191" s="33"/>
      <c r="I191" s="33"/>
      <c r="J191" s="33"/>
      <c r="K191" s="33"/>
      <c r="L191" s="33"/>
      <c r="M191" s="33"/>
      <c r="N191" s="33"/>
      <c r="O191" s="33"/>
      <c r="P191" s="33"/>
      <c r="Q191" s="33"/>
      <c r="R191" s="33"/>
      <c r="S191" s="33"/>
      <c r="T191" s="124"/>
      <c r="U191" s="3"/>
      <c r="V191" s="3"/>
      <c r="W191" s="3"/>
      <c r="X191" s="3"/>
      <c r="Y191" s="3"/>
      <c r="Z191" s="3"/>
    </row>
    <row r="192" spans="1:26" ht="15.75" customHeight="1">
      <c r="A192" s="3"/>
      <c r="B192" s="3"/>
      <c r="C192" s="3"/>
      <c r="D192" s="33"/>
      <c r="E192" s="33"/>
      <c r="F192" s="33"/>
      <c r="G192" s="33"/>
      <c r="H192" s="33"/>
      <c r="I192" s="33"/>
      <c r="J192" s="33"/>
      <c r="K192" s="33"/>
      <c r="L192" s="33"/>
      <c r="M192" s="33"/>
      <c r="N192" s="33"/>
      <c r="O192" s="33"/>
      <c r="P192" s="33"/>
      <c r="Q192" s="33"/>
      <c r="R192" s="33"/>
      <c r="S192" s="33"/>
      <c r="T192" s="124"/>
      <c r="U192" s="3"/>
      <c r="V192" s="3"/>
      <c r="W192" s="3"/>
      <c r="X192" s="3"/>
      <c r="Y192" s="3"/>
      <c r="Z192" s="3"/>
    </row>
    <row r="193" spans="1:26" ht="15.75" customHeight="1">
      <c r="A193" s="3"/>
      <c r="B193" s="3"/>
      <c r="C193" s="3"/>
      <c r="D193" s="33"/>
      <c r="E193" s="33"/>
      <c r="F193" s="33"/>
      <c r="G193" s="33"/>
      <c r="H193" s="33"/>
      <c r="I193" s="33"/>
      <c r="J193" s="33"/>
      <c r="K193" s="33"/>
      <c r="L193" s="33"/>
      <c r="M193" s="33"/>
      <c r="N193" s="33"/>
      <c r="O193" s="33"/>
      <c r="P193" s="33"/>
      <c r="Q193" s="33"/>
      <c r="R193" s="33"/>
      <c r="S193" s="33"/>
      <c r="T193" s="124"/>
      <c r="U193" s="3"/>
      <c r="V193" s="3"/>
      <c r="W193" s="3"/>
      <c r="X193" s="3"/>
      <c r="Y193" s="3"/>
      <c r="Z193" s="3"/>
    </row>
    <row r="194" spans="1:26" ht="15.75" customHeight="1">
      <c r="A194" s="3"/>
      <c r="B194" s="3"/>
      <c r="C194" s="3"/>
      <c r="D194" s="33"/>
      <c r="E194" s="33"/>
      <c r="F194" s="33"/>
      <c r="G194" s="33"/>
      <c r="H194" s="33"/>
      <c r="I194" s="33"/>
      <c r="J194" s="33"/>
      <c r="K194" s="33"/>
      <c r="L194" s="33"/>
      <c r="M194" s="33"/>
      <c r="N194" s="33"/>
      <c r="O194" s="33"/>
      <c r="P194" s="33"/>
      <c r="Q194" s="33"/>
      <c r="R194" s="33"/>
      <c r="S194" s="33"/>
      <c r="T194" s="124"/>
      <c r="U194" s="3"/>
      <c r="V194" s="3"/>
      <c r="W194" s="3"/>
      <c r="X194" s="3"/>
      <c r="Y194" s="3"/>
      <c r="Z194" s="3"/>
    </row>
    <row r="195" spans="1:26" ht="15.75" customHeight="1">
      <c r="A195" s="3"/>
      <c r="B195" s="3"/>
      <c r="C195" s="3"/>
      <c r="D195" s="33"/>
      <c r="E195" s="33"/>
      <c r="F195" s="33"/>
      <c r="G195" s="33"/>
      <c r="H195" s="33"/>
      <c r="I195" s="33"/>
      <c r="J195" s="33"/>
      <c r="K195" s="33"/>
      <c r="L195" s="33"/>
      <c r="M195" s="33"/>
      <c r="N195" s="33"/>
      <c r="O195" s="33"/>
      <c r="P195" s="33"/>
      <c r="Q195" s="33"/>
      <c r="R195" s="33"/>
      <c r="S195" s="33"/>
      <c r="T195" s="124"/>
      <c r="U195" s="3"/>
      <c r="V195" s="3"/>
      <c r="W195" s="3"/>
      <c r="X195" s="3"/>
      <c r="Y195" s="3"/>
      <c r="Z195" s="3"/>
    </row>
    <row r="196" spans="1:26" ht="15.75" customHeight="1">
      <c r="A196" s="3"/>
      <c r="B196" s="3"/>
      <c r="C196" s="3"/>
      <c r="D196" s="33"/>
      <c r="E196" s="33"/>
      <c r="F196" s="33"/>
      <c r="G196" s="33"/>
      <c r="H196" s="33"/>
      <c r="I196" s="33"/>
      <c r="J196" s="33"/>
      <c r="K196" s="33"/>
      <c r="L196" s="33"/>
      <c r="M196" s="33"/>
      <c r="N196" s="33"/>
      <c r="O196" s="33"/>
      <c r="P196" s="33"/>
      <c r="Q196" s="33"/>
      <c r="R196" s="33"/>
      <c r="S196" s="33"/>
      <c r="T196" s="124"/>
      <c r="U196" s="3"/>
      <c r="V196" s="3"/>
      <c r="W196" s="3"/>
      <c r="X196" s="3"/>
      <c r="Y196" s="3"/>
      <c r="Z196" s="3"/>
    </row>
    <row r="197" spans="1:26" ht="15.75" customHeight="1">
      <c r="A197" s="3"/>
      <c r="B197" s="3"/>
      <c r="C197" s="3"/>
      <c r="D197" s="33"/>
      <c r="E197" s="33"/>
      <c r="F197" s="33"/>
      <c r="G197" s="33"/>
      <c r="H197" s="33"/>
      <c r="I197" s="33"/>
      <c r="J197" s="33"/>
      <c r="K197" s="33"/>
      <c r="L197" s="33"/>
      <c r="M197" s="33"/>
      <c r="N197" s="33"/>
      <c r="O197" s="33"/>
      <c r="P197" s="33"/>
      <c r="Q197" s="33"/>
      <c r="R197" s="33"/>
      <c r="S197" s="33"/>
      <c r="T197" s="124"/>
      <c r="U197" s="3"/>
      <c r="V197" s="3"/>
      <c r="W197" s="3"/>
      <c r="X197" s="3"/>
      <c r="Y197" s="3"/>
      <c r="Z197" s="3"/>
    </row>
    <row r="198" spans="1:26" ht="15.75" customHeight="1">
      <c r="A198" s="3"/>
      <c r="B198" s="3"/>
      <c r="C198" s="3"/>
      <c r="D198" s="33"/>
      <c r="E198" s="33"/>
      <c r="F198" s="33"/>
      <c r="G198" s="33"/>
      <c r="H198" s="33"/>
      <c r="I198" s="33"/>
      <c r="J198" s="33"/>
      <c r="K198" s="33"/>
      <c r="L198" s="33"/>
      <c r="M198" s="33"/>
      <c r="N198" s="33"/>
      <c r="O198" s="33"/>
      <c r="P198" s="33"/>
      <c r="Q198" s="33"/>
      <c r="R198" s="33"/>
      <c r="S198" s="33"/>
      <c r="T198" s="124"/>
      <c r="U198" s="3"/>
      <c r="V198" s="3"/>
      <c r="W198" s="3"/>
      <c r="X198" s="3"/>
      <c r="Y198" s="3"/>
      <c r="Z198" s="3"/>
    </row>
    <row r="199" spans="1:26" ht="15.75" customHeight="1">
      <c r="A199" s="3"/>
      <c r="B199" s="3"/>
      <c r="C199" s="3"/>
      <c r="D199" s="33"/>
      <c r="E199" s="33"/>
      <c r="F199" s="33"/>
      <c r="G199" s="33"/>
      <c r="H199" s="33"/>
      <c r="I199" s="33"/>
      <c r="J199" s="33"/>
      <c r="K199" s="33"/>
      <c r="L199" s="33"/>
      <c r="M199" s="33"/>
      <c r="N199" s="33"/>
      <c r="O199" s="33"/>
      <c r="P199" s="33"/>
      <c r="Q199" s="33"/>
      <c r="R199" s="33"/>
      <c r="S199" s="33"/>
      <c r="T199" s="124"/>
      <c r="U199" s="3"/>
      <c r="V199" s="3"/>
      <c r="W199" s="3"/>
      <c r="X199" s="3"/>
      <c r="Y199" s="3"/>
      <c r="Z199" s="3"/>
    </row>
    <row r="200" spans="1:26" ht="15.75" customHeight="1">
      <c r="A200" s="3"/>
      <c r="B200" s="3"/>
      <c r="C200" s="3"/>
      <c r="D200" s="33"/>
      <c r="E200" s="33"/>
      <c r="F200" s="33"/>
      <c r="G200" s="33"/>
      <c r="H200" s="33"/>
      <c r="I200" s="33"/>
      <c r="J200" s="33"/>
      <c r="K200" s="33"/>
      <c r="L200" s="33"/>
      <c r="M200" s="33"/>
      <c r="N200" s="33"/>
      <c r="O200" s="33"/>
      <c r="P200" s="33"/>
      <c r="Q200" s="33"/>
      <c r="R200" s="33"/>
      <c r="S200" s="33"/>
      <c r="T200" s="124"/>
      <c r="U200" s="3"/>
      <c r="V200" s="3"/>
      <c r="W200" s="3"/>
      <c r="X200" s="3"/>
      <c r="Y200" s="3"/>
      <c r="Z200" s="3"/>
    </row>
    <row r="201" spans="1:26" ht="15.75" customHeight="1">
      <c r="A201" s="3"/>
      <c r="B201" s="3"/>
      <c r="C201" s="3"/>
      <c r="D201" s="33"/>
      <c r="E201" s="33"/>
      <c r="F201" s="33"/>
      <c r="G201" s="33"/>
      <c r="H201" s="33"/>
      <c r="I201" s="33"/>
      <c r="J201" s="33"/>
      <c r="K201" s="33"/>
      <c r="L201" s="33"/>
      <c r="M201" s="33"/>
      <c r="N201" s="33"/>
      <c r="O201" s="33"/>
      <c r="P201" s="33"/>
      <c r="Q201" s="33"/>
      <c r="R201" s="33"/>
      <c r="S201" s="33"/>
      <c r="T201" s="124"/>
      <c r="U201" s="3"/>
      <c r="V201" s="3"/>
      <c r="W201" s="3"/>
      <c r="X201" s="3"/>
      <c r="Y201" s="3"/>
      <c r="Z201" s="3"/>
    </row>
    <row r="202" spans="1:26" ht="15.75" customHeight="1">
      <c r="A202" s="3"/>
      <c r="B202" s="3"/>
      <c r="C202" s="3"/>
      <c r="D202" s="33"/>
      <c r="E202" s="33"/>
      <c r="F202" s="33"/>
      <c r="G202" s="33"/>
      <c r="H202" s="33"/>
      <c r="I202" s="33"/>
      <c r="J202" s="33"/>
      <c r="K202" s="33"/>
      <c r="L202" s="33"/>
      <c r="M202" s="33"/>
      <c r="N202" s="33"/>
      <c r="O202" s="33"/>
      <c r="P202" s="33"/>
      <c r="Q202" s="33"/>
      <c r="R202" s="33"/>
      <c r="S202" s="33"/>
      <c r="T202" s="124"/>
      <c r="U202" s="3"/>
      <c r="V202" s="3"/>
      <c r="W202" s="3"/>
      <c r="X202" s="3"/>
      <c r="Y202" s="3"/>
      <c r="Z202" s="3"/>
    </row>
    <row r="203" spans="1:26" ht="15.75" customHeight="1">
      <c r="A203" s="3"/>
      <c r="B203" s="3"/>
      <c r="C203" s="3"/>
      <c r="D203" s="33"/>
      <c r="E203" s="33"/>
      <c r="F203" s="33"/>
      <c r="G203" s="33"/>
      <c r="H203" s="33"/>
      <c r="I203" s="33"/>
      <c r="J203" s="33"/>
      <c r="K203" s="33"/>
      <c r="L203" s="33"/>
      <c r="M203" s="33"/>
      <c r="N203" s="33"/>
      <c r="O203" s="33"/>
      <c r="P203" s="33"/>
      <c r="Q203" s="33"/>
      <c r="R203" s="33"/>
      <c r="S203" s="33"/>
      <c r="T203" s="124"/>
      <c r="U203" s="3"/>
      <c r="V203" s="3"/>
      <c r="W203" s="3"/>
      <c r="X203" s="3"/>
      <c r="Y203" s="3"/>
      <c r="Z203" s="3"/>
    </row>
    <row r="204" spans="1:26" ht="15.75" customHeight="1">
      <c r="A204" s="3"/>
      <c r="B204" s="3"/>
      <c r="C204" s="3"/>
      <c r="D204" s="33"/>
      <c r="E204" s="33"/>
      <c r="F204" s="33"/>
      <c r="G204" s="33"/>
      <c r="H204" s="33"/>
      <c r="I204" s="33"/>
      <c r="J204" s="33"/>
      <c r="K204" s="33"/>
      <c r="L204" s="33"/>
      <c r="M204" s="33"/>
      <c r="N204" s="33"/>
      <c r="O204" s="33"/>
      <c r="P204" s="33"/>
      <c r="Q204" s="33"/>
      <c r="R204" s="33"/>
      <c r="S204" s="33"/>
      <c r="T204" s="124"/>
      <c r="U204" s="3"/>
      <c r="V204" s="3"/>
      <c r="W204" s="3"/>
      <c r="X204" s="3"/>
      <c r="Y204" s="3"/>
      <c r="Z204" s="3"/>
    </row>
    <row r="205" spans="1:26" ht="15.75" customHeight="1">
      <c r="A205" s="3"/>
      <c r="B205" s="3"/>
      <c r="C205" s="3"/>
      <c r="D205" s="33"/>
      <c r="E205" s="33"/>
      <c r="F205" s="33"/>
      <c r="G205" s="33"/>
      <c r="H205" s="33"/>
      <c r="I205" s="33"/>
      <c r="J205" s="33"/>
      <c r="K205" s="33"/>
      <c r="L205" s="33"/>
      <c r="M205" s="33"/>
      <c r="N205" s="33"/>
      <c r="O205" s="33"/>
      <c r="P205" s="33"/>
      <c r="Q205" s="33"/>
      <c r="R205" s="33"/>
      <c r="S205" s="33"/>
      <c r="T205" s="124"/>
      <c r="U205" s="3"/>
      <c r="V205" s="3"/>
      <c r="W205" s="3"/>
      <c r="X205" s="3"/>
      <c r="Y205" s="3"/>
      <c r="Z205" s="3"/>
    </row>
    <row r="206" spans="1:26" ht="15.75" customHeight="1">
      <c r="A206" s="3"/>
      <c r="B206" s="3"/>
      <c r="C206" s="3"/>
      <c r="D206" s="33"/>
      <c r="E206" s="33"/>
      <c r="F206" s="33"/>
      <c r="G206" s="33"/>
      <c r="H206" s="33"/>
      <c r="I206" s="33"/>
      <c r="J206" s="33"/>
      <c r="K206" s="33"/>
      <c r="L206" s="33"/>
      <c r="M206" s="33"/>
      <c r="N206" s="33"/>
      <c r="O206" s="33"/>
      <c r="P206" s="33"/>
      <c r="Q206" s="33"/>
      <c r="R206" s="33"/>
      <c r="S206" s="33"/>
      <c r="T206" s="124"/>
      <c r="U206" s="3"/>
      <c r="V206" s="3"/>
      <c r="W206" s="3"/>
      <c r="X206" s="3"/>
      <c r="Y206" s="3"/>
      <c r="Z206" s="3"/>
    </row>
    <row r="207" spans="1:26" ht="15.75" customHeight="1">
      <c r="A207" s="3"/>
      <c r="B207" s="3"/>
      <c r="C207" s="3"/>
      <c r="D207" s="33"/>
      <c r="E207" s="33"/>
      <c r="F207" s="33"/>
      <c r="G207" s="33"/>
      <c r="H207" s="33"/>
      <c r="I207" s="33"/>
      <c r="J207" s="33"/>
      <c r="K207" s="33"/>
      <c r="L207" s="33"/>
      <c r="M207" s="33"/>
      <c r="N207" s="33"/>
      <c r="O207" s="33"/>
      <c r="P207" s="33"/>
      <c r="Q207" s="33"/>
      <c r="R207" s="33"/>
      <c r="S207" s="33"/>
      <c r="T207" s="124"/>
      <c r="U207" s="3"/>
      <c r="V207" s="3"/>
      <c r="W207" s="3"/>
      <c r="X207" s="3"/>
      <c r="Y207" s="3"/>
      <c r="Z207" s="3"/>
    </row>
    <row r="208" spans="1:26" ht="15.75" customHeight="1">
      <c r="A208" s="3"/>
      <c r="B208" s="3"/>
      <c r="C208" s="3"/>
      <c r="D208" s="33"/>
      <c r="E208" s="33"/>
      <c r="F208" s="33"/>
      <c r="G208" s="33"/>
      <c r="H208" s="33"/>
      <c r="I208" s="33"/>
      <c r="J208" s="33"/>
      <c r="K208" s="33"/>
      <c r="L208" s="33"/>
      <c r="M208" s="33"/>
      <c r="N208" s="33"/>
      <c r="O208" s="33"/>
      <c r="P208" s="33"/>
      <c r="Q208" s="33"/>
      <c r="R208" s="33"/>
      <c r="S208" s="33"/>
      <c r="T208" s="124"/>
      <c r="U208" s="3"/>
      <c r="V208" s="3"/>
      <c r="W208" s="3"/>
      <c r="X208" s="3"/>
      <c r="Y208" s="3"/>
      <c r="Z208" s="3"/>
    </row>
    <row r="209" spans="1:26" ht="15.75" customHeight="1">
      <c r="A209" s="3"/>
      <c r="B209" s="3"/>
      <c r="C209" s="3"/>
      <c r="D209" s="33"/>
      <c r="E209" s="33"/>
      <c r="F209" s="33"/>
      <c r="G209" s="33"/>
      <c r="H209" s="33"/>
      <c r="I209" s="33"/>
      <c r="J209" s="33"/>
      <c r="K209" s="33"/>
      <c r="L209" s="33"/>
      <c r="M209" s="33"/>
      <c r="N209" s="33"/>
      <c r="O209" s="33"/>
      <c r="P209" s="33"/>
      <c r="Q209" s="33"/>
      <c r="R209" s="33"/>
      <c r="S209" s="33"/>
      <c r="T209" s="124"/>
      <c r="U209" s="3"/>
      <c r="V209" s="3"/>
      <c r="W209" s="3"/>
      <c r="X209" s="3"/>
      <c r="Y209" s="3"/>
      <c r="Z209" s="3"/>
    </row>
    <row r="210" spans="1:26" ht="15.75" customHeight="1">
      <c r="A210" s="3"/>
      <c r="B210" s="3"/>
      <c r="C210" s="3"/>
      <c r="D210" s="33"/>
      <c r="E210" s="33"/>
      <c r="F210" s="33"/>
      <c r="G210" s="33"/>
      <c r="H210" s="33"/>
      <c r="I210" s="33"/>
      <c r="J210" s="33"/>
      <c r="K210" s="33"/>
      <c r="L210" s="33"/>
      <c r="M210" s="33"/>
      <c r="N210" s="33"/>
      <c r="O210" s="33"/>
      <c r="P210" s="33"/>
      <c r="Q210" s="33"/>
      <c r="R210" s="33"/>
      <c r="S210" s="33"/>
      <c r="T210" s="124"/>
      <c r="U210" s="3"/>
      <c r="V210" s="3"/>
      <c r="W210" s="3"/>
      <c r="X210" s="3"/>
      <c r="Y210" s="3"/>
      <c r="Z210" s="3"/>
    </row>
    <row r="211" spans="1:26" ht="15.75" customHeight="1">
      <c r="A211" s="3"/>
      <c r="B211" s="3"/>
      <c r="C211" s="3"/>
      <c r="D211" s="33"/>
      <c r="E211" s="33"/>
      <c r="F211" s="33"/>
      <c r="G211" s="33"/>
      <c r="H211" s="33"/>
      <c r="I211" s="33"/>
      <c r="J211" s="33"/>
      <c r="K211" s="33"/>
      <c r="L211" s="33"/>
      <c r="M211" s="33"/>
      <c r="N211" s="33"/>
      <c r="O211" s="33"/>
      <c r="P211" s="33"/>
      <c r="Q211" s="33"/>
      <c r="R211" s="33"/>
      <c r="S211" s="33"/>
      <c r="T211" s="124"/>
      <c r="U211" s="3"/>
      <c r="V211" s="3"/>
      <c r="W211" s="3"/>
      <c r="X211" s="3"/>
      <c r="Y211" s="3"/>
      <c r="Z211" s="3"/>
    </row>
    <row r="212" spans="1:26" ht="15.75" customHeight="1">
      <c r="A212" s="3"/>
      <c r="B212" s="3"/>
      <c r="C212" s="3"/>
      <c r="D212" s="33"/>
      <c r="E212" s="33"/>
      <c r="F212" s="33"/>
      <c r="G212" s="33"/>
      <c r="H212" s="33"/>
      <c r="I212" s="33"/>
      <c r="J212" s="33"/>
      <c r="K212" s="33"/>
      <c r="L212" s="33"/>
      <c r="M212" s="33"/>
      <c r="N212" s="33"/>
      <c r="O212" s="33"/>
      <c r="P212" s="33"/>
      <c r="Q212" s="33"/>
      <c r="R212" s="33"/>
      <c r="S212" s="33"/>
      <c r="T212" s="124"/>
      <c r="U212" s="3"/>
      <c r="V212" s="3"/>
      <c r="W212" s="3"/>
      <c r="X212" s="3"/>
      <c r="Y212" s="3"/>
      <c r="Z212" s="3"/>
    </row>
    <row r="213" spans="1:26" ht="15.75" customHeight="1">
      <c r="A213" s="3"/>
      <c r="B213" s="3"/>
      <c r="C213" s="3"/>
      <c r="D213" s="33"/>
      <c r="E213" s="33"/>
      <c r="F213" s="33"/>
      <c r="G213" s="33"/>
      <c r="H213" s="33"/>
      <c r="I213" s="33"/>
      <c r="J213" s="33"/>
      <c r="K213" s="33"/>
      <c r="L213" s="33"/>
      <c r="M213" s="33"/>
      <c r="N213" s="33"/>
      <c r="O213" s="33"/>
      <c r="P213" s="33"/>
      <c r="Q213" s="33"/>
      <c r="R213" s="33"/>
      <c r="S213" s="33"/>
      <c r="T213" s="124"/>
      <c r="U213" s="3"/>
      <c r="V213" s="3"/>
      <c r="W213" s="3"/>
      <c r="X213" s="3"/>
      <c r="Y213" s="3"/>
      <c r="Z213" s="3"/>
    </row>
    <row r="214" spans="1:26" ht="15.75" customHeight="1">
      <c r="A214" s="3"/>
      <c r="B214" s="3"/>
      <c r="C214" s="3"/>
      <c r="D214" s="33"/>
      <c r="E214" s="33"/>
      <c r="F214" s="33"/>
      <c r="G214" s="33"/>
      <c r="H214" s="33"/>
      <c r="I214" s="33"/>
      <c r="J214" s="33"/>
      <c r="K214" s="33"/>
      <c r="L214" s="33"/>
      <c r="M214" s="33"/>
      <c r="N214" s="33"/>
      <c r="O214" s="33"/>
      <c r="P214" s="33"/>
      <c r="Q214" s="33"/>
      <c r="R214" s="33"/>
      <c r="S214" s="33"/>
      <c r="T214" s="124"/>
      <c r="U214" s="3"/>
      <c r="V214" s="3"/>
      <c r="W214" s="3"/>
      <c r="X214" s="3"/>
      <c r="Y214" s="3"/>
      <c r="Z214" s="3"/>
    </row>
    <row r="215" spans="1:26" ht="15.75" customHeight="1">
      <c r="A215" s="3"/>
      <c r="B215" s="3"/>
      <c r="C215" s="3"/>
      <c r="D215" s="33"/>
      <c r="E215" s="33"/>
      <c r="F215" s="33"/>
      <c r="G215" s="33"/>
      <c r="H215" s="33"/>
      <c r="I215" s="33"/>
      <c r="J215" s="33"/>
      <c r="K215" s="33"/>
      <c r="L215" s="33"/>
      <c r="M215" s="33"/>
      <c r="N215" s="33"/>
      <c r="O215" s="33"/>
      <c r="P215" s="33"/>
      <c r="Q215" s="33"/>
      <c r="R215" s="33"/>
      <c r="S215" s="33"/>
      <c r="T215" s="124"/>
      <c r="U215" s="3"/>
      <c r="V215" s="3"/>
      <c r="W215" s="3"/>
      <c r="X215" s="3"/>
      <c r="Y215" s="3"/>
      <c r="Z215" s="3"/>
    </row>
    <row r="216" spans="1:26" ht="15.75" customHeight="1">
      <c r="A216" s="3"/>
      <c r="B216" s="3"/>
      <c r="C216" s="3"/>
      <c r="D216" s="33"/>
      <c r="E216" s="33"/>
      <c r="F216" s="33"/>
      <c r="G216" s="33"/>
      <c r="H216" s="33"/>
      <c r="I216" s="33"/>
      <c r="J216" s="33"/>
      <c r="K216" s="33"/>
      <c r="L216" s="33"/>
      <c r="M216" s="33"/>
      <c r="N216" s="33"/>
      <c r="O216" s="33"/>
      <c r="P216" s="33"/>
      <c r="Q216" s="33"/>
      <c r="R216" s="33"/>
      <c r="S216" s="33"/>
      <c r="T216" s="124"/>
      <c r="U216" s="3"/>
      <c r="V216" s="3"/>
      <c r="W216" s="3"/>
      <c r="X216" s="3"/>
      <c r="Y216" s="3"/>
      <c r="Z216" s="3"/>
    </row>
    <row r="217" spans="1:26" ht="15.75" customHeight="1">
      <c r="A217" s="3"/>
      <c r="B217" s="3"/>
      <c r="C217" s="3"/>
      <c r="D217" s="33"/>
      <c r="E217" s="33"/>
      <c r="F217" s="33"/>
      <c r="G217" s="33"/>
      <c r="H217" s="33"/>
      <c r="I217" s="33"/>
      <c r="J217" s="33"/>
      <c r="K217" s="33"/>
      <c r="L217" s="33"/>
      <c r="M217" s="33"/>
      <c r="N217" s="33"/>
      <c r="O217" s="33"/>
      <c r="P217" s="33"/>
      <c r="Q217" s="33"/>
      <c r="R217" s="33"/>
      <c r="S217" s="33"/>
      <c r="T217" s="124"/>
      <c r="U217" s="3"/>
      <c r="V217" s="3"/>
      <c r="W217" s="3"/>
      <c r="X217" s="3"/>
      <c r="Y217" s="3"/>
      <c r="Z217" s="3"/>
    </row>
    <row r="218" spans="1:26" ht="15.75" customHeight="1">
      <c r="A218" s="3"/>
      <c r="B218" s="3"/>
      <c r="C218" s="3"/>
      <c r="D218" s="33"/>
      <c r="E218" s="33"/>
      <c r="F218" s="33"/>
      <c r="G218" s="33"/>
      <c r="H218" s="33"/>
      <c r="I218" s="33"/>
      <c r="J218" s="33"/>
      <c r="K218" s="33"/>
      <c r="L218" s="33"/>
      <c r="M218" s="33"/>
      <c r="N218" s="33"/>
      <c r="O218" s="33"/>
      <c r="P218" s="33"/>
      <c r="Q218" s="33"/>
      <c r="R218" s="33"/>
      <c r="S218" s="33"/>
      <c r="T218" s="124"/>
      <c r="U218" s="3"/>
      <c r="V218" s="3"/>
      <c r="W218" s="3"/>
      <c r="X218" s="3"/>
      <c r="Y218" s="3"/>
      <c r="Z218" s="3"/>
    </row>
    <row r="219" spans="1:26" ht="15.75" customHeight="1">
      <c r="A219" s="3"/>
      <c r="B219" s="3"/>
      <c r="C219" s="3"/>
      <c r="D219" s="33"/>
      <c r="E219" s="33"/>
      <c r="F219" s="33"/>
      <c r="G219" s="33"/>
      <c r="H219" s="33"/>
      <c r="I219" s="33"/>
      <c r="J219" s="33"/>
      <c r="K219" s="33"/>
      <c r="L219" s="33"/>
      <c r="M219" s="33"/>
      <c r="N219" s="33"/>
      <c r="O219" s="33"/>
      <c r="P219" s="33"/>
      <c r="Q219" s="33"/>
      <c r="R219" s="33"/>
      <c r="S219" s="33"/>
      <c r="T219" s="124"/>
      <c r="U219" s="3"/>
      <c r="V219" s="3"/>
      <c r="W219" s="3"/>
      <c r="X219" s="3"/>
      <c r="Y219" s="3"/>
      <c r="Z219" s="3"/>
    </row>
    <row r="220" spans="1:26" ht="15.75" customHeight="1">
      <c r="A220" s="3"/>
      <c r="B220" s="3"/>
      <c r="C220" s="3"/>
      <c r="D220" s="33"/>
      <c r="E220" s="33"/>
      <c r="F220" s="33"/>
      <c r="G220" s="33"/>
      <c r="H220" s="33"/>
      <c r="I220" s="33"/>
      <c r="J220" s="33"/>
      <c r="K220" s="33"/>
      <c r="L220" s="33"/>
      <c r="M220" s="33"/>
      <c r="N220" s="33"/>
      <c r="O220" s="33"/>
      <c r="P220" s="33"/>
      <c r="Q220" s="33"/>
      <c r="R220" s="33"/>
      <c r="S220" s="33"/>
      <c r="T220" s="124"/>
      <c r="U220" s="3"/>
      <c r="V220" s="3"/>
      <c r="W220" s="3"/>
      <c r="X220" s="3"/>
      <c r="Y220" s="3"/>
      <c r="Z220" s="3"/>
    </row>
    <row r="221" spans="1:26" ht="15.75" customHeight="1">
      <c r="A221" s="3"/>
      <c r="B221" s="3"/>
      <c r="C221" s="3"/>
      <c r="D221" s="33"/>
      <c r="E221" s="33"/>
      <c r="F221" s="33"/>
      <c r="G221" s="33"/>
      <c r="H221" s="33"/>
      <c r="I221" s="33"/>
      <c r="J221" s="33"/>
      <c r="K221" s="33"/>
      <c r="L221" s="33"/>
      <c r="M221" s="33"/>
      <c r="N221" s="33"/>
      <c r="O221" s="33"/>
      <c r="P221" s="33"/>
      <c r="Q221" s="33"/>
      <c r="R221" s="33"/>
      <c r="S221" s="33"/>
      <c r="T221" s="124"/>
      <c r="U221" s="3"/>
      <c r="V221" s="3"/>
      <c r="W221" s="3"/>
      <c r="X221" s="3"/>
      <c r="Y221" s="3"/>
      <c r="Z221" s="3"/>
    </row>
    <row r="222" spans="1:26" ht="15.75" customHeight="1">
      <c r="A222" s="3"/>
      <c r="B222" s="3"/>
      <c r="C222" s="3"/>
      <c r="D222" s="33"/>
      <c r="E222" s="33"/>
      <c r="F222" s="33"/>
      <c r="G222" s="33"/>
      <c r="H222" s="33"/>
      <c r="I222" s="33"/>
      <c r="J222" s="33"/>
      <c r="K222" s="33"/>
      <c r="L222" s="33"/>
      <c r="M222" s="33"/>
      <c r="N222" s="33"/>
      <c r="O222" s="33"/>
      <c r="P222" s="33"/>
      <c r="Q222" s="33"/>
      <c r="R222" s="33"/>
      <c r="S222" s="33"/>
      <c r="T222" s="124"/>
      <c r="U222" s="3"/>
      <c r="V222" s="3"/>
      <c r="W222" s="3"/>
      <c r="X222" s="3"/>
      <c r="Y222" s="3"/>
      <c r="Z222" s="3"/>
    </row>
    <row r="223" spans="1:26" ht="15.75" customHeight="1">
      <c r="A223" s="3"/>
      <c r="B223" s="3"/>
      <c r="C223" s="3"/>
      <c r="D223" s="33"/>
      <c r="E223" s="33"/>
      <c r="F223" s="33"/>
      <c r="G223" s="33"/>
      <c r="H223" s="33"/>
      <c r="I223" s="33"/>
      <c r="J223" s="33"/>
      <c r="K223" s="33"/>
      <c r="L223" s="33"/>
      <c r="M223" s="33"/>
      <c r="N223" s="33"/>
      <c r="O223" s="33"/>
      <c r="P223" s="33"/>
      <c r="Q223" s="33"/>
      <c r="R223" s="33"/>
      <c r="S223" s="33"/>
      <c r="T223" s="124"/>
      <c r="U223" s="3"/>
      <c r="V223" s="3"/>
      <c r="W223" s="3"/>
      <c r="X223" s="3"/>
      <c r="Y223" s="3"/>
      <c r="Z223" s="3"/>
    </row>
    <row r="224" spans="1:26" ht="15.75" customHeight="1">
      <c r="A224" s="3"/>
      <c r="B224" s="3"/>
      <c r="C224" s="3"/>
      <c r="D224" s="33"/>
      <c r="E224" s="33"/>
      <c r="F224" s="33"/>
      <c r="G224" s="33"/>
      <c r="H224" s="33"/>
      <c r="I224" s="33"/>
      <c r="J224" s="33"/>
      <c r="K224" s="33"/>
      <c r="L224" s="33"/>
      <c r="M224" s="33"/>
      <c r="N224" s="33"/>
      <c r="O224" s="33"/>
      <c r="P224" s="33"/>
      <c r="Q224" s="33"/>
      <c r="R224" s="33"/>
      <c r="S224" s="33"/>
      <c r="T224" s="124"/>
      <c r="U224" s="3"/>
      <c r="V224" s="3"/>
      <c r="W224" s="3"/>
      <c r="X224" s="3"/>
      <c r="Y224" s="3"/>
      <c r="Z224" s="3"/>
    </row>
    <row r="225" spans="1:26" ht="15.75" customHeight="1">
      <c r="A225" s="3"/>
      <c r="B225" s="3"/>
      <c r="C225" s="3"/>
      <c r="D225" s="33"/>
      <c r="E225" s="33"/>
      <c r="F225" s="33"/>
      <c r="G225" s="33"/>
      <c r="H225" s="33"/>
      <c r="I225" s="33"/>
      <c r="J225" s="33"/>
      <c r="K225" s="33"/>
      <c r="L225" s="33"/>
      <c r="M225" s="33"/>
      <c r="N225" s="33"/>
      <c r="O225" s="33"/>
      <c r="P225" s="33"/>
      <c r="Q225" s="33"/>
      <c r="R225" s="33"/>
      <c r="S225" s="33"/>
      <c r="T225" s="124"/>
      <c r="U225" s="3"/>
      <c r="V225" s="3"/>
      <c r="W225" s="3"/>
      <c r="X225" s="3"/>
      <c r="Y225" s="3"/>
      <c r="Z225" s="3"/>
    </row>
    <row r="226" spans="1:26" ht="15.75" customHeight="1">
      <c r="A226" s="3"/>
      <c r="B226" s="3"/>
      <c r="C226" s="3"/>
      <c r="D226" s="33"/>
      <c r="E226" s="33"/>
      <c r="F226" s="33"/>
      <c r="G226" s="33"/>
      <c r="H226" s="33"/>
      <c r="I226" s="33"/>
      <c r="J226" s="33"/>
      <c r="K226" s="33"/>
      <c r="L226" s="33"/>
      <c r="M226" s="33"/>
      <c r="N226" s="33"/>
      <c r="O226" s="33"/>
      <c r="P226" s="33"/>
      <c r="Q226" s="33"/>
      <c r="R226" s="33"/>
      <c r="S226" s="33"/>
      <c r="T226" s="124"/>
      <c r="U226" s="3"/>
      <c r="V226" s="3"/>
      <c r="W226" s="3"/>
      <c r="X226" s="3"/>
      <c r="Y226" s="3"/>
      <c r="Z226" s="3"/>
    </row>
    <row r="227" spans="1:26" ht="15.75" customHeight="1">
      <c r="A227" s="3"/>
      <c r="B227" s="3"/>
      <c r="C227" s="3"/>
      <c r="D227" s="33"/>
      <c r="E227" s="33"/>
      <c r="F227" s="33"/>
      <c r="G227" s="33"/>
      <c r="H227" s="33"/>
      <c r="I227" s="33"/>
      <c r="J227" s="33"/>
      <c r="K227" s="33"/>
      <c r="L227" s="33"/>
      <c r="M227" s="33"/>
      <c r="N227" s="33"/>
      <c r="O227" s="33"/>
      <c r="P227" s="33"/>
      <c r="Q227" s="33"/>
      <c r="R227" s="33"/>
      <c r="S227" s="33"/>
      <c r="T227" s="124"/>
      <c r="U227" s="3"/>
      <c r="V227" s="3"/>
      <c r="W227" s="3"/>
      <c r="X227" s="3"/>
      <c r="Y227" s="3"/>
      <c r="Z227" s="3"/>
    </row>
    <row r="228" spans="1:26" ht="15.75" customHeight="1">
      <c r="A228" s="3"/>
      <c r="B228" s="3"/>
      <c r="C228" s="3"/>
      <c r="D228" s="33"/>
      <c r="E228" s="33"/>
      <c r="F228" s="33"/>
      <c r="G228" s="33"/>
      <c r="H228" s="33"/>
      <c r="I228" s="33"/>
      <c r="J228" s="33"/>
      <c r="K228" s="33"/>
      <c r="L228" s="33"/>
      <c r="M228" s="33"/>
      <c r="N228" s="33"/>
      <c r="O228" s="33"/>
      <c r="P228" s="33"/>
      <c r="Q228" s="33"/>
      <c r="R228" s="33"/>
      <c r="S228" s="33"/>
      <c r="T228" s="124"/>
      <c r="U228" s="3"/>
      <c r="V228" s="3"/>
      <c r="W228" s="3"/>
      <c r="X228" s="3"/>
      <c r="Y228" s="3"/>
      <c r="Z228" s="3"/>
    </row>
    <row r="229" spans="1:26" ht="15.75" customHeight="1">
      <c r="A229" s="3"/>
      <c r="B229" s="3"/>
      <c r="C229" s="3"/>
      <c r="D229" s="33"/>
      <c r="E229" s="33"/>
      <c r="F229" s="33"/>
      <c r="G229" s="33"/>
      <c r="H229" s="33"/>
      <c r="I229" s="33"/>
      <c r="J229" s="33"/>
      <c r="K229" s="33"/>
      <c r="L229" s="33"/>
      <c r="M229" s="33"/>
      <c r="N229" s="33"/>
      <c r="O229" s="33"/>
      <c r="P229" s="33"/>
      <c r="Q229" s="33"/>
      <c r="R229" s="33"/>
      <c r="S229" s="33"/>
      <c r="T229" s="124"/>
      <c r="U229" s="3"/>
      <c r="V229" s="3"/>
      <c r="W229" s="3"/>
      <c r="X229" s="3"/>
      <c r="Y229" s="3"/>
      <c r="Z229" s="3"/>
    </row>
    <row r="230" spans="1:26" ht="15.75" customHeight="1">
      <c r="A230" s="3"/>
      <c r="B230" s="3"/>
      <c r="C230" s="3"/>
      <c r="D230" s="33"/>
      <c r="E230" s="33"/>
      <c r="F230" s="33"/>
      <c r="G230" s="33"/>
      <c r="H230" s="33"/>
      <c r="I230" s="33"/>
      <c r="J230" s="33"/>
      <c r="K230" s="33"/>
      <c r="L230" s="33"/>
      <c r="M230" s="33"/>
      <c r="N230" s="33"/>
      <c r="O230" s="33"/>
      <c r="P230" s="33"/>
      <c r="Q230" s="33"/>
      <c r="R230" s="33"/>
      <c r="S230" s="33"/>
      <c r="T230" s="124"/>
      <c r="U230" s="3"/>
      <c r="V230" s="3"/>
      <c r="W230" s="3"/>
      <c r="X230" s="3"/>
      <c r="Y230" s="3"/>
      <c r="Z230" s="3"/>
    </row>
    <row r="231" spans="1:26" ht="15.75" customHeight="1">
      <c r="A231" s="3"/>
      <c r="B231" s="3"/>
      <c r="C231" s="3"/>
      <c r="D231" s="33"/>
      <c r="E231" s="33"/>
      <c r="F231" s="33"/>
      <c r="G231" s="33"/>
      <c r="H231" s="33"/>
      <c r="I231" s="33"/>
      <c r="J231" s="33"/>
      <c r="K231" s="33"/>
      <c r="L231" s="33"/>
      <c r="M231" s="33"/>
      <c r="N231" s="33"/>
      <c r="O231" s="33"/>
      <c r="P231" s="33"/>
      <c r="Q231" s="33"/>
      <c r="R231" s="33"/>
      <c r="S231" s="33"/>
      <c r="T231" s="124"/>
      <c r="U231" s="3"/>
      <c r="V231" s="3"/>
      <c r="W231" s="3"/>
      <c r="X231" s="3"/>
      <c r="Y231" s="3"/>
      <c r="Z231" s="3"/>
    </row>
    <row r="232" spans="1:26" ht="15.75" customHeight="1">
      <c r="A232" s="3"/>
      <c r="B232" s="3"/>
      <c r="C232" s="3"/>
      <c r="D232" s="33"/>
      <c r="E232" s="33"/>
      <c r="F232" s="33"/>
      <c r="G232" s="33"/>
      <c r="H232" s="33"/>
      <c r="I232" s="33"/>
      <c r="J232" s="33"/>
      <c r="K232" s="33"/>
      <c r="L232" s="33"/>
      <c r="M232" s="33"/>
      <c r="N232" s="33"/>
      <c r="O232" s="33"/>
      <c r="P232" s="33"/>
      <c r="Q232" s="33"/>
      <c r="R232" s="33"/>
      <c r="S232" s="33"/>
      <c r="T232" s="124"/>
      <c r="U232" s="3"/>
      <c r="V232" s="3"/>
      <c r="W232" s="3"/>
      <c r="X232" s="3"/>
      <c r="Y232" s="3"/>
      <c r="Z232" s="3"/>
    </row>
    <row r="233" spans="1:26" ht="15.75" customHeight="1">
      <c r="A233" s="3"/>
      <c r="B233" s="3"/>
      <c r="C233" s="3"/>
      <c r="D233" s="33"/>
      <c r="E233" s="33"/>
      <c r="F233" s="33"/>
      <c r="G233" s="33"/>
      <c r="H233" s="33"/>
      <c r="I233" s="33"/>
      <c r="J233" s="33"/>
      <c r="K233" s="33"/>
      <c r="L233" s="33"/>
      <c r="M233" s="33"/>
      <c r="N233" s="33"/>
      <c r="O233" s="33"/>
      <c r="P233" s="33"/>
      <c r="Q233" s="33"/>
      <c r="R233" s="33"/>
      <c r="S233" s="33"/>
      <c r="T233" s="124"/>
      <c r="U233" s="3"/>
      <c r="V233" s="3"/>
      <c r="W233" s="3"/>
      <c r="X233" s="3"/>
      <c r="Y233" s="3"/>
      <c r="Z233" s="3"/>
    </row>
    <row r="234" spans="1:26" ht="15.75" customHeight="1">
      <c r="A234" s="3"/>
      <c r="B234" s="3"/>
      <c r="C234" s="3"/>
      <c r="D234" s="33"/>
      <c r="E234" s="33"/>
      <c r="F234" s="33"/>
      <c r="G234" s="33"/>
      <c r="H234" s="33"/>
      <c r="I234" s="33"/>
      <c r="J234" s="33"/>
      <c r="K234" s="33"/>
      <c r="L234" s="33"/>
      <c r="M234" s="33"/>
      <c r="N234" s="33"/>
      <c r="O234" s="33"/>
      <c r="P234" s="33"/>
      <c r="Q234" s="33"/>
      <c r="R234" s="33"/>
      <c r="S234" s="33"/>
      <c r="T234" s="124"/>
      <c r="U234" s="3"/>
      <c r="V234" s="3"/>
      <c r="W234" s="3"/>
      <c r="X234" s="3"/>
      <c r="Y234" s="3"/>
      <c r="Z234" s="3"/>
    </row>
    <row r="235" spans="1:26" ht="15.75" customHeight="1">
      <c r="A235" s="3"/>
      <c r="B235" s="3"/>
      <c r="C235" s="3"/>
      <c r="D235" s="33"/>
      <c r="E235" s="33"/>
      <c r="F235" s="33"/>
      <c r="G235" s="33"/>
      <c r="H235" s="33"/>
      <c r="I235" s="33"/>
      <c r="J235" s="33"/>
      <c r="K235" s="33"/>
      <c r="L235" s="33"/>
      <c r="M235" s="33"/>
      <c r="N235" s="33"/>
      <c r="O235" s="33"/>
      <c r="P235" s="33"/>
      <c r="Q235" s="33"/>
      <c r="R235" s="33"/>
      <c r="S235" s="33"/>
      <c r="T235" s="124"/>
      <c r="U235" s="3"/>
      <c r="V235" s="3"/>
      <c r="W235" s="3"/>
      <c r="X235" s="3"/>
      <c r="Y235" s="3"/>
      <c r="Z235" s="3"/>
    </row>
    <row r="236" spans="1:26" ht="15.75" customHeight="1">
      <c r="A236" s="3"/>
      <c r="B236" s="3"/>
      <c r="C236" s="3"/>
      <c r="D236" s="33"/>
      <c r="E236" s="33"/>
      <c r="F236" s="33"/>
      <c r="G236" s="33"/>
      <c r="H236" s="33"/>
      <c r="I236" s="33"/>
      <c r="J236" s="33"/>
      <c r="K236" s="33"/>
      <c r="L236" s="33"/>
      <c r="M236" s="33"/>
      <c r="N236" s="33"/>
      <c r="O236" s="33"/>
      <c r="P236" s="33"/>
      <c r="Q236" s="33"/>
      <c r="R236" s="33"/>
      <c r="S236" s="33"/>
      <c r="T236" s="124"/>
      <c r="U236" s="3"/>
      <c r="V236" s="3"/>
      <c r="W236" s="3"/>
      <c r="X236" s="3"/>
      <c r="Y236" s="3"/>
      <c r="Z236" s="3"/>
    </row>
    <row r="237" spans="1:26" ht="15.75" customHeight="1">
      <c r="A237" s="3"/>
      <c r="B237" s="3"/>
      <c r="C237" s="3"/>
      <c r="D237" s="33"/>
      <c r="E237" s="33"/>
      <c r="F237" s="33"/>
      <c r="G237" s="33"/>
      <c r="H237" s="33"/>
      <c r="I237" s="33"/>
      <c r="J237" s="33"/>
      <c r="K237" s="33"/>
      <c r="L237" s="33"/>
      <c r="M237" s="33"/>
      <c r="N237" s="33"/>
      <c r="O237" s="33"/>
      <c r="P237" s="33"/>
      <c r="Q237" s="33"/>
      <c r="R237" s="33"/>
      <c r="S237" s="33"/>
      <c r="T237" s="124"/>
      <c r="U237" s="3"/>
      <c r="V237" s="3"/>
      <c r="W237" s="3"/>
      <c r="X237" s="3"/>
      <c r="Y237" s="3"/>
      <c r="Z237" s="3"/>
    </row>
    <row r="238" spans="1:26" ht="15.75" customHeight="1">
      <c r="A238" s="3"/>
      <c r="B238" s="3"/>
      <c r="C238" s="3"/>
      <c r="D238" s="33"/>
      <c r="E238" s="33"/>
      <c r="F238" s="33"/>
      <c r="G238" s="33"/>
      <c r="H238" s="33"/>
      <c r="I238" s="33"/>
      <c r="J238" s="33"/>
      <c r="K238" s="33"/>
      <c r="L238" s="33"/>
      <c r="M238" s="33"/>
      <c r="N238" s="33"/>
      <c r="O238" s="33"/>
      <c r="P238" s="33"/>
      <c r="Q238" s="33"/>
      <c r="R238" s="33"/>
      <c r="S238" s="33"/>
      <c r="T238" s="124"/>
      <c r="U238" s="3"/>
      <c r="V238" s="3"/>
      <c r="W238" s="3"/>
      <c r="X238" s="3"/>
      <c r="Y238" s="3"/>
      <c r="Z238" s="3"/>
    </row>
    <row r="239" spans="1:26" ht="15.75" customHeight="1">
      <c r="A239" s="3"/>
      <c r="B239" s="3"/>
      <c r="C239" s="3"/>
      <c r="D239" s="33"/>
      <c r="E239" s="33"/>
      <c r="F239" s="33"/>
      <c r="G239" s="33"/>
      <c r="H239" s="33"/>
      <c r="I239" s="33"/>
      <c r="J239" s="33"/>
      <c r="K239" s="33"/>
      <c r="L239" s="33"/>
      <c r="M239" s="33"/>
      <c r="N239" s="33"/>
      <c r="O239" s="33"/>
      <c r="P239" s="33"/>
      <c r="Q239" s="33"/>
      <c r="R239" s="33"/>
      <c r="S239" s="33"/>
      <c r="T239" s="124"/>
      <c r="U239" s="3"/>
      <c r="V239" s="3"/>
      <c r="W239" s="3"/>
      <c r="X239" s="3"/>
      <c r="Y239" s="3"/>
      <c r="Z239" s="3"/>
    </row>
    <row r="240" spans="1:26" ht="15.75" customHeight="1">
      <c r="A240" s="3"/>
      <c r="B240" s="3"/>
      <c r="C240" s="3"/>
      <c r="D240" s="33"/>
      <c r="E240" s="33"/>
      <c r="F240" s="33"/>
      <c r="G240" s="33"/>
      <c r="H240" s="33"/>
      <c r="I240" s="33"/>
      <c r="J240" s="33"/>
      <c r="K240" s="33"/>
      <c r="L240" s="33"/>
      <c r="M240" s="33"/>
      <c r="N240" s="33"/>
      <c r="O240" s="33"/>
      <c r="P240" s="33"/>
      <c r="Q240" s="33"/>
      <c r="R240" s="33"/>
      <c r="S240" s="33"/>
      <c r="T240" s="124"/>
      <c r="U240" s="3"/>
      <c r="V240" s="3"/>
      <c r="W240" s="3"/>
      <c r="X240" s="3"/>
      <c r="Y240" s="3"/>
      <c r="Z240" s="3"/>
    </row>
    <row r="241" spans="1:26" ht="15.75" customHeight="1">
      <c r="A241" s="3"/>
      <c r="B241" s="3"/>
      <c r="C241" s="3"/>
      <c r="D241" s="33"/>
      <c r="E241" s="33"/>
      <c r="F241" s="33"/>
      <c r="G241" s="33"/>
      <c r="H241" s="33"/>
      <c r="I241" s="33"/>
      <c r="J241" s="33"/>
      <c r="K241" s="33"/>
      <c r="L241" s="33"/>
      <c r="M241" s="33"/>
      <c r="N241" s="33"/>
      <c r="O241" s="33"/>
      <c r="P241" s="33"/>
      <c r="Q241" s="33"/>
      <c r="R241" s="33"/>
      <c r="S241" s="33"/>
      <c r="T241" s="124"/>
      <c r="U241" s="3"/>
      <c r="V241" s="3"/>
      <c r="W241" s="3"/>
      <c r="X241" s="3"/>
      <c r="Y241" s="3"/>
      <c r="Z241" s="3"/>
    </row>
    <row r="242" spans="1:26" ht="15.75" customHeight="1">
      <c r="A242" s="3"/>
      <c r="B242" s="3"/>
      <c r="C242" s="3"/>
      <c r="D242" s="33"/>
      <c r="E242" s="33"/>
      <c r="F242" s="33"/>
      <c r="G242" s="33"/>
      <c r="H242" s="33"/>
      <c r="I242" s="33"/>
      <c r="J242" s="33"/>
      <c r="K242" s="33"/>
      <c r="L242" s="33"/>
      <c r="M242" s="33"/>
      <c r="N242" s="33"/>
      <c r="O242" s="33"/>
      <c r="P242" s="33"/>
      <c r="Q242" s="33"/>
      <c r="R242" s="33"/>
      <c r="S242" s="33"/>
      <c r="T242" s="124"/>
      <c r="U242" s="3"/>
      <c r="V242" s="3"/>
      <c r="W242" s="3"/>
      <c r="X242" s="3"/>
      <c r="Y242" s="3"/>
      <c r="Z242" s="3"/>
    </row>
    <row r="243" spans="1:26" ht="15.75" customHeight="1">
      <c r="A243" s="3"/>
      <c r="B243" s="3"/>
      <c r="C243" s="3"/>
      <c r="D243" s="33"/>
      <c r="E243" s="33"/>
      <c r="F243" s="33"/>
      <c r="G243" s="33"/>
      <c r="H243" s="33"/>
      <c r="I243" s="33"/>
      <c r="J243" s="33"/>
      <c r="K243" s="33"/>
      <c r="L243" s="33"/>
      <c r="M243" s="33"/>
      <c r="N243" s="33"/>
      <c r="O243" s="33"/>
      <c r="P243" s="33"/>
      <c r="Q243" s="33"/>
      <c r="R243" s="33"/>
      <c r="S243" s="33"/>
      <c r="T243" s="124"/>
      <c r="U243" s="3"/>
      <c r="V243" s="3"/>
      <c r="W243" s="3"/>
      <c r="X243" s="3"/>
      <c r="Y243" s="3"/>
      <c r="Z243" s="3"/>
    </row>
    <row r="244" spans="1:26" ht="15.75" customHeight="1">
      <c r="A244" s="3"/>
      <c r="B244" s="3"/>
      <c r="C244" s="3"/>
      <c r="D244" s="33"/>
      <c r="E244" s="33"/>
      <c r="F244" s="33"/>
      <c r="G244" s="33"/>
      <c r="H244" s="33"/>
      <c r="I244" s="33"/>
      <c r="J244" s="33"/>
      <c r="K244" s="33"/>
      <c r="L244" s="33"/>
      <c r="M244" s="33"/>
      <c r="N244" s="33"/>
      <c r="O244" s="33"/>
      <c r="P244" s="33"/>
      <c r="Q244" s="33"/>
      <c r="R244" s="33"/>
      <c r="S244" s="33"/>
      <c r="T244" s="124"/>
      <c r="U244" s="3"/>
      <c r="V244" s="3"/>
      <c r="W244" s="3"/>
      <c r="X244" s="3"/>
      <c r="Y244" s="3"/>
      <c r="Z244" s="3"/>
    </row>
    <row r="245" spans="1:26" ht="15.75" customHeight="1">
      <c r="A245" s="3"/>
      <c r="B245" s="3"/>
      <c r="C245" s="3"/>
      <c r="D245" s="33"/>
      <c r="E245" s="33"/>
      <c r="F245" s="33"/>
      <c r="G245" s="33"/>
      <c r="H245" s="33"/>
      <c r="I245" s="33"/>
      <c r="J245" s="33"/>
      <c r="K245" s="33"/>
      <c r="L245" s="33"/>
      <c r="M245" s="33"/>
      <c r="N245" s="33"/>
      <c r="O245" s="33"/>
      <c r="P245" s="33"/>
      <c r="Q245" s="33"/>
      <c r="R245" s="33"/>
      <c r="S245" s="33"/>
      <c r="T245" s="124"/>
      <c r="U245" s="3"/>
      <c r="V245" s="3"/>
      <c r="W245" s="3"/>
      <c r="X245" s="3"/>
      <c r="Y245" s="3"/>
      <c r="Z245" s="3"/>
    </row>
    <row r="246" spans="1:26" ht="15.75" customHeight="1">
      <c r="A246" s="3"/>
      <c r="B246" s="3"/>
      <c r="C246" s="3"/>
      <c r="D246" s="33"/>
      <c r="E246" s="33"/>
      <c r="F246" s="33"/>
      <c r="G246" s="33"/>
      <c r="H246" s="33"/>
      <c r="I246" s="33"/>
      <c r="J246" s="33"/>
      <c r="K246" s="33"/>
      <c r="L246" s="33"/>
      <c r="M246" s="33"/>
      <c r="N246" s="33"/>
      <c r="O246" s="33"/>
      <c r="P246" s="33"/>
      <c r="Q246" s="33"/>
      <c r="R246" s="33"/>
      <c r="S246" s="33"/>
      <c r="T246" s="124"/>
      <c r="U246" s="3"/>
      <c r="V246" s="3"/>
      <c r="W246" s="3"/>
      <c r="X246" s="3"/>
      <c r="Y246" s="3"/>
      <c r="Z246" s="3"/>
    </row>
    <row r="247" spans="1:26" ht="15.75" customHeight="1">
      <c r="A247" s="3"/>
      <c r="B247" s="3"/>
      <c r="C247" s="3"/>
      <c r="D247" s="33"/>
      <c r="E247" s="33"/>
      <c r="F247" s="33"/>
      <c r="G247" s="33"/>
      <c r="H247" s="33"/>
      <c r="I247" s="33"/>
      <c r="J247" s="33"/>
      <c r="K247" s="33"/>
      <c r="L247" s="33"/>
      <c r="M247" s="33"/>
      <c r="N247" s="33"/>
      <c r="O247" s="33"/>
      <c r="P247" s="33"/>
      <c r="Q247" s="33"/>
      <c r="R247" s="33"/>
      <c r="S247" s="33"/>
      <c r="T247" s="124"/>
      <c r="U247" s="3"/>
      <c r="V247" s="3"/>
      <c r="W247" s="3"/>
      <c r="X247" s="3"/>
      <c r="Y247" s="3"/>
      <c r="Z247" s="3"/>
    </row>
    <row r="248" spans="1:26" ht="15.75" customHeight="1">
      <c r="A248" s="3"/>
      <c r="B248" s="3"/>
      <c r="C248" s="3"/>
      <c r="D248" s="33"/>
      <c r="E248" s="33"/>
      <c r="F248" s="33"/>
      <c r="G248" s="33"/>
      <c r="H248" s="33"/>
      <c r="I248" s="33"/>
      <c r="J248" s="33"/>
      <c r="K248" s="33"/>
      <c r="L248" s="33"/>
      <c r="M248" s="33"/>
      <c r="N248" s="33"/>
      <c r="O248" s="33"/>
      <c r="P248" s="33"/>
      <c r="Q248" s="33"/>
      <c r="R248" s="33"/>
      <c r="S248" s="33"/>
      <c r="T248" s="124"/>
      <c r="U248" s="3"/>
      <c r="V248" s="3"/>
      <c r="W248" s="3"/>
      <c r="X248" s="3"/>
      <c r="Y248" s="3"/>
      <c r="Z248" s="3"/>
    </row>
    <row r="249" spans="1:26" ht="15.75" customHeight="1">
      <c r="A249" s="3"/>
      <c r="B249" s="3"/>
      <c r="C249" s="3"/>
      <c r="D249" s="33"/>
      <c r="E249" s="33"/>
      <c r="F249" s="33"/>
      <c r="G249" s="33"/>
      <c r="H249" s="33"/>
      <c r="I249" s="33"/>
      <c r="J249" s="33"/>
      <c r="K249" s="33"/>
      <c r="L249" s="33"/>
      <c r="M249" s="33"/>
      <c r="N249" s="33"/>
      <c r="O249" s="33"/>
      <c r="P249" s="33"/>
      <c r="Q249" s="33"/>
      <c r="R249" s="33"/>
      <c r="S249" s="33"/>
      <c r="T249" s="124"/>
      <c r="U249" s="3"/>
      <c r="V249" s="3"/>
      <c r="W249" s="3"/>
      <c r="X249" s="3"/>
      <c r="Y249" s="3"/>
      <c r="Z249" s="3"/>
    </row>
    <row r="250" spans="1:26" ht="15.75" customHeight="1">
      <c r="A250" s="3"/>
      <c r="B250" s="3"/>
      <c r="C250" s="3"/>
      <c r="D250" s="33"/>
      <c r="E250" s="33"/>
      <c r="F250" s="33"/>
      <c r="G250" s="33"/>
      <c r="H250" s="33"/>
      <c r="I250" s="33"/>
      <c r="J250" s="33"/>
      <c r="K250" s="33"/>
      <c r="L250" s="33"/>
      <c r="M250" s="33"/>
      <c r="N250" s="33"/>
      <c r="O250" s="33"/>
      <c r="P250" s="33"/>
      <c r="Q250" s="33"/>
      <c r="R250" s="33"/>
      <c r="S250" s="33"/>
      <c r="T250" s="124"/>
      <c r="U250" s="3"/>
      <c r="V250" s="3"/>
      <c r="W250" s="3"/>
      <c r="X250" s="3"/>
      <c r="Y250" s="3"/>
      <c r="Z250" s="3"/>
    </row>
    <row r="251" spans="1:26" ht="15.75" customHeight="1">
      <c r="A251" s="3"/>
      <c r="B251" s="3"/>
      <c r="C251" s="3"/>
      <c r="D251" s="33"/>
      <c r="E251" s="33"/>
      <c r="F251" s="33"/>
      <c r="G251" s="33"/>
      <c r="H251" s="33"/>
      <c r="I251" s="33"/>
      <c r="J251" s="33"/>
      <c r="K251" s="33"/>
      <c r="L251" s="33"/>
      <c r="M251" s="33"/>
      <c r="N251" s="33"/>
      <c r="O251" s="33"/>
      <c r="P251" s="33"/>
      <c r="Q251" s="33"/>
      <c r="R251" s="33"/>
      <c r="S251" s="33"/>
      <c r="T251" s="124"/>
      <c r="U251" s="3"/>
      <c r="V251" s="3"/>
      <c r="W251" s="3"/>
      <c r="X251" s="3"/>
      <c r="Y251" s="3"/>
      <c r="Z251" s="3"/>
    </row>
    <row r="252" spans="1:26" ht="15.75" customHeight="1">
      <c r="A252" s="3"/>
      <c r="B252" s="3"/>
      <c r="C252" s="3"/>
      <c r="D252" s="33"/>
      <c r="E252" s="33"/>
      <c r="F252" s="33"/>
      <c r="G252" s="33"/>
      <c r="H252" s="33"/>
      <c r="I252" s="33"/>
      <c r="J252" s="33"/>
      <c r="K252" s="33"/>
      <c r="L252" s="33"/>
      <c r="M252" s="33"/>
      <c r="N252" s="33"/>
      <c r="O252" s="33"/>
      <c r="P252" s="33"/>
      <c r="Q252" s="33"/>
      <c r="R252" s="33"/>
      <c r="S252" s="33"/>
      <c r="T252" s="124"/>
      <c r="U252" s="3"/>
      <c r="V252" s="3"/>
      <c r="W252" s="3"/>
      <c r="X252" s="3"/>
      <c r="Y252" s="3"/>
      <c r="Z252" s="3"/>
    </row>
    <row r="253" spans="1:26" ht="15.75" customHeight="1">
      <c r="A253" s="3"/>
      <c r="B253" s="3"/>
      <c r="C253" s="3"/>
      <c r="D253" s="33"/>
      <c r="E253" s="33"/>
      <c r="F253" s="33"/>
      <c r="G253" s="33"/>
      <c r="H253" s="33"/>
      <c r="I253" s="33"/>
      <c r="J253" s="33"/>
      <c r="K253" s="33"/>
      <c r="L253" s="33"/>
      <c r="M253" s="33"/>
      <c r="N253" s="33"/>
      <c r="O253" s="33"/>
      <c r="P253" s="33"/>
      <c r="Q253" s="33"/>
      <c r="R253" s="33"/>
      <c r="S253" s="33"/>
      <c r="T253" s="124"/>
      <c r="U253" s="3"/>
      <c r="V253" s="3"/>
      <c r="W253" s="3"/>
      <c r="X253" s="3"/>
      <c r="Y253" s="3"/>
      <c r="Z253" s="3"/>
    </row>
    <row r="254" spans="1:26" ht="15.75" customHeight="1">
      <c r="A254" s="3"/>
      <c r="B254" s="3"/>
      <c r="C254" s="3"/>
      <c r="D254" s="33"/>
      <c r="E254" s="33"/>
      <c r="F254" s="33"/>
      <c r="G254" s="33"/>
      <c r="H254" s="33"/>
      <c r="I254" s="33"/>
      <c r="J254" s="33"/>
      <c r="K254" s="33"/>
      <c r="L254" s="33"/>
      <c r="M254" s="33"/>
      <c r="N254" s="33"/>
      <c r="O254" s="33"/>
      <c r="P254" s="33"/>
      <c r="Q254" s="33"/>
      <c r="R254" s="33"/>
      <c r="S254" s="33"/>
      <c r="T254" s="124"/>
      <c r="U254" s="3"/>
      <c r="V254" s="3"/>
      <c r="W254" s="3"/>
      <c r="X254" s="3"/>
      <c r="Y254" s="3"/>
      <c r="Z254" s="3"/>
    </row>
    <row r="255" spans="1:26" ht="15.75" customHeight="1">
      <c r="A255" s="3"/>
      <c r="B255" s="3"/>
      <c r="C255" s="3"/>
      <c r="D255" s="33"/>
      <c r="E255" s="33"/>
      <c r="F255" s="33"/>
      <c r="G255" s="33"/>
      <c r="H255" s="33"/>
      <c r="I255" s="33"/>
      <c r="J255" s="33"/>
      <c r="K255" s="33"/>
      <c r="L255" s="33"/>
      <c r="M255" s="33"/>
      <c r="N255" s="33"/>
      <c r="O255" s="33"/>
      <c r="P255" s="33"/>
      <c r="Q255" s="33"/>
      <c r="R255" s="33"/>
      <c r="S255" s="33"/>
      <c r="T255" s="124"/>
      <c r="U255" s="3"/>
      <c r="V255" s="3"/>
      <c r="W255" s="3"/>
      <c r="X255" s="3"/>
      <c r="Y255" s="3"/>
      <c r="Z255" s="3"/>
    </row>
    <row r="256" spans="1:26" ht="15.75" customHeight="1">
      <c r="A256" s="3"/>
      <c r="B256" s="3"/>
      <c r="C256" s="3"/>
      <c r="D256" s="33"/>
      <c r="E256" s="33"/>
      <c r="F256" s="33"/>
      <c r="G256" s="33"/>
      <c r="H256" s="33"/>
      <c r="I256" s="33"/>
      <c r="J256" s="33"/>
      <c r="K256" s="33"/>
      <c r="L256" s="33"/>
      <c r="M256" s="33"/>
      <c r="N256" s="33"/>
      <c r="O256" s="33"/>
      <c r="P256" s="33"/>
      <c r="Q256" s="33"/>
      <c r="R256" s="33"/>
      <c r="S256" s="33"/>
      <c r="T256" s="124"/>
      <c r="U256" s="3"/>
      <c r="V256" s="3"/>
      <c r="W256" s="3"/>
      <c r="X256" s="3"/>
      <c r="Y256" s="3"/>
      <c r="Z256" s="3"/>
    </row>
    <row r="257" spans="1:26" ht="15.75" customHeight="1">
      <c r="A257" s="3"/>
      <c r="B257" s="3"/>
      <c r="C257" s="3"/>
      <c r="D257" s="33"/>
      <c r="E257" s="33"/>
      <c r="F257" s="33"/>
      <c r="G257" s="33"/>
      <c r="H257" s="33"/>
      <c r="I257" s="33"/>
      <c r="J257" s="33"/>
      <c r="K257" s="33"/>
      <c r="L257" s="33"/>
      <c r="M257" s="33"/>
      <c r="N257" s="33"/>
      <c r="O257" s="33"/>
      <c r="P257" s="33"/>
      <c r="Q257" s="33"/>
      <c r="R257" s="33"/>
      <c r="S257" s="33"/>
      <c r="T257" s="124"/>
      <c r="U257" s="3"/>
      <c r="V257" s="3"/>
      <c r="W257" s="3"/>
      <c r="X257" s="3"/>
      <c r="Y257" s="3"/>
      <c r="Z257" s="3"/>
    </row>
    <row r="258" spans="1:26" ht="15.75" customHeight="1">
      <c r="A258" s="3"/>
      <c r="B258" s="3"/>
      <c r="C258" s="3"/>
      <c r="D258" s="33"/>
      <c r="E258" s="33"/>
      <c r="F258" s="33"/>
      <c r="G258" s="33"/>
      <c r="H258" s="33"/>
      <c r="I258" s="33"/>
      <c r="J258" s="33"/>
      <c r="K258" s="33"/>
      <c r="L258" s="33"/>
      <c r="M258" s="33"/>
      <c r="N258" s="33"/>
      <c r="O258" s="33"/>
      <c r="P258" s="33"/>
      <c r="Q258" s="33"/>
      <c r="R258" s="33"/>
      <c r="S258" s="33"/>
      <c r="T258" s="124"/>
      <c r="U258" s="3"/>
      <c r="V258" s="3"/>
      <c r="W258" s="3"/>
      <c r="X258" s="3"/>
      <c r="Y258" s="3"/>
      <c r="Z258" s="3"/>
    </row>
    <row r="259" spans="1:26" ht="15.75" customHeight="1">
      <c r="A259" s="3"/>
      <c r="B259" s="3"/>
      <c r="C259" s="3"/>
      <c r="D259" s="33"/>
      <c r="E259" s="33"/>
      <c r="F259" s="33"/>
      <c r="G259" s="33"/>
      <c r="H259" s="33"/>
      <c r="I259" s="33"/>
      <c r="J259" s="33"/>
      <c r="K259" s="33"/>
      <c r="L259" s="33"/>
      <c r="M259" s="33"/>
      <c r="N259" s="33"/>
      <c r="O259" s="33"/>
      <c r="P259" s="33"/>
      <c r="Q259" s="33"/>
      <c r="R259" s="33"/>
      <c r="S259" s="33"/>
      <c r="T259" s="124"/>
      <c r="U259" s="3"/>
      <c r="V259" s="3"/>
      <c r="W259" s="3"/>
      <c r="X259" s="3"/>
      <c r="Y259" s="3"/>
      <c r="Z259" s="3"/>
    </row>
    <row r="260" spans="1:26" ht="15.75" customHeight="1">
      <c r="A260" s="3"/>
      <c r="B260" s="3"/>
      <c r="C260" s="3"/>
      <c r="D260" s="33"/>
      <c r="E260" s="33"/>
      <c r="F260" s="33"/>
      <c r="G260" s="33"/>
      <c r="H260" s="33"/>
      <c r="I260" s="33"/>
      <c r="J260" s="33"/>
      <c r="K260" s="33"/>
      <c r="L260" s="33"/>
      <c r="M260" s="33"/>
      <c r="N260" s="33"/>
      <c r="O260" s="33"/>
      <c r="P260" s="33"/>
      <c r="Q260" s="33"/>
      <c r="R260" s="33"/>
      <c r="S260" s="33"/>
      <c r="T260" s="124"/>
      <c r="U260" s="3"/>
      <c r="V260" s="3"/>
      <c r="W260" s="3"/>
      <c r="X260" s="3"/>
      <c r="Y260" s="3"/>
      <c r="Z260" s="3"/>
    </row>
    <row r="261" spans="1:26" ht="15.75" customHeight="1">
      <c r="A261" s="3"/>
      <c r="B261" s="3"/>
      <c r="C261" s="3"/>
      <c r="D261" s="33"/>
      <c r="E261" s="33"/>
      <c r="F261" s="33"/>
      <c r="G261" s="33"/>
      <c r="H261" s="33"/>
      <c r="I261" s="33"/>
      <c r="J261" s="33"/>
      <c r="K261" s="33"/>
      <c r="L261" s="33"/>
      <c r="M261" s="33"/>
      <c r="N261" s="33"/>
      <c r="O261" s="33"/>
      <c r="P261" s="33"/>
      <c r="Q261" s="33"/>
      <c r="R261" s="33"/>
      <c r="S261" s="33"/>
      <c r="T261" s="124"/>
      <c r="U261" s="3"/>
      <c r="V261" s="3"/>
      <c r="W261" s="3"/>
      <c r="X261" s="3"/>
      <c r="Y261" s="3"/>
      <c r="Z261" s="3"/>
    </row>
    <row r="262" spans="1:26" ht="15.75" customHeight="1">
      <c r="A262" s="3"/>
      <c r="B262" s="3"/>
      <c r="C262" s="3"/>
      <c r="D262" s="33"/>
      <c r="E262" s="33"/>
      <c r="F262" s="33"/>
      <c r="G262" s="33"/>
      <c r="H262" s="33"/>
      <c r="I262" s="33"/>
      <c r="J262" s="33"/>
      <c r="K262" s="33"/>
      <c r="L262" s="33"/>
      <c r="M262" s="33"/>
      <c r="N262" s="33"/>
      <c r="O262" s="33"/>
      <c r="P262" s="33"/>
      <c r="Q262" s="33"/>
      <c r="R262" s="33"/>
      <c r="S262" s="33"/>
      <c r="T262" s="124"/>
      <c r="U262" s="3"/>
      <c r="V262" s="3"/>
      <c r="W262" s="3"/>
      <c r="X262" s="3"/>
      <c r="Y262" s="3"/>
      <c r="Z262" s="3"/>
    </row>
    <row r="263" spans="1:26" ht="15.75" customHeight="1">
      <c r="A263" s="3"/>
      <c r="B263" s="3"/>
      <c r="C263" s="3"/>
      <c r="D263" s="33"/>
      <c r="E263" s="33"/>
      <c r="F263" s="33"/>
      <c r="G263" s="33"/>
      <c r="H263" s="33"/>
      <c r="I263" s="33"/>
      <c r="J263" s="33"/>
      <c r="K263" s="33"/>
      <c r="L263" s="33"/>
      <c r="M263" s="33"/>
      <c r="N263" s="33"/>
      <c r="O263" s="33"/>
      <c r="P263" s="33"/>
      <c r="Q263" s="33"/>
      <c r="R263" s="33"/>
      <c r="S263" s="33"/>
      <c r="T263" s="124"/>
      <c r="U263" s="3"/>
      <c r="V263" s="3"/>
      <c r="W263" s="3"/>
      <c r="X263" s="3"/>
      <c r="Y263" s="3"/>
      <c r="Z263" s="3"/>
    </row>
    <row r="264" spans="1:26" ht="15.75" customHeight="1">
      <c r="A264" s="3"/>
      <c r="B264" s="3"/>
      <c r="C264" s="3"/>
      <c r="D264" s="33"/>
      <c r="E264" s="33"/>
      <c r="F264" s="33"/>
      <c r="G264" s="33"/>
      <c r="H264" s="33"/>
      <c r="I264" s="33"/>
      <c r="J264" s="33"/>
      <c r="K264" s="33"/>
      <c r="L264" s="33"/>
      <c r="M264" s="33"/>
      <c r="N264" s="33"/>
      <c r="O264" s="33"/>
      <c r="P264" s="33"/>
      <c r="Q264" s="33"/>
      <c r="R264" s="33"/>
      <c r="S264" s="33"/>
      <c r="T264" s="124"/>
      <c r="U264" s="3"/>
      <c r="V264" s="3"/>
      <c r="W264" s="3"/>
      <c r="X264" s="3"/>
      <c r="Y264" s="3"/>
      <c r="Z264" s="3"/>
    </row>
    <row r="265" spans="1:26" ht="15.75" customHeight="1">
      <c r="A265" s="3"/>
      <c r="B265" s="3"/>
      <c r="C265" s="3"/>
      <c r="D265" s="33"/>
      <c r="E265" s="33"/>
      <c r="F265" s="33"/>
      <c r="G265" s="33"/>
      <c r="H265" s="33"/>
      <c r="I265" s="33"/>
      <c r="J265" s="33"/>
      <c r="K265" s="33"/>
      <c r="L265" s="33"/>
      <c r="M265" s="33"/>
      <c r="N265" s="33"/>
      <c r="O265" s="33"/>
      <c r="P265" s="33"/>
      <c r="Q265" s="33"/>
      <c r="R265" s="33"/>
      <c r="S265" s="33"/>
      <c r="T265" s="124"/>
      <c r="U265" s="3"/>
      <c r="V265" s="3"/>
      <c r="W265" s="3"/>
      <c r="X265" s="3"/>
      <c r="Y265" s="3"/>
      <c r="Z265" s="3"/>
    </row>
    <row r="266" spans="1:26" ht="15.75" customHeight="1">
      <c r="A266" s="3"/>
      <c r="B266" s="3"/>
      <c r="C266" s="3"/>
      <c r="D266" s="33"/>
      <c r="E266" s="33"/>
      <c r="F266" s="33"/>
      <c r="G266" s="33"/>
      <c r="H266" s="33"/>
      <c r="I266" s="33"/>
      <c r="J266" s="33"/>
      <c r="K266" s="33"/>
      <c r="L266" s="33"/>
      <c r="M266" s="33"/>
      <c r="N266" s="33"/>
      <c r="O266" s="33"/>
      <c r="P266" s="33"/>
      <c r="Q266" s="33"/>
      <c r="R266" s="33"/>
      <c r="S266" s="33"/>
      <c r="T266" s="124"/>
      <c r="U266" s="3"/>
      <c r="V266" s="3"/>
      <c r="W266" s="3"/>
      <c r="X266" s="3"/>
      <c r="Y266" s="3"/>
      <c r="Z266" s="3"/>
    </row>
    <row r="267" spans="1:26" ht="15.75" customHeight="1">
      <c r="A267" s="3"/>
      <c r="B267" s="3"/>
      <c r="C267" s="3"/>
      <c r="D267" s="33"/>
      <c r="E267" s="33"/>
      <c r="F267" s="33"/>
      <c r="G267" s="33"/>
      <c r="H267" s="33"/>
      <c r="I267" s="33"/>
      <c r="J267" s="33"/>
      <c r="K267" s="33"/>
      <c r="L267" s="33"/>
      <c r="M267" s="33"/>
      <c r="N267" s="33"/>
      <c r="O267" s="33"/>
      <c r="P267" s="33"/>
      <c r="Q267" s="33"/>
      <c r="R267" s="33"/>
      <c r="S267" s="33"/>
      <c r="T267" s="124"/>
      <c r="U267" s="3"/>
      <c r="V267" s="3"/>
      <c r="W267" s="3"/>
      <c r="X267" s="3"/>
      <c r="Y267" s="3"/>
      <c r="Z267" s="3"/>
    </row>
    <row r="268" spans="1:26" ht="15.75" customHeight="1">
      <c r="A268" s="3"/>
      <c r="B268" s="3"/>
      <c r="C268" s="3"/>
      <c r="D268" s="33"/>
      <c r="E268" s="33"/>
      <c r="F268" s="33"/>
      <c r="G268" s="33"/>
      <c r="H268" s="33"/>
      <c r="I268" s="33"/>
      <c r="J268" s="33"/>
      <c r="K268" s="33"/>
      <c r="L268" s="33"/>
      <c r="M268" s="33"/>
      <c r="N268" s="33"/>
      <c r="O268" s="33"/>
      <c r="P268" s="33"/>
      <c r="Q268" s="33"/>
      <c r="R268" s="33"/>
      <c r="S268" s="33"/>
      <c r="T268" s="124"/>
      <c r="U268" s="3"/>
      <c r="V268" s="3"/>
      <c r="W268" s="3"/>
      <c r="X268" s="3"/>
      <c r="Y268" s="3"/>
      <c r="Z268" s="3"/>
    </row>
    <row r="269" spans="1:26" ht="15.75" customHeight="1">
      <c r="A269" s="3"/>
      <c r="B269" s="3"/>
      <c r="C269" s="3"/>
      <c r="D269" s="33"/>
      <c r="E269" s="33"/>
      <c r="F269" s="33"/>
      <c r="G269" s="33"/>
      <c r="H269" s="33"/>
      <c r="I269" s="33"/>
      <c r="J269" s="33"/>
      <c r="K269" s="33"/>
      <c r="L269" s="33"/>
      <c r="M269" s="33"/>
      <c r="N269" s="33"/>
      <c r="O269" s="33"/>
      <c r="P269" s="33"/>
      <c r="Q269" s="33"/>
      <c r="R269" s="33"/>
      <c r="S269" s="33"/>
      <c r="T269" s="124"/>
      <c r="U269" s="3"/>
      <c r="V269" s="3"/>
      <c r="W269" s="3"/>
      <c r="X269" s="3"/>
      <c r="Y269" s="3"/>
      <c r="Z269" s="3"/>
    </row>
    <row r="270" spans="1:26" ht="15.75" customHeight="1">
      <c r="A270" s="3"/>
      <c r="B270" s="3"/>
      <c r="C270" s="3"/>
      <c r="D270" s="33"/>
      <c r="E270" s="33"/>
      <c r="F270" s="33"/>
      <c r="G270" s="33"/>
      <c r="H270" s="33"/>
      <c r="I270" s="33"/>
      <c r="J270" s="33"/>
      <c r="K270" s="33"/>
      <c r="L270" s="33"/>
      <c r="M270" s="33"/>
      <c r="N270" s="33"/>
      <c r="O270" s="33"/>
      <c r="P270" s="33"/>
      <c r="Q270" s="33"/>
      <c r="R270" s="33"/>
      <c r="S270" s="33"/>
      <c r="T270" s="124"/>
      <c r="U270" s="3"/>
      <c r="V270" s="3"/>
      <c r="W270" s="3"/>
      <c r="X270" s="3"/>
      <c r="Y270" s="3"/>
      <c r="Z270" s="3"/>
    </row>
    <row r="271" spans="1:26" ht="15.75" customHeight="1">
      <c r="A271" s="3"/>
      <c r="B271" s="3"/>
      <c r="C271" s="3"/>
      <c r="D271" s="33"/>
      <c r="E271" s="33"/>
      <c r="F271" s="33"/>
      <c r="G271" s="33"/>
      <c r="H271" s="33"/>
      <c r="I271" s="33"/>
      <c r="J271" s="33"/>
      <c r="K271" s="33"/>
      <c r="L271" s="33"/>
      <c r="M271" s="33"/>
      <c r="N271" s="33"/>
      <c r="O271" s="33"/>
      <c r="P271" s="33"/>
      <c r="Q271" s="33"/>
      <c r="R271" s="33"/>
      <c r="S271" s="33"/>
      <c r="T271" s="124"/>
      <c r="U271" s="3"/>
      <c r="V271" s="3"/>
      <c r="W271" s="3"/>
      <c r="X271" s="3"/>
      <c r="Y271" s="3"/>
      <c r="Z271" s="3"/>
    </row>
    <row r="272" spans="1:26" ht="15.75" customHeight="1">
      <c r="A272" s="3"/>
      <c r="B272" s="3"/>
      <c r="C272" s="3"/>
      <c r="D272" s="33"/>
      <c r="E272" s="33"/>
      <c r="F272" s="33"/>
      <c r="G272" s="33"/>
      <c r="H272" s="33"/>
      <c r="I272" s="33"/>
      <c r="J272" s="33"/>
      <c r="K272" s="33"/>
      <c r="L272" s="33"/>
      <c r="M272" s="33"/>
      <c r="N272" s="33"/>
      <c r="O272" s="33"/>
      <c r="P272" s="33"/>
      <c r="Q272" s="33"/>
      <c r="R272" s="33"/>
      <c r="S272" s="33"/>
      <c r="T272" s="124"/>
      <c r="U272" s="3"/>
      <c r="V272" s="3"/>
      <c r="W272" s="3"/>
      <c r="X272" s="3"/>
      <c r="Y272" s="3"/>
      <c r="Z272" s="3"/>
    </row>
    <row r="273" spans="1:26" ht="15.75" customHeight="1">
      <c r="A273" s="3"/>
      <c r="B273" s="3"/>
      <c r="C273" s="3"/>
      <c r="D273" s="33"/>
      <c r="E273" s="33"/>
      <c r="F273" s="33"/>
      <c r="G273" s="33"/>
      <c r="H273" s="33"/>
      <c r="I273" s="33"/>
      <c r="J273" s="33"/>
      <c r="K273" s="33"/>
      <c r="L273" s="33"/>
      <c r="M273" s="33"/>
      <c r="N273" s="33"/>
      <c r="O273" s="33"/>
      <c r="P273" s="33"/>
      <c r="Q273" s="33"/>
      <c r="R273" s="33"/>
      <c r="S273" s="33"/>
      <c r="T273" s="124"/>
      <c r="U273" s="3"/>
      <c r="V273" s="3"/>
      <c r="W273" s="3"/>
      <c r="X273" s="3"/>
      <c r="Y273" s="3"/>
      <c r="Z273" s="3"/>
    </row>
    <row r="274" spans="1:26" ht="15.75" customHeight="1">
      <c r="A274" s="3"/>
      <c r="B274" s="3"/>
      <c r="C274" s="3"/>
      <c r="D274" s="33"/>
      <c r="E274" s="33"/>
      <c r="F274" s="33"/>
      <c r="G274" s="33"/>
      <c r="H274" s="33"/>
      <c r="I274" s="33"/>
      <c r="J274" s="33"/>
      <c r="K274" s="33"/>
      <c r="L274" s="33"/>
      <c r="M274" s="33"/>
      <c r="N274" s="33"/>
      <c r="O274" s="33"/>
      <c r="P274" s="33"/>
      <c r="Q274" s="33"/>
      <c r="R274" s="33"/>
      <c r="S274" s="33"/>
      <c r="T274" s="124"/>
      <c r="U274" s="3"/>
      <c r="V274" s="3"/>
      <c r="W274" s="3"/>
      <c r="X274" s="3"/>
      <c r="Y274" s="3"/>
      <c r="Z274" s="3"/>
    </row>
    <row r="275" spans="1:26" ht="15.75" customHeight="1">
      <c r="A275" s="3"/>
      <c r="B275" s="3"/>
      <c r="C275" s="3"/>
      <c r="D275" s="33"/>
      <c r="E275" s="33"/>
      <c r="F275" s="33"/>
      <c r="G275" s="33"/>
      <c r="H275" s="33"/>
      <c r="I275" s="33"/>
      <c r="J275" s="33"/>
      <c r="K275" s="33"/>
      <c r="L275" s="33"/>
      <c r="M275" s="33"/>
      <c r="N275" s="33"/>
      <c r="O275" s="33"/>
      <c r="P275" s="33"/>
      <c r="Q275" s="33"/>
      <c r="R275" s="33"/>
      <c r="S275" s="33"/>
      <c r="T275" s="124"/>
      <c r="U275" s="3"/>
      <c r="V275" s="3"/>
      <c r="W275" s="3"/>
      <c r="X275" s="3"/>
      <c r="Y275" s="3"/>
      <c r="Z275" s="3"/>
    </row>
    <row r="276" spans="1:26" ht="15.75" customHeight="1">
      <c r="A276" s="3"/>
      <c r="B276" s="3"/>
      <c r="C276" s="3"/>
      <c r="D276" s="33"/>
      <c r="E276" s="33"/>
      <c r="F276" s="33"/>
      <c r="G276" s="33"/>
      <c r="H276" s="33"/>
      <c r="I276" s="33"/>
      <c r="J276" s="33"/>
      <c r="K276" s="33"/>
      <c r="L276" s="33"/>
      <c r="M276" s="33"/>
      <c r="N276" s="33"/>
      <c r="O276" s="33"/>
      <c r="P276" s="33"/>
      <c r="Q276" s="33"/>
      <c r="R276" s="33"/>
      <c r="S276" s="33"/>
      <c r="T276" s="124"/>
      <c r="U276" s="3"/>
      <c r="V276" s="3"/>
      <c r="W276" s="3"/>
      <c r="X276" s="3"/>
      <c r="Y276" s="3"/>
      <c r="Z276" s="3"/>
    </row>
    <row r="277" spans="1:26" ht="15.75" customHeight="1">
      <c r="A277" s="3"/>
      <c r="B277" s="3"/>
      <c r="C277" s="3"/>
      <c r="D277" s="33"/>
      <c r="E277" s="33"/>
      <c r="F277" s="33"/>
      <c r="G277" s="33"/>
      <c r="H277" s="33"/>
      <c r="I277" s="33"/>
      <c r="J277" s="33"/>
      <c r="K277" s="33"/>
      <c r="L277" s="33"/>
      <c r="M277" s="33"/>
      <c r="N277" s="33"/>
      <c r="O277" s="33"/>
      <c r="P277" s="33"/>
      <c r="Q277" s="33"/>
      <c r="R277" s="33"/>
      <c r="S277" s="33"/>
      <c r="T277" s="124"/>
      <c r="U277" s="3"/>
      <c r="V277" s="3"/>
      <c r="W277" s="3"/>
      <c r="X277" s="3"/>
      <c r="Y277" s="3"/>
      <c r="Z277" s="3"/>
    </row>
    <row r="278" spans="1:26" ht="15.75" customHeight="1">
      <c r="A278" s="3"/>
      <c r="B278" s="3"/>
      <c r="C278" s="3"/>
      <c r="D278" s="33"/>
      <c r="E278" s="33"/>
      <c r="F278" s="33"/>
      <c r="G278" s="33"/>
      <c r="H278" s="33"/>
      <c r="I278" s="33"/>
      <c r="J278" s="33"/>
      <c r="K278" s="33"/>
      <c r="L278" s="33"/>
      <c r="M278" s="33"/>
      <c r="N278" s="33"/>
      <c r="O278" s="33"/>
      <c r="P278" s="33"/>
      <c r="Q278" s="33"/>
      <c r="R278" s="33"/>
      <c r="S278" s="33"/>
      <c r="T278" s="124"/>
      <c r="U278" s="3"/>
      <c r="V278" s="3"/>
      <c r="W278" s="3"/>
      <c r="X278" s="3"/>
      <c r="Y278" s="3"/>
      <c r="Z278" s="3"/>
    </row>
    <row r="279" spans="1:26" ht="15.75" customHeight="1">
      <c r="A279" s="3"/>
      <c r="B279" s="3"/>
      <c r="C279" s="3"/>
      <c r="D279" s="33"/>
      <c r="E279" s="33"/>
      <c r="F279" s="33"/>
      <c r="G279" s="33"/>
      <c r="H279" s="33"/>
      <c r="I279" s="33"/>
      <c r="J279" s="33"/>
      <c r="K279" s="33"/>
      <c r="L279" s="33"/>
      <c r="M279" s="33"/>
      <c r="N279" s="33"/>
      <c r="O279" s="33"/>
      <c r="P279" s="33"/>
      <c r="Q279" s="33"/>
      <c r="R279" s="33"/>
      <c r="S279" s="33"/>
      <c r="T279" s="124"/>
      <c r="U279" s="3"/>
      <c r="V279" s="3"/>
      <c r="W279" s="3"/>
      <c r="X279" s="3"/>
      <c r="Y279" s="3"/>
      <c r="Z279" s="3"/>
    </row>
    <row r="280" spans="1:26" ht="15.75" customHeight="1">
      <c r="A280" s="3"/>
      <c r="B280" s="3"/>
      <c r="C280" s="3"/>
      <c r="D280" s="33"/>
      <c r="E280" s="33"/>
      <c r="F280" s="33"/>
      <c r="G280" s="33"/>
      <c r="H280" s="33"/>
      <c r="I280" s="33"/>
      <c r="J280" s="33"/>
      <c r="K280" s="33"/>
      <c r="L280" s="33"/>
      <c r="M280" s="33"/>
      <c r="N280" s="33"/>
      <c r="O280" s="33"/>
      <c r="P280" s="33"/>
      <c r="Q280" s="33"/>
      <c r="R280" s="33"/>
      <c r="S280" s="33"/>
      <c r="T280" s="124"/>
      <c r="U280" s="3"/>
      <c r="V280" s="3"/>
      <c r="W280" s="3"/>
      <c r="X280" s="3"/>
      <c r="Y280" s="3"/>
      <c r="Z280" s="3"/>
    </row>
    <row r="281" spans="1:26" ht="15.75" customHeight="1">
      <c r="A281" s="3"/>
      <c r="B281" s="3"/>
      <c r="C281" s="3"/>
      <c r="D281" s="33"/>
      <c r="E281" s="33"/>
      <c r="F281" s="33"/>
      <c r="G281" s="33"/>
      <c r="H281" s="33"/>
      <c r="I281" s="33"/>
      <c r="J281" s="33"/>
      <c r="K281" s="33"/>
      <c r="L281" s="33"/>
      <c r="M281" s="33"/>
      <c r="N281" s="33"/>
      <c r="O281" s="33"/>
      <c r="P281" s="33"/>
      <c r="Q281" s="33"/>
      <c r="R281" s="33"/>
      <c r="S281" s="33"/>
      <c r="T281" s="124"/>
      <c r="U281" s="3"/>
      <c r="V281" s="3"/>
      <c r="W281" s="3"/>
      <c r="X281" s="3"/>
      <c r="Y281" s="3"/>
      <c r="Z281" s="3"/>
    </row>
    <row r="282" spans="1:26" ht="15.75" customHeight="1">
      <c r="A282" s="3"/>
      <c r="B282" s="3"/>
      <c r="C282" s="3"/>
      <c r="D282" s="33"/>
      <c r="E282" s="33"/>
      <c r="F282" s="33"/>
      <c r="G282" s="33"/>
      <c r="H282" s="33"/>
      <c r="I282" s="33"/>
      <c r="J282" s="33"/>
      <c r="K282" s="33"/>
      <c r="L282" s="33"/>
      <c r="M282" s="33"/>
      <c r="N282" s="33"/>
      <c r="O282" s="33"/>
      <c r="P282" s="33"/>
      <c r="Q282" s="33"/>
      <c r="R282" s="33"/>
      <c r="S282" s="33"/>
      <c r="T282" s="124"/>
      <c r="U282" s="3"/>
      <c r="V282" s="3"/>
      <c r="W282" s="3"/>
      <c r="X282" s="3"/>
      <c r="Y282" s="3"/>
      <c r="Z282" s="3"/>
    </row>
    <row r="283" spans="1:26" ht="15.75" customHeight="1">
      <c r="A283" s="3"/>
      <c r="B283" s="3"/>
      <c r="C283" s="3"/>
      <c r="D283" s="33"/>
      <c r="E283" s="33"/>
      <c r="F283" s="33"/>
      <c r="G283" s="33"/>
      <c r="H283" s="33"/>
      <c r="I283" s="33"/>
      <c r="J283" s="33"/>
      <c r="K283" s="33"/>
      <c r="L283" s="33"/>
      <c r="M283" s="33"/>
      <c r="N283" s="33"/>
      <c r="O283" s="33"/>
      <c r="P283" s="33"/>
      <c r="Q283" s="33"/>
      <c r="R283" s="33"/>
      <c r="S283" s="33"/>
      <c r="T283" s="124"/>
      <c r="U283" s="3"/>
      <c r="V283" s="3"/>
      <c r="W283" s="3"/>
      <c r="X283" s="3"/>
      <c r="Y283" s="3"/>
      <c r="Z283" s="3"/>
    </row>
    <row r="284" spans="1:26" ht="15.75" customHeight="1">
      <c r="A284" s="3"/>
      <c r="B284" s="3"/>
      <c r="C284" s="3"/>
      <c r="D284" s="33"/>
      <c r="E284" s="33"/>
      <c r="F284" s="33"/>
      <c r="G284" s="33"/>
      <c r="H284" s="33"/>
      <c r="I284" s="33"/>
      <c r="J284" s="33"/>
      <c r="K284" s="33"/>
      <c r="L284" s="33"/>
      <c r="M284" s="33"/>
      <c r="N284" s="33"/>
      <c r="O284" s="33"/>
      <c r="P284" s="33"/>
      <c r="Q284" s="33"/>
      <c r="R284" s="33"/>
      <c r="S284" s="33"/>
      <c r="T284" s="124"/>
      <c r="U284" s="3"/>
      <c r="V284" s="3"/>
      <c r="W284" s="3"/>
      <c r="X284" s="3"/>
      <c r="Y284" s="3"/>
      <c r="Z284" s="3"/>
    </row>
    <row r="285" spans="1:26" ht="15.75" customHeight="1">
      <c r="A285" s="3"/>
      <c r="B285" s="3"/>
      <c r="C285" s="3"/>
      <c r="D285" s="33"/>
      <c r="E285" s="33"/>
      <c r="F285" s="33"/>
      <c r="G285" s="33"/>
      <c r="H285" s="33"/>
      <c r="I285" s="33"/>
      <c r="J285" s="33"/>
      <c r="K285" s="33"/>
      <c r="L285" s="33"/>
      <c r="M285" s="33"/>
      <c r="N285" s="33"/>
      <c r="O285" s="33"/>
      <c r="P285" s="33"/>
      <c r="Q285" s="33"/>
      <c r="R285" s="33"/>
      <c r="S285" s="33"/>
      <c r="T285" s="124"/>
      <c r="U285" s="3"/>
      <c r="V285" s="3"/>
      <c r="W285" s="3"/>
      <c r="X285" s="3"/>
      <c r="Y285" s="3"/>
      <c r="Z285" s="3"/>
    </row>
    <row r="286" spans="1:26" ht="15.75" customHeight="1">
      <c r="A286" s="3"/>
      <c r="B286" s="3"/>
      <c r="C286" s="3"/>
      <c r="D286" s="33"/>
      <c r="E286" s="33"/>
      <c r="F286" s="33"/>
      <c r="G286" s="33"/>
      <c r="H286" s="33"/>
      <c r="I286" s="33"/>
      <c r="J286" s="33"/>
      <c r="K286" s="33"/>
      <c r="L286" s="33"/>
      <c r="M286" s="33"/>
      <c r="N286" s="33"/>
      <c r="O286" s="33"/>
      <c r="P286" s="33"/>
      <c r="Q286" s="33"/>
      <c r="R286" s="33"/>
      <c r="S286" s="33"/>
      <c r="T286" s="124"/>
      <c r="U286" s="3"/>
      <c r="V286" s="3"/>
      <c r="W286" s="3"/>
      <c r="X286" s="3"/>
      <c r="Y286" s="3"/>
      <c r="Z286" s="3"/>
    </row>
    <row r="287" spans="1:26" ht="15.75" customHeight="1">
      <c r="A287" s="3"/>
      <c r="B287" s="3"/>
      <c r="C287" s="3"/>
      <c r="D287" s="33"/>
      <c r="E287" s="33"/>
      <c r="F287" s="33"/>
      <c r="G287" s="33"/>
      <c r="H287" s="33"/>
      <c r="I287" s="33"/>
      <c r="J287" s="33"/>
      <c r="K287" s="33"/>
      <c r="L287" s="33"/>
      <c r="M287" s="33"/>
      <c r="N287" s="33"/>
      <c r="O287" s="33"/>
      <c r="P287" s="33"/>
      <c r="Q287" s="33"/>
      <c r="R287" s="33"/>
      <c r="S287" s="33"/>
      <c r="T287" s="124"/>
      <c r="U287" s="3"/>
      <c r="V287" s="3"/>
      <c r="W287" s="3"/>
      <c r="X287" s="3"/>
      <c r="Y287" s="3"/>
      <c r="Z287" s="3"/>
    </row>
    <row r="288" spans="1:26" ht="15.75" customHeight="1">
      <c r="A288" s="3"/>
      <c r="B288" s="3"/>
      <c r="C288" s="3"/>
      <c r="D288" s="33"/>
      <c r="E288" s="33"/>
      <c r="F288" s="33"/>
      <c r="G288" s="33"/>
      <c r="H288" s="33"/>
      <c r="I288" s="33"/>
      <c r="J288" s="33"/>
      <c r="K288" s="33"/>
      <c r="L288" s="33"/>
      <c r="M288" s="33"/>
      <c r="N288" s="33"/>
      <c r="O288" s="33"/>
      <c r="P288" s="33"/>
      <c r="Q288" s="33"/>
      <c r="R288" s="33"/>
      <c r="S288" s="33"/>
      <c r="T288" s="124"/>
      <c r="U288" s="3"/>
      <c r="V288" s="3"/>
      <c r="W288" s="3"/>
      <c r="X288" s="3"/>
      <c r="Y288" s="3"/>
      <c r="Z288" s="3"/>
    </row>
    <row r="289" spans="1:26" ht="15.75" customHeight="1">
      <c r="A289" s="3"/>
      <c r="B289" s="3"/>
      <c r="C289" s="3"/>
      <c r="D289" s="33"/>
      <c r="E289" s="33"/>
      <c r="F289" s="33"/>
      <c r="G289" s="33"/>
      <c r="H289" s="33"/>
      <c r="I289" s="33"/>
      <c r="J289" s="33"/>
      <c r="K289" s="33"/>
      <c r="L289" s="33"/>
      <c r="M289" s="33"/>
      <c r="N289" s="33"/>
      <c r="O289" s="33"/>
      <c r="P289" s="33"/>
      <c r="Q289" s="33"/>
      <c r="R289" s="33"/>
      <c r="S289" s="33"/>
      <c r="T289" s="124"/>
      <c r="U289" s="3"/>
      <c r="V289" s="3"/>
      <c r="W289" s="3"/>
      <c r="X289" s="3"/>
      <c r="Y289" s="3"/>
      <c r="Z289" s="3"/>
    </row>
    <row r="290" spans="1:26" ht="15.75" customHeight="1">
      <c r="A290" s="3"/>
      <c r="B290" s="3"/>
      <c r="C290" s="3"/>
      <c r="D290" s="33"/>
      <c r="E290" s="33"/>
      <c r="F290" s="33"/>
      <c r="G290" s="33"/>
      <c r="H290" s="33"/>
      <c r="I290" s="33"/>
      <c r="J290" s="33"/>
      <c r="K290" s="33"/>
      <c r="L290" s="33"/>
      <c r="M290" s="33"/>
      <c r="N290" s="33"/>
      <c r="O290" s="33"/>
      <c r="P290" s="33"/>
      <c r="Q290" s="33"/>
      <c r="R290" s="33"/>
      <c r="S290" s="33"/>
      <c r="T290" s="124"/>
      <c r="U290" s="3"/>
      <c r="V290" s="3"/>
      <c r="W290" s="3"/>
      <c r="X290" s="3"/>
      <c r="Y290" s="3"/>
      <c r="Z290" s="3"/>
    </row>
    <row r="291" spans="1:26" ht="15.75" customHeight="1">
      <c r="A291" s="3"/>
      <c r="B291" s="3"/>
      <c r="C291" s="3"/>
      <c r="D291" s="33"/>
      <c r="E291" s="33"/>
      <c r="F291" s="33"/>
      <c r="G291" s="33"/>
      <c r="H291" s="33"/>
      <c r="I291" s="33"/>
      <c r="J291" s="33"/>
      <c r="K291" s="33"/>
      <c r="L291" s="33"/>
      <c r="M291" s="33"/>
      <c r="N291" s="33"/>
      <c r="O291" s="33"/>
      <c r="P291" s="33"/>
      <c r="Q291" s="33"/>
      <c r="R291" s="33"/>
      <c r="S291" s="33"/>
      <c r="T291" s="124"/>
      <c r="U291" s="3"/>
      <c r="V291" s="3"/>
      <c r="W291" s="3"/>
      <c r="X291" s="3"/>
      <c r="Y291" s="3"/>
      <c r="Z291" s="3"/>
    </row>
    <row r="292" spans="1:26" ht="15.75" customHeight="1">
      <c r="A292" s="3"/>
      <c r="B292" s="3"/>
      <c r="C292" s="3"/>
      <c r="D292" s="33"/>
      <c r="E292" s="33"/>
      <c r="F292" s="33"/>
      <c r="G292" s="33"/>
      <c r="H292" s="33"/>
      <c r="I292" s="33"/>
      <c r="J292" s="33"/>
      <c r="K292" s="33"/>
      <c r="L292" s="33"/>
      <c r="M292" s="33"/>
      <c r="N292" s="33"/>
      <c r="O292" s="33"/>
      <c r="P292" s="33"/>
      <c r="Q292" s="33"/>
      <c r="R292" s="33"/>
      <c r="S292" s="33"/>
      <c r="T292" s="124"/>
      <c r="U292" s="3"/>
      <c r="V292" s="3"/>
      <c r="W292" s="3"/>
      <c r="X292" s="3"/>
      <c r="Y292" s="3"/>
      <c r="Z292" s="3"/>
    </row>
    <row r="293" spans="1:26" ht="15.75" customHeight="1">
      <c r="A293" s="3"/>
      <c r="B293" s="3"/>
      <c r="C293" s="3"/>
      <c r="D293" s="33"/>
      <c r="E293" s="33"/>
      <c r="F293" s="33"/>
      <c r="G293" s="33"/>
      <c r="H293" s="33"/>
      <c r="I293" s="33"/>
      <c r="J293" s="33"/>
      <c r="K293" s="33"/>
      <c r="L293" s="33"/>
      <c r="M293" s="33"/>
      <c r="N293" s="33"/>
      <c r="O293" s="33"/>
      <c r="P293" s="33"/>
      <c r="Q293" s="33"/>
      <c r="R293" s="33"/>
      <c r="S293" s="33"/>
      <c r="T293" s="124"/>
      <c r="U293" s="3"/>
      <c r="V293" s="3"/>
      <c r="W293" s="3"/>
      <c r="X293" s="3"/>
      <c r="Y293" s="3"/>
      <c r="Z293" s="3"/>
    </row>
    <row r="294" spans="1:26" ht="15.75" customHeight="1">
      <c r="A294" s="3"/>
      <c r="B294" s="3"/>
      <c r="C294" s="3"/>
      <c r="D294" s="33"/>
      <c r="E294" s="33"/>
      <c r="F294" s="33"/>
      <c r="G294" s="33"/>
      <c r="H294" s="33"/>
      <c r="I294" s="33"/>
      <c r="J294" s="33"/>
      <c r="K294" s="33"/>
      <c r="L294" s="33"/>
      <c r="M294" s="33"/>
      <c r="N294" s="33"/>
      <c r="O294" s="33"/>
      <c r="P294" s="33"/>
      <c r="Q294" s="33"/>
      <c r="R294" s="33"/>
      <c r="S294" s="33"/>
      <c r="T294" s="124"/>
      <c r="U294" s="3"/>
      <c r="V294" s="3"/>
      <c r="W294" s="3"/>
      <c r="X294" s="3"/>
      <c r="Y294" s="3"/>
      <c r="Z294" s="3"/>
    </row>
    <row r="295" spans="1:26" ht="15.75" customHeight="1">
      <c r="A295" s="3"/>
      <c r="B295" s="3"/>
      <c r="C295" s="3"/>
      <c r="D295" s="33"/>
      <c r="E295" s="33"/>
      <c r="F295" s="33"/>
      <c r="G295" s="33"/>
      <c r="H295" s="33"/>
      <c r="I295" s="33"/>
      <c r="J295" s="33"/>
      <c r="K295" s="33"/>
      <c r="L295" s="33"/>
      <c r="M295" s="33"/>
      <c r="N295" s="33"/>
      <c r="O295" s="33"/>
      <c r="P295" s="33"/>
      <c r="Q295" s="33"/>
      <c r="R295" s="33"/>
      <c r="S295" s="33"/>
      <c r="T295" s="124"/>
      <c r="U295" s="3"/>
      <c r="V295" s="3"/>
      <c r="W295" s="3"/>
      <c r="X295" s="3"/>
      <c r="Y295" s="3"/>
      <c r="Z295" s="3"/>
    </row>
    <row r="296" spans="1:26" ht="15.75" customHeight="1">
      <c r="A296" s="3"/>
      <c r="B296" s="3"/>
      <c r="C296" s="3"/>
      <c r="D296" s="33"/>
      <c r="E296" s="33"/>
      <c r="F296" s="33"/>
      <c r="G296" s="33"/>
      <c r="H296" s="33"/>
      <c r="I296" s="33"/>
      <c r="J296" s="33"/>
      <c r="K296" s="33"/>
      <c r="L296" s="33"/>
      <c r="M296" s="33"/>
      <c r="N296" s="33"/>
      <c r="O296" s="33"/>
      <c r="P296" s="33"/>
      <c r="Q296" s="33"/>
      <c r="R296" s="33"/>
      <c r="S296" s="33"/>
      <c r="T296" s="124"/>
      <c r="U296" s="3"/>
      <c r="V296" s="3"/>
      <c r="W296" s="3"/>
      <c r="X296" s="3"/>
      <c r="Y296" s="3"/>
      <c r="Z296" s="3"/>
    </row>
    <row r="297" spans="1:26" ht="15.75" customHeight="1">
      <c r="A297" s="3"/>
      <c r="B297" s="3"/>
      <c r="C297" s="3"/>
      <c r="D297" s="33"/>
      <c r="E297" s="33"/>
      <c r="F297" s="33"/>
      <c r="G297" s="33"/>
      <c r="H297" s="33"/>
      <c r="I297" s="33"/>
      <c r="J297" s="33"/>
      <c r="K297" s="33"/>
      <c r="L297" s="33"/>
      <c r="M297" s="33"/>
      <c r="N297" s="33"/>
      <c r="O297" s="33"/>
      <c r="P297" s="33"/>
      <c r="Q297" s="33"/>
      <c r="R297" s="33"/>
      <c r="S297" s="33"/>
      <c r="T297" s="124"/>
      <c r="U297" s="3"/>
      <c r="V297" s="3"/>
      <c r="W297" s="3"/>
      <c r="X297" s="3"/>
      <c r="Y297" s="3"/>
      <c r="Z297" s="3"/>
    </row>
    <row r="298" spans="1:26" ht="15.75" customHeight="1">
      <c r="A298" s="3"/>
      <c r="B298" s="3"/>
      <c r="C298" s="3"/>
      <c r="D298" s="33"/>
      <c r="E298" s="33"/>
      <c r="F298" s="33"/>
      <c r="G298" s="33"/>
      <c r="H298" s="33"/>
      <c r="I298" s="33"/>
      <c r="J298" s="33"/>
      <c r="K298" s="33"/>
      <c r="L298" s="33"/>
      <c r="M298" s="33"/>
      <c r="N298" s="33"/>
      <c r="O298" s="33"/>
      <c r="P298" s="33"/>
      <c r="Q298" s="33"/>
      <c r="R298" s="33"/>
      <c r="S298" s="33"/>
      <c r="T298" s="124"/>
      <c r="U298" s="3"/>
      <c r="V298" s="3"/>
      <c r="W298" s="3"/>
      <c r="X298" s="3"/>
      <c r="Y298" s="3"/>
      <c r="Z298" s="3"/>
    </row>
    <row r="299" spans="1:26" ht="15.75" customHeight="1">
      <c r="A299" s="3"/>
      <c r="B299" s="3"/>
      <c r="C299" s="3"/>
      <c r="D299" s="33"/>
      <c r="E299" s="33"/>
      <c r="F299" s="33"/>
      <c r="G299" s="33"/>
      <c r="H299" s="33"/>
      <c r="I299" s="33"/>
      <c r="J299" s="33"/>
      <c r="K299" s="33"/>
      <c r="L299" s="33"/>
      <c r="M299" s="33"/>
      <c r="N299" s="33"/>
      <c r="O299" s="33"/>
      <c r="P299" s="33"/>
      <c r="Q299" s="33"/>
      <c r="R299" s="33"/>
      <c r="S299" s="33"/>
      <c r="T299" s="124"/>
      <c r="U299" s="3"/>
      <c r="V299" s="3"/>
      <c r="W299" s="3"/>
      <c r="X299" s="3"/>
      <c r="Y299" s="3"/>
      <c r="Z299" s="3"/>
    </row>
    <row r="300" spans="1:26" ht="15.75" customHeight="1">
      <c r="A300" s="3"/>
      <c r="B300" s="3"/>
      <c r="C300" s="3"/>
      <c r="D300" s="33"/>
      <c r="E300" s="33"/>
      <c r="F300" s="33"/>
      <c r="G300" s="33"/>
      <c r="H300" s="33"/>
      <c r="I300" s="33"/>
      <c r="J300" s="33"/>
      <c r="K300" s="33"/>
      <c r="L300" s="33"/>
      <c r="M300" s="33"/>
      <c r="N300" s="33"/>
      <c r="O300" s="33"/>
      <c r="P300" s="33"/>
      <c r="Q300" s="33"/>
      <c r="R300" s="33"/>
      <c r="S300" s="33"/>
      <c r="T300" s="124"/>
      <c r="U300" s="3"/>
      <c r="V300" s="3"/>
      <c r="W300" s="3"/>
      <c r="X300" s="3"/>
      <c r="Y300" s="3"/>
      <c r="Z300" s="3"/>
    </row>
    <row r="301" spans="1:26" ht="15.75" customHeight="1">
      <c r="A301" s="3"/>
      <c r="B301" s="3"/>
      <c r="C301" s="3"/>
      <c r="D301" s="33"/>
      <c r="E301" s="33"/>
      <c r="F301" s="33"/>
      <c r="G301" s="33"/>
      <c r="H301" s="33"/>
      <c r="I301" s="33"/>
      <c r="J301" s="33"/>
      <c r="K301" s="33"/>
      <c r="L301" s="33"/>
      <c r="M301" s="33"/>
      <c r="N301" s="33"/>
      <c r="O301" s="33"/>
      <c r="P301" s="33"/>
      <c r="Q301" s="33"/>
      <c r="R301" s="33"/>
      <c r="S301" s="33"/>
      <c r="T301" s="124"/>
      <c r="U301" s="3"/>
      <c r="V301" s="3"/>
      <c r="W301" s="3"/>
      <c r="X301" s="3"/>
      <c r="Y301" s="3"/>
      <c r="Z301" s="3"/>
    </row>
    <row r="302" spans="1:26" ht="15.75" customHeight="1">
      <c r="A302" s="3"/>
      <c r="B302" s="3"/>
      <c r="C302" s="3"/>
      <c r="D302" s="33"/>
      <c r="E302" s="33"/>
      <c r="F302" s="33"/>
      <c r="G302" s="33"/>
      <c r="H302" s="33"/>
      <c r="I302" s="33"/>
      <c r="J302" s="33"/>
      <c r="K302" s="33"/>
      <c r="L302" s="33"/>
      <c r="M302" s="33"/>
      <c r="N302" s="33"/>
      <c r="O302" s="33"/>
      <c r="P302" s="33"/>
      <c r="Q302" s="33"/>
      <c r="R302" s="33"/>
      <c r="S302" s="33"/>
      <c r="T302" s="124"/>
      <c r="U302" s="3"/>
      <c r="V302" s="3"/>
      <c r="W302" s="3"/>
      <c r="X302" s="3"/>
      <c r="Y302" s="3"/>
      <c r="Z302" s="3"/>
    </row>
    <row r="303" spans="1:26" ht="15.75" customHeight="1">
      <c r="A303" s="3"/>
      <c r="B303" s="3"/>
      <c r="C303" s="3"/>
      <c r="D303" s="33"/>
      <c r="E303" s="33"/>
      <c r="F303" s="33"/>
      <c r="G303" s="33"/>
      <c r="H303" s="33"/>
      <c r="I303" s="33"/>
      <c r="J303" s="33"/>
      <c r="K303" s="33"/>
      <c r="L303" s="33"/>
      <c r="M303" s="33"/>
      <c r="N303" s="33"/>
      <c r="O303" s="33"/>
      <c r="P303" s="33"/>
      <c r="Q303" s="33"/>
      <c r="R303" s="33"/>
      <c r="S303" s="33"/>
      <c r="T303" s="124"/>
      <c r="U303" s="3"/>
      <c r="V303" s="3"/>
      <c r="W303" s="3"/>
      <c r="X303" s="3"/>
      <c r="Y303" s="3"/>
      <c r="Z303" s="3"/>
    </row>
    <row r="304" spans="1:26" ht="15.75" customHeight="1">
      <c r="A304" s="3"/>
      <c r="B304" s="3"/>
      <c r="C304" s="3"/>
      <c r="D304" s="33"/>
      <c r="E304" s="33"/>
      <c r="F304" s="33"/>
      <c r="G304" s="33"/>
      <c r="H304" s="33"/>
      <c r="I304" s="33"/>
      <c r="J304" s="33"/>
      <c r="K304" s="33"/>
      <c r="L304" s="33"/>
      <c r="M304" s="33"/>
      <c r="N304" s="33"/>
      <c r="O304" s="33"/>
      <c r="P304" s="33"/>
      <c r="Q304" s="33"/>
      <c r="R304" s="33"/>
      <c r="S304" s="33"/>
      <c r="T304" s="124"/>
      <c r="U304" s="3"/>
      <c r="V304" s="3"/>
      <c r="W304" s="3"/>
      <c r="X304" s="3"/>
      <c r="Y304" s="3"/>
      <c r="Z304" s="3"/>
    </row>
    <row r="305" spans="1:26" ht="15.75" customHeight="1">
      <c r="A305" s="3"/>
      <c r="B305" s="3"/>
      <c r="C305" s="3"/>
      <c r="D305" s="33"/>
      <c r="E305" s="33"/>
      <c r="F305" s="33"/>
      <c r="G305" s="33"/>
      <c r="H305" s="33"/>
      <c r="I305" s="33"/>
      <c r="J305" s="33"/>
      <c r="K305" s="33"/>
      <c r="L305" s="33"/>
      <c r="M305" s="33"/>
      <c r="N305" s="33"/>
      <c r="O305" s="33"/>
      <c r="P305" s="33"/>
      <c r="Q305" s="33"/>
      <c r="R305" s="33"/>
      <c r="S305" s="33"/>
      <c r="T305" s="124"/>
      <c r="U305" s="3"/>
      <c r="V305" s="3"/>
      <c r="W305" s="3"/>
      <c r="X305" s="3"/>
      <c r="Y305" s="3"/>
      <c r="Z305" s="3"/>
    </row>
    <row r="306" spans="1:26" ht="15.75" customHeight="1">
      <c r="A306" s="3"/>
      <c r="B306" s="3"/>
      <c r="C306" s="3"/>
      <c r="D306" s="33"/>
      <c r="E306" s="33"/>
      <c r="F306" s="33"/>
      <c r="G306" s="33"/>
      <c r="H306" s="33"/>
      <c r="I306" s="33"/>
      <c r="J306" s="33"/>
      <c r="K306" s="33"/>
      <c r="L306" s="33"/>
      <c r="M306" s="33"/>
      <c r="N306" s="33"/>
      <c r="O306" s="33"/>
      <c r="P306" s="33"/>
      <c r="Q306" s="33"/>
      <c r="R306" s="33"/>
      <c r="S306" s="33"/>
      <c r="T306" s="124"/>
      <c r="U306" s="3"/>
      <c r="V306" s="3"/>
      <c r="W306" s="3"/>
      <c r="X306" s="3"/>
      <c r="Y306" s="3"/>
      <c r="Z306" s="3"/>
    </row>
    <row r="307" spans="1:26" ht="15.75" customHeight="1">
      <c r="A307" s="3"/>
      <c r="B307" s="3"/>
      <c r="C307" s="3"/>
      <c r="D307" s="33"/>
      <c r="E307" s="33"/>
      <c r="F307" s="33"/>
      <c r="G307" s="33"/>
      <c r="H307" s="33"/>
      <c r="I307" s="33"/>
      <c r="J307" s="33"/>
      <c r="K307" s="33"/>
      <c r="L307" s="33"/>
      <c r="M307" s="33"/>
      <c r="N307" s="33"/>
      <c r="O307" s="33"/>
      <c r="P307" s="33"/>
      <c r="Q307" s="33"/>
      <c r="R307" s="33"/>
      <c r="S307" s="33"/>
      <c r="T307" s="124"/>
      <c r="U307" s="3"/>
      <c r="V307" s="3"/>
      <c r="W307" s="3"/>
      <c r="X307" s="3"/>
      <c r="Y307" s="3"/>
      <c r="Z307" s="3"/>
    </row>
    <row r="308" spans="1:26" ht="15.75" customHeight="1">
      <c r="A308" s="3"/>
      <c r="B308" s="3"/>
      <c r="C308" s="3"/>
      <c r="D308" s="33"/>
      <c r="E308" s="33"/>
      <c r="F308" s="33"/>
      <c r="G308" s="33"/>
      <c r="H308" s="33"/>
      <c r="I308" s="33"/>
      <c r="J308" s="33"/>
      <c r="K308" s="33"/>
      <c r="L308" s="33"/>
      <c r="M308" s="33"/>
      <c r="N308" s="33"/>
      <c r="O308" s="33"/>
      <c r="P308" s="33"/>
      <c r="Q308" s="33"/>
      <c r="R308" s="33"/>
      <c r="S308" s="33"/>
      <c r="T308" s="124"/>
      <c r="U308" s="3"/>
      <c r="V308" s="3"/>
      <c r="W308" s="3"/>
      <c r="X308" s="3"/>
      <c r="Y308" s="3"/>
      <c r="Z308" s="3"/>
    </row>
    <row r="309" spans="1:26" ht="15.75" customHeight="1">
      <c r="A309" s="3"/>
      <c r="B309" s="3"/>
      <c r="C309" s="3"/>
      <c r="D309" s="33"/>
      <c r="E309" s="33"/>
      <c r="F309" s="33"/>
      <c r="G309" s="33"/>
      <c r="H309" s="33"/>
      <c r="I309" s="33"/>
      <c r="J309" s="33"/>
      <c r="K309" s="33"/>
      <c r="L309" s="33"/>
      <c r="M309" s="33"/>
      <c r="N309" s="33"/>
      <c r="O309" s="33"/>
      <c r="P309" s="33"/>
      <c r="Q309" s="33"/>
      <c r="R309" s="33"/>
      <c r="S309" s="33"/>
      <c r="T309" s="124"/>
      <c r="U309" s="3"/>
      <c r="V309" s="3"/>
      <c r="W309" s="3"/>
      <c r="X309" s="3"/>
      <c r="Y309" s="3"/>
      <c r="Z309" s="3"/>
    </row>
    <row r="310" spans="1:26" ht="15.75" customHeight="1">
      <c r="A310" s="3"/>
      <c r="B310" s="3"/>
      <c r="C310" s="3"/>
      <c r="D310" s="33"/>
      <c r="E310" s="33"/>
      <c r="F310" s="33"/>
      <c r="G310" s="33"/>
      <c r="H310" s="33"/>
      <c r="I310" s="33"/>
      <c r="J310" s="33"/>
      <c r="K310" s="33"/>
      <c r="L310" s="33"/>
      <c r="M310" s="33"/>
      <c r="N310" s="33"/>
      <c r="O310" s="33"/>
      <c r="P310" s="33"/>
      <c r="Q310" s="33"/>
      <c r="R310" s="33"/>
      <c r="S310" s="33"/>
      <c r="T310" s="124"/>
      <c r="U310" s="3"/>
      <c r="V310" s="3"/>
      <c r="W310" s="3"/>
      <c r="X310" s="3"/>
      <c r="Y310" s="3"/>
      <c r="Z310" s="3"/>
    </row>
    <row r="311" spans="1:26" ht="15.75" customHeight="1">
      <c r="A311" s="3"/>
      <c r="B311" s="3"/>
      <c r="C311" s="3"/>
      <c r="D311" s="33"/>
      <c r="E311" s="33"/>
      <c r="F311" s="33"/>
      <c r="G311" s="33"/>
      <c r="H311" s="33"/>
      <c r="I311" s="33"/>
      <c r="J311" s="33"/>
      <c r="K311" s="33"/>
      <c r="L311" s="33"/>
      <c r="M311" s="33"/>
      <c r="N311" s="33"/>
      <c r="O311" s="33"/>
      <c r="P311" s="33"/>
      <c r="Q311" s="33"/>
      <c r="R311" s="33"/>
      <c r="S311" s="33"/>
      <c r="T311" s="124"/>
      <c r="U311" s="3"/>
      <c r="V311" s="3"/>
      <c r="W311" s="3"/>
      <c r="X311" s="3"/>
      <c r="Y311" s="3"/>
      <c r="Z311" s="3"/>
    </row>
    <row r="312" spans="1:26" ht="15.75" customHeight="1">
      <c r="A312" s="3"/>
      <c r="B312" s="3"/>
      <c r="C312" s="3"/>
      <c r="D312" s="33"/>
      <c r="E312" s="33"/>
      <c r="F312" s="33"/>
      <c r="G312" s="33"/>
      <c r="H312" s="33"/>
      <c r="I312" s="33"/>
      <c r="J312" s="33"/>
      <c r="K312" s="33"/>
      <c r="L312" s="33"/>
      <c r="M312" s="33"/>
      <c r="N312" s="33"/>
      <c r="O312" s="33"/>
      <c r="P312" s="33"/>
      <c r="Q312" s="33"/>
      <c r="R312" s="33"/>
      <c r="S312" s="33"/>
      <c r="T312" s="124"/>
      <c r="U312" s="3"/>
      <c r="V312" s="3"/>
      <c r="W312" s="3"/>
      <c r="X312" s="3"/>
      <c r="Y312" s="3"/>
      <c r="Z312" s="3"/>
    </row>
    <row r="313" spans="1:26" ht="15.75" customHeight="1">
      <c r="A313" s="3"/>
      <c r="B313" s="3"/>
      <c r="C313" s="3"/>
      <c r="D313" s="33"/>
      <c r="E313" s="33"/>
      <c r="F313" s="33"/>
      <c r="G313" s="33"/>
      <c r="H313" s="33"/>
      <c r="I313" s="33"/>
      <c r="J313" s="33"/>
      <c r="K313" s="33"/>
      <c r="L313" s="33"/>
      <c r="M313" s="33"/>
      <c r="N313" s="33"/>
      <c r="O313" s="33"/>
      <c r="P313" s="33"/>
      <c r="Q313" s="33"/>
      <c r="R313" s="33"/>
      <c r="S313" s="33"/>
      <c r="T313" s="124"/>
      <c r="U313" s="3"/>
      <c r="V313" s="3"/>
      <c r="W313" s="3"/>
      <c r="X313" s="3"/>
      <c r="Y313" s="3"/>
      <c r="Z313" s="3"/>
    </row>
    <row r="314" spans="1:26" ht="15.75" customHeight="1">
      <c r="A314" s="3"/>
      <c r="B314" s="3"/>
      <c r="C314" s="3"/>
      <c r="D314" s="33"/>
      <c r="E314" s="33"/>
      <c r="F314" s="33"/>
      <c r="G314" s="33"/>
      <c r="H314" s="33"/>
      <c r="I314" s="33"/>
      <c r="J314" s="33"/>
      <c r="K314" s="33"/>
      <c r="L314" s="33"/>
      <c r="M314" s="33"/>
      <c r="N314" s="33"/>
      <c r="O314" s="33"/>
      <c r="P314" s="33"/>
      <c r="Q314" s="33"/>
      <c r="R314" s="33"/>
      <c r="S314" s="33"/>
      <c r="T314" s="124"/>
      <c r="U314" s="3"/>
      <c r="V314" s="3"/>
      <c r="W314" s="3"/>
      <c r="X314" s="3"/>
      <c r="Y314" s="3"/>
      <c r="Z314" s="3"/>
    </row>
    <row r="315" spans="1:26" ht="15.75" customHeight="1">
      <c r="A315" s="3"/>
      <c r="B315" s="3"/>
      <c r="C315" s="3"/>
      <c r="D315" s="33"/>
      <c r="E315" s="33"/>
      <c r="F315" s="33"/>
      <c r="G315" s="33"/>
      <c r="H315" s="33"/>
      <c r="I315" s="33"/>
      <c r="J315" s="33"/>
      <c r="K315" s="33"/>
      <c r="L315" s="33"/>
      <c r="M315" s="33"/>
      <c r="N315" s="33"/>
      <c r="O315" s="33"/>
      <c r="P315" s="33"/>
      <c r="Q315" s="33"/>
      <c r="R315" s="33"/>
      <c r="S315" s="33"/>
      <c r="T315" s="124"/>
      <c r="U315" s="3"/>
      <c r="V315" s="3"/>
      <c r="W315" s="3"/>
      <c r="X315" s="3"/>
      <c r="Y315" s="3"/>
      <c r="Z315" s="3"/>
    </row>
    <row r="316" spans="1:26" ht="15.75" customHeight="1">
      <c r="A316" s="3"/>
      <c r="B316" s="3"/>
      <c r="C316" s="3"/>
      <c r="D316" s="33"/>
      <c r="E316" s="33"/>
      <c r="F316" s="33"/>
      <c r="G316" s="33"/>
      <c r="H316" s="33"/>
      <c r="I316" s="33"/>
      <c r="J316" s="33"/>
      <c r="K316" s="33"/>
      <c r="L316" s="33"/>
      <c r="M316" s="33"/>
      <c r="N316" s="33"/>
      <c r="O316" s="33"/>
      <c r="P316" s="33"/>
      <c r="Q316" s="33"/>
      <c r="R316" s="33"/>
      <c r="S316" s="33"/>
      <c r="T316" s="124"/>
      <c r="U316" s="3"/>
      <c r="V316" s="3"/>
      <c r="W316" s="3"/>
      <c r="X316" s="3"/>
      <c r="Y316" s="3"/>
      <c r="Z316" s="3"/>
    </row>
    <row r="317" spans="1:26" ht="15.75" customHeight="1">
      <c r="A317" s="3"/>
      <c r="B317" s="3"/>
      <c r="C317" s="3"/>
      <c r="D317" s="33"/>
      <c r="E317" s="33"/>
      <c r="F317" s="33"/>
      <c r="G317" s="33"/>
      <c r="H317" s="33"/>
      <c r="I317" s="33"/>
      <c r="J317" s="33"/>
      <c r="K317" s="33"/>
      <c r="L317" s="33"/>
      <c r="M317" s="33"/>
      <c r="N317" s="33"/>
      <c r="O317" s="33"/>
      <c r="P317" s="33"/>
      <c r="Q317" s="33"/>
      <c r="R317" s="33"/>
      <c r="S317" s="33"/>
      <c r="T317" s="124"/>
      <c r="U317" s="3"/>
      <c r="V317" s="3"/>
      <c r="W317" s="3"/>
      <c r="X317" s="3"/>
      <c r="Y317" s="3"/>
      <c r="Z317" s="3"/>
    </row>
    <row r="318" spans="1:26" ht="15.75" customHeight="1">
      <c r="A318" s="3"/>
      <c r="B318" s="3"/>
      <c r="C318" s="3"/>
      <c r="D318" s="33"/>
      <c r="E318" s="33"/>
      <c r="F318" s="33"/>
      <c r="G318" s="33"/>
      <c r="H318" s="33"/>
      <c r="I318" s="33"/>
      <c r="J318" s="33"/>
      <c r="K318" s="33"/>
      <c r="L318" s="33"/>
      <c r="M318" s="33"/>
      <c r="N318" s="33"/>
      <c r="O318" s="33"/>
      <c r="P318" s="33"/>
      <c r="Q318" s="33"/>
      <c r="R318" s="33"/>
      <c r="S318" s="33"/>
      <c r="T318" s="124"/>
      <c r="U318" s="3"/>
      <c r="V318" s="3"/>
      <c r="W318" s="3"/>
      <c r="X318" s="3"/>
      <c r="Y318" s="3"/>
      <c r="Z318" s="3"/>
    </row>
    <row r="319" spans="1:26" ht="15.75" customHeight="1">
      <c r="A319" s="3"/>
      <c r="B319" s="3"/>
      <c r="C319" s="3"/>
      <c r="D319" s="33"/>
      <c r="E319" s="33"/>
      <c r="F319" s="33"/>
      <c r="G319" s="33"/>
      <c r="H319" s="33"/>
      <c r="I319" s="33"/>
      <c r="J319" s="33"/>
      <c r="K319" s="33"/>
      <c r="L319" s="33"/>
      <c r="M319" s="33"/>
      <c r="N319" s="33"/>
      <c r="O319" s="33"/>
      <c r="P319" s="33"/>
      <c r="Q319" s="33"/>
      <c r="R319" s="33"/>
      <c r="S319" s="33"/>
      <c r="T319" s="124"/>
      <c r="U319" s="3"/>
      <c r="V319" s="3"/>
      <c r="W319" s="3"/>
      <c r="X319" s="3"/>
      <c r="Y319" s="3"/>
      <c r="Z319" s="3"/>
    </row>
    <row r="320" spans="1:26" ht="15.75" customHeight="1">
      <c r="A320" s="3"/>
      <c r="B320" s="3"/>
      <c r="C320" s="3"/>
      <c r="D320" s="33"/>
      <c r="E320" s="33"/>
      <c r="F320" s="33"/>
      <c r="G320" s="33"/>
      <c r="H320" s="33"/>
      <c r="I320" s="33"/>
      <c r="J320" s="33"/>
      <c r="K320" s="33"/>
      <c r="L320" s="33"/>
      <c r="M320" s="33"/>
      <c r="N320" s="33"/>
      <c r="O320" s="33"/>
      <c r="P320" s="33"/>
      <c r="Q320" s="33"/>
      <c r="R320" s="33"/>
      <c r="S320" s="33"/>
      <c r="T320" s="124"/>
      <c r="U320" s="3"/>
      <c r="V320" s="3"/>
      <c r="W320" s="3"/>
      <c r="X320" s="3"/>
      <c r="Y320" s="3"/>
      <c r="Z320" s="3"/>
    </row>
    <row r="321" spans="1:26" ht="15.75" customHeight="1">
      <c r="A321" s="3"/>
      <c r="B321" s="3"/>
      <c r="C321" s="3"/>
      <c r="D321" s="33"/>
      <c r="E321" s="33"/>
      <c r="F321" s="33"/>
      <c r="G321" s="33"/>
      <c r="H321" s="33"/>
      <c r="I321" s="33"/>
      <c r="J321" s="33"/>
      <c r="K321" s="33"/>
      <c r="L321" s="33"/>
      <c r="M321" s="33"/>
      <c r="N321" s="33"/>
      <c r="O321" s="33"/>
      <c r="P321" s="33"/>
      <c r="Q321" s="33"/>
      <c r="R321" s="33"/>
      <c r="S321" s="33"/>
      <c r="T321" s="124"/>
      <c r="U321" s="3"/>
      <c r="V321" s="3"/>
      <c r="W321" s="3"/>
      <c r="X321" s="3"/>
      <c r="Y321" s="3"/>
      <c r="Z321" s="3"/>
    </row>
    <row r="322" spans="1:26" ht="15.75" customHeight="1">
      <c r="A322" s="3"/>
      <c r="B322" s="3"/>
      <c r="C322" s="3"/>
      <c r="D322" s="33"/>
      <c r="E322" s="33"/>
      <c r="F322" s="33"/>
      <c r="G322" s="33"/>
      <c r="H322" s="33"/>
      <c r="I322" s="33"/>
      <c r="J322" s="33"/>
      <c r="K322" s="33"/>
      <c r="L322" s="33"/>
      <c r="M322" s="33"/>
      <c r="N322" s="33"/>
      <c r="O322" s="33"/>
      <c r="P322" s="33"/>
      <c r="Q322" s="33"/>
      <c r="R322" s="33"/>
      <c r="S322" s="33"/>
      <c r="T322" s="124"/>
      <c r="U322" s="3"/>
      <c r="V322" s="3"/>
      <c r="W322" s="3"/>
      <c r="X322" s="3"/>
      <c r="Y322" s="3"/>
      <c r="Z322" s="3"/>
    </row>
    <row r="323" spans="1:26" ht="15.75" customHeight="1">
      <c r="A323" s="3"/>
      <c r="B323" s="3"/>
      <c r="C323" s="3"/>
      <c r="D323" s="33"/>
      <c r="E323" s="33"/>
      <c r="F323" s="33"/>
      <c r="G323" s="33"/>
      <c r="H323" s="33"/>
      <c r="I323" s="33"/>
      <c r="J323" s="33"/>
      <c r="K323" s="33"/>
      <c r="L323" s="33"/>
      <c r="M323" s="33"/>
      <c r="N323" s="33"/>
      <c r="O323" s="33"/>
      <c r="P323" s="33"/>
      <c r="Q323" s="33"/>
      <c r="R323" s="33"/>
      <c r="S323" s="33"/>
      <c r="T323" s="124"/>
      <c r="U323" s="3"/>
      <c r="V323" s="3"/>
      <c r="W323" s="3"/>
      <c r="X323" s="3"/>
      <c r="Y323" s="3"/>
      <c r="Z323" s="3"/>
    </row>
    <row r="324" spans="1:26" ht="15.75" customHeight="1">
      <c r="A324" s="3"/>
      <c r="B324" s="3"/>
      <c r="C324" s="3"/>
      <c r="D324" s="33"/>
      <c r="E324" s="33"/>
      <c r="F324" s="33"/>
      <c r="G324" s="33"/>
      <c r="H324" s="33"/>
      <c r="I324" s="33"/>
      <c r="J324" s="33"/>
      <c r="K324" s="33"/>
      <c r="L324" s="33"/>
      <c r="M324" s="33"/>
      <c r="N324" s="33"/>
      <c r="O324" s="33"/>
      <c r="P324" s="33"/>
      <c r="Q324" s="33"/>
      <c r="R324" s="33"/>
      <c r="S324" s="33"/>
      <c r="T324" s="124"/>
      <c r="U324" s="3"/>
      <c r="V324" s="3"/>
      <c r="W324" s="3"/>
      <c r="X324" s="3"/>
      <c r="Y324" s="3"/>
      <c r="Z324" s="3"/>
    </row>
    <row r="325" spans="1:26" ht="15.75" customHeight="1">
      <c r="A325" s="3"/>
      <c r="B325" s="3"/>
      <c r="C325" s="3"/>
      <c r="D325" s="33"/>
      <c r="E325" s="33"/>
      <c r="F325" s="33"/>
      <c r="G325" s="33"/>
      <c r="H325" s="33"/>
      <c r="I325" s="33"/>
      <c r="J325" s="33"/>
      <c r="K325" s="33"/>
      <c r="L325" s="33"/>
      <c r="M325" s="33"/>
      <c r="N325" s="33"/>
      <c r="O325" s="33"/>
      <c r="P325" s="33"/>
      <c r="Q325" s="33"/>
      <c r="R325" s="33"/>
      <c r="S325" s="33"/>
      <c r="T325" s="124"/>
      <c r="U325" s="3"/>
      <c r="V325" s="3"/>
      <c r="W325" s="3"/>
      <c r="X325" s="3"/>
      <c r="Y325" s="3"/>
      <c r="Z325" s="3"/>
    </row>
    <row r="326" spans="1:26" ht="15.75" customHeight="1">
      <c r="A326" s="3"/>
      <c r="B326" s="3"/>
      <c r="C326" s="3"/>
      <c r="D326" s="33"/>
      <c r="E326" s="33"/>
      <c r="F326" s="33"/>
      <c r="G326" s="33"/>
      <c r="H326" s="33"/>
      <c r="I326" s="33"/>
      <c r="J326" s="33"/>
      <c r="K326" s="33"/>
      <c r="L326" s="33"/>
      <c r="M326" s="33"/>
      <c r="N326" s="33"/>
      <c r="O326" s="33"/>
      <c r="P326" s="33"/>
      <c r="Q326" s="33"/>
      <c r="R326" s="33"/>
      <c r="S326" s="33"/>
      <c r="T326" s="124"/>
      <c r="U326" s="3"/>
      <c r="V326" s="3"/>
      <c r="W326" s="3"/>
      <c r="X326" s="3"/>
      <c r="Y326" s="3"/>
      <c r="Z326" s="3"/>
    </row>
    <row r="327" spans="1:26" ht="15.75" customHeight="1">
      <c r="A327" s="3"/>
      <c r="B327" s="3"/>
      <c r="C327" s="3"/>
      <c r="D327" s="33"/>
      <c r="E327" s="33"/>
      <c r="F327" s="33"/>
      <c r="G327" s="33"/>
      <c r="H327" s="33"/>
      <c r="I327" s="33"/>
      <c r="J327" s="33"/>
      <c r="K327" s="33"/>
      <c r="L327" s="33"/>
      <c r="M327" s="33"/>
      <c r="N327" s="33"/>
      <c r="O327" s="33"/>
      <c r="P327" s="33"/>
      <c r="Q327" s="33"/>
      <c r="R327" s="33"/>
      <c r="S327" s="33"/>
      <c r="T327" s="124"/>
      <c r="U327" s="3"/>
      <c r="V327" s="3"/>
      <c r="W327" s="3"/>
      <c r="X327" s="3"/>
      <c r="Y327" s="3"/>
      <c r="Z327" s="3"/>
    </row>
    <row r="328" spans="1:26" ht="15.75" customHeight="1">
      <c r="A328" s="3"/>
      <c r="B328" s="3"/>
      <c r="C328" s="3"/>
      <c r="D328" s="33"/>
      <c r="E328" s="33"/>
      <c r="F328" s="33"/>
      <c r="G328" s="33"/>
      <c r="H328" s="33"/>
      <c r="I328" s="33"/>
      <c r="J328" s="33"/>
      <c r="K328" s="33"/>
      <c r="L328" s="33"/>
      <c r="M328" s="33"/>
      <c r="N328" s="33"/>
      <c r="O328" s="33"/>
      <c r="P328" s="33"/>
      <c r="Q328" s="33"/>
      <c r="R328" s="33"/>
      <c r="S328" s="33"/>
      <c r="T328" s="124"/>
      <c r="U328" s="3"/>
      <c r="V328" s="3"/>
      <c r="W328" s="3"/>
      <c r="X328" s="3"/>
      <c r="Y328" s="3"/>
      <c r="Z328" s="3"/>
    </row>
    <row r="329" spans="1:26" ht="15.75" customHeight="1">
      <c r="A329" s="3"/>
      <c r="B329" s="3"/>
      <c r="C329" s="3"/>
      <c r="D329" s="33"/>
      <c r="E329" s="33"/>
      <c r="F329" s="33"/>
      <c r="G329" s="33"/>
      <c r="H329" s="33"/>
      <c r="I329" s="33"/>
      <c r="J329" s="33"/>
      <c r="K329" s="33"/>
      <c r="L329" s="33"/>
      <c r="M329" s="33"/>
      <c r="N329" s="33"/>
      <c r="O329" s="33"/>
      <c r="P329" s="33"/>
      <c r="Q329" s="33"/>
      <c r="R329" s="33"/>
      <c r="S329" s="33"/>
      <c r="T329" s="124"/>
      <c r="U329" s="3"/>
      <c r="V329" s="3"/>
      <c r="W329" s="3"/>
      <c r="X329" s="3"/>
      <c r="Y329" s="3"/>
      <c r="Z329" s="3"/>
    </row>
    <row r="330" spans="1:26" ht="15.75" customHeight="1">
      <c r="A330" s="3"/>
      <c r="B330" s="3"/>
      <c r="C330" s="3"/>
      <c r="D330" s="33"/>
      <c r="E330" s="33"/>
      <c r="F330" s="33"/>
      <c r="G330" s="33"/>
      <c r="H330" s="33"/>
      <c r="I330" s="33"/>
      <c r="J330" s="33"/>
      <c r="K330" s="33"/>
      <c r="L330" s="33"/>
      <c r="M330" s="33"/>
      <c r="N330" s="33"/>
      <c r="O330" s="33"/>
      <c r="P330" s="33"/>
      <c r="Q330" s="33"/>
      <c r="R330" s="33"/>
      <c r="S330" s="33"/>
      <c r="T330" s="124"/>
      <c r="U330" s="3"/>
      <c r="V330" s="3"/>
      <c r="W330" s="3"/>
      <c r="X330" s="3"/>
      <c r="Y330" s="3"/>
      <c r="Z330" s="3"/>
    </row>
    <row r="331" spans="1:26" ht="15.75" customHeight="1">
      <c r="A331" s="3"/>
      <c r="B331" s="3"/>
      <c r="C331" s="3"/>
      <c r="D331" s="33"/>
      <c r="E331" s="33"/>
      <c r="F331" s="33"/>
      <c r="G331" s="33"/>
      <c r="H331" s="33"/>
      <c r="I331" s="33"/>
      <c r="J331" s="33"/>
      <c r="K331" s="33"/>
      <c r="L331" s="33"/>
      <c r="M331" s="33"/>
      <c r="N331" s="33"/>
      <c r="O331" s="33"/>
      <c r="P331" s="33"/>
      <c r="Q331" s="33"/>
      <c r="R331" s="33"/>
      <c r="S331" s="33"/>
      <c r="T331" s="124"/>
      <c r="U331" s="3"/>
      <c r="V331" s="3"/>
      <c r="W331" s="3"/>
      <c r="X331" s="3"/>
      <c r="Y331" s="3"/>
      <c r="Z331" s="3"/>
    </row>
    <row r="332" spans="1:26" ht="15.75" customHeight="1">
      <c r="A332" s="3"/>
      <c r="B332" s="3"/>
      <c r="C332" s="3"/>
      <c r="D332" s="33"/>
      <c r="E332" s="33"/>
      <c r="F332" s="33"/>
      <c r="G332" s="33"/>
      <c r="H332" s="33"/>
      <c r="I332" s="33"/>
      <c r="J332" s="33"/>
      <c r="K332" s="33"/>
      <c r="L332" s="33"/>
      <c r="M332" s="33"/>
      <c r="N332" s="33"/>
      <c r="O332" s="33"/>
      <c r="P332" s="33"/>
      <c r="Q332" s="33"/>
      <c r="R332" s="33"/>
      <c r="S332" s="33"/>
      <c r="T332" s="124"/>
      <c r="U332" s="3"/>
      <c r="V332" s="3"/>
      <c r="W332" s="3"/>
      <c r="X332" s="3"/>
      <c r="Y332" s="3"/>
      <c r="Z332" s="3"/>
    </row>
    <row r="333" spans="1:26" ht="15.75" customHeight="1">
      <c r="A333" s="3"/>
      <c r="B333" s="3"/>
      <c r="C333" s="3"/>
      <c r="D333" s="33"/>
      <c r="E333" s="33"/>
      <c r="F333" s="33"/>
      <c r="G333" s="33"/>
      <c r="H333" s="33"/>
      <c r="I333" s="33"/>
      <c r="J333" s="33"/>
      <c r="K333" s="33"/>
      <c r="L333" s="33"/>
      <c r="M333" s="33"/>
      <c r="N333" s="33"/>
      <c r="O333" s="33"/>
      <c r="P333" s="33"/>
      <c r="Q333" s="33"/>
      <c r="R333" s="33"/>
      <c r="S333" s="33"/>
      <c r="T333" s="124"/>
      <c r="U333" s="3"/>
      <c r="V333" s="3"/>
      <c r="W333" s="3"/>
      <c r="X333" s="3"/>
      <c r="Y333" s="3"/>
      <c r="Z333" s="3"/>
    </row>
    <row r="334" spans="1:26" ht="15.75" customHeight="1">
      <c r="A334" s="3"/>
      <c r="B334" s="3"/>
      <c r="C334" s="3"/>
      <c r="D334" s="33"/>
      <c r="E334" s="33"/>
      <c r="F334" s="33"/>
      <c r="G334" s="33"/>
      <c r="H334" s="33"/>
      <c r="I334" s="33"/>
      <c r="J334" s="33"/>
      <c r="K334" s="33"/>
      <c r="L334" s="33"/>
      <c r="M334" s="33"/>
      <c r="N334" s="33"/>
      <c r="O334" s="33"/>
      <c r="P334" s="33"/>
      <c r="Q334" s="33"/>
      <c r="R334" s="33"/>
      <c r="S334" s="33"/>
      <c r="T334" s="124"/>
      <c r="U334" s="3"/>
      <c r="V334" s="3"/>
      <c r="W334" s="3"/>
      <c r="X334" s="3"/>
      <c r="Y334" s="3"/>
      <c r="Z334" s="3"/>
    </row>
    <row r="335" spans="1:26" ht="15.75" customHeight="1">
      <c r="A335" s="3"/>
      <c r="B335" s="3"/>
      <c r="C335" s="3"/>
      <c r="D335" s="33"/>
      <c r="E335" s="33"/>
      <c r="F335" s="33"/>
      <c r="G335" s="33"/>
      <c r="H335" s="33"/>
      <c r="I335" s="33"/>
      <c r="J335" s="33"/>
      <c r="K335" s="33"/>
      <c r="L335" s="33"/>
      <c r="M335" s="33"/>
      <c r="N335" s="33"/>
      <c r="O335" s="33"/>
      <c r="P335" s="33"/>
      <c r="Q335" s="33"/>
      <c r="R335" s="33"/>
      <c r="S335" s="33"/>
      <c r="T335" s="124"/>
      <c r="U335" s="3"/>
      <c r="V335" s="3"/>
      <c r="W335" s="3"/>
      <c r="X335" s="3"/>
      <c r="Y335" s="3"/>
      <c r="Z335" s="3"/>
    </row>
    <row r="336" spans="1:26" ht="15.75" customHeight="1">
      <c r="A336" s="3"/>
      <c r="B336" s="3"/>
      <c r="C336" s="3"/>
      <c r="D336" s="33"/>
      <c r="E336" s="33"/>
      <c r="F336" s="33"/>
      <c r="G336" s="33"/>
      <c r="H336" s="33"/>
      <c r="I336" s="33"/>
      <c r="J336" s="33"/>
      <c r="K336" s="33"/>
      <c r="L336" s="33"/>
      <c r="M336" s="33"/>
      <c r="N336" s="33"/>
      <c r="O336" s="33"/>
      <c r="P336" s="33"/>
      <c r="Q336" s="33"/>
      <c r="R336" s="33"/>
      <c r="S336" s="33"/>
      <c r="T336" s="124"/>
      <c r="U336" s="3"/>
      <c r="V336" s="3"/>
      <c r="W336" s="3"/>
      <c r="X336" s="3"/>
      <c r="Y336" s="3"/>
      <c r="Z336" s="3"/>
    </row>
    <row r="337" spans="1:26" ht="15.75" customHeight="1">
      <c r="A337" s="3"/>
      <c r="B337" s="3"/>
      <c r="C337" s="3"/>
      <c r="D337" s="33"/>
      <c r="E337" s="33"/>
      <c r="F337" s="33"/>
      <c r="G337" s="33"/>
      <c r="H337" s="33"/>
      <c r="I337" s="33"/>
      <c r="J337" s="33"/>
      <c r="K337" s="33"/>
      <c r="L337" s="33"/>
      <c r="M337" s="33"/>
      <c r="N337" s="33"/>
      <c r="O337" s="33"/>
      <c r="P337" s="33"/>
      <c r="Q337" s="33"/>
      <c r="R337" s="33"/>
      <c r="S337" s="33"/>
      <c r="T337" s="124"/>
      <c r="U337" s="3"/>
      <c r="V337" s="3"/>
      <c r="W337" s="3"/>
      <c r="X337" s="3"/>
      <c r="Y337" s="3"/>
      <c r="Z337" s="3"/>
    </row>
    <row r="338" spans="1:26" ht="15.75" customHeight="1">
      <c r="A338" s="3"/>
      <c r="B338" s="3"/>
      <c r="C338" s="3"/>
      <c r="D338" s="33"/>
      <c r="E338" s="33"/>
      <c r="F338" s="33"/>
      <c r="G338" s="33"/>
      <c r="H338" s="33"/>
      <c r="I338" s="33"/>
      <c r="J338" s="33"/>
      <c r="K338" s="33"/>
      <c r="L338" s="33"/>
      <c r="M338" s="33"/>
      <c r="N338" s="33"/>
      <c r="O338" s="33"/>
      <c r="P338" s="33"/>
      <c r="Q338" s="33"/>
      <c r="R338" s="33"/>
      <c r="S338" s="33"/>
      <c r="T338" s="124"/>
      <c r="U338" s="3"/>
      <c r="V338" s="3"/>
      <c r="W338" s="3"/>
      <c r="X338" s="3"/>
      <c r="Y338" s="3"/>
      <c r="Z338" s="3"/>
    </row>
    <row r="339" spans="1:26" ht="15.75" customHeight="1">
      <c r="A339" s="3"/>
      <c r="B339" s="3"/>
      <c r="C339" s="3"/>
      <c r="D339" s="33"/>
      <c r="E339" s="33"/>
      <c r="F339" s="33"/>
      <c r="G339" s="33"/>
      <c r="H339" s="33"/>
      <c r="I339" s="33"/>
      <c r="J339" s="33"/>
      <c r="K339" s="33"/>
      <c r="L339" s="33"/>
      <c r="M339" s="33"/>
      <c r="N339" s="33"/>
      <c r="O339" s="33"/>
      <c r="P339" s="33"/>
      <c r="Q339" s="33"/>
      <c r="R339" s="33"/>
      <c r="S339" s="33"/>
      <c r="T339" s="124"/>
      <c r="U339" s="3"/>
      <c r="V339" s="3"/>
      <c r="W339" s="3"/>
      <c r="X339" s="3"/>
      <c r="Y339" s="3"/>
      <c r="Z339" s="3"/>
    </row>
    <row r="340" spans="1:26" ht="15.75" customHeight="1">
      <c r="A340" s="3"/>
      <c r="B340" s="3"/>
      <c r="C340" s="3"/>
      <c r="D340" s="33"/>
      <c r="E340" s="33"/>
      <c r="F340" s="33"/>
      <c r="G340" s="33"/>
      <c r="H340" s="33"/>
      <c r="I340" s="33"/>
      <c r="J340" s="33"/>
      <c r="K340" s="33"/>
      <c r="L340" s="33"/>
      <c r="M340" s="33"/>
      <c r="N340" s="33"/>
      <c r="O340" s="33"/>
      <c r="P340" s="33"/>
      <c r="Q340" s="33"/>
      <c r="R340" s="33"/>
      <c r="S340" s="33"/>
      <c r="T340" s="124"/>
      <c r="U340" s="3"/>
      <c r="V340" s="3"/>
      <c r="W340" s="3"/>
      <c r="X340" s="3"/>
      <c r="Y340" s="3"/>
      <c r="Z340" s="3"/>
    </row>
    <row r="341" spans="1:26" ht="15.75" customHeight="1">
      <c r="A341" s="3"/>
      <c r="B341" s="3"/>
      <c r="C341" s="3"/>
      <c r="D341" s="33"/>
      <c r="E341" s="33"/>
      <c r="F341" s="33"/>
      <c r="G341" s="33"/>
      <c r="H341" s="33"/>
      <c r="I341" s="33"/>
      <c r="J341" s="33"/>
      <c r="K341" s="33"/>
      <c r="L341" s="33"/>
      <c r="M341" s="33"/>
      <c r="N341" s="33"/>
      <c r="O341" s="33"/>
      <c r="P341" s="33"/>
      <c r="Q341" s="33"/>
      <c r="R341" s="33"/>
      <c r="S341" s="33"/>
      <c r="T341" s="124"/>
      <c r="U341" s="3"/>
      <c r="V341" s="3"/>
      <c r="W341" s="3"/>
      <c r="X341" s="3"/>
      <c r="Y341" s="3"/>
      <c r="Z341" s="3"/>
    </row>
    <row r="342" spans="1:26" ht="15.75" customHeight="1">
      <c r="A342" s="3"/>
      <c r="B342" s="3"/>
      <c r="C342" s="3"/>
      <c r="D342" s="33"/>
      <c r="E342" s="33"/>
      <c r="F342" s="33"/>
      <c r="G342" s="33"/>
      <c r="H342" s="33"/>
      <c r="I342" s="33"/>
      <c r="J342" s="33"/>
      <c r="K342" s="33"/>
      <c r="L342" s="33"/>
      <c r="M342" s="33"/>
      <c r="N342" s="33"/>
      <c r="O342" s="33"/>
      <c r="P342" s="33"/>
      <c r="Q342" s="33"/>
      <c r="R342" s="33"/>
      <c r="S342" s="33"/>
      <c r="T342" s="124"/>
      <c r="U342" s="3"/>
      <c r="V342" s="3"/>
      <c r="W342" s="3"/>
      <c r="X342" s="3"/>
      <c r="Y342" s="3"/>
      <c r="Z342" s="3"/>
    </row>
    <row r="343" spans="1:26" ht="15.75" customHeight="1">
      <c r="A343" s="3"/>
      <c r="B343" s="3"/>
      <c r="C343" s="3"/>
      <c r="D343" s="33"/>
      <c r="E343" s="33"/>
      <c r="F343" s="33"/>
      <c r="G343" s="33"/>
      <c r="H343" s="33"/>
      <c r="I343" s="33"/>
      <c r="J343" s="33"/>
      <c r="K343" s="33"/>
      <c r="L343" s="33"/>
      <c r="M343" s="33"/>
      <c r="N343" s="33"/>
      <c r="O343" s="33"/>
      <c r="P343" s="33"/>
      <c r="Q343" s="33"/>
      <c r="R343" s="33"/>
      <c r="S343" s="33"/>
      <c r="T343" s="124"/>
      <c r="U343" s="3"/>
      <c r="V343" s="3"/>
      <c r="W343" s="3"/>
      <c r="X343" s="3"/>
      <c r="Y343" s="3"/>
      <c r="Z343" s="3"/>
    </row>
    <row r="344" spans="1:26" ht="15.75" customHeight="1">
      <c r="A344" s="3"/>
      <c r="B344" s="3"/>
      <c r="C344" s="3"/>
      <c r="D344" s="33"/>
      <c r="E344" s="33"/>
      <c r="F344" s="33"/>
      <c r="G344" s="33"/>
      <c r="H344" s="33"/>
      <c r="I344" s="33"/>
      <c r="J344" s="33"/>
      <c r="K344" s="33"/>
      <c r="L344" s="33"/>
      <c r="M344" s="33"/>
      <c r="N344" s="33"/>
      <c r="O344" s="33"/>
      <c r="P344" s="33"/>
      <c r="Q344" s="33"/>
      <c r="R344" s="33"/>
      <c r="S344" s="33"/>
      <c r="T344" s="124"/>
      <c r="U344" s="3"/>
      <c r="V344" s="3"/>
      <c r="W344" s="3"/>
      <c r="X344" s="3"/>
      <c r="Y344" s="3"/>
      <c r="Z344" s="3"/>
    </row>
    <row r="345" spans="1:26" ht="15.75" customHeight="1">
      <c r="A345" s="3"/>
      <c r="B345" s="3"/>
      <c r="C345" s="3"/>
      <c r="D345" s="33"/>
      <c r="E345" s="33"/>
      <c r="F345" s="33"/>
      <c r="G345" s="33"/>
      <c r="H345" s="33"/>
      <c r="I345" s="33"/>
      <c r="J345" s="33"/>
      <c r="K345" s="33"/>
      <c r="L345" s="33"/>
      <c r="M345" s="33"/>
      <c r="N345" s="33"/>
      <c r="O345" s="33"/>
      <c r="P345" s="33"/>
      <c r="Q345" s="33"/>
      <c r="R345" s="33"/>
      <c r="S345" s="33"/>
      <c r="T345" s="124"/>
      <c r="U345" s="3"/>
      <c r="V345" s="3"/>
      <c r="W345" s="3"/>
      <c r="X345" s="3"/>
      <c r="Y345" s="3"/>
      <c r="Z345" s="3"/>
    </row>
    <row r="346" spans="1:26" ht="15.75" customHeight="1">
      <c r="A346" s="3"/>
      <c r="B346" s="3"/>
      <c r="C346" s="3"/>
      <c r="D346" s="33"/>
      <c r="E346" s="33"/>
      <c r="F346" s="33"/>
      <c r="G346" s="33"/>
      <c r="H346" s="33"/>
      <c r="I346" s="33"/>
      <c r="J346" s="33"/>
      <c r="K346" s="33"/>
      <c r="L346" s="33"/>
      <c r="M346" s="33"/>
      <c r="N346" s="33"/>
      <c r="O346" s="33"/>
      <c r="P346" s="33"/>
      <c r="Q346" s="33"/>
      <c r="R346" s="33"/>
      <c r="S346" s="33"/>
      <c r="T346" s="124"/>
      <c r="U346" s="3"/>
      <c r="V346" s="3"/>
      <c r="W346" s="3"/>
      <c r="X346" s="3"/>
      <c r="Y346" s="3"/>
      <c r="Z346" s="3"/>
    </row>
    <row r="347" spans="1:26" ht="15.75" customHeight="1">
      <c r="A347" s="3"/>
      <c r="B347" s="3"/>
      <c r="C347" s="3"/>
      <c r="D347" s="33"/>
      <c r="E347" s="33"/>
      <c r="F347" s="33"/>
      <c r="G347" s="33"/>
      <c r="H347" s="33"/>
      <c r="I347" s="33"/>
      <c r="J347" s="33"/>
      <c r="K347" s="33"/>
      <c r="L347" s="33"/>
      <c r="M347" s="33"/>
      <c r="N347" s="33"/>
      <c r="O347" s="33"/>
      <c r="P347" s="33"/>
      <c r="Q347" s="33"/>
      <c r="R347" s="33"/>
      <c r="S347" s="33"/>
      <c r="T347" s="124"/>
      <c r="U347" s="3"/>
      <c r="V347" s="3"/>
      <c r="W347" s="3"/>
      <c r="X347" s="3"/>
      <c r="Y347" s="3"/>
      <c r="Z347" s="3"/>
    </row>
    <row r="348" spans="1:26" ht="15.75" customHeight="1">
      <c r="A348" s="3"/>
      <c r="B348" s="3"/>
      <c r="C348" s="3"/>
      <c r="D348" s="33"/>
      <c r="E348" s="33"/>
      <c r="F348" s="33"/>
      <c r="G348" s="33"/>
      <c r="H348" s="33"/>
      <c r="I348" s="33"/>
      <c r="J348" s="33"/>
      <c r="K348" s="33"/>
      <c r="L348" s="33"/>
      <c r="M348" s="33"/>
      <c r="N348" s="33"/>
      <c r="O348" s="33"/>
      <c r="P348" s="33"/>
      <c r="Q348" s="33"/>
      <c r="R348" s="33"/>
      <c r="S348" s="33"/>
      <c r="T348" s="124"/>
      <c r="U348" s="3"/>
      <c r="V348" s="3"/>
      <c r="W348" s="3"/>
      <c r="X348" s="3"/>
      <c r="Y348" s="3"/>
      <c r="Z348" s="3"/>
    </row>
    <row r="349" spans="1:26" ht="15.75" customHeight="1">
      <c r="A349" s="3"/>
      <c r="B349" s="3"/>
      <c r="C349" s="3"/>
      <c r="D349" s="33"/>
      <c r="E349" s="33"/>
      <c r="F349" s="33"/>
      <c r="G349" s="33"/>
      <c r="H349" s="33"/>
      <c r="I349" s="33"/>
      <c r="J349" s="33"/>
      <c r="K349" s="33"/>
      <c r="L349" s="33"/>
      <c r="M349" s="33"/>
      <c r="N349" s="33"/>
      <c r="O349" s="33"/>
      <c r="P349" s="33"/>
      <c r="Q349" s="33"/>
      <c r="R349" s="33"/>
      <c r="S349" s="33"/>
      <c r="T349" s="124"/>
      <c r="U349" s="3"/>
      <c r="V349" s="3"/>
      <c r="W349" s="3"/>
      <c r="X349" s="3"/>
      <c r="Y349" s="3"/>
      <c r="Z349" s="3"/>
    </row>
    <row r="350" spans="1:26" ht="15.75" customHeight="1">
      <c r="A350" s="3"/>
      <c r="B350" s="3"/>
      <c r="C350" s="3"/>
      <c r="D350" s="33"/>
      <c r="E350" s="33"/>
      <c r="F350" s="33"/>
      <c r="G350" s="33"/>
      <c r="H350" s="33"/>
      <c r="I350" s="33"/>
      <c r="J350" s="33"/>
      <c r="K350" s="33"/>
      <c r="L350" s="33"/>
      <c r="M350" s="33"/>
      <c r="N350" s="33"/>
      <c r="O350" s="33"/>
      <c r="P350" s="33"/>
      <c r="Q350" s="33"/>
      <c r="R350" s="33"/>
      <c r="S350" s="33"/>
      <c r="T350" s="124"/>
      <c r="U350" s="3"/>
      <c r="V350" s="3"/>
      <c r="W350" s="3"/>
      <c r="X350" s="3"/>
      <c r="Y350" s="3"/>
      <c r="Z350" s="3"/>
    </row>
    <row r="351" spans="1:26" ht="15.75" customHeight="1">
      <c r="A351" s="3"/>
      <c r="B351" s="3"/>
      <c r="C351" s="3"/>
      <c r="D351" s="33"/>
      <c r="E351" s="33"/>
      <c r="F351" s="33"/>
      <c r="G351" s="33"/>
      <c r="H351" s="33"/>
      <c r="I351" s="33"/>
      <c r="J351" s="33"/>
      <c r="K351" s="33"/>
      <c r="L351" s="33"/>
      <c r="M351" s="33"/>
      <c r="N351" s="33"/>
      <c r="O351" s="33"/>
      <c r="P351" s="33"/>
      <c r="Q351" s="33"/>
      <c r="R351" s="33"/>
      <c r="S351" s="33"/>
      <c r="T351" s="124"/>
      <c r="U351" s="3"/>
      <c r="V351" s="3"/>
      <c r="W351" s="3"/>
      <c r="X351" s="3"/>
      <c r="Y351" s="3"/>
      <c r="Z351" s="3"/>
    </row>
    <row r="352" spans="1:26" ht="15.75" customHeight="1">
      <c r="A352" s="3"/>
      <c r="B352" s="3"/>
      <c r="C352" s="3"/>
      <c r="D352" s="33"/>
      <c r="E352" s="33"/>
      <c r="F352" s="33"/>
      <c r="G352" s="33"/>
      <c r="H352" s="33"/>
      <c r="I352" s="33"/>
      <c r="J352" s="33"/>
      <c r="K352" s="33"/>
      <c r="L352" s="33"/>
      <c r="M352" s="33"/>
      <c r="N352" s="33"/>
      <c r="O352" s="33"/>
      <c r="P352" s="33"/>
      <c r="Q352" s="33"/>
      <c r="R352" s="33"/>
      <c r="S352" s="33"/>
      <c r="T352" s="124"/>
      <c r="U352" s="3"/>
      <c r="V352" s="3"/>
      <c r="W352" s="3"/>
      <c r="X352" s="3"/>
      <c r="Y352" s="3"/>
      <c r="Z352" s="3"/>
    </row>
    <row r="353" spans="1:26" ht="15.75" customHeight="1">
      <c r="A353" s="3"/>
      <c r="B353" s="3"/>
      <c r="C353" s="3"/>
      <c r="D353" s="33"/>
      <c r="E353" s="33"/>
      <c r="F353" s="33"/>
      <c r="G353" s="33"/>
      <c r="H353" s="33"/>
      <c r="I353" s="33"/>
      <c r="J353" s="33"/>
      <c r="K353" s="33"/>
      <c r="L353" s="33"/>
      <c r="M353" s="33"/>
      <c r="N353" s="33"/>
      <c r="O353" s="33"/>
      <c r="P353" s="33"/>
      <c r="Q353" s="33"/>
      <c r="R353" s="33"/>
      <c r="S353" s="33"/>
      <c r="T353" s="124"/>
      <c r="U353" s="3"/>
      <c r="V353" s="3"/>
      <c r="W353" s="3"/>
      <c r="X353" s="3"/>
      <c r="Y353" s="3"/>
      <c r="Z353" s="3"/>
    </row>
    <row r="354" spans="1:26" ht="15.75" customHeight="1">
      <c r="A354" s="3"/>
      <c r="B354" s="3"/>
      <c r="C354" s="3"/>
      <c r="D354" s="33"/>
      <c r="E354" s="33"/>
      <c r="F354" s="33"/>
      <c r="G354" s="33"/>
      <c r="H354" s="33"/>
      <c r="I354" s="33"/>
      <c r="J354" s="33"/>
      <c r="K354" s="33"/>
      <c r="L354" s="33"/>
      <c r="M354" s="33"/>
      <c r="N354" s="33"/>
      <c r="O354" s="33"/>
      <c r="P354" s="33"/>
      <c r="Q354" s="33"/>
      <c r="R354" s="33"/>
      <c r="S354" s="33"/>
      <c r="T354" s="124"/>
      <c r="U354" s="3"/>
      <c r="V354" s="3"/>
      <c r="W354" s="3"/>
      <c r="X354" s="3"/>
      <c r="Y354" s="3"/>
      <c r="Z354" s="3"/>
    </row>
    <row r="355" spans="1:26" ht="15.75" customHeight="1">
      <c r="A355" s="3"/>
      <c r="B355" s="3"/>
      <c r="C355" s="3"/>
      <c r="D355" s="33"/>
      <c r="E355" s="33"/>
      <c r="F355" s="33"/>
      <c r="G355" s="33"/>
      <c r="H355" s="33"/>
      <c r="I355" s="33"/>
      <c r="J355" s="33"/>
      <c r="K355" s="33"/>
      <c r="L355" s="33"/>
      <c r="M355" s="33"/>
      <c r="N355" s="33"/>
      <c r="O355" s="33"/>
      <c r="P355" s="33"/>
      <c r="Q355" s="33"/>
      <c r="R355" s="33"/>
      <c r="S355" s="33"/>
      <c r="T355" s="124"/>
      <c r="U355" s="3"/>
      <c r="V355" s="3"/>
      <c r="W355" s="3"/>
      <c r="X355" s="3"/>
      <c r="Y355" s="3"/>
      <c r="Z355" s="3"/>
    </row>
    <row r="356" spans="1:26" ht="15.75" customHeight="1">
      <c r="A356" s="3"/>
      <c r="B356" s="3"/>
      <c r="C356" s="3"/>
      <c r="D356" s="33"/>
      <c r="E356" s="33"/>
      <c r="F356" s="33"/>
      <c r="G356" s="33"/>
      <c r="H356" s="33"/>
      <c r="I356" s="33"/>
      <c r="J356" s="33"/>
      <c r="K356" s="33"/>
      <c r="L356" s="33"/>
      <c r="M356" s="33"/>
      <c r="N356" s="33"/>
      <c r="O356" s="33"/>
      <c r="P356" s="33"/>
      <c r="Q356" s="33"/>
      <c r="R356" s="33"/>
      <c r="S356" s="33"/>
      <c r="T356" s="124"/>
      <c r="U356" s="3"/>
      <c r="V356" s="3"/>
      <c r="W356" s="3"/>
      <c r="X356" s="3"/>
      <c r="Y356" s="3"/>
      <c r="Z356" s="3"/>
    </row>
    <row r="357" spans="1:26" ht="15.75" customHeight="1">
      <c r="A357" s="3"/>
      <c r="B357" s="3"/>
      <c r="C357" s="3"/>
      <c r="D357" s="33"/>
      <c r="E357" s="33"/>
      <c r="F357" s="33"/>
      <c r="G357" s="33"/>
      <c r="H357" s="33"/>
      <c r="I357" s="33"/>
      <c r="J357" s="33"/>
      <c r="K357" s="33"/>
      <c r="L357" s="33"/>
      <c r="M357" s="33"/>
      <c r="N357" s="33"/>
      <c r="O357" s="33"/>
      <c r="P357" s="33"/>
      <c r="Q357" s="33"/>
      <c r="R357" s="33"/>
      <c r="S357" s="33"/>
      <c r="T357" s="124"/>
      <c r="U357" s="3"/>
      <c r="V357" s="3"/>
      <c r="W357" s="3"/>
      <c r="X357" s="3"/>
      <c r="Y357" s="3"/>
      <c r="Z357" s="3"/>
    </row>
    <row r="358" spans="1:26" ht="15.75" customHeight="1">
      <c r="A358" s="3"/>
      <c r="B358" s="3"/>
      <c r="C358" s="3"/>
      <c r="D358" s="33"/>
      <c r="E358" s="33"/>
      <c r="F358" s="33"/>
      <c r="G358" s="33"/>
      <c r="H358" s="33"/>
      <c r="I358" s="33"/>
      <c r="J358" s="33"/>
      <c r="K358" s="33"/>
      <c r="L358" s="33"/>
      <c r="M358" s="33"/>
      <c r="N358" s="33"/>
      <c r="O358" s="33"/>
      <c r="P358" s="33"/>
      <c r="Q358" s="33"/>
      <c r="R358" s="33"/>
      <c r="S358" s="33"/>
      <c r="T358" s="124"/>
      <c r="U358" s="3"/>
      <c r="V358" s="3"/>
      <c r="W358" s="3"/>
      <c r="X358" s="3"/>
      <c r="Y358" s="3"/>
      <c r="Z358" s="3"/>
    </row>
    <row r="359" spans="1:26" ht="15.75" customHeight="1">
      <c r="A359" s="3"/>
      <c r="B359" s="3"/>
      <c r="C359" s="3"/>
      <c r="D359" s="33"/>
      <c r="E359" s="33"/>
      <c r="F359" s="33"/>
      <c r="G359" s="33"/>
      <c r="H359" s="33"/>
      <c r="I359" s="33"/>
      <c r="J359" s="33"/>
      <c r="K359" s="33"/>
      <c r="L359" s="33"/>
      <c r="M359" s="33"/>
      <c r="N359" s="33"/>
      <c r="O359" s="33"/>
      <c r="P359" s="33"/>
      <c r="Q359" s="33"/>
      <c r="R359" s="33"/>
      <c r="S359" s="33"/>
      <c r="T359" s="124"/>
      <c r="U359" s="3"/>
      <c r="V359" s="3"/>
      <c r="W359" s="3"/>
      <c r="X359" s="3"/>
      <c r="Y359" s="3"/>
      <c r="Z359" s="3"/>
    </row>
    <row r="360" spans="1:26" ht="15.75" customHeight="1">
      <c r="A360" s="3"/>
      <c r="B360" s="3"/>
      <c r="C360" s="3"/>
      <c r="D360" s="33"/>
      <c r="E360" s="33"/>
      <c r="F360" s="33"/>
      <c r="G360" s="33"/>
      <c r="H360" s="33"/>
      <c r="I360" s="33"/>
      <c r="J360" s="33"/>
      <c r="K360" s="33"/>
      <c r="L360" s="33"/>
      <c r="M360" s="33"/>
      <c r="N360" s="33"/>
      <c r="O360" s="33"/>
      <c r="P360" s="33"/>
      <c r="Q360" s="33"/>
      <c r="R360" s="33"/>
      <c r="S360" s="33"/>
      <c r="T360" s="124"/>
      <c r="U360" s="3"/>
      <c r="V360" s="3"/>
      <c r="W360" s="3"/>
      <c r="X360" s="3"/>
      <c r="Y360" s="3"/>
      <c r="Z360" s="3"/>
    </row>
    <row r="361" spans="1:26" ht="15.75" customHeight="1">
      <c r="A361" s="3"/>
      <c r="B361" s="3"/>
      <c r="C361" s="3"/>
      <c r="D361" s="33"/>
      <c r="E361" s="33"/>
      <c r="F361" s="33"/>
      <c r="G361" s="33"/>
      <c r="H361" s="33"/>
      <c r="I361" s="33"/>
      <c r="J361" s="33"/>
      <c r="K361" s="33"/>
      <c r="L361" s="33"/>
      <c r="M361" s="33"/>
      <c r="N361" s="33"/>
      <c r="O361" s="33"/>
      <c r="P361" s="33"/>
      <c r="Q361" s="33"/>
      <c r="R361" s="33"/>
      <c r="S361" s="33"/>
      <c r="T361" s="124"/>
      <c r="U361" s="3"/>
      <c r="V361" s="3"/>
      <c r="W361" s="3"/>
      <c r="X361" s="3"/>
      <c r="Y361" s="3"/>
      <c r="Z361" s="3"/>
    </row>
    <row r="362" spans="1:26" ht="15.75" customHeight="1">
      <c r="A362" s="3"/>
      <c r="B362" s="3"/>
      <c r="C362" s="3"/>
      <c r="D362" s="33"/>
      <c r="E362" s="33"/>
      <c r="F362" s="33"/>
      <c r="G362" s="33"/>
      <c r="H362" s="33"/>
      <c r="I362" s="33"/>
      <c r="J362" s="33"/>
      <c r="K362" s="33"/>
      <c r="L362" s="33"/>
      <c r="M362" s="33"/>
      <c r="N362" s="33"/>
      <c r="O362" s="33"/>
      <c r="P362" s="33"/>
      <c r="Q362" s="33"/>
      <c r="R362" s="33"/>
      <c r="S362" s="33"/>
      <c r="T362" s="124"/>
      <c r="U362" s="3"/>
      <c r="V362" s="3"/>
      <c r="W362" s="3"/>
      <c r="X362" s="3"/>
      <c r="Y362" s="3"/>
      <c r="Z362" s="3"/>
    </row>
    <row r="363" spans="1:26" ht="15.75" customHeight="1">
      <c r="A363" s="3"/>
      <c r="B363" s="3"/>
      <c r="C363" s="3"/>
      <c r="D363" s="33"/>
      <c r="E363" s="33"/>
      <c r="F363" s="33"/>
      <c r="G363" s="33"/>
      <c r="H363" s="33"/>
      <c r="I363" s="33"/>
      <c r="J363" s="33"/>
      <c r="K363" s="33"/>
      <c r="L363" s="33"/>
      <c r="M363" s="33"/>
      <c r="N363" s="33"/>
      <c r="O363" s="33"/>
      <c r="P363" s="33"/>
      <c r="Q363" s="33"/>
      <c r="R363" s="33"/>
      <c r="S363" s="33"/>
      <c r="T363" s="124"/>
      <c r="U363" s="3"/>
      <c r="V363" s="3"/>
      <c r="W363" s="3"/>
      <c r="X363" s="3"/>
      <c r="Y363" s="3"/>
      <c r="Z363" s="3"/>
    </row>
    <row r="364" spans="1:26" ht="15.75" customHeight="1">
      <c r="A364" s="3"/>
      <c r="B364" s="3"/>
      <c r="C364" s="3"/>
      <c r="D364" s="33"/>
      <c r="E364" s="33"/>
      <c r="F364" s="33"/>
      <c r="G364" s="33"/>
      <c r="H364" s="33"/>
      <c r="I364" s="33"/>
      <c r="J364" s="33"/>
      <c r="K364" s="33"/>
      <c r="L364" s="33"/>
      <c r="M364" s="33"/>
      <c r="N364" s="33"/>
      <c r="O364" s="33"/>
      <c r="P364" s="33"/>
      <c r="Q364" s="33"/>
      <c r="R364" s="33"/>
      <c r="S364" s="33"/>
      <c r="T364" s="124"/>
      <c r="U364" s="3"/>
      <c r="V364" s="3"/>
      <c r="W364" s="3"/>
      <c r="X364" s="3"/>
      <c r="Y364" s="3"/>
      <c r="Z364" s="3"/>
    </row>
    <row r="365" spans="1:26" ht="15.75" customHeight="1">
      <c r="A365" s="3"/>
      <c r="B365" s="3"/>
      <c r="C365" s="3"/>
      <c r="D365" s="33"/>
      <c r="E365" s="33"/>
      <c r="F365" s="33"/>
      <c r="G365" s="33"/>
      <c r="H365" s="33"/>
      <c r="I365" s="33"/>
      <c r="J365" s="33"/>
      <c r="K365" s="33"/>
      <c r="L365" s="33"/>
      <c r="M365" s="33"/>
      <c r="N365" s="33"/>
      <c r="O365" s="33"/>
      <c r="P365" s="33"/>
      <c r="Q365" s="33"/>
      <c r="R365" s="33"/>
      <c r="S365" s="33"/>
      <c r="T365" s="124"/>
      <c r="U365" s="3"/>
      <c r="V365" s="3"/>
      <c r="W365" s="3"/>
      <c r="X365" s="3"/>
      <c r="Y365" s="3"/>
      <c r="Z365" s="3"/>
    </row>
    <row r="366" spans="1:26" ht="15.75" customHeight="1">
      <c r="A366" s="3"/>
      <c r="B366" s="3"/>
      <c r="C366" s="3"/>
      <c r="D366" s="33"/>
      <c r="E366" s="33"/>
      <c r="F366" s="33"/>
      <c r="G366" s="33"/>
      <c r="H366" s="33"/>
      <c r="I366" s="33"/>
      <c r="J366" s="33"/>
      <c r="K366" s="33"/>
      <c r="L366" s="33"/>
      <c r="M366" s="33"/>
      <c r="N366" s="33"/>
      <c r="O366" s="33"/>
      <c r="P366" s="33"/>
      <c r="Q366" s="33"/>
      <c r="R366" s="33"/>
      <c r="S366" s="33"/>
      <c r="T366" s="124"/>
      <c r="U366" s="3"/>
      <c r="V366" s="3"/>
      <c r="W366" s="3"/>
      <c r="X366" s="3"/>
      <c r="Y366" s="3"/>
      <c r="Z366" s="3"/>
    </row>
    <row r="367" spans="1:26" ht="15.75" customHeight="1">
      <c r="A367" s="3"/>
      <c r="B367" s="3"/>
      <c r="C367" s="3"/>
      <c r="D367" s="33"/>
      <c r="E367" s="33"/>
      <c r="F367" s="33"/>
      <c r="G367" s="33"/>
      <c r="H367" s="33"/>
      <c r="I367" s="33"/>
      <c r="J367" s="33"/>
      <c r="K367" s="33"/>
      <c r="L367" s="33"/>
      <c r="M367" s="33"/>
      <c r="N367" s="33"/>
      <c r="O367" s="33"/>
      <c r="P367" s="33"/>
      <c r="Q367" s="33"/>
      <c r="R367" s="33"/>
      <c r="S367" s="33"/>
      <c r="T367" s="124"/>
      <c r="U367" s="3"/>
      <c r="V367" s="3"/>
      <c r="W367" s="3"/>
      <c r="X367" s="3"/>
      <c r="Y367" s="3"/>
      <c r="Z367" s="3"/>
    </row>
    <row r="368" spans="1:26" ht="15.75" customHeight="1">
      <c r="A368" s="3"/>
      <c r="B368" s="3"/>
      <c r="C368" s="3"/>
      <c r="D368" s="33"/>
      <c r="E368" s="33"/>
      <c r="F368" s="33"/>
      <c r="G368" s="33"/>
      <c r="H368" s="33"/>
      <c r="I368" s="33"/>
      <c r="J368" s="33"/>
      <c r="K368" s="33"/>
      <c r="L368" s="33"/>
      <c r="M368" s="33"/>
      <c r="N368" s="33"/>
      <c r="O368" s="33"/>
      <c r="P368" s="33"/>
      <c r="Q368" s="33"/>
      <c r="R368" s="33"/>
      <c r="S368" s="33"/>
      <c r="T368" s="124"/>
      <c r="U368" s="3"/>
      <c r="V368" s="3"/>
      <c r="W368" s="3"/>
      <c r="X368" s="3"/>
      <c r="Y368" s="3"/>
      <c r="Z368" s="3"/>
    </row>
    <row r="369" spans="1:26" ht="15.75" customHeight="1">
      <c r="A369" s="3"/>
      <c r="B369" s="3"/>
      <c r="C369" s="3"/>
      <c r="D369" s="33"/>
      <c r="E369" s="33"/>
      <c r="F369" s="33"/>
      <c r="G369" s="33"/>
      <c r="H369" s="33"/>
      <c r="I369" s="33"/>
      <c r="J369" s="33"/>
      <c r="K369" s="33"/>
      <c r="L369" s="33"/>
      <c r="M369" s="33"/>
      <c r="N369" s="33"/>
      <c r="O369" s="33"/>
      <c r="P369" s="33"/>
      <c r="Q369" s="33"/>
      <c r="R369" s="33"/>
      <c r="S369" s="33"/>
      <c r="T369" s="124"/>
      <c r="U369" s="3"/>
      <c r="V369" s="3"/>
      <c r="W369" s="3"/>
      <c r="X369" s="3"/>
      <c r="Y369" s="3"/>
      <c r="Z369" s="3"/>
    </row>
    <row r="370" spans="1:26" ht="15.75" customHeight="1">
      <c r="A370" s="3"/>
      <c r="B370" s="3"/>
      <c r="C370" s="3"/>
      <c r="D370" s="33"/>
      <c r="E370" s="33"/>
      <c r="F370" s="33"/>
      <c r="G370" s="33"/>
      <c r="H370" s="33"/>
      <c r="I370" s="33"/>
      <c r="J370" s="33"/>
      <c r="K370" s="33"/>
      <c r="L370" s="33"/>
      <c r="M370" s="33"/>
      <c r="N370" s="33"/>
      <c r="O370" s="33"/>
      <c r="P370" s="33"/>
      <c r="Q370" s="33"/>
      <c r="R370" s="33"/>
      <c r="S370" s="33"/>
      <c r="T370" s="124"/>
      <c r="U370" s="3"/>
      <c r="V370" s="3"/>
      <c r="W370" s="3"/>
      <c r="X370" s="3"/>
      <c r="Y370" s="3"/>
      <c r="Z370" s="3"/>
    </row>
    <row r="371" spans="1:26" ht="15.75" customHeight="1">
      <c r="A371" s="3"/>
      <c r="B371" s="3"/>
      <c r="C371" s="3"/>
      <c r="D371" s="33"/>
      <c r="E371" s="33"/>
      <c r="F371" s="33"/>
      <c r="G371" s="33"/>
      <c r="H371" s="33"/>
      <c r="I371" s="33"/>
      <c r="J371" s="33"/>
      <c r="K371" s="33"/>
      <c r="L371" s="33"/>
      <c r="M371" s="33"/>
      <c r="N371" s="33"/>
      <c r="O371" s="33"/>
      <c r="P371" s="33"/>
      <c r="Q371" s="33"/>
      <c r="R371" s="33"/>
      <c r="S371" s="33"/>
      <c r="T371" s="124"/>
      <c r="U371" s="3"/>
      <c r="V371" s="3"/>
      <c r="W371" s="3"/>
      <c r="X371" s="3"/>
      <c r="Y371" s="3"/>
      <c r="Z371" s="3"/>
    </row>
    <row r="372" spans="1:26" ht="15.75" customHeight="1">
      <c r="A372" s="3"/>
      <c r="B372" s="3"/>
      <c r="C372" s="3"/>
      <c r="D372" s="33"/>
      <c r="E372" s="33"/>
      <c r="F372" s="33"/>
      <c r="G372" s="33"/>
      <c r="H372" s="33"/>
      <c r="I372" s="33"/>
      <c r="J372" s="33"/>
      <c r="K372" s="33"/>
      <c r="L372" s="33"/>
      <c r="M372" s="33"/>
      <c r="N372" s="33"/>
      <c r="O372" s="33"/>
      <c r="P372" s="33"/>
      <c r="Q372" s="33"/>
      <c r="R372" s="33"/>
      <c r="S372" s="33"/>
      <c r="T372" s="124"/>
      <c r="U372" s="3"/>
      <c r="V372" s="3"/>
      <c r="W372" s="3"/>
      <c r="X372" s="3"/>
      <c r="Y372" s="3"/>
      <c r="Z372" s="3"/>
    </row>
    <row r="373" spans="1:26" ht="15.75" customHeight="1">
      <c r="A373" s="3"/>
      <c r="B373" s="3"/>
      <c r="C373" s="3"/>
      <c r="D373" s="33"/>
      <c r="E373" s="33"/>
      <c r="F373" s="33"/>
      <c r="G373" s="33"/>
      <c r="H373" s="33"/>
      <c r="I373" s="33"/>
      <c r="J373" s="33"/>
      <c r="K373" s="33"/>
      <c r="L373" s="33"/>
      <c r="M373" s="33"/>
      <c r="N373" s="33"/>
      <c r="O373" s="33"/>
      <c r="P373" s="33"/>
      <c r="Q373" s="33"/>
      <c r="R373" s="33"/>
      <c r="S373" s="33"/>
      <c r="T373" s="124"/>
      <c r="U373" s="3"/>
      <c r="V373" s="3"/>
      <c r="W373" s="3"/>
      <c r="X373" s="3"/>
      <c r="Y373" s="3"/>
      <c r="Z373" s="3"/>
    </row>
    <row r="374" spans="1:26" ht="15.75" customHeight="1">
      <c r="A374" s="3"/>
      <c r="B374" s="3"/>
      <c r="C374" s="3"/>
      <c r="D374" s="33"/>
      <c r="E374" s="33"/>
      <c r="F374" s="33"/>
      <c r="G374" s="33"/>
      <c r="H374" s="33"/>
      <c r="I374" s="33"/>
      <c r="J374" s="33"/>
      <c r="K374" s="33"/>
      <c r="L374" s="33"/>
      <c r="M374" s="33"/>
      <c r="N374" s="33"/>
      <c r="O374" s="33"/>
      <c r="P374" s="33"/>
      <c r="Q374" s="33"/>
      <c r="R374" s="33"/>
      <c r="S374" s="33"/>
      <c r="T374" s="124"/>
      <c r="U374" s="3"/>
      <c r="V374" s="3"/>
      <c r="W374" s="3"/>
      <c r="X374" s="3"/>
      <c r="Y374" s="3"/>
      <c r="Z374" s="3"/>
    </row>
    <row r="375" spans="1:26" ht="15.75" customHeight="1">
      <c r="A375" s="3"/>
      <c r="B375" s="3"/>
      <c r="C375" s="3"/>
      <c r="D375" s="33"/>
      <c r="E375" s="33"/>
      <c r="F375" s="33"/>
      <c r="G375" s="33"/>
      <c r="H375" s="33"/>
      <c r="I375" s="33"/>
      <c r="J375" s="33"/>
      <c r="K375" s="33"/>
      <c r="L375" s="33"/>
      <c r="M375" s="33"/>
      <c r="N375" s="33"/>
      <c r="O375" s="33"/>
      <c r="P375" s="33"/>
      <c r="Q375" s="33"/>
      <c r="R375" s="33"/>
      <c r="S375" s="33"/>
      <c r="T375" s="124"/>
      <c r="U375" s="3"/>
      <c r="V375" s="3"/>
      <c r="W375" s="3"/>
      <c r="X375" s="3"/>
      <c r="Y375" s="3"/>
      <c r="Z375" s="3"/>
    </row>
    <row r="376" spans="1:26" ht="15.75" customHeight="1">
      <c r="A376" s="3"/>
      <c r="B376" s="3"/>
      <c r="C376" s="3"/>
      <c r="D376" s="33"/>
      <c r="E376" s="33"/>
      <c r="F376" s="33"/>
      <c r="G376" s="33"/>
      <c r="H376" s="33"/>
      <c r="I376" s="33"/>
      <c r="J376" s="33"/>
      <c r="K376" s="33"/>
      <c r="L376" s="33"/>
      <c r="M376" s="33"/>
      <c r="N376" s="33"/>
      <c r="O376" s="33"/>
      <c r="P376" s="33"/>
      <c r="Q376" s="33"/>
      <c r="R376" s="33"/>
      <c r="S376" s="33"/>
      <c r="T376" s="124"/>
      <c r="U376" s="3"/>
      <c r="V376" s="3"/>
      <c r="W376" s="3"/>
      <c r="X376" s="3"/>
      <c r="Y376" s="3"/>
      <c r="Z376" s="3"/>
    </row>
    <row r="377" spans="1:26" ht="15.75" customHeight="1">
      <c r="A377" s="3"/>
      <c r="B377" s="3"/>
      <c r="C377" s="3"/>
      <c r="D377" s="33"/>
      <c r="E377" s="33"/>
      <c r="F377" s="33"/>
      <c r="G377" s="33"/>
      <c r="H377" s="33"/>
      <c r="I377" s="33"/>
      <c r="J377" s="33"/>
      <c r="K377" s="33"/>
      <c r="L377" s="33"/>
      <c r="M377" s="33"/>
      <c r="N377" s="33"/>
      <c r="O377" s="33"/>
      <c r="P377" s="33"/>
      <c r="Q377" s="33"/>
      <c r="R377" s="33"/>
      <c r="S377" s="33"/>
      <c r="T377" s="124"/>
      <c r="U377" s="3"/>
      <c r="V377" s="3"/>
      <c r="W377" s="3"/>
      <c r="X377" s="3"/>
      <c r="Y377" s="3"/>
      <c r="Z377" s="3"/>
    </row>
    <row r="378" spans="1:26" ht="15.75" customHeight="1">
      <c r="A378" s="3"/>
      <c r="B378" s="3"/>
      <c r="C378" s="3"/>
      <c r="D378" s="33"/>
      <c r="E378" s="33"/>
      <c r="F378" s="33"/>
      <c r="G378" s="33"/>
      <c r="H378" s="33"/>
      <c r="I378" s="33"/>
      <c r="J378" s="33"/>
      <c r="K378" s="33"/>
      <c r="L378" s="33"/>
      <c r="M378" s="33"/>
      <c r="N378" s="33"/>
      <c r="O378" s="33"/>
      <c r="P378" s="33"/>
      <c r="Q378" s="33"/>
      <c r="R378" s="33"/>
      <c r="S378" s="33"/>
      <c r="T378" s="124"/>
      <c r="U378" s="3"/>
      <c r="V378" s="3"/>
      <c r="W378" s="3"/>
      <c r="X378" s="3"/>
      <c r="Y378" s="3"/>
      <c r="Z378" s="3"/>
    </row>
    <row r="379" spans="1:26" ht="15.75" customHeight="1">
      <c r="A379" s="3"/>
      <c r="B379" s="3"/>
      <c r="C379" s="3"/>
      <c r="D379" s="33"/>
      <c r="E379" s="33"/>
      <c r="F379" s="33"/>
      <c r="G379" s="33"/>
      <c r="H379" s="33"/>
      <c r="I379" s="33"/>
      <c r="J379" s="33"/>
      <c r="K379" s="33"/>
      <c r="L379" s="33"/>
      <c r="M379" s="33"/>
      <c r="N379" s="33"/>
      <c r="O379" s="33"/>
      <c r="P379" s="33"/>
      <c r="Q379" s="33"/>
      <c r="R379" s="33"/>
      <c r="S379" s="33"/>
      <c r="T379" s="124"/>
      <c r="U379" s="3"/>
      <c r="V379" s="3"/>
      <c r="W379" s="3"/>
      <c r="X379" s="3"/>
      <c r="Y379" s="3"/>
      <c r="Z379" s="3"/>
    </row>
    <row r="380" spans="1:26" ht="15.75" customHeight="1">
      <c r="A380" s="3"/>
      <c r="B380" s="3"/>
      <c r="C380" s="3"/>
      <c r="D380" s="33"/>
      <c r="E380" s="33"/>
      <c r="F380" s="33"/>
      <c r="G380" s="33"/>
      <c r="H380" s="33"/>
      <c r="I380" s="33"/>
      <c r="J380" s="33"/>
      <c r="K380" s="33"/>
      <c r="L380" s="33"/>
      <c r="M380" s="33"/>
      <c r="N380" s="33"/>
      <c r="O380" s="33"/>
      <c r="P380" s="33"/>
      <c r="Q380" s="33"/>
      <c r="R380" s="33"/>
      <c r="S380" s="33"/>
      <c r="T380" s="124"/>
      <c r="U380" s="3"/>
      <c r="V380" s="3"/>
      <c r="W380" s="3"/>
      <c r="X380" s="3"/>
      <c r="Y380" s="3"/>
      <c r="Z380" s="3"/>
    </row>
    <row r="381" spans="1:26" ht="15.75" customHeight="1">
      <c r="A381" s="3"/>
      <c r="B381" s="3"/>
      <c r="C381" s="3"/>
      <c r="D381" s="33"/>
      <c r="E381" s="33"/>
      <c r="F381" s="33"/>
      <c r="G381" s="33"/>
      <c r="H381" s="33"/>
      <c r="I381" s="33"/>
      <c r="J381" s="33"/>
      <c r="K381" s="33"/>
      <c r="L381" s="33"/>
      <c r="M381" s="33"/>
      <c r="N381" s="33"/>
      <c r="O381" s="33"/>
      <c r="P381" s="33"/>
      <c r="Q381" s="33"/>
      <c r="R381" s="33"/>
      <c r="S381" s="33"/>
      <c r="T381" s="124"/>
      <c r="U381" s="3"/>
      <c r="V381" s="3"/>
      <c r="W381" s="3"/>
      <c r="X381" s="3"/>
      <c r="Y381" s="3"/>
      <c r="Z381" s="3"/>
    </row>
    <row r="382" spans="1:26" ht="15.75" customHeight="1">
      <c r="A382" s="3"/>
      <c r="B382" s="3"/>
      <c r="C382" s="3"/>
      <c r="D382" s="33"/>
      <c r="E382" s="33"/>
      <c r="F382" s="33"/>
      <c r="G382" s="33"/>
      <c r="H382" s="33"/>
      <c r="I382" s="33"/>
      <c r="J382" s="33"/>
      <c r="K382" s="33"/>
      <c r="L382" s="33"/>
      <c r="M382" s="33"/>
      <c r="N382" s="33"/>
      <c r="O382" s="33"/>
      <c r="P382" s="33"/>
      <c r="Q382" s="33"/>
      <c r="R382" s="33"/>
      <c r="S382" s="33"/>
      <c r="T382" s="124"/>
      <c r="U382" s="3"/>
      <c r="V382" s="3"/>
      <c r="W382" s="3"/>
      <c r="X382" s="3"/>
      <c r="Y382" s="3"/>
      <c r="Z382" s="3"/>
    </row>
    <row r="383" spans="1:26" ht="15.75" customHeight="1">
      <c r="A383" s="3"/>
      <c r="B383" s="3"/>
      <c r="C383" s="3"/>
      <c r="D383" s="33"/>
      <c r="E383" s="33"/>
      <c r="F383" s="33"/>
      <c r="G383" s="33"/>
      <c r="H383" s="33"/>
      <c r="I383" s="33"/>
      <c r="J383" s="33"/>
      <c r="K383" s="33"/>
      <c r="L383" s="33"/>
      <c r="M383" s="33"/>
      <c r="N383" s="33"/>
      <c r="O383" s="33"/>
      <c r="P383" s="33"/>
      <c r="Q383" s="33"/>
      <c r="R383" s="33"/>
      <c r="S383" s="33"/>
      <c r="T383" s="124"/>
      <c r="U383" s="3"/>
      <c r="V383" s="3"/>
      <c r="W383" s="3"/>
      <c r="X383" s="3"/>
      <c r="Y383" s="3"/>
      <c r="Z383" s="3"/>
    </row>
    <row r="384" spans="1:26" ht="15.75" customHeight="1">
      <c r="A384" s="3"/>
      <c r="B384" s="3"/>
      <c r="C384" s="3"/>
      <c r="D384" s="33"/>
      <c r="E384" s="33"/>
      <c r="F384" s="33"/>
      <c r="G384" s="33"/>
      <c r="H384" s="33"/>
      <c r="I384" s="33"/>
      <c r="J384" s="33"/>
      <c r="K384" s="33"/>
      <c r="L384" s="33"/>
      <c r="M384" s="33"/>
      <c r="N384" s="33"/>
      <c r="O384" s="33"/>
      <c r="P384" s="33"/>
      <c r="Q384" s="33"/>
      <c r="R384" s="33"/>
      <c r="S384" s="33"/>
      <c r="T384" s="124"/>
      <c r="U384" s="3"/>
      <c r="V384" s="3"/>
      <c r="W384" s="3"/>
      <c r="X384" s="3"/>
      <c r="Y384" s="3"/>
      <c r="Z384" s="3"/>
    </row>
    <row r="385" spans="1:26" ht="15.75" customHeight="1">
      <c r="A385" s="3"/>
      <c r="B385" s="3"/>
      <c r="C385" s="3"/>
      <c r="D385" s="33"/>
      <c r="E385" s="33"/>
      <c r="F385" s="33"/>
      <c r="G385" s="33"/>
      <c r="H385" s="33"/>
      <c r="I385" s="33"/>
      <c r="J385" s="33"/>
      <c r="K385" s="33"/>
      <c r="L385" s="33"/>
      <c r="M385" s="33"/>
      <c r="N385" s="33"/>
      <c r="O385" s="33"/>
      <c r="P385" s="33"/>
      <c r="Q385" s="33"/>
      <c r="R385" s="33"/>
      <c r="S385" s="33"/>
      <c r="T385" s="124"/>
      <c r="U385" s="3"/>
      <c r="V385" s="3"/>
      <c r="W385" s="3"/>
      <c r="X385" s="3"/>
      <c r="Y385" s="3"/>
      <c r="Z385" s="3"/>
    </row>
    <row r="386" spans="1:26" ht="15.75" customHeight="1">
      <c r="A386" s="3"/>
      <c r="B386" s="3"/>
      <c r="C386" s="3"/>
      <c r="D386" s="33"/>
      <c r="E386" s="33"/>
      <c r="F386" s="33"/>
      <c r="G386" s="33"/>
      <c r="H386" s="33"/>
      <c r="I386" s="33"/>
      <c r="J386" s="33"/>
      <c r="K386" s="33"/>
      <c r="L386" s="33"/>
      <c r="M386" s="33"/>
      <c r="N386" s="33"/>
      <c r="O386" s="33"/>
      <c r="P386" s="33"/>
      <c r="Q386" s="33"/>
      <c r="R386" s="33"/>
      <c r="S386" s="33"/>
      <c r="T386" s="124"/>
      <c r="U386" s="3"/>
      <c r="V386" s="3"/>
      <c r="W386" s="3"/>
      <c r="X386" s="3"/>
      <c r="Y386" s="3"/>
      <c r="Z386" s="3"/>
    </row>
    <row r="387" spans="1:26" ht="15.75" customHeight="1">
      <c r="A387" s="3"/>
      <c r="B387" s="3"/>
      <c r="C387" s="3"/>
      <c r="D387" s="33"/>
      <c r="E387" s="33"/>
      <c r="F387" s="33"/>
      <c r="G387" s="33"/>
      <c r="H387" s="33"/>
      <c r="I387" s="33"/>
      <c r="J387" s="33"/>
      <c r="K387" s="33"/>
      <c r="L387" s="33"/>
      <c r="M387" s="33"/>
      <c r="N387" s="33"/>
      <c r="O387" s="33"/>
      <c r="P387" s="33"/>
      <c r="Q387" s="33"/>
      <c r="R387" s="33"/>
      <c r="S387" s="33"/>
      <c r="T387" s="124"/>
      <c r="U387" s="3"/>
      <c r="V387" s="3"/>
      <c r="W387" s="3"/>
      <c r="X387" s="3"/>
      <c r="Y387" s="3"/>
      <c r="Z387" s="3"/>
    </row>
    <row r="388" spans="1:26" ht="15.75" customHeight="1">
      <c r="A388" s="3"/>
      <c r="B388" s="3"/>
      <c r="C388" s="3"/>
      <c r="D388" s="33"/>
      <c r="E388" s="33"/>
      <c r="F388" s="33"/>
      <c r="G388" s="33"/>
      <c r="H388" s="33"/>
      <c r="I388" s="33"/>
      <c r="J388" s="33"/>
      <c r="K388" s="33"/>
      <c r="L388" s="33"/>
      <c r="M388" s="33"/>
      <c r="N388" s="33"/>
      <c r="O388" s="33"/>
      <c r="P388" s="33"/>
      <c r="Q388" s="33"/>
      <c r="R388" s="33"/>
      <c r="S388" s="33"/>
      <c r="T388" s="124"/>
      <c r="U388" s="3"/>
      <c r="V388" s="3"/>
      <c r="W388" s="3"/>
      <c r="X388" s="3"/>
      <c r="Y388" s="3"/>
      <c r="Z388" s="3"/>
    </row>
    <row r="389" spans="1:26" ht="15.75" customHeight="1">
      <c r="A389" s="3"/>
      <c r="B389" s="3"/>
      <c r="C389" s="3"/>
      <c r="D389" s="33"/>
      <c r="E389" s="33"/>
      <c r="F389" s="33"/>
      <c r="G389" s="33"/>
      <c r="H389" s="33"/>
      <c r="I389" s="33"/>
      <c r="J389" s="33"/>
      <c r="K389" s="33"/>
      <c r="L389" s="33"/>
      <c r="M389" s="33"/>
      <c r="N389" s="33"/>
      <c r="O389" s="33"/>
      <c r="P389" s="33"/>
      <c r="Q389" s="33"/>
      <c r="R389" s="33"/>
      <c r="S389" s="33"/>
      <c r="T389" s="124"/>
      <c r="U389" s="3"/>
      <c r="V389" s="3"/>
      <c r="W389" s="3"/>
      <c r="X389" s="3"/>
      <c r="Y389" s="3"/>
      <c r="Z389" s="3"/>
    </row>
    <row r="390" spans="1:26" ht="15.75" customHeight="1">
      <c r="A390" s="3"/>
      <c r="B390" s="3"/>
      <c r="C390" s="3"/>
      <c r="D390" s="33"/>
      <c r="E390" s="33"/>
      <c r="F390" s="33"/>
      <c r="G390" s="33"/>
      <c r="H390" s="33"/>
      <c r="I390" s="33"/>
      <c r="J390" s="33"/>
      <c r="K390" s="33"/>
      <c r="L390" s="33"/>
      <c r="M390" s="33"/>
      <c r="N390" s="33"/>
      <c r="O390" s="33"/>
      <c r="P390" s="33"/>
      <c r="Q390" s="33"/>
      <c r="R390" s="33"/>
      <c r="S390" s="33"/>
      <c r="T390" s="124"/>
      <c r="U390" s="3"/>
      <c r="V390" s="3"/>
      <c r="W390" s="3"/>
      <c r="X390" s="3"/>
      <c r="Y390" s="3"/>
      <c r="Z390" s="3"/>
    </row>
    <row r="391" spans="1:26" ht="15.75" customHeight="1">
      <c r="A391" s="3"/>
      <c r="B391" s="3"/>
      <c r="C391" s="3"/>
      <c r="D391" s="33"/>
      <c r="E391" s="33"/>
      <c r="F391" s="33"/>
      <c r="G391" s="33"/>
      <c r="H391" s="33"/>
      <c r="I391" s="33"/>
      <c r="J391" s="33"/>
      <c r="K391" s="33"/>
      <c r="L391" s="33"/>
      <c r="M391" s="33"/>
      <c r="N391" s="33"/>
      <c r="O391" s="33"/>
      <c r="P391" s="33"/>
      <c r="Q391" s="33"/>
      <c r="R391" s="33"/>
      <c r="S391" s="33"/>
      <c r="T391" s="124"/>
      <c r="U391" s="3"/>
      <c r="V391" s="3"/>
      <c r="W391" s="3"/>
      <c r="X391" s="3"/>
      <c r="Y391" s="3"/>
      <c r="Z391" s="3"/>
    </row>
    <row r="392" spans="1:26" ht="15.75" customHeight="1">
      <c r="A392" s="3"/>
      <c r="B392" s="3"/>
      <c r="C392" s="3"/>
      <c r="D392" s="33"/>
      <c r="E392" s="33"/>
      <c r="F392" s="33"/>
      <c r="G392" s="33"/>
      <c r="H392" s="33"/>
      <c r="I392" s="33"/>
      <c r="J392" s="33"/>
      <c r="K392" s="33"/>
      <c r="L392" s="33"/>
      <c r="M392" s="33"/>
      <c r="N392" s="33"/>
      <c r="O392" s="33"/>
      <c r="P392" s="33"/>
      <c r="Q392" s="33"/>
      <c r="R392" s="33"/>
      <c r="S392" s="33"/>
      <c r="T392" s="124"/>
      <c r="U392" s="3"/>
      <c r="V392" s="3"/>
      <c r="W392" s="3"/>
      <c r="X392" s="3"/>
      <c r="Y392" s="3"/>
      <c r="Z392" s="3"/>
    </row>
    <row r="393" spans="1:26" ht="15.75" customHeight="1">
      <c r="A393" s="3"/>
      <c r="B393" s="3"/>
      <c r="C393" s="3"/>
      <c r="D393" s="33"/>
      <c r="E393" s="33"/>
      <c r="F393" s="33"/>
      <c r="G393" s="33"/>
      <c r="H393" s="33"/>
      <c r="I393" s="33"/>
      <c r="J393" s="33"/>
      <c r="K393" s="33"/>
      <c r="L393" s="33"/>
      <c r="M393" s="33"/>
      <c r="N393" s="33"/>
      <c r="O393" s="33"/>
      <c r="P393" s="33"/>
      <c r="Q393" s="33"/>
      <c r="R393" s="33"/>
      <c r="S393" s="33"/>
      <c r="T393" s="124"/>
      <c r="U393" s="3"/>
      <c r="V393" s="3"/>
      <c r="W393" s="3"/>
      <c r="X393" s="3"/>
      <c r="Y393" s="3"/>
      <c r="Z393" s="3"/>
    </row>
    <row r="394" spans="1:26" ht="15.75" customHeight="1">
      <c r="A394" s="3"/>
      <c r="B394" s="3"/>
      <c r="C394" s="3"/>
      <c r="D394" s="33"/>
      <c r="E394" s="33"/>
      <c r="F394" s="33"/>
      <c r="G394" s="33"/>
      <c r="H394" s="33"/>
      <c r="I394" s="33"/>
      <c r="J394" s="33"/>
      <c r="K394" s="33"/>
      <c r="L394" s="33"/>
      <c r="M394" s="33"/>
      <c r="N394" s="33"/>
      <c r="O394" s="33"/>
      <c r="P394" s="33"/>
      <c r="Q394" s="33"/>
      <c r="R394" s="33"/>
      <c r="S394" s="33"/>
      <c r="T394" s="124"/>
      <c r="U394" s="3"/>
      <c r="V394" s="3"/>
      <c r="W394" s="3"/>
      <c r="X394" s="3"/>
      <c r="Y394" s="3"/>
      <c r="Z394" s="3"/>
    </row>
    <row r="395" spans="1:26" ht="15.75" customHeight="1">
      <c r="A395" s="3"/>
      <c r="B395" s="3"/>
      <c r="C395" s="3"/>
      <c r="D395" s="33"/>
      <c r="E395" s="33"/>
      <c r="F395" s="33"/>
      <c r="G395" s="33"/>
      <c r="H395" s="33"/>
      <c r="I395" s="33"/>
      <c r="J395" s="33"/>
      <c r="K395" s="33"/>
      <c r="L395" s="33"/>
      <c r="M395" s="33"/>
      <c r="N395" s="33"/>
      <c r="O395" s="33"/>
      <c r="P395" s="33"/>
      <c r="Q395" s="33"/>
      <c r="R395" s="33"/>
      <c r="S395" s="33"/>
      <c r="T395" s="124"/>
      <c r="U395" s="3"/>
      <c r="V395" s="3"/>
      <c r="W395" s="3"/>
      <c r="X395" s="3"/>
      <c r="Y395" s="3"/>
      <c r="Z395" s="3"/>
    </row>
    <row r="396" spans="1:26" ht="15.75" customHeight="1">
      <c r="A396" s="3"/>
      <c r="B396" s="3"/>
      <c r="C396" s="3"/>
      <c r="D396" s="33"/>
      <c r="E396" s="33"/>
      <c r="F396" s="33"/>
      <c r="G396" s="33"/>
      <c r="H396" s="33"/>
      <c r="I396" s="33"/>
      <c r="J396" s="33"/>
      <c r="K396" s="33"/>
      <c r="L396" s="33"/>
      <c r="M396" s="33"/>
      <c r="N396" s="33"/>
      <c r="O396" s="33"/>
      <c r="P396" s="33"/>
      <c r="Q396" s="33"/>
      <c r="R396" s="33"/>
      <c r="S396" s="33"/>
      <c r="T396" s="124"/>
      <c r="U396" s="3"/>
      <c r="V396" s="3"/>
      <c r="W396" s="3"/>
      <c r="X396" s="3"/>
      <c r="Y396" s="3"/>
      <c r="Z396" s="3"/>
    </row>
    <row r="397" spans="1:26" ht="15.75" customHeight="1">
      <c r="A397" s="3"/>
      <c r="B397" s="3"/>
      <c r="C397" s="3"/>
      <c r="D397" s="33"/>
      <c r="E397" s="33"/>
      <c r="F397" s="33"/>
      <c r="G397" s="33"/>
      <c r="H397" s="33"/>
      <c r="I397" s="33"/>
      <c r="J397" s="33"/>
      <c r="K397" s="33"/>
      <c r="L397" s="33"/>
      <c r="M397" s="33"/>
      <c r="N397" s="33"/>
      <c r="O397" s="33"/>
      <c r="P397" s="33"/>
      <c r="Q397" s="33"/>
      <c r="R397" s="33"/>
      <c r="S397" s="33"/>
      <c r="T397" s="124"/>
      <c r="U397" s="3"/>
      <c r="V397" s="3"/>
      <c r="W397" s="3"/>
      <c r="X397" s="3"/>
      <c r="Y397" s="3"/>
      <c r="Z397" s="3"/>
    </row>
    <row r="398" spans="1:26" ht="15.75" customHeight="1">
      <c r="A398" s="3"/>
      <c r="B398" s="3"/>
      <c r="C398" s="3"/>
      <c r="D398" s="33"/>
      <c r="E398" s="33"/>
      <c r="F398" s="33"/>
      <c r="G398" s="33"/>
      <c r="H398" s="33"/>
      <c r="I398" s="33"/>
      <c r="J398" s="33"/>
      <c r="K398" s="33"/>
      <c r="L398" s="33"/>
      <c r="M398" s="33"/>
      <c r="N398" s="33"/>
      <c r="O398" s="33"/>
      <c r="P398" s="33"/>
      <c r="Q398" s="33"/>
      <c r="R398" s="33"/>
      <c r="S398" s="33"/>
      <c r="T398" s="124"/>
      <c r="U398" s="3"/>
      <c r="V398" s="3"/>
      <c r="W398" s="3"/>
      <c r="X398" s="3"/>
      <c r="Y398" s="3"/>
      <c r="Z398" s="3"/>
    </row>
    <row r="399" spans="1:26" ht="15.75" customHeight="1">
      <c r="A399" s="3"/>
      <c r="B399" s="3"/>
      <c r="C399" s="3"/>
      <c r="D399" s="33"/>
      <c r="E399" s="33"/>
      <c r="F399" s="33"/>
      <c r="G399" s="33"/>
      <c r="H399" s="33"/>
      <c r="I399" s="33"/>
      <c r="J399" s="33"/>
      <c r="K399" s="33"/>
      <c r="L399" s="33"/>
      <c r="M399" s="33"/>
      <c r="N399" s="33"/>
      <c r="O399" s="33"/>
      <c r="P399" s="33"/>
      <c r="Q399" s="33"/>
      <c r="R399" s="33"/>
      <c r="S399" s="33"/>
      <c r="T399" s="124"/>
      <c r="U399" s="3"/>
      <c r="V399" s="3"/>
      <c r="W399" s="3"/>
      <c r="X399" s="3"/>
      <c r="Y399" s="3"/>
      <c r="Z399" s="3"/>
    </row>
    <row r="400" spans="1:26" ht="15.75" customHeight="1">
      <c r="A400" s="3"/>
      <c r="B400" s="3"/>
      <c r="C400" s="3"/>
      <c r="D400" s="33"/>
      <c r="E400" s="33"/>
      <c r="F400" s="33"/>
      <c r="G400" s="33"/>
      <c r="H400" s="33"/>
      <c r="I400" s="33"/>
      <c r="J400" s="33"/>
      <c r="K400" s="33"/>
      <c r="L400" s="33"/>
      <c r="M400" s="33"/>
      <c r="N400" s="33"/>
      <c r="O400" s="33"/>
      <c r="P400" s="33"/>
      <c r="Q400" s="33"/>
      <c r="R400" s="33"/>
      <c r="S400" s="33"/>
      <c r="T400" s="124"/>
      <c r="U400" s="3"/>
      <c r="V400" s="3"/>
      <c r="W400" s="3"/>
      <c r="X400" s="3"/>
      <c r="Y400" s="3"/>
      <c r="Z400" s="3"/>
    </row>
    <row r="401" spans="1:26" ht="15.75" customHeight="1">
      <c r="A401" s="3"/>
      <c r="B401" s="3"/>
      <c r="C401" s="3"/>
      <c r="D401" s="33"/>
      <c r="E401" s="33"/>
      <c r="F401" s="33"/>
      <c r="G401" s="33"/>
      <c r="H401" s="33"/>
      <c r="I401" s="33"/>
      <c r="J401" s="33"/>
      <c r="K401" s="33"/>
      <c r="L401" s="33"/>
      <c r="M401" s="33"/>
      <c r="N401" s="33"/>
      <c r="O401" s="33"/>
      <c r="P401" s="33"/>
      <c r="Q401" s="33"/>
      <c r="R401" s="33"/>
      <c r="S401" s="33"/>
      <c r="T401" s="124"/>
      <c r="U401" s="3"/>
      <c r="V401" s="3"/>
      <c r="W401" s="3"/>
      <c r="X401" s="3"/>
      <c r="Y401" s="3"/>
      <c r="Z401" s="3"/>
    </row>
    <row r="402" spans="1:26" ht="15.75" customHeight="1">
      <c r="A402" s="3"/>
      <c r="B402" s="3"/>
      <c r="C402" s="3"/>
      <c r="D402" s="33"/>
      <c r="E402" s="33"/>
      <c r="F402" s="33"/>
      <c r="G402" s="33"/>
      <c r="H402" s="33"/>
      <c r="I402" s="33"/>
      <c r="J402" s="33"/>
      <c r="K402" s="33"/>
      <c r="L402" s="33"/>
      <c r="M402" s="33"/>
      <c r="N402" s="33"/>
      <c r="O402" s="33"/>
      <c r="P402" s="33"/>
      <c r="Q402" s="33"/>
      <c r="R402" s="33"/>
      <c r="S402" s="33"/>
      <c r="T402" s="124"/>
      <c r="U402" s="3"/>
      <c r="V402" s="3"/>
      <c r="W402" s="3"/>
      <c r="X402" s="3"/>
      <c r="Y402" s="3"/>
      <c r="Z402" s="3"/>
    </row>
    <row r="403" spans="1:26" ht="15.75" customHeight="1">
      <c r="A403" s="3"/>
      <c r="B403" s="3"/>
      <c r="C403" s="3"/>
      <c r="D403" s="33"/>
      <c r="E403" s="33"/>
      <c r="F403" s="33"/>
      <c r="G403" s="33"/>
      <c r="H403" s="33"/>
      <c r="I403" s="33"/>
      <c r="J403" s="33"/>
      <c r="K403" s="33"/>
      <c r="L403" s="33"/>
      <c r="M403" s="33"/>
      <c r="N403" s="33"/>
      <c r="O403" s="33"/>
      <c r="P403" s="33"/>
      <c r="Q403" s="33"/>
      <c r="R403" s="33"/>
      <c r="S403" s="33"/>
      <c r="T403" s="124"/>
      <c r="U403" s="3"/>
      <c r="V403" s="3"/>
      <c r="W403" s="3"/>
      <c r="X403" s="3"/>
      <c r="Y403" s="3"/>
      <c r="Z403" s="3"/>
    </row>
    <row r="404" spans="1:26" ht="15.75" customHeight="1">
      <c r="A404" s="3"/>
      <c r="B404" s="3"/>
      <c r="C404" s="3"/>
      <c r="D404" s="33"/>
      <c r="E404" s="33"/>
      <c r="F404" s="33"/>
      <c r="G404" s="33"/>
      <c r="H404" s="33"/>
      <c r="I404" s="33"/>
      <c r="J404" s="33"/>
      <c r="K404" s="33"/>
      <c r="L404" s="33"/>
      <c r="M404" s="33"/>
      <c r="N404" s="33"/>
      <c r="O404" s="33"/>
      <c r="P404" s="33"/>
      <c r="Q404" s="33"/>
      <c r="R404" s="33"/>
      <c r="S404" s="33"/>
      <c r="T404" s="124"/>
      <c r="U404" s="3"/>
      <c r="V404" s="3"/>
      <c r="W404" s="3"/>
      <c r="X404" s="3"/>
      <c r="Y404" s="3"/>
      <c r="Z404" s="3"/>
    </row>
    <row r="405" spans="1:26" ht="15.75" customHeight="1">
      <c r="A405" s="3"/>
      <c r="B405" s="3"/>
      <c r="C405" s="3"/>
      <c r="D405" s="33"/>
      <c r="E405" s="33"/>
      <c r="F405" s="33"/>
      <c r="G405" s="33"/>
      <c r="H405" s="33"/>
      <c r="I405" s="33"/>
      <c r="J405" s="33"/>
      <c r="K405" s="33"/>
      <c r="L405" s="33"/>
      <c r="M405" s="33"/>
      <c r="N405" s="33"/>
      <c r="O405" s="33"/>
      <c r="P405" s="33"/>
      <c r="Q405" s="33"/>
      <c r="R405" s="33"/>
      <c r="S405" s="33"/>
      <c r="T405" s="124"/>
      <c r="U405" s="3"/>
      <c r="V405" s="3"/>
      <c r="W405" s="3"/>
      <c r="X405" s="3"/>
      <c r="Y405" s="3"/>
      <c r="Z405" s="3"/>
    </row>
    <row r="406" spans="1:26" ht="15.75" customHeight="1">
      <c r="A406" s="3"/>
      <c r="B406" s="3"/>
      <c r="C406" s="3"/>
      <c r="D406" s="33"/>
      <c r="E406" s="33"/>
      <c r="F406" s="33"/>
      <c r="G406" s="33"/>
      <c r="H406" s="33"/>
      <c r="I406" s="33"/>
      <c r="J406" s="33"/>
      <c r="K406" s="33"/>
      <c r="L406" s="33"/>
      <c r="M406" s="33"/>
      <c r="N406" s="33"/>
      <c r="O406" s="33"/>
      <c r="P406" s="33"/>
      <c r="Q406" s="33"/>
      <c r="R406" s="33"/>
      <c r="S406" s="33"/>
      <c r="T406" s="124"/>
      <c r="U406" s="3"/>
      <c r="V406" s="3"/>
      <c r="W406" s="3"/>
      <c r="X406" s="3"/>
      <c r="Y406" s="3"/>
      <c r="Z406" s="3"/>
    </row>
    <row r="407" spans="1:26" ht="15.75" customHeight="1">
      <c r="A407" s="3"/>
      <c r="B407" s="3"/>
      <c r="C407" s="3"/>
      <c r="D407" s="33"/>
      <c r="E407" s="33"/>
      <c r="F407" s="33"/>
      <c r="G407" s="33"/>
      <c r="H407" s="33"/>
      <c r="I407" s="33"/>
      <c r="J407" s="33"/>
      <c r="K407" s="33"/>
      <c r="L407" s="33"/>
      <c r="M407" s="33"/>
      <c r="N407" s="33"/>
      <c r="O407" s="33"/>
      <c r="P407" s="33"/>
      <c r="Q407" s="33"/>
      <c r="R407" s="33"/>
      <c r="S407" s="33"/>
      <c r="T407" s="124"/>
      <c r="U407" s="3"/>
      <c r="V407" s="3"/>
      <c r="W407" s="3"/>
      <c r="X407" s="3"/>
      <c r="Y407" s="3"/>
      <c r="Z407" s="3"/>
    </row>
    <row r="408" spans="1:26" ht="15.75" customHeight="1">
      <c r="A408" s="3"/>
      <c r="B408" s="3"/>
      <c r="C408" s="3"/>
      <c r="D408" s="33"/>
      <c r="E408" s="33"/>
      <c r="F408" s="33"/>
      <c r="G408" s="33"/>
      <c r="H408" s="33"/>
      <c r="I408" s="33"/>
      <c r="J408" s="33"/>
      <c r="K408" s="33"/>
      <c r="L408" s="33"/>
      <c r="M408" s="33"/>
      <c r="N408" s="33"/>
      <c r="O408" s="33"/>
      <c r="P408" s="33"/>
      <c r="Q408" s="33"/>
      <c r="R408" s="33"/>
      <c r="S408" s="33"/>
      <c r="T408" s="124"/>
      <c r="U408" s="3"/>
      <c r="V408" s="3"/>
      <c r="W408" s="3"/>
      <c r="X408" s="3"/>
      <c r="Y408" s="3"/>
      <c r="Z408" s="3"/>
    </row>
    <row r="409" spans="1:26" ht="15.75" customHeight="1">
      <c r="A409" s="3"/>
      <c r="B409" s="3"/>
      <c r="C409" s="3"/>
      <c r="D409" s="33"/>
      <c r="E409" s="33"/>
      <c r="F409" s="33"/>
      <c r="G409" s="33"/>
      <c r="H409" s="33"/>
      <c r="I409" s="33"/>
      <c r="J409" s="33"/>
      <c r="K409" s="33"/>
      <c r="L409" s="33"/>
      <c r="M409" s="33"/>
      <c r="N409" s="33"/>
      <c r="O409" s="33"/>
      <c r="P409" s="33"/>
      <c r="Q409" s="33"/>
      <c r="R409" s="33"/>
      <c r="S409" s="33"/>
      <c r="T409" s="124"/>
      <c r="U409" s="3"/>
      <c r="V409" s="3"/>
      <c r="W409" s="3"/>
      <c r="X409" s="3"/>
      <c r="Y409" s="3"/>
      <c r="Z409" s="3"/>
    </row>
    <row r="410" spans="1:26" ht="15.75" customHeight="1">
      <c r="A410" s="3"/>
      <c r="B410" s="3"/>
      <c r="C410" s="3"/>
      <c r="D410" s="33"/>
      <c r="E410" s="33"/>
      <c r="F410" s="33"/>
      <c r="G410" s="33"/>
      <c r="H410" s="33"/>
      <c r="I410" s="33"/>
      <c r="J410" s="33"/>
      <c r="K410" s="33"/>
      <c r="L410" s="33"/>
      <c r="M410" s="33"/>
      <c r="N410" s="33"/>
      <c r="O410" s="33"/>
      <c r="P410" s="33"/>
      <c r="Q410" s="33"/>
      <c r="R410" s="33"/>
      <c r="S410" s="33"/>
      <c r="T410" s="124"/>
      <c r="U410" s="3"/>
      <c r="V410" s="3"/>
      <c r="W410" s="3"/>
      <c r="X410" s="3"/>
      <c r="Y410" s="3"/>
      <c r="Z410" s="3"/>
    </row>
    <row r="411" spans="1:26" ht="15.75" customHeight="1">
      <c r="A411" s="3"/>
      <c r="B411" s="3"/>
      <c r="C411" s="3"/>
      <c r="D411" s="33"/>
      <c r="E411" s="33"/>
      <c r="F411" s="33"/>
      <c r="G411" s="33"/>
      <c r="H411" s="33"/>
      <c r="I411" s="33"/>
      <c r="J411" s="33"/>
      <c r="K411" s="33"/>
      <c r="L411" s="33"/>
      <c r="M411" s="33"/>
      <c r="N411" s="33"/>
      <c r="O411" s="33"/>
      <c r="P411" s="33"/>
      <c r="Q411" s="33"/>
      <c r="R411" s="33"/>
      <c r="S411" s="33"/>
      <c r="T411" s="124"/>
      <c r="U411" s="3"/>
      <c r="V411" s="3"/>
      <c r="W411" s="3"/>
      <c r="X411" s="3"/>
      <c r="Y411" s="3"/>
      <c r="Z411" s="3"/>
    </row>
    <row r="412" spans="1:26" ht="15.75" customHeight="1">
      <c r="A412" s="3"/>
      <c r="B412" s="3"/>
      <c r="C412" s="3"/>
      <c r="D412" s="33"/>
      <c r="E412" s="33"/>
      <c r="F412" s="33"/>
      <c r="G412" s="33"/>
      <c r="H412" s="33"/>
      <c r="I412" s="33"/>
      <c r="J412" s="33"/>
      <c r="K412" s="33"/>
      <c r="L412" s="33"/>
      <c r="M412" s="33"/>
      <c r="N412" s="33"/>
      <c r="O412" s="33"/>
      <c r="P412" s="33"/>
      <c r="Q412" s="33"/>
      <c r="R412" s="33"/>
      <c r="S412" s="33"/>
      <c r="T412" s="124"/>
      <c r="U412" s="3"/>
      <c r="V412" s="3"/>
      <c r="W412" s="3"/>
      <c r="X412" s="3"/>
      <c r="Y412" s="3"/>
      <c r="Z412" s="3"/>
    </row>
    <row r="413" spans="1:26" ht="15.75" customHeight="1">
      <c r="A413" s="3"/>
      <c r="B413" s="3"/>
      <c r="C413" s="3"/>
      <c r="D413" s="33"/>
      <c r="E413" s="33"/>
      <c r="F413" s="33"/>
      <c r="G413" s="33"/>
      <c r="H413" s="33"/>
      <c r="I413" s="33"/>
      <c r="J413" s="33"/>
      <c r="K413" s="33"/>
      <c r="L413" s="33"/>
      <c r="M413" s="33"/>
      <c r="N413" s="33"/>
      <c r="O413" s="33"/>
      <c r="P413" s="33"/>
      <c r="Q413" s="33"/>
      <c r="R413" s="33"/>
      <c r="S413" s="33"/>
      <c r="T413" s="124"/>
      <c r="U413" s="3"/>
      <c r="V413" s="3"/>
      <c r="W413" s="3"/>
      <c r="X413" s="3"/>
      <c r="Y413" s="3"/>
      <c r="Z413" s="3"/>
    </row>
    <row r="414" spans="1:26" ht="15.75" customHeight="1">
      <c r="A414" s="3"/>
      <c r="B414" s="3"/>
      <c r="C414" s="3"/>
      <c r="D414" s="33"/>
      <c r="E414" s="33"/>
      <c r="F414" s="33"/>
      <c r="G414" s="33"/>
      <c r="H414" s="33"/>
      <c r="I414" s="33"/>
      <c r="J414" s="33"/>
      <c r="K414" s="33"/>
      <c r="L414" s="33"/>
      <c r="M414" s="33"/>
      <c r="N414" s="33"/>
      <c r="O414" s="33"/>
      <c r="P414" s="33"/>
      <c r="Q414" s="33"/>
      <c r="R414" s="33"/>
      <c r="S414" s="33"/>
      <c r="T414" s="124"/>
      <c r="U414" s="3"/>
      <c r="V414" s="3"/>
      <c r="W414" s="3"/>
      <c r="X414" s="3"/>
      <c r="Y414" s="3"/>
      <c r="Z414" s="3"/>
    </row>
    <row r="415" spans="1:26" ht="15.75" customHeight="1">
      <c r="A415" s="3"/>
      <c r="B415" s="3"/>
      <c r="C415" s="3"/>
      <c r="D415" s="33"/>
      <c r="E415" s="33"/>
      <c r="F415" s="33"/>
      <c r="G415" s="33"/>
      <c r="H415" s="33"/>
      <c r="I415" s="33"/>
      <c r="J415" s="33"/>
      <c r="K415" s="33"/>
      <c r="L415" s="33"/>
      <c r="M415" s="33"/>
      <c r="N415" s="33"/>
      <c r="O415" s="33"/>
      <c r="P415" s="33"/>
      <c r="Q415" s="33"/>
      <c r="R415" s="33"/>
      <c r="S415" s="33"/>
      <c r="T415" s="124"/>
      <c r="U415" s="3"/>
      <c r="V415" s="3"/>
      <c r="W415" s="3"/>
      <c r="X415" s="3"/>
      <c r="Y415" s="3"/>
      <c r="Z415" s="3"/>
    </row>
    <row r="416" spans="1:26" ht="15.75" customHeight="1">
      <c r="A416" s="3"/>
      <c r="B416" s="3"/>
      <c r="C416" s="3"/>
      <c r="D416" s="33"/>
      <c r="E416" s="33"/>
      <c r="F416" s="33"/>
      <c r="G416" s="33"/>
      <c r="H416" s="33"/>
      <c r="I416" s="33"/>
      <c r="J416" s="33"/>
      <c r="K416" s="33"/>
      <c r="L416" s="33"/>
      <c r="M416" s="33"/>
      <c r="N416" s="33"/>
      <c r="O416" s="33"/>
      <c r="P416" s="33"/>
      <c r="Q416" s="33"/>
      <c r="R416" s="33"/>
      <c r="S416" s="33"/>
      <c r="T416" s="124"/>
      <c r="U416" s="3"/>
      <c r="V416" s="3"/>
      <c r="W416" s="3"/>
      <c r="X416" s="3"/>
      <c r="Y416" s="3"/>
      <c r="Z416" s="3"/>
    </row>
    <row r="417" spans="1:26" ht="15.75" customHeight="1">
      <c r="A417" s="3"/>
      <c r="B417" s="3"/>
      <c r="C417" s="3"/>
      <c r="D417" s="33"/>
      <c r="E417" s="33"/>
      <c r="F417" s="33"/>
      <c r="G417" s="33"/>
      <c r="H417" s="33"/>
      <c r="I417" s="33"/>
      <c r="J417" s="33"/>
      <c r="K417" s="33"/>
      <c r="L417" s="33"/>
      <c r="M417" s="33"/>
      <c r="N417" s="33"/>
      <c r="O417" s="33"/>
      <c r="P417" s="33"/>
      <c r="Q417" s="33"/>
      <c r="R417" s="33"/>
      <c r="S417" s="33"/>
      <c r="T417" s="124"/>
      <c r="U417" s="3"/>
      <c r="V417" s="3"/>
      <c r="W417" s="3"/>
      <c r="X417" s="3"/>
      <c r="Y417" s="3"/>
      <c r="Z417" s="3"/>
    </row>
    <row r="418" spans="1:26" ht="15.75" customHeight="1">
      <c r="A418" s="3"/>
      <c r="B418" s="3"/>
      <c r="C418" s="3"/>
      <c r="D418" s="33"/>
      <c r="E418" s="33"/>
      <c r="F418" s="33"/>
      <c r="G418" s="33"/>
      <c r="H418" s="33"/>
      <c r="I418" s="33"/>
      <c r="J418" s="33"/>
      <c r="K418" s="33"/>
      <c r="L418" s="33"/>
      <c r="M418" s="33"/>
      <c r="N418" s="33"/>
      <c r="O418" s="33"/>
      <c r="P418" s="33"/>
      <c r="Q418" s="33"/>
      <c r="R418" s="33"/>
      <c r="S418" s="33"/>
      <c r="T418" s="124"/>
      <c r="U418" s="3"/>
      <c r="V418" s="3"/>
      <c r="W418" s="3"/>
      <c r="X418" s="3"/>
      <c r="Y418" s="3"/>
      <c r="Z418" s="3"/>
    </row>
    <row r="419" spans="1:26" ht="15.75" customHeight="1">
      <c r="A419" s="3"/>
      <c r="B419" s="3"/>
      <c r="C419" s="3"/>
      <c r="D419" s="33"/>
      <c r="E419" s="33"/>
      <c r="F419" s="33"/>
      <c r="G419" s="33"/>
      <c r="H419" s="33"/>
      <c r="I419" s="33"/>
      <c r="J419" s="33"/>
      <c r="K419" s="33"/>
      <c r="L419" s="33"/>
      <c r="M419" s="33"/>
      <c r="N419" s="33"/>
      <c r="O419" s="33"/>
      <c r="P419" s="33"/>
      <c r="Q419" s="33"/>
      <c r="R419" s="33"/>
      <c r="S419" s="33"/>
      <c r="T419" s="124"/>
      <c r="U419" s="3"/>
      <c r="V419" s="3"/>
      <c r="W419" s="3"/>
      <c r="X419" s="3"/>
      <c r="Y419" s="3"/>
      <c r="Z419" s="3"/>
    </row>
    <row r="420" spans="1:26" ht="15.75" customHeight="1">
      <c r="A420" s="3"/>
      <c r="B420" s="3"/>
      <c r="C420" s="3"/>
      <c r="D420" s="33"/>
      <c r="E420" s="33"/>
      <c r="F420" s="33"/>
      <c r="G420" s="33"/>
      <c r="H420" s="33"/>
      <c r="I420" s="33"/>
      <c r="J420" s="33"/>
      <c r="K420" s="33"/>
      <c r="L420" s="33"/>
      <c r="M420" s="33"/>
      <c r="N420" s="33"/>
      <c r="O420" s="33"/>
      <c r="P420" s="33"/>
      <c r="Q420" s="33"/>
      <c r="R420" s="33"/>
      <c r="S420" s="33"/>
      <c r="T420" s="124"/>
      <c r="U420" s="3"/>
      <c r="V420" s="3"/>
      <c r="W420" s="3"/>
      <c r="X420" s="3"/>
      <c r="Y420" s="3"/>
      <c r="Z420" s="3"/>
    </row>
    <row r="421" spans="1:26" ht="15.75" customHeight="1">
      <c r="A421" s="3"/>
      <c r="B421" s="3"/>
      <c r="C421" s="3"/>
      <c r="D421" s="33"/>
      <c r="E421" s="33"/>
      <c r="F421" s="33"/>
      <c r="G421" s="33"/>
      <c r="H421" s="33"/>
      <c r="I421" s="33"/>
      <c r="J421" s="33"/>
      <c r="K421" s="33"/>
      <c r="L421" s="33"/>
      <c r="M421" s="33"/>
      <c r="N421" s="33"/>
      <c r="O421" s="33"/>
      <c r="P421" s="33"/>
      <c r="Q421" s="33"/>
      <c r="R421" s="33"/>
      <c r="S421" s="33"/>
      <c r="T421" s="124"/>
      <c r="U421" s="3"/>
      <c r="V421" s="3"/>
      <c r="W421" s="3"/>
      <c r="X421" s="3"/>
      <c r="Y421" s="3"/>
      <c r="Z421" s="3"/>
    </row>
    <row r="422" spans="1:26" ht="15.75" customHeight="1">
      <c r="A422" s="3"/>
      <c r="B422" s="3"/>
      <c r="C422" s="3"/>
      <c r="D422" s="33"/>
      <c r="E422" s="33"/>
      <c r="F422" s="33"/>
      <c r="G422" s="33"/>
      <c r="H422" s="33"/>
      <c r="I422" s="33"/>
      <c r="J422" s="33"/>
      <c r="K422" s="33"/>
      <c r="L422" s="33"/>
      <c r="M422" s="33"/>
      <c r="N422" s="33"/>
      <c r="O422" s="33"/>
      <c r="P422" s="33"/>
      <c r="Q422" s="33"/>
      <c r="R422" s="33"/>
      <c r="S422" s="33"/>
      <c r="T422" s="124"/>
      <c r="U422" s="3"/>
      <c r="V422" s="3"/>
      <c r="W422" s="3"/>
      <c r="X422" s="3"/>
      <c r="Y422" s="3"/>
      <c r="Z422" s="3"/>
    </row>
    <row r="423" spans="1:26" ht="15.75" customHeight="1">
      <c r="A423" s="3"/>
      <c r="B423" s="3"/>
      <c r="C423" s="3"/>
      <c r="D423" s="33"/>
      <c r="E423" s="33"/>
      <c r="F423" s="33"/>
      <c r="G423" s="33"/>
      <c r="H423" s="33"/>
      <c r="I423" s="33"/>
      <c r="J423" s="33"/>
      <c r="K423" s="33"/>
      <c r="L423" s="33"/>
      <c r="M423" s="33"/>
      <c r="N423" s="33"/>
      <c r="O423" s="33"/>
      <c r="P423" s="33"/>
      <c r="Q423" s="33"/>
      <c r="R423" s="33"/>
      <c r="S423" s="33"/>
      <c r="T423" s="124"/>
      <c r="U423" s="3"/>
      <c r="V423" s="3"/>
      <c r="W423" s="3"/>
      <c r="X423" s="3"/>
      <c r="Y423" s="3"/>
      <c r="Z423" s="3"/>
    </row>
    <row r="424" spans="1:26" ht="15.75" customHeight="1">
      <c r="A424" s="3"/>
      <c r="B424" s="3"/>
      <c r="C424" s="3"/>
      <c r="D424" s="33"/>
      <c r="E424" s="33"/>
      <c r="F424" s="33"/>
      <c r="G424" s="33"/>
      <c r="H424" s="33"/>
      <c r="I424" s="33"/>
      <c r="J424" s="33"/>
      <c r="K424" s="33"/>
      <c r="L424" s="33"/>
      <c r="M424" s="33"/>
      <c r="N424" s="33"/>
      <c r="O424" s="33"/>
      <c r="P424" s="33"/>
      <c r="Q424" s="33"/>
      <c r="R424" s="33"/>
      <c r="S424" s="33"/>
      <c r="T424" s="124"/>
      <c r="U424" s="3"/>
      <c r="V424" s="3"/>
      <c r="W424" s="3"/>
      <c r="X424" s="3"/>
      <c r="Y424" s="3"/>
      <c r="Z424" s="3"/>
    </row>
    <row r="425" spans="1:26" ht="15.75" customHeight="1">
      <c r="A425" s="3"/>
      <c r="B425" s="3"/>
      <c r="C425" s="3"/>
      <c r="D425" s="33"/>
      <c r="E425" s="33"/>
      <c r="F425" s="33"/>
      <c r="G425" s="33"/>
      <c r="H425" s="33"/>
      <c r="I425" s="33"/>
      <c r="J425" s="33"/>
      <c r="K425" s="33"/>
      <c r="L425" s="33"/>
      <c r="M425" s="33"/>
      <c r="N425" s="33"/>
      <c r="O425" s="33"/>
      <c r="P425" s="33"/>
      <c r="Q425" s="33"/>
      <c r="R425" s="33"/>
      <c r="S425" s="33"/>
      <c r="T425" s="124"/>
      <c r="U425" s="3"/>
      <c r="V425" s="3"/>
      <c r="W425" s="3"/>
      <c r="X425" s="3"/>
      <c r="Y425" s="3"/>
      <c r="Z425" s="3"/>
    </row>
    <row r="426" spans="1:26" ht="15.75" customHeight="1">
      <c r="A426" s="3"/>
      <c r="B426" s="3"/>
      <c r="C426" s="3"/>
      <c r="D426" s="33"/>
      <c r="E426" s="33"/>
      <c r="F426" s="33"/>
      <c r="G426" s="33"/>
      <c r="H426" s="33"/>
      <c r="I426" s="33"/>
      <c r="J426" s="33"/>
      <c r="K426" s="33"/>
      <c r="L426" s="33"/>
      <c r="M426" s="33"/>
      <c r="N426" s="33"/>
      <c r="O426" s="33"/>
      <c r="P426" s="33"/>
      <c r="Q426" s="33"/>
      <c r="R426" s="33"/>
      <c r="S426" s="33"/>
      <c r="T426" s="124"/>
      <c r="U426" s="3"/>
      <c r="V426" s="3"/>
      <c r="W426" s="3"/>
      <c r="X426" s="3"/>
      <c r="Y426" s="3"/>
      <c r="Z426" s="3"/>
    </row>
    <row r="427" spans="1:26" ht="15.75" customHeight="1">
      <c r="A427" s="3"/>
      <c r="B427" s="3"/>
      <c r="C427" s="3"/>
      <c r="D427" s="33"/>
      <c r="E427" s="33"/>
      <c r="F427" s="33"/>
      <c r="G427" s="33"/>
      <c r="H427" s="33"/>
      <c r="I427" s="33"/>
      <c r="J427" s="33"/>
      <c r="K427" s="33"/>
      <c r="L427" s="33"/>
      <c r="M427" s="33"/>
      <c r="N427" s="33"/>
      <c r="O427" s="33"/>
      <c r="P427" s="33"/>
      <c r="Q427" s="33"/>
      <c r="R427" s="33"/>
      <c r="S427" s="33"/>
      <c r="T427" s="124"/>
      <c r="U427" s="3"/>
      <c r="V427" s="3"/>
      <c r="W427" s="3"/>
      <c r="X427" s="3"/>
      <c r="Y427" s="3"/>
      <c r="Z427" s="3"/>
    </row>
    <row r="428" spans="1:26" ht="15.75" customHeight="1">
      <c r="A428" s="3"/>
      <c r="B428" s="3"/>
      <c r="C428" s="3"/>
      <c r="D428" s="33"/>
      <c r="E428" s="33"/>
      <c r="F428" s="33"/>
      <c r="G428" s="33"/>
      <c r="H428" s="33"/>
      <c r="I428" s="33"/>
      <c r="J428" s="33"/>
      <c r="K428" s="33"/>
      <c r="L428" s="33"/>
      <c r="M428" s="33"/>
      <c r="N428" s="33"/>
      <c r="O428" s="33"/>
      <c r="P428" s="33"/>
      <c r="Q428" s="33"/>
      <c r="R428" s="33"/>
      <c r="S428" s="33"/>
      <c r="T428" s="124"/>
      <c r="U428" s="3"/>
      <c r="V428" s="3"/>
      <c r="W428" s="3"/>
      <c r="X428" s="3"/>
      <c r="Y428" s="3"/>
      <c r="Z428" s="3"/>
    </row>
    <row r="429" spans="1:26" ht="15.75" customHeight="1">
      <c r="A429" s="3"/>
      <c r="B429" s="3"/>
      <c r="C429" s="3"/>
      <c r="D429" s="33"/>
      <c r="E429" s="33"/>
      <c r="F429" s="33"/>
      <c r="G429" s="33"/>
      <c r="H429" s="33"/>
      <c r="I429" s="33"/>
      <c r="J429" s="33"/>
      <c r="K429" s="33"/>
      <c r="L429" s="33"/>
      <c r="M429" s="33"/>
      <c r="N429" s="33"/>
      <c r="O429" s="33"/>
      <c r="P429" s="33"/>
      <c r="Q429" s="33"/>
      <c r="R429" s="33"/>
      <c r="S429" s="33"/>
      <c r="T429" s="124"/>
      <c r="U429" s="3"/>
      <c r="V429" s="3"/>
      <c r="W429" s="3"/>
      <c r="X429" s="3"/>
      <c r="Y429" s="3"/>
      <c r="Z429" s="3"/>
    </row>
    <row r="430" spans="1:26" ht="15.75" customHeight="1">
      <c r="A430" s="3"/>
      <c r="B430" s="3"/>
      <c r="C430" s="3"/>
      <c r="D430" s="33"/>
      <c r="E430" s="33"/>
      <c r="F430" s="33"/>
      <c r="G430" s="33"/>
      <c r="H430" s="33"/>
      <c r="I430" s="33"/>
      <c r="J430" s="33"/>
      <c r="K430" s="33"/>
      <c r="L430" s="33"/>
      <c r="M430" s="33"/>
      <c r="N430" s="33"/>
      <c r="O430" s="33"/>
      <c r="P430" s="33"/>
      <c r="Q430" s="33"/>
      <c r="R430" s="33"/>
      <c r="S430" s="33"/>
      <c r="T430" s="124"/>
      <c r="U430" s="3"/>
      <c r="V430" s="3"/>
      <c r="W430" s="3"/>
      <c r="X430" s="3"/>
      <c r="Y430" s="3"/>
      <c r="Z430" s="3"/>
    </row>
    <row r="431" spans="1:26" ht="15.75" customHeight="1">
      <c r="A431" s="3"/>
      <c r="B431" s="3"/>
      <c r="C431" s="3"/>
      <c r="D431" s="33"/>
      <c r="E431" s="33"/>
      <c r="F431" s="33"/>
      <c r="G431" s="33"/>
      <c r="H431" s="33"/>
      <c r="I431" s="33"/>
      <c r="J431" s="33"/>
      <c r="K431" s="33"/>
      <c r="L431" s="33"/>
      <c r="M431" s="33"/>
      <c r="N431" s="33"/>
      <c r="O431" s="33"/>
      <c r="P431" s="33"/>
      <c r="Q431" s="33"/>
      <c r="R431" s="33"/>
      <c r="S431" s="33"/>
      <c r="T431" s="124"/>
      <c r="U431" s="3"/>
      <c r="V431" s="3"/>
      <c r="W431" s="3"/>
      <c r="X431" s="3"/>
      <c r="Y431" s="3"/>
      <c r="Z431" s="3"/>
    </row>
    <row r="432" spans="1:26" ht="15.75" customHeight="1">
      <c r="A432" s="3"/>
      <c r="B432" s="3"/>
      <c r="C432" s="3"/>
      <c r="D432" s="33"/>
      <c r="E432" s="33"/>
      <c r="F432" s="33"/>
      <c r="G432" s="33"/>
      <c r="H432" s="33"/>
      <c r="I432" s="33"/>
      <c r="J432" s="33"/>
      <c r="K432" s="33"/>
      <c r="L432" s="33"/>
      <c r="M432" s="33"/>
      <c r="N432" s="33"/>
      <c r="O432" s="33"/>
      <c r="P432" s="33"/>
      <c r="Q432" s="33"/>
      <c r="R432" s="33"/>
      <c r="S432" s="33"/>
      <c r="T432" s="124"/>
      <c r="U432" s="3"/>
      <c r="V432" s="3"/>
      <c r="W432" s="3"/>
      <c r="X432" s="3"/>
      <c r="Y432" s="3"/>
      <c r="Z432" s="3"/>
    </row>
    <row r="433" spans="1:26" ht="15.75" customHeight="1">
      <c r="A433" s="3"/>
      <c r="B433" s="3"/>
      <c r="C433" s="3"/>
      <c r="D433" s="33"/>
      <c r="E433" s="33"/>
      <c r="F433" s="33"/>
      <c r="G433" s="33"/>
      <c r="H433" s="33"/>
      <c r="I433" s="33"/>
      <c r="J433" s="33"/>
      <c r="K433" s="33"/>
      <c r="L433" s="33"/>
      <c r="M433" s="33"/>
      <c r="N433" s="33"/>
      <c r="O433" s="33"/>
      <c r="P433" s="33"/>
      <c r="Q433" s="33"/>
      <c r="R433" s="33"/>
      <c r="S433" s="33"/>
      <c r="T433" s="124"/>
      <c r="U433" s="3"/>
      <c r="V433" s="3"/>
      <c r="W433" s="3"/>
      <c r="X433" s="3"/>
      <c r="Y433" s="3"/>
      <c r="Z433" s="3"/>
    </row>
    <row r="434" spans="1:26" ht="15.75" customHeight="1">
      <c r="A434" s="3"/>
      <c r="B434" s="3"/>
      <c r="C434" s="3"/>
      <c r="D434" s="33"/>
      <c r="E434" s="33"/>
      <c r="F434" s="33"/>
      <c r="G434" s="33"/>
      <c r="H434" s="33"/>
      <c r="I434" s="33"/>
      <c r="J434" s="33"/>
      <c r="K434" s="33"/>
      <c r="L434" s="33"/>
      <c r="M434" s="33"/>
      <c r="N434" s="33"/>
      <c r="O434" s="33"/>
      <c r="P434" s="33"/>
      <c r="Q434" s="33"/>
      <c r="R434" s="33"/>
      <c r="S434" s="33"/>
      <c r="T434" s="124"/>
      <c r="U434" s="3"/>
      <c r="V434" s="3"/>
      <c r="W434" s="3"/>
      <c r="X434" s="3"/>
      <c r="Y434" s="3"/>
      <c r="Z434" s="3"/>
    </row>
    <row r="435" spans="1:26" ht="15.75" customHeight="1">
      <c r="A435" s="3"/>
      <c r="B435" s="3"/>
      <c r="C435" s="3"/>
      <c r="D435" s="33"/>
      <c r="E435" s="33"/>
      <c r="F435" s="33"/>
      <c r="G435" s="33"/>
      <c r="H435" s="33"/>
      <c r="I435" s="33"/>
      <c r="J435" s="33"/>
      <c r="K435" s="33"/>
      <c r="L435" s="33"/>
      <c r="M435" s="33"/>
      <c r="N435" s="33"/>
      <c r="O435" s="33"/>
      <c r="P435" s="33"/>
      <c r="Q435" s="33"/>
      <c r="R435" s="33"/>
      <c r="S435" s="33"/>
      <c r="T435" s="124"/>
      <c r="U435" s="3"/>
      <c r="V435" s="3"/>
      <c r="W435" s="3"/>
      <c r="X435" s="3"/>
      <c r="Y435" s="3"/>
      <c r="Z435" s="3"/>
    </row>
    <row r="436" spans="1:26" ht="15.75" customHeight="1">
      <c r="A436" s="3"/>
      <c r="B436" s="3"/>
      <c r="C436" s="3"/>
      <c r="D436" s="33"/>
      <c r="E436" s="33"/>
      <c r="F436" s="33"/>
      <c r="G436" s="33"/>
      <c r="H436" s="33"/>
      <c r="I436" s="33"/>
      <c r="J436" s="33"/>
      <c r="K436" s="33"/>
      <c r="L436" s="33"/>
      <c r="M436" s="33"/>
      <c r="N436" s="33"/>
      <c r="O436" s="33"/>
      <c r="P436" s="33"/>
      <c r="Q436" s="33"/>
      <c r="R436" s="33"/>
      <c r="S436" s="33"/>
      <c r="T436" s="124"/>
      <c r="U436" s="3"/>
      <c r="V436" s="3"/>
      <c r="W436" s="3"/>
      <c r="X436" s="3"/>
      <c r="Y436" s="3"/>
      <c r="Z436" s="3"/>
    </row>
    <row r="437" spans="1:26" ht="15.75" customHeight="1">
      <c r="A437" s="3"/>
      <c r="B437" s="3"/>
      <c r="C437" s="3"/>
      <c r="D437" s="33"/>
      <c r="E437" s="33"/>
      <c r="F437" s="33"/>
      <c r="G437" s="33"/>
      <c r="H437" s="33"/>
      <c r="I437" s="33"/>
      <c r="J437" s="33"/>
      <c r="K437" s="33"/>
      <c r="L437" s="33"/>
      <c r="M437" s="33"/>
      <c r="N437" s="33"/>
      <c r="O437" s="33"/>
      <c r="P437" s="33"/>
      <c r="Q437" s="33"/>
      <c r="R437" s="33"/>
      <c r="S437" s="33"/>
      <c r="T437" s="124"/>
      <c r="U437" s="3"/>
      <c r="V437" s="3"/>
      <c r="W437" s="3"/>
      <c r="X437" s="3"/>
      <c r="Y437" s="3"/>
      <c r="Z437" s="3"/>
    </row>
    <row r="438" spans="1:26" ht="15.75" customHeight="1">
      <c r="A438" s="3"/>
      <c r="B438" s="3"/>
      <c r="C438" s="3"/>
      <c r="D438" s="33"/>
      <c r="E438" s="33"/>
      <c r="F438" s="33"/>
      <c r="G438" s="33"/>
      <c r="H438" s="33"/>
      <c r="I438" s="33"/>
      <c r="J438" s="33"/>
      <c r="K438" s="33"/>
      <c r="L438" s="33"/>
      <c r="M438" s="33"/>
      <c r="N438" s="33"/>
      <c r="O438" s="33"/>
      <c r="P438" s="33"/>
      <c r="Q438" s="33"/>
      <c r="R438" s="33"/>
      <c r="S438" s="33"/>
      <c r="T438" s="124"/>
      <c r="U438" s="3"/>
      <c r="V438" s="3"/>
      <c r="W438" s="3"/>
      <c r="X438" s="3"/>
      <c r="Y438" s="3"/>
      <c r="Z438" s="3"/>
    </row>
    <row r="439" spans="1:26" ht="15.75" customHeight="1">
      <c r="A439" s="3"/>
      <c r="B439" s="3"/>
      <c r="C439" s="3"/>
      <c r="D439" s="33"/>
      <c r="E439" s="33"/>
      <c r="F439" s="33"/>
      <c r="G439" s="33"/>
      <c r="H439" s="33"/>
      <c r="I439" s="33"/>
      <c r="J439" s="33"/>
      <c r="K439" s="33"/>
      <c r="L439" s="33"/>
      <c r="M439" s="33"/>
      <c r="N439" s="33"/>
      <c r="O439" s="33"/>
      <c r="P439" s="33"/>
      <c r="Q439" s="33"/>
      <c r="R439" s="33"/>
      <c r="S439" s="33"/>
      <c r="T439" s="124"/>
      <c r="U439" s="3"/>
      <c r="V439" s="3"/>
      <c r="W439" s="3"/>
      <c r="X439" s="3"/>
      <c r="Y439" s="3"/>
      <c r="Z439" s="3"/>
    </row>
    <row r="440" spans="1:26" ht="15.75" customHeight="1">
      <c r="A440" s="3"/>
      <c r="B440" s="3"/>
      <c r="C440" s="3"/>
      <c r="D440" s="33"/>
      <c r="E440" s="33"/>
      <c r="F440" s="33"/>
      <c r="G440" s="33"/>
      <c r="H440" s="33"/>
      <c r="I440" s="33"/>
      <c r="J440" s="33"/>
      <c r="K440" s="33"/>
      <c r="L440" s="33"/>
      <c r="M440" s="33"/>
      <c r="N440" s="33"/>
      <c r="O440" s="33"/>
      <c r="P440" s="33"/>
      <c r="Q440" s="33"/>
      <c r="R440" s="33"/>
      <c r="S440" s="33"/>
      <c r="T440" s="124"/>
      <c r="U440" s="3"/>
      <c r="V440" s="3"/>
      <c r="W440" s="3"/>
      <c r="X440" s="3"/>
      <c r="Y440" s="3"/>
      <c r="Z440" s="3"/>
    </row>
    <row r="441" spans="1:26" ht="15.75" customHeight="1">
      <c r="A441" s="3"/>
      <c r="B441" s="3"/>
      <c r="C441" s="3"/>
      <c r="D441" s="33"/>
      <c r="E441" s="33"/>
      <c r="F441" s="33"/>
      <c r="G441" s="33"/>
      <c r="H441" s="33"/>
      <c r="I441" s="33"/>
      <c r="J441" s="33"/>
      <c r="K441" s="33"/>
      <c r="L441" s="33"/>
      <c r="M441" s="33"/>
      <c r="N441" s="33"/>
      <c r="O441" s="33"/>
      <c r="P441" s="33"/>
      <c r="Q441" s="33"/>
      <c r="R441" s="33"/>
      <c r="S441" s="33"/>
      <c r="T441" s="124"/>
      <c r="U441" s="3"/>
      <c r="V441" s="3"/>
      <c r="W441" s="3"/>
      <c r="X441" s="3"/>
      <c r="Y441" s="3"/>
      <c r="Z441" s="3"/>
    </row>
    <row r="442" spans="1:26" ht="15.75" customHeight="1">
      <c r="A442" s="3"/>
      <c r="B442" s="3"/>
      <c r="C442" s="3"/>
      <c r="D442" s="33"/>
      <c r="E442" s="33"/>
      <c r="F442" s="33"/>
      <c r="G442" s="33"/>
      <c r="H442" s="33"/>
      <c r="I442" s="33"/>
      <c r="J442" s="33"/>
      <c r="K442" s="33"/>
      <c r="L442" s="33"/>
      <c r="M442" s="33"/>
      <c r="N442" s="33"/>
      <c r="O442" s="33"/>
      <c r="P442" s="33"/>
      <c r="Q442" s="33"/>
      <c r="R442" s="33"/>
      <c r="S442" s="33"/>
      <c r="T442" s="124"/>
      <c r="U442" s="3"/>
      <c r="V442" s="3"/>
      <c r="W442" s="3"/>
      <c r="X442" s="3"/>
      <c r="Y442" s="3"/>
      <c r="Z442" s="3"/>
    </row>
    <row r="443" spans="1:26" ht="15.75" customHeight="1">
      <c r="A443" s="3"/>
      <c r="B443" s="3"/>
      <c r="C443" s="3"/>
      <c r="D443" s="33"/>
      <c r="E443" s="33"/>
      <c r="F443" s="33"/>
      <c r="G443" s="33"/>
      <c r="H443" s="33"/>
      <c r="I443" s="33"/>
      <c r="J443" s="33"/>
      <c r="K443" s="33"/>
      <c r="L443" s="33"/>
      <c r="M443" s="33"/>
      <c r="N443" s="33"/>
      <c r="O443" s="33"/>
      <c r="P443" s="33"/>
      <c r="Q443" s="33"/>
      <c r="R443" s="33"/>
      <c r="S443" s="33"/>
      <c r="T443" s="124"/>
      <c r="U443" s="3"/>
      <c r="V443" s="3"/>
      <c r="W443" s="3"/>
      <c r="X443" s="3"/>
      <c r="Y443" s="3"/>
      <c r="Z443" s="3"/>
    </row>
    <row r="444" spans="1:26" ht="15.75" customHeight="1">
      <c r="A444" s="3"/>
      <c r="B444" s="3"/>
      <c r="C444" s="3"/>
      <c r="D444" s="33"/>
      <c r="E444" s="33"/>
      <c r="F444" s="33"/>
      <c r="G444" s="33"/>
      <c r="H444" s="33"/>
      <c r="I444" s="33"/>
      <c r="J444" s="33"/>
      <c r="K444" s="33"/>
      <c r="L444" s="33"/>
      <c r="M444" s="33"/>
      <c r="N444" s="33"/>
      <c r="O444" s="33"/>
      <c r="P444" s="33"/>
      <c r="Q444" s="33"/>
      <c r="R444" s="33"/>
      <c r="S444" s="33"/>
      <c r="T444" s="124"/>
      <c r="U444" s="3"/>
      <c r="V444" s="3"/>
      <c r="W444" s="3"/>
      <c r="X444" s="3"/>
      <c r="Y444" s="3"/>
      <c r="Z444" s="3"/>
    </row>
    <row r="445" spans="1:26" ht="15.75" customHeight="1">
      <c r="A445" s="3"/>
      <c r="B445" s="3"/>
      <c r="C445" s="3"/>
      <c r="D445" s="33"/>
      <c r="E445" s="33"/>
      <c r="F445" s="33"/>
      <c r="G445" s="33"/>
      <c r="H445" s="33"/>
      <c r="I445" s="33"/>
      <c r="J445" s="33"/>
      <c r="K445" s="33"/>
      <c r="L445" s="33"/>
      <c r="M445" s="33"/>
      <c r="N445" s="33"/>
      <c r="O445" s="33"/>
      <c r="P445" s="33"/>
      <c r="Q445" s="33"/>
      <c r="R445" s="33"/>
      <c r="S445" s="33"/>
      <c r="T445" s="124"/>
      <c r="U445" s="3"/>
      <c r="V445" s="3"/>
      <c r="W445" s="3"/>
      <c r="X445" s="3"/>
      <c r="Y445" s="3"/>
      <c r="Z445" s="3"/>
    </row>
    <row r="446" spans="1:26" ht="15.75" customHeight="1">
      <c r="A446" s="3"/>
      <c r="B446" s="3"/>
      <c r="C446" s="3"/>
      <c r="D446" s="33"/>
      <c r="E446" s="33"/>
      <c r="F446" s="33"/>
      <c r="G446" s="33"/>
      <c r="H446" s="33"/>
      <c r="I446" s="33"/>
      <c r="J446" s="33"/>
      <c r="K446" s="33"/>
      <c r="L446" s="33"/>
      <c r="M446" s="33"/>
      <c r="N446" s="33"/>
      <c r="O446" s="33"/>
      <c r="P446" s="33"/>
      <c r="Q446" s="33"/>
      <c r="R446" s="33"/>
      <c r="S446" s="33"/>
      <c r="T446" s="124"/>
      <c r="U446" s="3"/>
      <c r="V446" s="3"/>
      <c r="W446" s="3"/>
      <c r="X446" s="3"/>
      <c r="Y446" s="3"/>
      <c r="Z446" s="3"/>
    </row>
    <row r="447" spans="1:26" ht="15.75" customHeight="1">
      <c r="A447" s="3"/>
      <c r="B447" s="3"/>
      <c r="C447" s="3"/>
      <c r="D447" s="33"/>
      <c r="E447" s="33"/>
      <c r="F447" s="33"/>
      <c r="G447" s="33"/>
      <c r="H447" s="33"/>
      <c r="I447" s="33"/>
      <c r="J447" s="33"/>
      <c r="K447" s="33"/>
      <c r="L447" s="33"/>
      <c r="M447" s="33"/>
      <c r="N447" s="33"/>
      <c r="O447" s="33"/>
      <c r="P447" s="33"/>
      <c r="Q447" s="33"/>
      <c r="R447" s="33"/>
      <c r="S447" s="33"/>
      <c r="T447" s="124"/>
      <c r="U447" s="3"/>
      <c r="V447" s="3"/>
      <c r="W447" s="3"/>
      <c r="X447" s="3"/>
      <c r="Y447" s="3"/>
      <c r="Z447" s="3"/>
    </row>
    <row r="448" spans="1:26" ht="15.75" customHeight="1">
      <c r="A448" s="3"/>
      <c r="B448" s="3"/>
      <c r="C448" s="3"/>
      <c r="D448" s="33"/>
      <c r="E448" s="33"/>
      <c r="F448" s="33"/>
      <c r="G448" s="33"/>
      <c r="H448" s="33"/>
      <c r="I448" s="33"/>
      <c r="J448" s="33"/>
      <c r="K448" s="33"/>
      <c r="L448" s="33"/>
      <c r="M448" s="33"/>
      <c r="N448" s="33"/>
      <c r="O448" s="33"/>
      <c r="P448" s="33"/>
      <c r="Q448" s="33"/>
      <c r="R448" s="33"/>
      <c r="S448" s="33"/>
      <c r="T448" s="124"/>
      <c r="U448" s="3"/>
      <c r="V448" s="3"/>
      <c r="W448" s="3"/>
      <c r="X448" s="3"/>
      <c r="Y448" s="3"/>
      <c r="Z448" s="3"/>
    </row>
    <row r="449" spans="1:26" ht="15.75" customHeight="1">
      <c r="A449" s="3"/>
      <c r="B449" s="3"/>
      <c r="C449" s="3"/>
      <c r="D449" s="33"/>
      <c r="E449" s="33"/>
      <c r="F449" s="33"/>
      <c r="G449" s="33"/>
      <c r="H449" s="33"/>
      <c r="I449" s="33"/>
      <c r="J449" s="33"/>
      <c r="K449" s="33"/>
      <c r="L449" s="33"/>
      <c r="M449" s="33"/>
      <c r="N449" s="33"/>
      <c r="O449" s="33"/>
      <c r="P449" s="33"/>
      <c r="Q449" s="33"/>
      <c r="R449" s="33"/>
      <c r="S449" s="33"/>
      <c r="T449" s="124"/>
      <c r="U449" s="3"/>
      <c r="V449" s="3"/>
      <c r="W449" s="3"/>
      <c r="X449" s="3"/>
      <c r="Y449" s="3"/>
      <c r="Z449" s="3"/>
    </row>
    <row r="450" spans="1:26" ht="15.75" customHeight="1">
      <c r="A450" s="3"/>
      <c r="B450" s="3"/>
      <c r="C450" s="3"/>
      <c r="D450" s="33"/>
      <c r="E450" s="33"/>
      <c r="F450" s="33"/>
      <c r="G450" s="33"/>
      <c r="H450" s="33"/>
      <c r="I450" s="33"/>
      <c r="J450" s="33"/>
      <c r="K450" s="33"/>
      <c r="L450" s="33"/>
      <c r="M450" s="33"/>
      <c r="N450" s="33"/>
      <c r="O450" s="33"/>
      <c r="P450" s="33"/>
      <c r="Q450" s="33"/>
      <c r="R450" s="33"/>
      <c r="S450" s="33"/>
      <c r="T450" s="124"/>
      <c r="U450" s="3"/>
      <c r="V450" s="3"/>
      <c r="W450" s="3"/>
      <c r="X450" s="3"/>
      <c r="Y450" s="3"/>
      <c r="Z450" s="3"/>
    </row>
    <row r="451" spans="1:26" ht="15.75" customHeight="1">
      <c r="A451" s="3"/>
      <c r="B451" s="3"/>
      <c r="C451" s="3"/>
      <c r="D451" s="33"/>
      <c r="E451" s="33"/>
      <c r="F451" s="33"/>
      <c r="G451" s="33"/>
      <c r="H451" s="33"/>
      <c r="I451" s="33"/>
      <c r="J451" s="33"/>
      <c r="K451" s="33"/>
      <c r="L451" s="33"/>
      <c r="M451" s="33"/>
      <c r="N451" s="33"/>
      <c r="O451" s="33"/>
      <c r="P451" s="33"/>
      <c r="Q451" s="33"/>
      <c r="R451" s="33"/>
      <c r="S451" s="33"/>
      <c r="T451" s="124"/>
      <c r="U451" s="3"/>
      <c r="V451" s="3"/>
      <c r="W451" s="3"/>
      <c r="X451" s="3"/>
      <c r="Y451" s="3"/>
      <c r="Z451" s="3"/>
    </row>
    <row r="452" spans="1:26" ht="15.75" customHeight="1">
      <c r="A452" s="3"/>
      <c r="B452" s="3"/>
      <c r="C452" s="3"/>
      <c r="D452" s="33"/>
      <c r="E452" s="33"/>
      <c r="F452" s="33"/>
      <c r="G452" s="33"/>
      <c r="H452" s="33"/>
      <c r="I452" s="33"/>
      <c r="J452" s="33"/>
      <c r="K452" s="33"/>
      <c r="L452" s="33"/>
      <c r="M452" s="33"/>
      <c r="N452" s="33"/>
      <c r="O452" s="33"/>
      <c r="P452" s="33"/>
      <c r="Q452" s="33"/>
      <c r="R452" s="33"/>
      <c r="S452" s="33"/>
      <c r="T452" s="124"/>
      <c r="U452" s="3"/>
      <c r="V452" s="3"/>
      <c r="W452" s="3"/>
      <c r="X452" s="3"/>
      <c r="Y452" s="3"/>
      <c r="Z452" s="3"/>
    </row>
    <row r="453" spans="1:26" ht="15.75" customHeight="1">
      <c r="A453" s="3"/>
      <c r="B453" s="3"/>
      <c r="C453" s="3"/>
      <c r="D453" s="33"/>
      <c r="E453" s="33"/>
      <c r="F453" s="33"/>
      <c r="G453" s="33"/>
      <c r="H453" s="33"/>
      <c r="I453" s="33"/>
      <c r="J453" s="33"/>
      <c r="K453" s="33"/>
      <c r="L453" s="33"/>
      <c r="M453" s="33"/>
      <c r="N453" s="33"/>
      <c r="O453" s="33"/>
      <c r="P453" s="33"/>
      <c r="Q453" s="33"/>
      <c r="R453" s="33"/>
      <c r="S453" s="33"/>
      <c r="T453" s="124"/>
      <c r="U453" s="3"/>
      <c r="V453" s="3"/>
      <c r="W453" s="3"/>
      <c r="X453" s="3"/>
      <c r="Y453" s="3"/>
      <c r="Z453" s="3"/>
    </row>
    <row r="454" spans="1:26" ht="15.75" customHeight="1">
      <c r="A454" s="3"/>
      <c r="B454" s="3"/>
      <c r="C454" s="3"/>
      <c r="D454" s="33"/>
      <c r="E454" s="33"/>
      <c r="F454" s="33"/>
      <c r="G454" s="33"/>
      <c r="H454" s="33"/>
      <c r="I454" s="33"/>
      <c r="J454" s="33"/>
      <c r="K454" s="33"/>
      <c r="L454" s="33"/>
      <c r="M454" s="33"/>
      <c r="N454" s="33"/>
      <c r="O454" s="33"/>
      <c r="P454" s="33"/>
      <c r="Q454" s="33"/>
      <c r="R454" s="33"/>
      <c r="S454" s="33"/>
      <c r="T454" s="124"/>
      <c r="U454" s="3"/>
      <c r="V454" s="3"/>
      <c r="W454" s="3"/>
      <c r="X454" s="3"/>
      <c r="Y454" s="3"/>
      <c r="Z454" s="3"/>
    </row>
    <row r="455" spans="1:26" ht="15.75" customHeight="1">
      <c r="A455" s="3"/>
      <c r="B455" s="3"/>
      <c r="C455" s="3"/>
      <c r="D455" s="33"/>
      <c r="E455" s="33"/>
      <c r="F455" s="33"/>
      <c r="G455" s="33"/>
      <c r="H455" s="33"/>
      <c r="I455" s="33"/>
      <c r="J455" s="33"/>
      <c r="K455" s="33"/>
      <c r="L455" s="33"/>
      <c r="M455" s="33"/>
      <c r="N455" s="33"/>
      <c r="O455" s="33"/>
      <c r="P455" s="33"/>
      <c r="Q455" s="33"/>
      <c r="R455" s="33"/>
      <c r="S455" s="33"/>
      <c r="T455" s="124"/>
      <c r="U455" s="3"/>
      <c r="V455" s="3"/>
      <c r="W455" s="3"/>
      <c r="X455" s="3"/>
      <c r="Y455" s="3"/>
      <c r="Z455" s="3"/>
    </row>
    <row r="456" spans="1:26" ht="15.75" customHeight="1">
      <c r="A456" s="3"/>
      <c r="B456" s="3"/>
      <c r="C456" s="3"/>
      <c r="D456" s="33"/>
      <c r="E456" s="33"/>
      <c r="F456" s="33"/>
      <c r="G456" s="33"/>
      <c r="H456" s="33"/>
      <c r="I456" s="33"/>
      <c r="J456" s="33"/>
      <c r="K456" s="33"/>
      <c r="L456" s="33"/>
      <c r="M456" s="33"/>
      <c r="N456" s="33"/>
      <c r="O456" s="33"/>
      <c r="P456" s="33"/>
      <c r="Q456" s="33"/>
      <c r="R456" s="33"/>
      <c r="S456" s="33"/>
      <c r="T456" s="124"/>
      <c r="U456" s="3"/>
      <c r="V456" s="3"/>
      <c r="W456" s="3"/>
      <c r="X456" s="3"/>
      <c r="Y456" s="3"/>
      <c r="Z456" s="3"/>
    </row>
    <row r="457" spans="1:26" ht="15.75" customHeight="1">
      <c r="A457" s="3"/>
      <c r="B457" s="3"/>
      <c r="C457" s="3"/>
      <c r="D457" s="33"/>
      <c r="E457" s="33"/>
      <c r="F457" s="33"/>
      <c r="G457" s="33"/>
      <c r="H457" s="33"/>
      <c r="I457" s="33"/>
      <c r="J457" s="33"/>
      <c r="K457" s="33"/>
      <c r="L457" s="33"/>
      <c r="M457" s="33"/>
      <c r="N457" s="33"/>
      <c r="O457" s="33"/>
      <c r="P457" s="33"/>
      <c r="Q457" s="33"/>
      <c r="R457" s="33"/>
      <c r="S457" s="33"/>
      <c r="T457" s="124"/>
      <c r="U457" s="3"/>
      <c r="V457" s="3"/>
      <c r="W457" s="3"/>
      <c r="X457" s="3"/>
      <c r="Y457" s="3"/>
      <c r="Z457" s="3"/>
    </row>
    <row r="458" spans="1:26" ht="15.75" customHeight="1">
      <c r="A458" s="3"/>
      <c r="B458" s="3"/>
      <c r="C458" s="3"/>
      <c r="D458" s="33"/>
      <c r="E458" s="33"/>
      <c r="F458" s="33"/>
      <c r="G458" s="33"/>
      <c r="H458" s="33"/>
      <c r="I458" s="33"/>
      <c r="J458" s="33"/>
      <c r="K458" s="33"/>
      <c r="L458" s="33"/>
      <c r="M458" s="33"/>
      <c r="N458" s="33"/>
      <c r="O458" s="33"/>
      <c r="P458" s="33"/>
      <c r="Q458" s="33"/>
      <c r="R458" s="33"/>
      <c r="S458" s="33"/>
      <c r="T458" s="124"/>
      <c r="U458" s="3"/>
      <c r="V458" s="3"/>
      <c r="W458" s="3"/>
      <c r="X458" s="3"/>
      <c r="Y458" s="3"/>
      <c r="Z458" s="3"/>
    </row>
    <row r="459" spans="1:26" ht="15.75" customHeight="1">
      <c r="A459" s="3"/>
      <c r="B459" s="3"/>
      <c r="C459" s="3"/>
      <c r="D459" s="33"/>
      <c r="E459" s="33"/>
      <c r="F459" s="33"/>
      <c r="G459" s="33"/>
      <c r="H459" s="33"/>
      <c r="I459" s="33"/>
      <c r="J459" s="33"/>
      <c r="K459" s="33"/>
      <c r="L459" s="33"/>
      <c r="M459" s="33"/>
      <c r="N459" s="33"/>
      <c r="O459" s="33"/>
      <c r="P459" s="33"/>
      <c r="Q459" s="33"/>
      <c r="R459" s="33"/>
      <c r="S459" s="33"/>
      <c r="T459" s="124"/>
      <c r="U459" s="3"/>
      <c r="V459" s="3"/>
      <c r="W459" s="3"/>
      <c r="X459" s="3"/>
      <c r="Y459" s="3"/>
      <c r="Z459" s="3"/>
    </row>
    <row r="460" spans="1:26" ht="15.75" customHeight="1">
      <c r="A460" s="3"/>
      <c r="B460" s="3"/>
      <c r="C460" s="3"/>
      <c r="D460" s="33"/>
      <c r="E460" s="33"/>
      <c r="F460" s="33"/>
      <c r="G460" s="33"/>
      <c r="H460" s="33"/>
      <c r="I460" s="33"/>
      <c r="J460" s="33"/>
      <c r="K460" s="33"/>
      <c r="L460" s="33"/>
      <c r="M460" s="33"/>
      <c r="N460" s="33"/>
      <c r="O460" s="33"/>
      <c r="P460" s="33"/>
      <c r="Q460" s="33"/>
      <c r="R460" s="33"/>
      <c r="S460" s="33"/>
      <c r="T460" s="124"/>
      <c r="U460" s="3"/>
      <c r="V460" s="3"/>
      <c r="W460" s="3"/>
      <c r="X460" s="3"/>
      <c r="Y460" s="3"/>
      <c r="Z460" s="3"/>
    </row>
    <row r="461" spans="1:26" ht="15.75" customHeight="1">
      <c r="A461" s="3"/>
      <c r="B461" s="3"/>
      <c r="C461" s="3"/>
      <c r="D461" s="33"/>
      <c r="E461" s="33"/>
      <c r="F461" s="33"/>
      <c r="G461" s="33"/>
      <c r="H461" s="33"/>
      <c r="I461" s="33"/>
      <c r="J461" s="33"/>
      <c r="K461" s="33"/>
      <c r="L461" s="33"/>
      <c r="M461" s="33"/>
      <c r="N461" s="33"/>
      <c r="O461" s="33"/>
      <c r="P461" s="33"/>
      <c r="Q461" s="33"/>
      <c r="R461" s="33"/>
      <c r="S461" s="33"/>
      <c r="T461" s="124"/>
      <c r="U461" s="3"/>
      <c r="V461" s="3"/>
      <c r="W461" s="3"/>
      <c r="X461" s="3"/>
      <c r="Y461" s="3"/>
      <c r="Z461" s="3"/>
    </row>
    <row r="462" spans="1:26" ht="15.75" customHeight="1">
      <c r="A462" s="3"/>
      <c r="B462" s="3"/>
      <c r="C462" s="3"/>
      <c r="D462" s="33"/>
      <c r="E462" s="33"/>
      <c r="F462" s="33"/>
      <c r="G462" s="33"/>
      <c r="H462" s="33"/>
      <c r="I462" s="33"/>
      <c r="J462" s="33"/>
      <c r="K462" s="33"/>
      <c r="L462" s="33"/>
      <c r="M462" s="33"/>
      <c r="N462" s="33"/>
      <c r="O462" s="33"/>
      <c r="P462" s="33"/>
      <c r="Q462" s="33"/>
      <c r="R462" s="33"/>
      <c r="S462" s="33"/>
      <c r="T462" s="124"/>
      <c r="U462" s="3"/>
      <c r="V462" s="3"/>
      <c r="W462" s="3"/>
      <c r="X462" s="3"/>
      <c r="Y462" s="3"/>
      <c r="Z462" s="3"/>
    </row>
    <row r="463" spans="1:26" ht="15.75" customHeight="1">
      <c r="A463" s="3"/>
      <c r="B463" s="3"/>
      <c r="C463" s="3"/>
      <c r="D463" s="33"/>
      <c r="E463" s="33"/>
      <c r="F463" s="33"/>
      <c r="G463" s="33"/>
      <c r="H463" s="33"/>
      <c r="I463" s="33"/>
      <c r="J463" s="33"/>
      <c r="K463" s="33"/>
      <c r="L463" s="33"/>
      <c r="M463" s="33"/>
      <c r="N463" s="33"/>
      <c r="O463" s="33"/>
      <c r="P463" s="33"/>
      <c r="Q463" s="33"/>
      <c r="R463" s="33"/>
      <c r="S463" s="33"/>
      <c r="T463" s="124"/>
      <c r="U463" s="3"/>
      <c r="V463" s="3"/>
      <c r="W463" s="3"/>
      <c r="X463" s="3"/>
      <c r="Y463" s="3"/>
      <c r="Z463" s="3"/>
    </row>
    <row r="464" spans="1:26" ht="15.75" customHeight="1">
      <c r="A464" s="3"/>
      <c r="B464" s="3"/>
      <c r="C464" s="3"/>
      <c r="D464" s="33"/>
      <c r="E464" s="33"/>
      <c r="F464" s="33"/>
      <c r="G464" s="33"/>
      <c r="H464" s="33"/>
      <c r="I464" s="33"/>
      <c r="J464" s="33"/>
      <c r="K464" s="33"/>
      <c r="L464" s="33"/>
      <c r="M464" s="33"/>
      <c r="N464" s="33"/>
      <c r="O464" s="33"/>
      <c r="P464" s="33"/>
      <c r="Q464" s="33"/>
      <c r="R464" s="33"/>
      <c r="S464" s="33"/>
      <c r="T464" s="124"/>
      <c r="U464" s="3"/>
      <c r="V464" s="3"/>
      <c r="W464" s="3"/>
      <c r="X464" s="3"/>
      <c r="Y464" s="3"/>
      <c r="Z464" s="3"/>
    </row>
    <row r="465" spans="1:26" ht="15.75" customHeight="1">
      <c r="A465" s="3"/>
      <c r="B465" s="3"/>
      <c r="C465" s="3"/>
      <c r="D465" s="33"/>
      <c r="E465" s="33"/>
      <c r="F465" s="33"/>
      <c r="G465" s="33"/>
      <c r="H465" s="33"/>
      <c r="I465" s="33"/>
      <c r="J465" s="33"/>
      <c r="K465" s="33"/>
      <c r="L465" s="33"/>
      <c r="M465" s="33"/>
      <c r="N465" s="33"/>
      <c r="O465" s="33"/>
      <c r="P465" s="33"/>
      <c r="Q465" s="33"/>
      <c r="R465" s="33"/>
      <c r="S465" s="33"/>
      <c r="T465" s="124"/>
      <c r="U465" s="3"/>
      <c r="V465" s="3"/>
      <c r="W465" s="3"/>
      <c r="X465" s="3"/>
      <c r="Y465" s="3"/>
      <c r="Z465" s="3"/>
    </row>
    <row r="466" spans="1:26" ht="15.75" customHeight="1">
      <c r="A466" s="3"/>
      <c r="B466" s="3"/>
      <c r="C466" s="3"/>
      <c r="D466" s="33"/>
      <c r="E466" s="33"/>
      <c r="F466" s="33"/>
      <c r="G466" s="33"/>
      <c r="H466" s="33"/>
      <c r="I466" s="33"/>
      <c r="J466" s="33"/>
      <c r="K466" s="33"/>
      <c r="L466" s="33"/>
      <c r="M466" s="33"/>
      <c r="N466" s="33"/>
      <c r="O466" s="33"/>
      <c r="P466" s="33"/>
      <c r="Q466" s="33"/>
      <c r="R466" s="33"/>
      <c r="S466" s="33"/>
      <c r="T466" s="124"/>
      <c r="U466" s="3"/>
      <c r="V466" s="3"/>
      <c r="W466" s="3"/>
      <c r="X466" s="3"/>
      <c r="Y466" s="3"/>
      <c r="Z466" s="3"/>
    </row>
    <row r="467" spans="1:26" ht="15.75" customHeight="1">
      <c r="A467" s="3"/>
      <c r="B467" s="3"/>
      <c r="C467" s="3"/>
      <c r="D467" s="33"/>
      <c r="E467" s="33"/>
      <c r="F467" s="33"/>
      <c r="G467" s="33"/>
      <c r="H467" s="33"/>
      <c r="I467" s="33"/>
      <c r="J467" s="33"/>
      <c r="K467" s="33"/>
      <c r="L467" s="33"/>
      <c r="M467" s="33"/>
      <c r="N467" s="33"/>
      <c r="O467" s="33"/>
      <c r="P467" s="33"/>
      <c r="Q467" s="33"/>
      <c r="R467" s="33"/>
      <c r="S467" s="33"/>
      <c r="T467" s="124"/>
      <c r="U467" s="3"/>
      <c r="V467" s="3"/>
      <c r="W467" s="3"/>
      <c r="X467" s="3"/>
      <c r="Y467" s="3"/>
      <c r="Z467" s="3"/>
    </row>
    <row r="468" spans="1:26" ht="15.75" customHeight="1">
      <c r="A468" s="3"/>
      <c r="B468" s="3"/>
      <c r="C468" s="3"/>
      <c r="D468" s="33"/>
      <c r="E468" s="33"/>
      <c r="F468" s="33"/>
      <c r="G468" s="33"/>
      <c r="H468" s="33"/>
      <c r="I468" s="33"/>
      <c r="J468" s="33"/>
      <c r="K468" s="33"/>
      <c r="L468" s="33"/>
      <c r="M468" s="33"/>
      <c r="N468" s="33"/>
      <c r="O468" s="33"/>
      <c r="P468" s="33"/>
      <c r="Q468" s="33"/>
      <c r="R468" s="33"/>
      <c r="S468" s="33"/>
      <c r="T468" s="124"/>
      <c r="U468" s="3"/>
      <c r="V468" s="3"/>
      <c r="W468" s="3"/>
      <c r="X468" s="3"/>
      <c r="Y468" s="3"/>
      <c r="Z468" s="3"/>
    </row>
    <row r="469" spans="1:26" ht="15.75" customHeight="1">
      <c r="A469" s="3"/>
      <c r="B469" s="3"/>
      <c r="C469" s="3"/>
      <c r="D469" s="33"/>
      <c r="E469" s="33"/>
      <c r="F469" s="33"/>
      <c r="G469" s="33"/>
      <c r="H469" s="33"/>
      <c r="I469" s="33"/>
      <c r="J469" s="33"/>
      <c r="K469" s="33"/>
      <c r="L469" s="33"/>
      <c r="M469" s="33"/>
      <c r="N469" s="33"/>
      <c r="O469" s="33"/>
      <c r="P469" s="33"/>
      <c r="Q469" s="33"/>
      <c r="R469" s="33"/>
      <c r="S469" s="33"/>
      <c r="T469" s="124"/>
      <c r="U469" s="3"/>
      <c r="V469" s="3"/>
      <c r="W469" s="3"/>
      <c r="X469" s="3"/>
      <c r="Y469" s="3"/>
      <c r="Z469" s="3"/>
    </row>
    <row r="470" spans="1:26" ht="15.75" customHeight="1">
      <c r="A470" s="3"/>
      <c r="B470" s="3"/>
      <c r="C470" s="3"/>
      <c r="D470" s="33"/>
      <c r="E470" s="33"/>
      <c r="F470" s="33"/>
      <c r="G470" s="33"/>
      <c r="H470" s="33"/>
      <c r="I470" s="33"/>
      <c r="J470" s="33"/>
      <c r="K470" s="33"/>
      <c r="L470" s="33"/>
      <c r="M470" s="33"/>
      <c r="N470" s="33"/>
      <c r="O470" s="33"/>
      <c r="P470" s="33"/>
      <c r="Q470" s="33"/>
      <c r="R470" s="33"/>
      <c r="S470" s="33"/>
      <c r="T470" s="124"/>
      <c r="U470" s="3"/>
      <c r="V470" s="3"/>
      <c r="W470" s="3"/>
      <c r="X470" s="3"/>
      <c r="Y470" s="3"/>
      <c r="Z470" s="3"/>
    </row>
    <row r="471" spans="1:26" ht="15.75" customHeight="1">
      <c r="A471" s="3"/>
      <c r="B471" s="3"/>
      <c r="C471" s="3"/>
      <c r="D471" s="33"/>
      <c r="E471" s="33"/>
      <c r="F471" s="33"/>
      <c r="G471" s="33"/>
      <c r="H471" s="33"/>
      <c r="I471" s="33"/>
      <c r="J471" s="33"/>
      <c r="K471" s="33"/>
      <c r="L471" s="33"/>
      <c r="M471" s="33"/>
      <c r="N471" s="33"/>
      <c r="O471" s="33"/>
      <c r="P471" s="33"/>
      <c r="Q471" s="33"/>
      <c r="R471" s="33"/>
      <c r="S471" s="33"/>
      <c r="T471" s="124"/>
      <c r="U471" s="3"/>
      <c r="V471" s="3"/>
      <c r="W471" s="3"/>
      <c r="X471" s="3"/>
      <c r="Y471" s="3"/>
      <c r="Z471" s="3"/>
    </row>
    <row r="472" spans="1:26" ht="15.75" customHeight="1">
      <c r="A472" s="3"/>
      <c r="B472" s="3"/>
      <c r="C472" s="3"/>
      <c r="D472" s="33"/>
      <c r="E472" s="33"/>
      <c r="F472" s="33"/>
      <c r="G472" s="33"/>
      <c r="H472" s="33"/>
      <c r="I472" s="33"/>
      <c r="J472" s="33"/>
      <c r="K472" s="33"/>
      <c r="L472" s="33"/>
      <c r="M472" s="33"/>
      <c r="N472" s="33"/>
      <c r="O472" s="33"/>
      <c r="P472" s="33"/>
      <c r="Q472" s="33"/>
      <c r="R472" s="33"/>
      <c r="S472" s="33"/>
      <c r="T472" s="124"/>
      <c r="U472" s="3"/>
      <c r="V472" s="3"/>
      <c r="W472" s="3"/>
      <c r="X472" s="3"/>
      <c r="Y472" s="3"/>
      <c r="Z472" s="3"/>
    </row>
    <row r="473" spans="1:26" ht="15.75" customHeight="1">
      <c r="A473" s="3"/>
      <c r="B473" s="3"/>
      <c r="C473" s="3"/>
      <c r="D473" s="33"/>
      <c r="E473" s="33"/>
      <c r="F473" s="33"/>
      <c r="G473" s="33"/>
      <c r="H473" s="33"/>
      <c r="I473" s="33"/>
      <c r="J473" s="33"/>
      <c r="K473" s="33"/>
      <c r="L473" s="33"/>
      <c r="M473" s="33"/>
      <c r="N473" s="33"/>
      <c r="O473" s="33"/>
      <c r="P473" s="33"/>
      <c r="Q473" s="33"/>
      <c r="R473" s="33"/>
      <c r="S473" s="33"/>
      <c r="T473" s="124"/>
      <c r="U473" s="3"/>
      <c r="V473" s="3"/>
      <c r="W473" s="3"/>
      <c r="X473" s="3"/>
      <c r="Y473" s="3"/>
      <c r="Z473" s="3"/>
    </row>
    <row r="474" spans="1:26" ht="15.75" customHeight="1">
      <c r="A474" s="3"/>
      <c r="B474" s="3"/>
      <c r="C474" s="3"/>
      <c r="D474" s="33"/>
      <c r="E474" s="33"/>
      <c r="F474" s="33"/>
      <c r="G474" s="33"/>
      <c r="H474" s="33"/>
      <c r="I474" s="33"/>
      <c r="J474" s="33"/>
      <c r="K474" s="33"/>
      <c r="L474" s="33"/>
      <c r="M474" s="33"/>
      <c r="N474" s="33"/>
      <c r="O474" s="33"/>
      <c r="P474" s="33"/>
      <c r="Q474" s="33"/>
      <c r="R474" s="33"/>
      <c r="S474" s="33"/>
      <c r="T474" s="124"/>
      <c r="U474" s="3"/>
      <c r="V474" s="3"/>
      <c r="W474" s="3"/>
      <c r="X474" s="3"/>
      <c r="Y474" s="3"/>
      <c r="Z474" s="3"/>
    </row>
    <row r="475" spans="1:26" ht="15.75" customHeight="1">
      <c r="A475" s="3"/>
      <c r="B475" s="3"/>
      <c r="C475" s="3"/>
      <c r="D475" s="33"/>
      <c r="E475" s="33"/>
      <c r="F475" s="33"/>
      <c r="G475" s="33"/>
      <c r="H475" s="33"/>
      <c r="I475" s="33"/>
      <c r="J475" s="33"/>
      <c r="K475" s="33"/>
      <c r="L475" s="33"/>
      <c r="M475" s="33"/>
      <c r="N475" s="33"/>
      <c r="O475" s="33"/>
      <c r="P475" s="33"/>
      <c r="Q475" s="33"/>
      <c r="R475" s="33"/>
      <c r="S475" s="33"/>
      <c r="T475" s="124"/>
      <c r="U475" s="3"/>
      <c r="V475" s="3"/>
      <c r="W475" s="3"/>
      <c r="X475" s="3"/>
      <c r="Y475" s="3"/>
      <c r="Z475" s="3"/>
    </row>
    <row r="476" spans="1:26" ht="15.75" customHeight="1">
      <c r="A476" s="3"/>
      <c r="B476" s="3"/>
      <c r="C476" s="3"/>
      <c r="D476" s="33"/>
      <c r="E476" s="33"/>
      <c r="F476" s="33"/>
      <c r="G476" s="33"/>
      <c r="H476" s="33"/>
      <c r="I476" s="33"/>
      <c r="J476" s="33"/>
      <c r="K476" s="33"/>
      <c r="L476" s="33"/>
      <c r="M476" s="33"/>
      <c r="N476" s="33"/>
      <c r="O476" s="33"/>
      <c r="P476" s="33"/>
      <c r="Q476" s="33"/>
      <c r="R476" s="33"/>
      <c r="S476" s="33"/>
      <c r="T476" s="124"/>
      <c r="U476" s="3"/>
      <c r="V476" s="3"/>
      <c r="W476" s="3"/>
      <c r="X476" s="3"/>
      <c r="Y476" s="3"/>
      <c r="Z476" s="3"/>
    </row>
    <row r="477" spans="1:26" ht="15.75" customHeight="1">
      <c r="A477" s="3"/>
      <c r="B477" s="3"/>
      <c r="C477" s="3"/>
      <c r="D477" s="33"/>
      <c r="E477" s="33"/>
      <c r="F477" s="33"/>
      <c r="G477" s="33"/>
      <c r="H477" s="33"/>
      <c r="I477" s="33"/>
      <c r="J477" s="33"/>
      <c r="K477" s="33"/>
      <c r="L477" s="33"/>
      <c r="M477" s="33"/>
      <c r="N477" s="33"/>
      <c r="O477" s="33"/>
      <c r="P477" s="33"/>
      <c r="Q477" s="33"/>
      <c r="R477" s="33"/>
      <c r="S477" s="33"/>
      <c r="T477" s="124"/>
      <c r="U477" s="3"/>
      <c r="V477" s="3"/>
      <c r="W477" s="3"/>
      <c r="X477" s="3"/>
      <c r="Y477" s="3"/>
      <c r="Z477" s="3"/>
    </row>
    <row r="478" spans="1:26" ht="15.75" customHeight="1">
      <c r="A478" s="3"/>
      <c r="B478" s="3"/>
      <c r="C478" s="3"/>
      <c r="D478" s="33"/>
      <c r="E478" s="33"/>
      <c r="F478" s="33"/>
      <c r="G478" s="33"/>
      <c r="H478" s="33"/>
      <c r="I478" s="33"/>
      <c r="J478" s="33"/>
      <c r="K478" s="33"/>
      <c r="L478" s="33"/>
      <c r="M478" s="33"/>
      <c r="N478" s="33"/>
      <c r="O478" s="33"/>
      <c r="P478" s="33"/>
      <c r="Q478" s="33"/>
      <c r="R478" s="33"/>
      <c r="S478" s="33"/>
      <c r="T478" s="124"/>
      <c r="U478" s="3"/>
      <c r="V478" s="3"/>
      <c r="W478" s="3"/>
      <c r="X478" s="3"/>
      <c r="Y478" s="3"/>
      <c r="Z478" s="3"/>
    </row>
    <row r="479" spans="1:26" ht="15.75" customHeight="1">
      <c r="A479" s="3"/>
      <c r="B479" s="3"/>
      <c r="C479" s="3"/>
      <c r="D479" s="33"/>
      <c r="E479" s="33"/>
      <c r="F479" s="33"/>
      <c r="G479" s="33"/>
      <c r="H479" s="33"/>
      <c r="I479" s="33"/>
      <c r="J479" s="33"/>
      <c r="K479" s="33"/>
      <c r="L479" s="33"/>
      <c r="M479" s="33"/>
      <c r="N479" s="33"/>
      <c r="O479" s="33"/>
      <c r="P479" s="33"/>
      <c r="Q479" s="33"/>
      <c r="R479" s="33"/>
      <c r="S479" s="33"/>
      <c r="T479" s="124"/>
      <c r="U479" s="3"/>
      <c r="V479" s="3"/>
      <c r="W479" s="3"/>
      <c r="X479" s="3"/>
      <c r="Y479" s="3"/>
      <c r="Z479" s="3"/>
    </row>
    <row r="480" spans="1:26" ht="15.75" customHeight="1">
      <c r="A480" s="3"/>
      <c r="B480" s="3"/>
      <c r="C480" s="3"/>
      <c r="D480" s="33"/>
      <c r="E480" s="33"/>
      <c r="F480" s="33"/>
      <c r="G480" s="33"/>
      <c r="H480" s="33"/>
      <c r="I480" s="33"/>
      <c r="J480" s="33"/>
      <c r="K480" s="33"/>
      <c r="L480" s="33"/>
      <c r="M480" s="33"/>
      <c r="N480" s="33"/>
      <c r="O480" s="33"/>
      <c r="P480" s="33"/>
      <c r="Q480" s="33"/>
      <c r="R480" s="33"/>
      <c r="S480" s="33"/>
      <c r="T480" s="124"/>
      <c r="U480" s="3"/>
      <c r="V480" s="3"/>
      <c r="W480" s="3"/>
      <c r="X480" s="3"/>
      <c r="Y480" s="3"/>
      <c r="Z480" s="3"/>
    </row>
    <row r="481" spans="1:26" ht="15.75" customHeight="1">
      <c r="A481" s="3"/>
      <c r="B481" s="3"/>
      <c r="C481" s="3"/>
      <c r="D481" s="33"/>
      <c r="E481" s="33"/>
      <c r="F481" s="33"/>
      <c r="G481" s="33"/>
      <c r="H481" s="33"/>
      <c r="I481" s="33"/>
      <c r="J481" s="33"/>
      <c r="K481" s="33"/>
      <c r="L481" s="33"/>
      <c r="M481" s="33"/>
      <c r="N481" s="33"/>
      <c r="O481" s="33"/>
      <c r="P481" s="33"/>
      <c r="Q481" s="33"/>
      <c r="R481" s="33"/>
      <c r="S481" s="33"/>
      <c r="T481" s="124"/>
      <c r="U481" s="3"/>
      <c r="V481" s="3"/>
      <c r="W481" s="3"/>
      <c r="X481" s="3"/>
      <c r="Y481" s="3"/>
      <c r="Z481" s="3"/>
    </row>
    <row r="482" spans="1:26" ht="15.75" customHeight="1">
      <c r="A482" s="3"/>
      <c r="B482" s="3"/>
      <c r="C482" s="3"/>
      <c r="D482" s="33"/>
      <c r="E482" s="33"/>
      <c r="F482" s="33"/>
      <c r="G482" s="33"/>
      <c r="H482" s="33"/>
      <c r="I482" s="33"/>
      <c r="J482" s="33"/>
      <c r="K482" s="33"/>
      <c r="L482" s="33"/>
      <c r="M482" s="33"/>
      <c r="N482" s="33"/>
      <c r="O482" s="33"/>
      <c r="P482" s="33"/>
      <c r="Q482" s="33"/>
      <c r="R482" s="33"/>
      <c r="S482" s="33"/>
      <c r="T482" s="124"/>
      <c r="U482" s="3"/>
      <c r="V482" s="3"/>
      <c r="W482" s="3"/>
      <c r="X482" s="3"/>
      <c r="Y482" s="3"/>
      <c r="Z482" s="3"/>
    </row>
    <row r="483" spans="1:26" ht="15.75" customHeight="1">
      <c r="A483" s="3"/>
      <c r="B483" s="3"/>
      <c r="C483" s="3"/>
      <c r="D483" s="33"/>
      <c r="E483" s="33"/>
      <c r="F483" s="33"/>
      <c r="G483" s="33"/>
      <c r="H483" s="33"/>
      <c r="I483" s="33"/>
      <c r="J483" s="33"/>
      <c r="K483" s="33"/>
      <c r="L483" s="33"/>
      <c r="M483" s="33"/>
      <c r="N483" s="33"/>
      <c r="O483" s="33"/>
      <c r="P483" s="33"/>
      <c r="Q483" s="33"/>
      <c r="R483" s="33"/>
      <c r="S483" s="33"/>
      <c r="T483" s="124"/>
      <c r="U483" s="3"/>
      <c r="V483" s="3"/>
      <c r="W483" s="3"/>
      <c r="X483" s="3"/>
      <c r="Y483" s="3"/>
      <c r="Z483" s="3"/>
    </row>
    <row r="484" spans="1:26" ht="15.75" customHeight="1">
      <c r="A484" s="3"/>
      <c r="B484" s="3"/>
      <c r="C484" s="3"/>
      <c r="D484" s="33"/>
      <c r="E484" s="33"/>
      <c r="F484" s="33"/>
      <c r="G484" s="33"/>
      <c r="H484" s="33"/>
      <c r="I484" s="33"/>
      <c r="J484" s="33"/>
      <c r="K484" s="33"/>
      <c r="L484" s="33"/>
      <c r="M484" s="33"/>
      <c r="N484" s="33"/>
      <c r="O484" s="33"/>
      <c r="P484" s="33"/>
      <c r="Q484" s="33"/>
      <c r="R484" s="33"/>
      <c r="S484" s="33"/>
      <c r="T484" s="124"/>
      <c r="U484" s="3"/>
      <c r="V484" s="3"/>
      <c r="W484" s="3"/>
      <c r="X484" s="3"/>
      <c r="Y484" s="3"/>
      <c r="Z484" s="3"/>
    </row>
    <row r="485" spans="1:26" ht="15.75" customHeight="1">
      <c r="A485" s="3"/>
      <c r="B485" s="3"/>
      <c r="C485" s="3"/>
      <c r="D485" s="33"/>
      <c r="E485" s="33"/>
      <c r="F485" s="33"/>
      <c r="G485" s="33"/>
      <c r="H485" s="33"/>
      <c r="I485" s="33"/>
      <c r="J485" s="33"/>
      <c r="K485" s="33"/>
      <c r="L485" s="33"/>
      <c r="M485" s="33"/>
      <c r="N485" s="33"/>
      <c r="O485" s="33"/>
      <c r="P485" s="33"/>
      <c r="Q485" s="33"/>
      <c r="R485" s="33"/>
      <c r="S485" s="33"/>
      <c r="T485" s="124"/>
      <c r="U485" s="3"/>
      <c r="V485" s="3"/>
      <c r="W485" s="3"/>
      <c r="X485" s="3"/>
      <c r="Y485" s="3"/>
      <c r="Z485" s="3"/>
    </row>
    <row r="486" spans="1:26" ht="15.75" customHeight="1">
      <c r="A486" s="3"/>
      <c r="B486" s="3"/>
      <c r="C486" s="3"/>
      <c r="D486" s="33"/>
      <c r="E486" s="33"/>
      <c r="F486" s="33"/>
      <c r="G486" s="33"/>
      <c r="H486" s="33"/>
      <c r="I486" s="33"/>
      <c r="J486" s="33"/>
      <c r="K486" s="33"/>
      <c r="L486" s="33"/>
      <c r="M486" s="33"/>
      <c r="N486" s="33"/>
      <c r="O486" s="33"/>
      <c r="P486" s="33"/>
      <c r="Q486" s="33"/>
      <c r="R486" s="33"/>
      <c r="S486" s="33"/>
      <c r="T486" s="124"/>
      <c r="U486" s="3"/>
      <c r="V486" s="3"/>
      <c r="W486" s="3"/>
      <c r="X486" s="3"/>
      <c r="Y486" s="3"/>
      <c r="Z486" s="3"/>
    </row>
    <row r="487" spans="1:26" ht="15.75" customHeight="1">
      <c r="A487" s="3"/>
      <c r="B487" s="3"/>
      <c r="C487" s="3"/>
      <c r="D487" s="33"/>
      <c r="E487" s="33"/>
      <c r="F487" s="33"/>
      <c r="G487" s="33"/>
      <c r="H487" s="33"/>
      <c r="I487" s="33"/>
      <c r="J487" s="33"/>
      <c r="K487" s="33"/>
      <c r="L487" s="33"/>
      <c r="M487" s="33"/>
      <c r="N487" s="33"/>
      <c r="O487" s="33"/>
      <c r="P487" s="33"/>
      <c r="Q487" s="33"/>
      <c r="R487" s="33"/>
      <c r="S487" s="33"/>
      <c r="T487" s="124"/>
      <c r="U487" s="3"/>
      <c r="V487" s="3"/>
      <c r="W487" s="3"/>
      <c r="X487" s="3"/>
      <c r="Y487" s="3"/>
      <c r="Z487" s="3"/>
    </row>
    <row r="488" spans="1:26" ht="15.75" customHeight="1">
      <c r="A488" s="3"/>
      <c r="B488" s="3"/>
      <c r="C488" s="3"/>
      <c r="D488" s="33"/>
      <c r="E488" s="33"/>
      <c r="F488" s="33"/>
      <c r="G488" s="33"/>
      <c r="H488" s="33"/>
      <c r="I488" s="33"/>
      <c r="J488" s="33"/>
      <c r="K488" s="33"/>
      <c r="L488" s="33"/>
      <c r="M488" s="33"/>
      <c r="N488" s="33"/>
      <c r="O488" s="33"/>
      <c r="P488" s="33"/>
      <c r="Q488" s="33"/>
      <c r="R488" s="33"/>
      <c r="S488" s="33"/>
      <c r="T488" s="124"/>
      <c r="U488" s="3"/>
      <c r="V488" s="3"/>
      <c r="W488" s="3"/>
      <c r="X488" s="3"/>
      <c r="Y488" s="3"/>
      <c r="Z488" s="3"/>
    </row>
    <row r="489" spans="1:26" ht="15.75" customHeight="1">
      <c r="A489" s="3"/>
      <c r="B489" s="3"/>
      <c r="C489" s="3"/>
      <c r="D489" s="33"/>
      <c r="E489" s="33"/>
      <c r="F489" s="33"/>
      <c r="G489" s="33"/>
      <c r="H489" s="33"/>
      <c r="I489" s="33"/>
      <c r="J489" s="33"/>
      <c r="K489" s="33"/>
      <c r="L489" s="33"/>
      <c r="M489" s="33"/>
      <c r="N489" s="33"/>
      <c r="O489" s="33"/>
      <c r="P489" s="33"/>
      <c r="Q489" s="33"/>
      <c r="R489" s="33"/>
      <c r="S489" s="33"/>
      <c r="T489" s="124"/>
      <c r="U489" s="3"/>
      <c r="V489" s="3"/>
      <c r="W489" s="3"/>
      <c r="X489" s="3"/>
      <c r="Y489" s="3"/>
      <c r="Z489" s="3"/>
    </row>
    <row r="490" spans="1:26" ht="15.75" customHeight="1">
      <c r="A490" s="3"/>
      <c r="B490" s="3"/>
      <c r="C490" s="3"/>
      <c r="D490" s="33"/>
      <c r="E490" s="33"/>
      <c r="F490" s="33"/>
      <c r="G490" s="33"/>
      <c r="H490" s="33"/>
      <c r="I490" s="33"/>
      <c r="J490" s="33"/>
      <c r="K490" s="33"/>
      <c r="L490" s="33"/>
      <c r="M490" s="33"/>
      <c r="N490" s="33"/>
      <c r="O490" s="33"/>
      <c r="P490" s="33"/>
      <c r="Q490" s="33"/>
      <c r="R490" s="33"/>
      <c r="S490" s="33"/>
      <c r="T490" s="124"/>
      <c r="U490" s="3"/>
      <c r="V490" s="3"/>
      <c r="W490" s="3"/>
      <c r="X490" s="3"/>
      <c r="Y490" s="3"/>
      <c r="Z490" s="3"/>
    </row>
    <row r="491" spans="1:26" ht="15.75" customHeight="1">
      <c r="A491" s="3"/>
      <c r="B491" s="3"/>
      <c r="C491" s="3"/>
      <c r="D491" s="33"/>
      <c r="E491" s="33"/>
      <c r="F491" s="33"/>
      <c r="G491" s="33"/>
      <c r="H491" s="33"/>
      <c r="I491" s="33"/>
      <c r="J491" s="33"/>
      <c r="K491" s="33"/>
      <c r="L491" s="33"/>
      <c r="M491" s="33"/>
      <c r="N491" s="33"/>
      <c r="O491" s="33"/>
      <c r="P491" s="33"/>
      <c r="Q491" s="33"/>
      <c r="R491" s="33"/>
      <c r="S491" s="33"/>
      <c r="T491" s="124"/>
      <c r="U491" s="3"/>
      <c r="V491" s="3"/>
      <c r="W491" s="3"/>
      <c r="X491" s="3"/>
      <c r="Y491" s="3"/>
      <c r="Z491" s="3"/>
    </row>
    <row r="492" spans="1:26" ht="15.75" customHeight="1">
      <c r="A492" s="3"/>
      <c r="B492" s="3"/>
      <c r="C492" s="3"/>
      <c r="D492" s="33"/>
      <c r="E492" s="33"/>
      <c r="F492" s="33"/>
      <c r="G492" s="33"/>
      <c r="H492" s="33"/>
      <c r="I492" s="33"/>
      <c r="J492" s="33"/>
      <c r="K492" s="33"/>
      <c r="L492" s="33"/>
      <c r="M492" s="33"/>
      <c r="N492" s="33"/>
      <c r="O492" s="33"/>
      <c r="P492" s="33"/>
      <c r="Q492" s="33"/>
      <c r="R492" s="33"/>
      <c r="S492" s="33"/>
      <c r="T492" s="124"/>
      <c r="U492" s="3"/>
      <c r="V492" s="3"/>
      <c r="W492" s="3"/>
      <c r="X492" s="3"/>
      <c r="Y492" s="3"/>
      <c r="Z492" s="3"/>
    </row>
    <row r="493" spans="1:26" ht="15.75" customHeight="1">
      <c r="A493" s="3"/>
      <c r="B493" s="3"/>
      <c r="C493" s="3"/>
      <c r="D493" s="33"/>
      <c r="E493" s="33"/>
      <c r="F493" s="33"/>
      <c r="G493" s="33"/>
      <c r="H493" s="33"/>
      <c r="I493" s="33"/>
      <c r="J493" s="33"/>
      <c r="K493" s="33"/>
      <c r="L493" s="33"/>
      <c r="M493" s="33"/>
      <c r="N493" s="33"/>
      <c r="O493" s="33"/>
      <c r="P493" s="33"/>
      <c r="Q493" s="33"/>
      <c r="R493" s="33"/>
      <c r="S493" s="33"/>
      <c r="T493" s="124"/>
      <c r="U493" s="3"/>
      <c r="V493" s="3"/>
      <c r="W493" s="3"/>
      <c r="X493" s="3"/>
      <c r="Y493" s="3"/>
      <c r="Z493" s="3"/>
    </row>
    <row r="494" spans="1:26" ht="15.75" customHeight="1">
      <c r="A494" s="3"/>
      <c r="B494" s="3"/>
      <c r="C494" s="3"/>
      <c r="D494" s="33"/>
      <c r="E494" s="33"/>
      <c r="F494" s="33"/>
      <c r="G494" s="33"/>
      <c r="H494" s="33"/>
      <c r="I494" s="33"/>
      <c r="J494" s="33"/>
      <c r="K494" s="33"/>
      <c r="L494" s="33"/>
      <c r="M494" s="33"/>
      <c r="N494" s="33"/>
      <c r="O494" s="33"/>
      <c r="P494" s="33"/>
      <c r="Q494" s="33"/>
      <c r="R494" s="33"/>
      <c r="S494" s="33"/>
      <c r="T494" s="124"/>
      <c r="U494" s="3"/>
      <c r="V494" s="3"/>
      <c r="W494" s="3"/>
      <c r="X494" s="3"/>
      <c r="Y494" s="3"/>
      <c r="Z494" s="3"/>
    </row>
    <row r="495" spans="1:26" ht="15.75" customHeight="1">
      <c r="A495" s="3"/>
      <c r="B495" s="3"/>
      <c r="C495" s="3"/>
      <c r="D495" s="33"/>
      <c r="E495" s="33"/>
      <c r="F495" s="33"/>
      <c r="G495" s="33"/>
      <c r="H495" s="33"/>
      <c r="I495" s="33"/>
      <c r="J495" s="33"/>
      <c r="K495" s="33"/>
      <c r="L495" s="33"/>
      <c r="M495" s="33"/>
      <c r="N495" s="33"/>
      <c r="O495" s="33"/>
      <c r="P495" s="33"/>
      <c r="Q495" s="33"/>
      <c r="R495" s="33"/>
      <c r="S495" s="33"/>
      <c r="T495" s="124"/>
      <c r="U495" s="3"/>
      <c r="V495" s="3"/>
      <c r="W495" s="3"/>
      <c r="X495" s="3"/>
      <c r="Y495" s="3"/>
      <c r="Z495" s="3"/>
    </row>
    <row r="496" spans="1:26" ht="15.75" customHeight="1">
      <c r="A496" s="3"/>
      <c r="B496" s="3"/>
      <c r="C496" s="3"/>
      <c r="D496" s="33"/>
      <c r="E496" s="33"/>
      <c r="F496" s="33"/>
      <c r="G496" s="33"/>
      <c r="H496" s="33"/>
      <c r="I496" s="33"/>
      <c r="J496" s="33"/>
      <c r="K496" s="33"/>
      <c r="L496" s="33"/>
      <c r="M496" s="33"/>
      <c r="N496" s="33"/>
      <c r="O496" s="33"/>
      <c r="P496" s="33"/>
      <c r="Q496" s="33"/>
      <c r="R496" s="33"/>
      <c r="S496" s="33"/>
      <c r="T496" s="124"/>
      <c r="U496" s="3"/>
      <c r="V496" s="3"/>
      <c r="W496" s="3"/>
      <c r="X496" s="3"/>
      <c r="Y496" s="3"/>
      <c r="Z496" s="3"/>
    </row>
    <row r="497" spans="1:26" ht="15.75" customHeight="1">
      <c r="A497" s="3"/>
      <c r="B497" s="3"/>
      <c r="C497" s="3"/>
      <c r="D497" s="33"/>
      <c r="E497" s="33"/>
      <c r="F497" s="33"/>
      <c r="G497" s="33"/>
      <c r="H497" s="33"/>
      <c r="I497" s="33"/>
      <c r="J497" s="33"/>
      <c r="K497" s="33"/>
      <c r="L497" s="33"/>
      <c r="M497" s="33"/>
      <c r="N497" s="33"/>
      <c r="O497" s="33"/>
      <c r="P497" s="33"/>
      <c r="Q497" s="33"/>
      <c r="R497" s="33"/>
      <c r="S497" s="33"/>
      <c r="T497" s="124"/>
      <c r="U497" s="3"/>
      <c r="V497" s="3"/>
      <c r="W497" s="3"/>
      <c r="X497" s="3"/>
      <c r="Y497" s="3"/>
      <c r="Z497" s="3"/>
    </row>
    <row r="498" spans="1:26" ht="15.75" customHeight="1">
      <c r="A498" s="3"/>
      <c r="B498" s="3"/>
      <c r="C498" s="3"/>
      <c r="D498" s="33"/>
      <c r="E498" s="33"/>
      <c r="F498" s="33"/>
      <c r="G498" s="33"/>
      <c r="H498" s="33"/>
      <c r="I498" s="33"/>
      <c r="J498" s="33"/>
      <c r="K498" s="33"/>
      <c r="L498" s="33"/>
      <c r="M498" s="33"/>
      <c r="N498" s="33"/>
      <c r="O498" s="33"/>
      <c r="P498" s="33"/>
      <c r="Q498" s="33"/>
      <c r="R498" s="33"/>
      <c r="S498" s="33"/>
      <c r="T498" s="124"/>
      <c r="U498" s="3"/>
      <c r="V498" s="3"/>
      <c r="W498" s="3"/>
      <c r="X498" s="3"/>
      <c r="Y498" s="3"/>
      <c r="Z498" s="3"/>
    </row>
    <row r="499" spans="1:26" ht="15.75" customHeight="1">
      <c r="A499" s="3"/>
      <c r="B499" s="3"/>
      <c r="C499" s="3"/>
      <c r="D499" s="33"/>
      <c r="E499" s="33"/>
      <c r="F499" s="33"/>
      <c r="G499" s="33"/>
      <c r="H499" s="33"/>
      <c r="I499" s="33"/>
      <c r="J499" s="33"/>
      <c r="K499" s="33"/>
      <c r="L499" s="33"/>
      <c r="M499" s="33"/>
      <c r="N499" s="33"/>
      <c r="O499" s="33"/>
      <c r="P499" s="33"/>
      <c r="Q499" s="33"/>
      <c r="R499" s="33"/>
      <c r="S499" s="33"/>
      <c r="T499" s="124"/>
      <c r="U499" s="3"/>
      <c r="V499" s="3"/>
      <c r="W499" s="3"/>
      <c r="X499" s="3"/>
      <c r="Y499" s="3"/>
      <c r="Z499" s="3"/>
    </row>
    <row r="500" spans="1:26" ht="15.75" customHeight="1">
      <c r="A500" s="3"/>
      <c r="B500" s="3"/>
      <c r="C500" s="3"/>
      <c r="D500" s="33"/>
      <c r="E500" s="33"/>
      <c r="F500" s="33"/>
      <c r="G500" s="33"/>
      <c r="H500" s="33"/>
      <c r="I500" s="33"/>
      <c r="J500" s="33"/>
      <c r="K500" s="33"/>
      <c r="L500" s="33"/>
      <c r="M500" s="33"/>
      <c r="N500" s="33"/>
      <c r="O500" s="33"/>
      <c r="P500" s="33"/>
      <c r="Q500" s="33"/>
      <c r="R500" s="33"/>
      <c r="S500" s="33"/>
      <c r="T500" s="124"/>
      <c r="U500" s="3"/>
      <c r="V500" s="3"/>
      <c r="W500" s="3"/>
      <c r="X500" s="3"/>
      <c r="Y500" s="3"/>
      <c r="Z500" s="3"/>
    </row>
    <row r="501" spans="1:26" ht="15.75" customHeight="1">
      <c r="A501" s="3"/>
      <c r="B501" s="3"/>
      <c r="C501" s="3"/>
      <c r="D501" s="33"/>
      <c r="E501" s="33"/>
      <c r="F501" s="33"/>
      <c r="G501" s="33"/>
      <c r="H501" s="33"/>
      <c r="I501" s="33"/>
      <c r="J501" s="33"/>
      <c r="K501" s="33"/>
      <c r="L501" s="33"/>
      <c r="M501" s="33"/>
      <c r="N501" s="33"/>
      <c r="O501" s="33"/>
      <c r="P501" s="33"/>
      <c r="Q501" s="33"/>
      <c r="R501" s="33"/>
      <c r="S501" s="33"/>
      <c r="T501" s="124"/>
      <c r="U501" s="3"/>
      <c r="V501" s="3"/>
      <c r="W501" s="3"/>
      <c r="X501" s="3"/>
      <c r="Y501" s="3"/>
      <c r="Z501" s="3"/>
    </row>
    <row r="502" spans="1:26" ht="15.75" customHeight="1">
      <c r="A502" s="3"/>
      <c r="B502" s="3"/>
      <c r="C502" s="3"/>
      <c r="D502" s="33"/>
      <c r="E502" s="33"/>
      <c r="F502" s="33"/>
      <c r="G502" s="33"/>
      <c r="H502" s="33"/>
      <c r="I502" s="33"/>
      <c r="J502" s="33"/>
      <c r="K502" s="33"/>
      <c r="L502" s="33"/>
      <c r="M502" s="33"/>
      <c r="N502" s="33"/>
      <c r="O502" s="33"/>
      <c r="P502" s="33"/>
      <c r="Q502" s="33"/>
      <c r="R502" s="33"/>
      <c r="S502" s="33"/>
      <c r="T502" s="124"/>
      <c r="U502" s="3"/>
      <c r="V502" s="3"/>
      <c r="W502" s="3"/>
      <c r="X502" s="3"/>
      <c r="Y502" s="3"/>
      <c r="Z502" s="3"/>
    </row>
    <row r="503" spans="1:26" ht="15.75" customHeight="1">
      <c r="A503" s="3"/>
      <c r="B503" s="3"/>
      <c r="C503" s="3"/>
      <c r="D503" s="33"/>
      <c r="E503" s="33"/>
      <c r="F503" s="33"/>
      <c r="G503" s="33"/>
      <c r="H503" s="33"/>
      <c r="I503" s="33"/>
      <c r="J503" s="33"/>
      <c r="K503" s="33"/>
      <c r="L503" s="33"/>
      <c r="M503" s="33"/>
      <c r="N503" s="33"/>
      <c r="O503" s="33"/>
      <c r="P503" s="33"/>
      <c r="Q503" s="33"/>
      <c r="R503" s="33"/>
      <c r="S503" s="33"/>
      <c r="T503" s="124"/>
      <c r="U503" s="3"/>
      <c r="V503" s="3"/>
      <c r="W503" s="3"/>
      <c r="X503" s="3"/>
      <c r="Y503" s="3"/>
      <c r="Z503" s="3"/>
    </row>
    <row r="504" spans="1:26" ht="15.75" customHeight="1">
      <c r="A504" s="3"/>
      <c r="B504" s="3"/>
      <c r="C504" s="3"/>
      <c r="D504" s="33"/>
      <c r="E504" s="33"/>
      <c r="F504" s="33"/>
      <c r="G504" s="33"/>
      <c r="H504" s="33"/>
      <c r="I504" s="33"/>
      <c r="J504" s="33"/>
      <c r="K504" s="33"/>
      <c r="L504" s="33"/>
      <c r="M504" s="33"/>
      <c r="N504" s="33"/>
      <c r="O504" s="33"/>
      <c r="P504" s="33"/>
      <c r="Q504" s="33"/>
      <c r="R504" s="33"/>
      <c r="S504" s="33"/>
      <c r="T504" s="124"/>
      <c r="U504" s="3"/>
      <c r="V504" s="3"/>
      <c r="W504" s="3"/>
      <c r="X504" s="3"/>
      <c r="Y504" s="3"/>
      <c r="Z504" s="3"/>
    </row>
    <row r="505" spans="1:26" ht="15.75" customHeight="1">
      <c r="A505" s="3"/>
      <c r="B505" s="3"/>
      <c r="C505" s="3"/>
      <c r="D505" s="33"/>
      <c r="E505" s="33"/>
      <c r="F505" s="33"/>
      <c r="G505" s="33"/>
      <c r="H505" s="33"/>
      <c r="I505" s="33"/>
      <c r="J505" s="33"/>
      <c r="K505" s="33"/>
      <c r="L505" s="33"/>
      <c r="M505" s="33"/>
      <c r="N505" s="33"/>
      <c r="O505" s="33"/>
      <c r="P505" s="33"/>
      <c r="Q505" s="33"/>
      <c r="R505" s="33"/>
      <c r="S505" s="33"/>
      <c r="T505" s="124"/>
      <c r="U505" s="3"/>
      <c r="V505" s="3"/>
      <c r="W505" s="3"/>
      <c r="X505" s="3"/>
      <c r="Y505" s="3"/>
      <c r="Z505" s="3"/>
    </row>
    <row r="506" spans="1:26" ht="15.75" customHeight="1">
      <c r="A506" s="3"/>
      <c r="B506" s="3"/>
      <c r="C506" s="3"/>
      <c r="D506" s="33"/>
      <c r="E506" s="33"/>
      <c r="F506" s="33"/>
      <c r="G506" s="33"/>
      <c r="H506" s="33"/>
      <c r="I506" s="33"/>
      <c r="J506" s="33"/>
      <c r="K506" s="33"/>
      <c r="L506" s="33"/>
      <c r="M506" s="33"/>
      <c r="N506" s="33"/>
      <c r="O506" s="33"/>
      <c r="P506" s="33"/>
      <c r="Q506" s="33"/>
      <c r="R506" s="33"/>
      <c r="S506" s="33"/>
      <c r="T506" s="124"/>
      <c r="U506" s="3"/>
      <c r="V506" s="3"/>
      <c r="W506" s="3"/>
      <c r="X506" s="3"/>
      <c r="Y506" s="3"/>
      <c r="Z506" s="3"/>
    </row>
    <row r="507" spans="1:26" ht="15.75" customHeight="1">
      <c r="A507" s="3"/>
      <c r="B507" s="3"/>
      <c r="C507" s="3"/>
      <c r="D507" s="33"/>
      <c r="E507" s="33"/>
      <c r="F507" s="33"/>
      <c r="G507" s="33"/>
      <c r="H507" s="33"/>
      <c r="I507" s="33"/>
      <c r="J507" s="33"/>
      <c r="K507" s="33"/>
      <c r="L507" s="33"/>
      <c r="M507" s="33"/>
      <c r="N507" s="33"/>
      <c r="O507" s="33"/>
      <c r="P507" s="33"/>
      <c r="Q507" s="33"/>
      <c r="R507" s="33"/>
      <c r="S507" s="33"/>
      <c r="T507" s="124"/>
      <c r="U507" s="3"/>
      <c r="V507" s="3"/>
      <c r="W507" s="3"/>
      <c r="X507" s="3"/>
      <c r="Y507" s="3"/>
      <c r="Z507" s="3"/>
    </row>
    <row r="508" spans="1:26" ht="15.75" customHeight="1">
      <c r="A508" s="3"/>
      <c r="B508" s="3"/>
      <c r="C508" s="3"/>
      <c r="D508" s="33"/>
      <c r="E508" s="33"/>
      <c r="F508" s="33"/>
      <c r="G508" s="33"/>
      <c r="H508" s="33"/>
      <c r="I508" s="33"/>
      <c r="J508" s="33"/>
      <c r="K508" s="33"/>
      <c r="L508" s="33"/>
      <c r="M508" s="33"/>
      <c r="N508" s="33"/>
      <c r="O508" s="33"/>
      <c r="P508" s="33"/>
      <c r="Q508" s="33"/>
      <c r="R508" s="33"/>
      <c r="S508" s="33"/>
      <c r="T508" s="124"/>
      <c r="U508" s="3"/>
      <c r="V508" s="3"/>
      <c r="W508" s="3"/>
      <c r="X508" s="3"/>
      <c r="Y508" s="3"/>
      <c r="Z508" s="3"/>
    </row>
    <row r="509" spans="1:26" ht="15.75" customHeight="1">
      <c r="A509" s="3"/>
      <c r="B509" s="3"/>
      <c r="C509" s="3"/>
      <c r="D509" s="33"/>
      <c r="E509" s="33"/>
      <c r="F509" s="33"/>
      <c r="G509" s="33"/>
      <c r="H509" s="33"/>
      <c r="I509" s="33"/>
      <c r="J509" s="33"/>
      <c r="K509" s="33"/>
      <c r="L509" s="33"/>
      <c r="M509" s="33"/>
      <c r="N509" s="33"/>
      <c r="O509" s="33"/>
      <c r="P509" s="33"/>
      <c r="Q509" s="33"/>
      <c r="R509" s="33"/>
      <c r="S509" s="33"/>
      <c r="T509" s="124"/>
      <c r="U509" s="3"/>
      <c r="V509" s="3"/>
      <c r="W509" s="3"/>
      <c r="X509" s="3"/>
      <c r="Y509" s="3"/>
      <c r="Z509" s="3"/>
    </row>
    <row r="510" spans="1:26" ht="15.75" customHeight="1">
      <c r="A510" s="3"/>
      <c r="B510" s="3"/>
      <c r="C510" s="3"/>
      <c r="D510" s="33"/>
      <c r="E510" s="33"/>
      <c r="F510" s="33"/>
      <c r="G510" s="33"/>
      <c r="H510" s="33"/>
      <c r="I510" s="33"/>
      <c r="J510" s="33"/>
      <c r="K510" s="33"/>
      <c r="L510" s="33"/>
      <c r="M510" s="33"/>
      <c r="N510" s="33"/>
      <c r="O510" s="33"/>
      <c r="P510" s="33"/>
      <c r="Q510" s="33"/>
      <c r="R510" s="33"/>
      <c r="S510" s="33"/>
      <c r="T510" s="124"/>
      <c r="U510" s="3"/>
      <c r="V510" s="3"/>
      <c r="W510" s="3"/>
      <c r="X510" s="3"/>
      <c r="Y510" s="3"/>
      <c r="Z510" s="3"/>
    </row>
    <row r="511" spans="1:26" ht="15.75" customHeight="1">
      <c r="A511" s="3"/>
      <c r="B511" s="3"/>
      <c r="C511" s="3"/>
      <c r="D511" s="33"/>
      <c r="E511" s="33"/>
      <c r="F511" s="33"/>
      <c r="G511" s="33"/>
      <c r="H511" s="33"/>
      <c r="I511" s="33"/>
      <c r="J511" s="33"/>
      <c r="K511" s="33"/>
      <c r="L511" s="33"/>
      <c r="M511" s="33"/>
      <c r="N511" s="33"/>
      <c r="O511" s="33"/>
      <c r="P511" s="33"/>
      <c r="Q511" s="33"/>
      <c r="R511" s="33"/>
      <c r="S511" s="33"/>
      <c r="T511" s="124"/>
      <c r="U511" s="3"/>
      <c r="V511" s="3"/>
      <c r="W511" s="3"/>
      <c r="X511" s="3"/>
      <c r="Y511" s="3"/>
      <c r="Z511" s="3"/>
    </row>
    <row r="512" spans="1:26" ht="15.75" customHeight="1">
      <c r="A512" s="3"/>
      <c r="B512" s="3"/>
      <c r="C512" s="3"/>
      <c r="D512" s="33"/>
      <c r="E512" s="33"/>
      <c r="F512" s="33"/>
      <c r="G512" s="33"/>
      <c r="H512" s="33"/>
      <c r="I512" s="33"/>
      <c r="J512" s="33"/>
      <c r="K512" s="33"/>
      <c r="L512" s="33"/>
      <c r="M512" s="33"/>
      <c r="N512" s="33"/>
      <c r="O512" s="33"/>
      <c r="P512" s="33"/>
      <c r="Q512" s="33"/>
      <c r="R512" s="33"/>
      <c r="S512" s="33"/>
      <c r="T512" s="124"/>
      <c r="U512" s="3"/>
      <c r="V512" s="3"/>
      <c r="W512" s="3"/>
      <c r="X512" s="3"/>
      <c r="Y512" s="3"/>
      <c r="Z512" s="3"/>
    </row>
    <row r="513" spans="1:26" ht="15.75" customHeight="1">
      <c r="A513" s="3"/>
      <c r="B513" s="3"/>
      <c r="C513" s="3"/>
      <c r="D513" s="33"/>
      <c r="E513" s="33"/>
      <c r="F513" s="33"/>
      <c r="G513" s="33"/>
      <c r="H513" s="33"/>
      <c r="I513" s="33"/>
      <c r="J513" s="33"/>
      <c r="K513" s="33"/>
      <c r="L513" s="33"/>
      <c r="M513" s="33"/>
      <c r="N513" s="33"/>
      <c r="O513" s="33"/>
      <c r="P513" s="33"/>
      <c r="Q513" s="33"/>
      <c r="R513" s="33"/>
      <c r="S513" s="33"/>
      <c r="T513" s="124"/>
      <c r="U513" s="3"/>
      <c r="V513" s="3"/>
      <c r="W513" s="3"/>
      <c r="X513" s="3"/>
      <c r="Y513" s="3"/>
      <c r="Z513" s="3"/>
    </row>
    <row r="514" spans="1:26" ht="15.75" customHeight="1">
      <c r="A514" s="3"/>
      <c r="B514" s="3"/>
      <c r="C514" s="3"/>
      <c r="D514" s="33"/>
      <c r="E514" s="33"/>
      <c r="F514" s="33"/>
      <c r="G514" s="33"/>
      <c r="H514" s="33"/>
      <c r="I514" s="33"/>
      <c r="J514" s="33"/>
      <c r="K514" s="33"/>
      <c r="L514" s="33"/>
      <c r="M514" s="33"/>
      <c r="N514" s="33"/>
      <c r="O514" s="33"/>
      <c r="P514" s="33"/>
      <c r="Q514" s="33"/>
      <c r="R514" s="33"/>
      <c r="S514" s="33"/>
      <c r="T514" s="124"/>
      <c r="U514" s="3"/>
      <c r="V514" s="3"/>
      <c r="W514" s="3"/>
      <c r="X514" s="3"/>
      <c r="Y514" s="3"/>
      <c r="Z514" s="3"/>
    </row>
    <row r="515" spans="1:26" ht="15.75" customHeight="1">
      <c r="A515" s="3"/>
      <c r="B515" s="3"/>
      <c r="C515" s="3"/>
      <c r="D515" s="33"/>
      <c r="E515" s="33"/>
      <c r="F515" s="33"/>
      <c r="G515" s="33"/>
      <c r="H515" s="33"/>
      <c r="I515" s="33"/>
      <c r="J515" s="33"/>
      <c r="K515" s="33"/>
      <c r="L515" s="33"/>
      <c r="M515" s="33"/>
      <c r="N515" s="33"/>
      <c r="O515" s="33"/>
      <c r="P515" s="33"/>
      <c r="Q515" s="33"/>
      <c r="R515" s="33"/>
      <c r="S515" s="33"/>
      <c r="T515" s="124"/>
      <c r="U515" s="3"/>
      <c r="V515" s="3"/>
      <c r="W515" s="3"/>
      <c r="X515" s="3"/>
      <c r="Y515" s="3"/>
      <c r="Z515" s="3"/>
    </row>
    <row r="516" spans="1:26" ht="15.75" customHeight="1">
      <c r="A516" s="3"/>
      <c r="B516" s="3"/>
      <c r="C516" s="3"/>
      <c r="D516" s="33"/>
      <c r="E516" s="33"/>
      <c r="F516" s="33"/>
      <c r="G516" s="33"/>
      <c r="H516" s="33"/>
      <c r="I516" s="33"/>
      <c r="J516" s="33"/>
      <c r="K516" s="33"/>
      <c r="L516" s="33"/>
      <c r="M516" s="33"/>
      <c r="N516" s="33"/>
      <c r="O516" s="33"/>
      <c r="P516" s="33"/>
      <c r="Q516" s="33"/>
      <c r="R516" s="33"/>
      <c r="S516" s="33"/>
      <c r="T516" s="124"/>
      <c r="U516" s="3"/>
      <c r="V516" s="3"/>
      <c r="W516" s="3"/>
      <c r="X516" s="3"/>
      <c r="Y516" s="3"/>
      <c r="Z516" s="3"/>
    </row>
    <row r="517" spans="1:26" ht="15.75" customHeight="1">
      <c r="A517" s="3"/>
      <c r="B517" s="3"/>
      <c r="C517" s="3"/>
      <c r="D517" s="33"/>
      <c r="E517" s="33"/>
      <c r="F517" s="33"/>
      <c r="G517" s="33"/>
      <c r="H517" s="33"/>
      <c r="I517" s="33"/>
      <c r="J517" s="33"/>
      <c r="K517" s="33"/>
      <c r="L517" s="33"/>
      <c r="M517" s="33"/>
      <c r="N517" s="33"/>
      <c r="O517" s="33"/>
      <c r="P517" s="33"/>
      <c r="Q517" s="33"/>
      <c r="R517" s="33"/>
      <c r="S517" s="33"/>
      <c r="T517" s="124"/>
      <c r="U517" s="3"/>
      <c r="V517" s="3"/>
      <c r="W517" s="3"/>
      <c r="X517" s="3"/>
      <c r="Y517" s="3"/>
      <c r="Z517" s="3"/>
    </row>
    <row r="518" spans="1:26" ht="15.75" customHeight="1">
      <c r="A518" s="3"/>
      <c r="B518" s="3"/>
      <c r="C518" s="3"/>
      <c r="D518" s="33"/>
      <c r="E518" s="33"/>
      <c r="F518" s="33"/>
      <c r="G518" s="33"/>
      <c r="H518" s="33"/>
      <c r="I518" s="33"/>
      <c r="J518" s="33"/>
      <c r="K518" s="33"/>
      <c r="L518" s="33"/>
      <c r="M518" s="33"/>
      <c r="N518" s="33"/>
      <c r="O518" s="33"/>
      <c r="P518" s="33"/>
      <c r="Q518" s="33"/>
      <c r="R518" s="33"/>
      <c r="S518" s="33"/>
      <c r="T518" s="124"/>
      <c r="U518" s="3"/>
      <c r="V518" s="3"/>
      <c r="W518" s="3"/>
      <c r="X518" s="3"/>
      <c r="Y518" s="3"/>
      <c r="Z518" s="3"/>
    </row>
    <row r="519" spans="1:26" ht="15.75" customHeight="1">
      <c r="A519" s="3"/>
      <c r="B519" s="3"/>
      <c r="C519" s="3"/>
      <c r="D519" s="33"/>
      <c r="E519" s="33"/>
      <c r="F519" s="33"/>
      <c r="G519" s="33"/>
      <c r="H519" s="33"/>
      <c r="I519" s="33"/>
      <c r="J519" s="33"/>
      <c r="K519" s="33"/>
      <c r="L519" s="33"/>
      <c r="M519" s="33"/>
      <c r="N519" s="33"/>
      <c r="O519" s="33"/>
      <c r="P519" s="33"/>
      <c r="Q519" s="33"/>
      <c r="R519" s="33"/>
      <c r="S519" s="33"/>
      <c r="T519" s="124"/>
      <c r="U519" s="3"/>
      <c r="V519" s="3"/>
      <c r="W519" s="3"/>
      <c r="X519" s="3"/>
      <c r="Y519" s="3"/>
      <c r="Z519" s="3"/>
    </row>
    <row r="520" spans="1:26" ht="15.75" customHeight="1">
      <c r="A520" s="3"/>
      <c r="B520" s="3"/>
      <c r="C520" s="3"/>
      <c r="D520" s="33"/>
      <c r="E520" s="33"/>
      <c r="F520" s="33"/>
      <c r="G520" s="33"/>
      <c r="H520" s="33"/>
      <c r="I520" s="33"/>
      <c r="J520" s="33"/>
      <c r="K520" s="33"/>
      <c r="L520" s="33"/>
      <c r="M520" s="33"/>
      <c r="N520" s="33"/>
      <c r="O520" s="33"/>
      <c r="P520" s="33"/>
      <c r="Q520" s="33"/>
      <c r="R520" s="33"/>
      <c r="S520" s="33"/>
      <c r="T520" s="124"/>
      <c r="U520" s="3"/>
      <c r="V520" s="3"/>
      <c r="W520" s="3"/>
      <c r="X520" s="3"/>
      <c r="Y520" s="3"/>
      <c r="Z520" s="3"/>
    </row>
    <row r="521" spans="1:26" ht="15.75" customHeight="1">
      <c r="A521" s="3"/>
      <c r="B521" s="3"/>
      <c r="C521" s="3"/>
      <c r="D521" s="33"/>
      <c r="E521" s="33"/>
      <c r="F521" s="33"/>
      <c r="G521" s="33"/>
      <c r="H521" s="33"/>
      <c r="I521" s="33"/>
      <c r="J521" s="33"/>
      <c r="K521" s="33"/>
      <c r="L521" s="33"/>
      <c r="M521" s="33"/>
      <c r="N521" s="33"/>
      <c r="O521" s="33"/>
      <c r="P521" s="33"/>
      <c r="Q521" s="33"/>
      <c r="R521" s="33"/>
      <c r="S521" s="33"/>
      <c r="T521" s="124"/>
      <c r="U521" s="3"/>
      <c r="V521" s="3"/>
      <c r="W521" s="3"/>
      <c r="X521" s="3"/>
      <c r="Y521" s="3"/>
      <c r="Z521" s="3"/>
    </row>
    <row r="522" spans="1:26" ht="15.75" customHeight="1">
      <c r="A522" s="3"/>
      <c r="B522" s="3"/>
      <c r="C522" s="3"/>
      <c r="D522" s="33"/>
      <c r="E522" s="33"/>
      <c r="F522" s="33"/>
      <c r="G522" s="33"/>
      <c r="H522" s="33"/>
      <c r="I522" s="33"/>
      <c r="J522" s="33"/>
      <c r="K522" s="33"/>
      <c r="L522" s="33"/>
      <c r="M522" s="33"/>
      <c r="N522" s="33"/>
      <c r="O522" s="33"/>
      <c r="P522" s="33"/>
      <c r="Q522" s="33"/>
      <c r="R522" s="33"/>
      <c r="S522" s="33"/>
      <c r="T522" s="124"/>
      <c r="U522" s="3"/>
      <c r="V522" s="3"/>
      <c r="W522" s="3"/>
      <c r="X522" s="3"/>
      <c r="Y522" s="3"/>
      <c r="Z522" s="3"/>
    </row>
    <row r="523" spans="1:26" ht="15.75" customHeight="1">
      <c r="A523" s="3"/>
      <c r="B523" s="3"/>
      <c r="C523" s="3"/>
      <c r="D523" s="33"/>
      <c r="E523" s="33"/>
      <c r="F523" s="33"/>
      <c r="G523" s="33"/>
      <c r="H523" s="33"/>
      <c r="I523" s="33"/>
      <c r="J523" s="33"/>
      <c r="K523" s="33"/>
      <c r="L523" s="33"/>
      <c r="M523" s="33"/>
      <c r="N523" s="33"/>
      <c r="O523" s="33"/>
      <c r="P523" s="33"/>
      <c r="Q523" s="33"/>
      <c r="R523" s="33"/>
      <c r="S523" s="33"/>
      <c r="T523" s="124"/>
      <c r="U523" s="3"/>
      <c r="V523" s="3"/>
      <c r="W523" s="3"/>
      <c r="X523" s="3"/>
      <c r="Y523" s="3"/>
      <c r="Z523" s="3"/>
    </row>
    <row r="524" spans="1:26" ht="15.75" customHeight="1">
      <c r="A524" s="3"/>
      <c r="B524" s="3"/>
      <c r="C524" s="3"/>
      <c r="D524" s="33"/>
      <c r="E524" s="33"/>
      <c r="F524" s="33"/>
      <c r="G524" s="33"/>
      <c r="H524" s="33"/>
      <c r="I524" s="33"/>
      <c r="J524" s="33"/>
      <c r="K524" s="33"/>
      <c r="L524" s="33"/>
      <c r="M524" s="33"/>
      <c r="N524" s="33"/>
      <c r="O524" s="33"/>
      <c r="P524" s="33"/>
      <c r="Q524" s="33"/>
      <c r="R524" s="33"/>
      <c r="S524" s="33"/>
      <c r="T524" s="124"/>
      <c r="U524" s="3"/>
      <c r="V524" s="3"/>
      <c r="W524" s="3"/>
      <c r="X524" s="3"/>
      <c r="Y524" s="3"/>
      <c r="Z524" s="3"/>
    </row>
    <row r="525" spans="1:26" ht="15.75" customHeight="1">
      <c r="A525" s="3"/>
      <c r="B525" s="3"/>
      <c r="C525" s="3"/>
      <c r="D525" s="33"/>
      <c r="E525" s="33"/>
      <c r="F525" s="33"/>
      <c r="G525" s="33"/>
      <c r="H525" s="33"/>
      <c r="I525" s="33"/>
      <c r="J525" s="33"/>
      <c r="K525" s="33"/>
      <c r="L525" s="33"/>
      <c r="M525" s="33"/>
      <c r="N525" s="33"/>
      <c r="O525" s="33"/>
      <c r="P525" s="33"/>
      <c r="Q525" s="33"/>
      <c r="R525" s="33"/>
      <c r="S525" s="33"/>
      <c r="T525" s="124"/>
      <c r="U525" s="3"/>
      <c r="V525" s="3"/>
      <c r="W525" s="3"/>
      <c r="X525" s="3"/>
      <c r="Y525" s="3"/>
      <c r="Z525" s="3"/>
    </row>
    <row r="526" spans="1:26" ht="15.75" customHeight="1">
      <c r="A526" s="3"/>
      <c r="B526" s="3"/>
      <c r="C526" s="3"/>
      <c r="D526" s="33"/>
      <c r="E526" s="33"/>
      <c r="F526" s="33"/>
      <c r="G526" s="33"/>
      <c r="H526" s="33"/>
      <c r="I526" s="33"/>
      <c r="J526" s="33"/>
      <c r="K526" s="33"/>
      <c r="L526" s="33"/>
      <c r="M526" s="33"/>
      <c r="N526" s="33"/>
      <c r="O526" s="33"/>
      <c r="P526" s="33"/>
      <c r="Q526" s="33"/>
      <c r="R526" s="33"/>
      <c r="S526" s="33"/>
      <c r="T526" s="124"/>
      <c r="U526" s="3"/>
      <c r="V526" s="3"/>
      <c r="W526" s="3"/>
      <c r="X526" s="3"/>
      <c r="Y526" s="3"/>
      <c r="Z526" s="3"/>
    </row>
    <row r="527" spans="1:26" ht="15.75" customHeight="1">
      <c r="A527" s="3"/>
      <c r="B527" s="3"/>
      <c r="C527" s="3"/>
      <c r="D527" s="33"/>
      <c r="E527" s="33"/>
      <c r="F527" s="33"/>
      <c r="G527" s="33"/>
      <c r="H527" s="33"/>
      <c r="I527" s="33"/>
      <c r="J527" s="33"/>
      <c r="K527" s="33"/>
      <c r="L527" s="33"/>
      <c r="M527" s="33"/>
      <c r="N527" s="33"/>
      <c r="O527" s="33"/>
      <c r="P527" s="33"/>
      <c r="Q527" s="33"/>
      <c r="R527" s="33"/>
      <c r="S527" s="33"/>
      <c r="T527" s="124"/>
      <c r="U527" s="3"/>
      <c r="V527" s="3"/>
      <c r="W527" s="3"/>
      <c r="X527" s="3"/>
      <c r="Y527" s="3"/>
      <c r="Z527" s="3"/>
    </row>
    <row r="528" spans="1:26" ht="15.75" customHeight="1">
      <c r="A528" s="3"/>
      <c r="B528" s="3"/>
      <c r="C528" s="3"/>
      <c r="D528" s="33"/>
      <c r="E528" s="33"/>
      <c r="F528" s="33"/>
      <c r="G528" s="33"/>
      <c r="H528" s="33"/>
      <c r="I528" s="33"/>
      <c r="J528" s="33"/>
      <c r="K528" s="33"/>
      <c r="L528" s="33"/>
      <c r="M528" s="33"/>
      <c r="N528" s="33"/>
      <c r="O528" s="33"/>
      <c r="P528" s="33"/>
      <c r="Q528" s="33"/>
      <c r="R528" s="33"/>
      <c r="S528" s="33"/>
      <c r="T528" s="124"/>
      <c r="U528" s="3"/>
      <c r="V528" s="3"/>
      <c r="W528" s="3"/>
      <c r="X528" s="3"/>
      <c r="Y528" s="3"/>
      <c r="Z528" s="3"/>
    </row>
    <row r="529" spans="1:26" ht="15.75" customHeight="1">
      <c r="A529" s="3"/>
      <c r="B529" s="3"/>
      <c r="C529" s="3"/>
      <c r="D529" s="33"/>
      <c r="E529" s="33"/>
      <c r="F529" s="33"/>
      <c r="G529" s="33"/>
      <c r="H529" s="33"/>
      <c r="I529" s="33"/>
      <c r="J529" s="33"/>
      <c r="K529" s="33"/>
      <c r="L529" s="33"/>
      <c r="M529" s="33"/>
      <c r="N529" s="33"/>
      <c r="O529" s="33"/>
      <c r="P529" s="33"/>
      <c r="Q529" s="33"/>
      <c r="R529" s="33"/>
      <c r="S529" s="33"/>
      <c r="T529" s="124"/>
      <c r="U529" s="3"/>
      <c r="V529" s="3"/>
      <c r="W529" s="3"/>
      <c r="X529" s="3"/>
      <c r="Y529" s="3"/>
      <c r="Z529" s="3"/>
    </row>
    <row r="530" spans="1:26" ht="15.75" customHeight="1">
      <c r="A530" s="3"/>
      <c r="B530" s="3"/>
      <c r="C530" s="3"/>
      <c r="D530" s="33"/>
      <c r="E530" s="33"/>
      <c r="F530" s="33"/>
      <c r="G530" s="33"/>
      <c r="H530" s="33"/>
      <c r="I530" s="33"/>
      <c r="J530" s="33"/>
      <c r="K530" s="33"/>
      <c r="L530" s="33"/>
      <c r="M530" s="33"/>
      <c r="N530" s="33"/>
      <c r="O530" s="33"/>
      <c r="P530" s="33"/>
      <c r="Q530" s="33"/>
      <c r="R530" s="33"/>
      <c r="S530" s="33"/>
      <c r="T530" s="124"/>
      <c r="U530" s="3"/>
      <c r="V530" s="3"/>
      <c r="W530" s="3"/>
      <c r="X530" s="3"/>
      <c r="Y530" s="3"/>
      <c r="Z530" s="3"/>
    </row>
    <row r="531" spans="1:26" ht="15.75" customHeight="1">
      <c r="A531" s="3"/>
      <c r="B531" s="3"/>
      <c r="C531" s="3"/>
      <c r="D531" s="33"/>
      <c r="E531" s="33"/>
      <c r="F531" s="33"/>
      <c r="G531" s="33"/>
      <c r="H531" s="33"/>
      <c r="I531" s="33"/>
      <c r="J531" s="33"/>
      <c r="K531" s="33"/>
      <c r="L531" s="33"/>
      <c r="M531" s="33"/>
      <c r="N531" s="33"/>
      <c r="O531" s="33"/>
      <c r="P531" s="33"/>
      <c r="Q531" s="33"/>
      <c r="R531" s="33"/>
      <c r="S531" s="33"/>
      <c r="T531" s="124"/>
      <c r="U531" s="3"/>
      <c r="V531" s="3"/>
      <c r="W531" s="3"/>
      <c r="X531" s="3"/>
      <c r="Y531" s="3"/>
      <c r="Z531" s="3"/>
    </row>
    <row r="532" spans="1:26" ht="15.75" customHeight="1">
      <c r="A532" s="3"/>
      <c r="B532" s="3"/>
      <c r="C532" s="3"/>
      <c r="D532" s="33"/>
      <c r="E532" s="33"/>
      <c r="F532" s="33"/>
      <c r="G532" s="33"/>
      <c r="H532" s="33"/>
      <c r="I532" s="33"/>
      <c r="J532" s="33"/>
      <c r="K532" s="33"/>
      <c r="L532" s="33"/>
      <c r="M532" s="33"/>
      <c r="N532" s="33"/>
      <c r="O532" s="33"/>
      <c r="P532" s="33"/>
      <c r="Q532" s="33"/>
      <c r="R532" s="33"/>
      <c r="S532" s="33"/>
      <c r="T532" s="124"/>
      <c r="U532" s="3"/>
      <c r="V532" s="3"/>
      <c r="W532" s="3"/>
      <c r="X532" s="3"/>
      <c r="Y532" s="3"/>
      <c r="Z532" s="3"/>
    </row>
    <row r="533" spans="1:26" ht="15.75" customHeight="1">
      <c r="A533" s="3"/>
      <c r="B533" s="3"/>
      <c r="C533" s="3"/>
      <c r="D533" s="33"/>
      <c r="E533" s="33"/>
      <c r="F533" s="33"/>
      <c r="G533" s="33"/>
      <c r="H533" s="33"/>
      <c r="I533" s="33"/>
      <c r="J533" s="33"/>
      <c r="K533" s="33"/>
      <c r="L533" s="33"/>
      <c r="M533" s="33"/>
      <c r="N533" s="33"/>
      <c r="O533" s="33"/>
      <c r="P533" s="33"/>
      <c r="Q533" s="33"/>
      <c r="R533" s="33"/>
      <c r="S533" s="33"/>
      <c r="T533" s="124"/>
      <c r="U533" s="3"/>
      <c r="V533" s="3"/>
      <c r="W533" s="3"/>
      <c r="X533" s="3"/>
      <c r="Y533" s="3"/>
      <c r="Z533" s="3"/>
    </row>
    <row r="534" spans="1:26" ht="15.75" customHeight="1">
      <c r="A534" s="3"/>
      <c r="B534" s="3"/>
      <c r="C534" s="3"/>
      <c r="D534" s="33"/>
      <c r="E534" s="33"/>
      <c r="F534" s="33"/>
      <c r="G534" s="33"/>
      <c r="H534" s="33"/>
      <c r="I534" s="33"/>
      <c r="J534" s="33"/>
      <c r="K534" s="33"/>
      <c r="L534" s="33"/>
      <c r="M534" s="33"/>
      <c r="N534" s="33"/>
      <c r="O534" s="33"/>
      <c r="P534" s="33"/>
      <c r="Q534" s="33"/>
      <c r="R534" s="33"/>
      <c r="S534" s="33"/>
      <c r="T534" s="124"/>
      <c r="U534" s="3"/>
      <c r="V534" s="3"/>
      <c r="W534" s="3"/>
      <c r="X534" s="3"/>
      <c r="Y534" s="3"/>
      <c r="Z534" s="3"/>
    </row>
    <row r="535" spans="1:26" ht="15.75" customHeight="1">
      <c r="A535" s="3"/>
      <c r="B535" s="3"/>
      <c r="C535" s="3"/>
      <c r="D535" s="33"/>
      <c r="E535" s="33"/>
      <c r="F535" s="33"/>
      <c r="G535" s="33"/>
      <c r="H535" s="33"/>
      <c r="I535" s="33"/>
      <c r="J535" s="33"/>
      <c r="K535" s="33"/>
      <c r="L535" s="33"/>
      <c r="M535" s="33"/>
      <c r="N535" s="33"/>
      <c r="O535" s="33"/>
      <c r="P535" s="33"/>
      <c r="Q535" s="33"/>
      <c r="R535" s="33"/>
      <c r="S535" s="33"/>
      <c r="T535" s="124"/>
      <c r="U535" s="3"/>
      <c r="V535" s="3"/>
      <c r="W535" s="3"/>
      <c r="X535" s="3"/>
      <c r="Y535" s="3"/>
      <c r="Z535" s="3"/>
    </row>
    <row r="536" spans="1:26" ht="15.75" customHeight="1">
      <c r="A536" s="3"/>
      <c r="B536" s="3"/>
      <c r="C536" s="3"/>
      <c r="D536" s="33"/>
      <c r="E536" s="33"/>
      <c r="F536" s="33"/>
      <c r="G536" s="33"/>
      <c r="H536" s="33"/>
      <c r="I536" s="33"/>
      <c r="J536" s="33"/>
      <c r="K536" s="33"/>
      <c r="L536" s="33"/>
      <c r="M536" s="33"/>
      <c r="N536" s="33"/>
      <c r="O536" s="33"/>
      <c r="P536" s="33"/>
      <c r="Q536" s="33"/>
      <c r="R536" s="33"/>
      <c r="S536" s="33"/>
      <c r="T536" s="124"/>
      <c r="U536" s="3"/>
      <c r="V536" s="3"/>
      <c r="W536" s="3"/>
      <c r="X536" s="3"/>
      <c r="Y536" s="3"/>
      <c r="Z536" s="3"/>
    </row>
    <row r="537" spans="1:26" ht="15.75" customHeight="1">
      <c r="A537" s="3"/>
      <c r="B537" s="3"/>
      <c r="C537" s="3"/>
      <c r="D537" s="33"/>
      <c r="E537" s="33"/>
      <c r="F537" s="33"/>
      <c r="G537" s="33"/>
      <c r="H537" s="33"/>
      <c r="I537" s="33"/>
      <c r="J537" s="33"/>
      <c r="K537" s="33"/>
      <c r="L537" s="33"/>
      <c r="M537" s="33"/>
      <c r="N537" s="33"/>
      <c r="O537" s="33"/>
      <c r="P537" s="33"/>
      <c r="Q537" s="33"/>
      <c r="R537" s="33"/>
      <c r="S537" s="33"/>
      <c r="T537" s="124"/>
      <c r="U537" s="3"/>
      <c r="V537" s="3"/>
      <c r="W537" s="3"/>
      <c r="X537" s="3"/>
      <c r="Y537" s="3"/>
      <c r="Z537" s="3"/>
    </row>
    <row r="538" spans="1:26" ht="15.75" customHeight="1">
      <c r="A538" s="3"/>
      <c r="B538" s="3"/>
      <c r="C538" s="3"/>
      <c r="D538" s="33"/>
      <c r="E538" s="33"/>
      <c r="F538" s="33"/>
      <c r="G538" s="33"/>
      <c r="H538" s="33"/>
      <c r="I538" s="33"/>
      <c r="J538" s="33"/>
      <c r="K538" s="33"/>
      <c r="L538" s="33"/>
      <c r="M538" s="33"/>
      <c r="N538" s="33"/>
      <c r="O538" s="33"/>
      <c r="P538" s="33"/>
      <c r="Q538" s="33"/>
      <c r="R538" s="33"/>
      <c r="S538" s="33"/>
      <c r="T538" s="124"/>
      <c r="U538" s="3"/>
      <c r="V538" s="3"/>
      <c r="W538" s="3"/>
      <c r="X538" s="3"/>
      <c r="Y538" s="3"/>
      <c r="Z538" s="3"/>
    </row>
    <row r="539" spans="1:26" ht="15.75" customHeight="1">
      <c r="A539" s="3"/>
      <c r="B539" s="3"/>
      <c r="C539" s="3"/>
      <c r="D539" s="33"/>
      <c r="E539" s="33"/>
      <c r="F539" s="33"/>
      <c r="G539" s="33"/>
      <c r="H539" s="33"/>
      <c r="I539" s="33"/>
      <c r="J539" s="33"/>
      <c r="K539" s="33"/>
      <c r="L539" s="33"/>
      <c r="M539" s="33"/>
      <c r="N539" s="33"/>
      <c r="O539" s="33"/>
      <c r="P539" s="33"/>
      <c r="Q539" s="33"/>
      <c r="R539" s="33"/>
      <c r="S539" s="33"/>
      <c r="T539" s="124"/>
      <c r="U539" s="3"/>
      <c r="V539" s="3"/>
      <c r="W539" s="3"/>
      <c r="X539" s="3"/>
      <c r="Y539" s="3"/>
      <c r="Z539" s="3"/>
    </row>
    <row r="540" spans="1:26" ht="15.75" customHeight="1">
      <c r="A540" s="3"/>
      <c r="B540" s="3"/>
      <c r="C540" s="3"/>
      <c r="D540" s="33"/>
      <c r="E540" s="33"/>
      <c r="F540" s="33"/>
      <c r="G540" s="33"/>
      <c r="H540" s="33"/>
      <c r="I540" s="33"/>
      <c r="J540" s="33"/>
      <c r="K540" s="33"/>
      <c r="L540" s="33"/>
      <c r="M540" s="33"/>
      <c r="N540" s="33"/>
      <c r="O540" s="33"/>
      <c r="P540" s="33"/>
      <c r="Q540" s="33"/>
      <c r="R540" s="33"/>
      <c r="S540" s="33"/>
      <c r="T540" s="124"/>
      <c r="U540" s="3"/>
      <c r="V540" s="3"/>
      <c r="W540" s="3"/>
      <c r="X540" s="3"/>
      <c r="Y540" s="3"/>
      <c r="Z540" s="3"/>
    </row>
    <row r="541" spans="1:26" ht="15.75" customHeight="1">
      <c r="A541" s="3"/>
      <c r="B541" s="3"/>
      <c r="C541" s="3"/>
      <c r="D541" s="33"/>
      <c r="E541" s="33"/>
      <c r="F541" s="33"/>
      <c r="G541" s="33"/>
      <c r="H541" s="33"/>
      <c r="I541" s="33"/>
      <c r="J541" s="33"/>
      <c r="K541" s="33"/>
      <c r="L541" s="33"/>
      <c r="M541" s="33"/>
      <c r="N541" s="33"/>
      <c r="O541" s="33"/>
      <c r="P541" s="33"/>
      <c r="Q541" s="33"/>
      <c r="R541" s="33"/>
      <c r="S541" s="33"/>
      <c r="T541" s="124"/>
      <c r="U541" s="3"/>
      <c r="V541" s="3"/>
      <c r="W541" s="3"/>
      <c r="X541" s="3"/>
      <c r="Y541" s="3"/>
      <c r="Z541" s="3"/>
    </row>
    <row r="542" spans="1:26" ht="15.75" customHeight="1">
      <c r="A542" s="3"/>
      <c r="B542" s="3"/>
      <c r="C542" s="3"/>
      <c r="D542" s="33"/>
      <c r="E542" s="33"/>
      <c r="F542" s="33"/>
      <c r="G542" s="33"/>
      <c r="H542" s="33"/>
      <c r="I542" s="33"/>
      <c r="J542" s="33"/>
      <c r="K542" s="33"/>
      <c r="L542" s="33"/>
      <c r="M542" s="33"/>
      <c r="N542" s="33"/>
      <c r="O542" s="33"/>
      <c r="P542" s="33"/>
      <c r="Q542" s="33"/>
      <c r="R542" s="33"/>
      <c r="S542" s="33"/>
      <c r="T542" s="124"/>
      <c r="U542" s="3"/>
      <c r="V542" s="3"/>
      <c r="W542" s="3"/>
      <c r="X542" s="3"/>
      <c r="Y542" s="3"/>
      <c r="Z542" s="3"/>
    </row>
    <row r="543" spans="1:26" ht="15.75" customHeight="1">
      <c r="A543" s="3"/>
      <c r="B543" s="3"/>
      <c r="C543" s="3"/>
      <c r="D543" s="33"/>
      <c r="E543" s="33"/>
      <c r="F543" s="33"/>
      <c r="G543" s="33"/>
      <c r="H543" s="33"/>
      <c r="I543" s="33"/>
      <c r="J543" s="33"/>
      <c r="K543" s="33"/>
      <c r="L543" s="33"/>
      <c r="M543" s="33"/>
      <c r="N543" s="33"/>
      <c r="O543" s="33"/>
      <c r="P543" s="33"/>
      <c r="Q543" s="33"/>
      <c r="R543" s="33"/>
      <c r="S543" s="33"/>
      <c r="T543" s="124"/>
      <c r="U543" s="3"/>
      <c r="V543" s="3"/>
      <c r="W543" s="3"/>
      <c r="X543" s="3"/>
      <c r="Y543" s="3"/>
      <c r="Z543" s="3"/>
    </row>
    <row r="544" spans="1:26" ht="15.75" customHeight="1">
      <c r="A544" s="3"/>
      <c r="B544" s="3"/>
      <c r="C544" s="3"/>
      <c r="D544" s="33"/>
      <c r="E544" s="33"/>
      <c r="F544" s="33"/>
      <c r="G544" s="33"/>
      <c r="H544" s="33"/>
      <c r="I544" s="33"/>
      <c r="J544" s="33"/>
      <c r="K544" s="33"/>
      <c r="L544" s="33"/>
      <c r="M544" s="33"/>
      <c r="N544" s="33"/>
      <c r="O544" s="33"/>
      <c r="P544" s="33"/>
      <c r="Q544" s="33"/>
      <c r="R544" s="33"/>
      <c r="S544" s="33"/>
      <c r="T544" s="124"/>
      <c r="U544" s="3"/>
      <c r="V544" s="3"/>
      <c r="W544" s="3"/>
      <c r="X544" s="3"/>
      <c r="Y544" s="3"/>
      <c r="Z544" s="3"/>
    </row>
    <row r="545" spans="1:26" ht="15.75" customHeight="1">
      <c r="A545" s="3"/>
      <c r="B545" s="3"/>
      <c r="C545" s="3"/>
      <c r="D545" s="33"/>
      <c r="E545" s="33"/>
      <c r="F545" s="33"/>
      <c r="G545" s="33"/>
      <c r="H545" s="33"/>
      <c r="I545" s="33"/>
      <c r="J545" s="33"/>
      <c r="K545" s="33"/>
      <c r="L545" s="33"/>
      <c r="M545" s="33"/>
      <c r="N545" s="33"/>
      <c r="O545" s="33"/>
      <c r="P545" s="33"/>
      <c r="Q545" s="33"/>
      <c r="R545" s="33"/>
      <c r="S545" s="33"/>
      <c r="T545" s="124"/>
      <c r="U545" s="3"/>
      <c r="V545" s="3"/>
      <c r="W545" s="3"/>
      <c r="X545" s="3"/>
      <c r="Y545" s="3"/>
      <c r="Z545" s="3"/>
    </row>
    <row r="546" spans="1:26" ht="15.75" customHeight="1">
      <c r="A546" s="3"/>
      <c r="B546" s="3"/>
      <c r="C546" s="3"/>
      <c r="D546" s="33"/>
      <c r="E546" s="33"/>
      <c r="F546" s="33"/>
      <c r="G546" s="33"/>
      <c r="H546" s="33"/>
      <c r="I546" s="33"/>
      <c r="J546" s="33"/>
      <c r="K546" s="33"/>
      <c r="L546" s="33"/>
      <c r="M546" s="33"/>
      <c r="N546" s="33"/>
      <c r="O546" s="33"/>
      <c r="P546" s="33"/>
      <c r="Q546" s="33"/>
      <c r="R546" s="33"/>
      <c r="S546" s="33"/>
      <c r="T546" s="124"/>
      <c r="U546" s="3"/>
      <c r="V546" s="3"/>
      <c r="W546" s="3"/>
      <c r="X546" s="3"/>
      <c r="Y546" s="3"/>
      <c r="Z546" s="3"/>
    </row>
    <row r="547" spans="1:26" ht="15.75" customHeight="1">
      <c r="A547" s="3"/>
      <c r="B547" s="3"/>
      <c r="C547" s="3"/>
      <c r="D547" s="33"/>
      <c r="E547" s="33"/>
      <c r="F547" s="33"/>
      <c r="G547" s="33"/>
      <c r="H547" s="33"/>
      <c r="I547" s="33"/>
      <c r="J547" s="33"/>
      <c r="K547" s="33"/>
      <c r="L547" s="33"/>
      <c r="M547" s="33"/>
      <c r="N547" s="33"/>
      <c r="O547" s="33"/>
      <c r="P547" s="33"/>
      <c r="Q547" s="33"/>
      <c r="R547" s="33"/>
      <c r="S547" s="33"/>
      <c r="T547" s="124"/>
      <c r="U547" s="3"/>
      <c r="V547" s="3"/>
      <c r="W547" s="3"/>
      <c r="X547" s="3"/>
      <c r="Y547" s="3"/>
      <c r="Z547" s="3"/>
    </row>
    <row r="548" spans="1:26" ht="15.75" customHeight="1">
      <c r="A548" s="3"/>
      <c r="B548" s="3"/>
      <c r="C548" s="3"/>
      <c r="D548" s="33"/>
      <c r="E548" s="33"/>
      <c r="F548" s="33"/>
      <c r="G548" s="33"/>
      <c r="H548" s="33"/>
      <c r="I548" s="33"/>
      <c r="J548" s="33"/>
      <c r="K548" s="33"/>
      <c r="L548" s="33"/>
      <c r="M548" s="33"/>
      <c r="N548" s="33"/>
      <c r="O548" s="33"/>
      <c r="P548" s="33"/>
      <c r="Q548" s="33"/>
      <c r="R548" s="33"/>
      <c r="S548" s="33"/>
      <c r="T548" s="124"/>
      <c r="U548" s="3"/>
      <c r="V548" s="3"/>
      <c r="W548" s="3"/>
      <c r="X548" s="3"/>
      <c r="Y548" s="3"/>
      <c r="Z548" s="3"/>
    </row>
    <row r="549" spans="1:26" ht="15.75" customHeight="1">
      <c r="A549" s="3"/>
      <c r="B549" s="3"/>
      <c r="C549" s="3"/>
      <c r="D549" s="33"/>
      <c r="E549" s="33"/>
      <c r="F549" s="33"/>
      <c r="G549" s="33"/>
      <c r="H549" s="33"/>
      <c r="I549" s="33"/>
      <c r="J549" s="33"/>
      <c r="K549" s="33"/>
      <c r="L549" s="33"/>
      <c r="M549" s="33"/>
      <c r="N549" s="33"/>
      <c r="O549" s="33"/>
      <c r="P549" s="33"/>
      <c r="Q549" s="33"/>
      <c r="R549" s="33"/>
      <c r="S549" s="33"/>
      <c r="T549" s="124"/>
      <c r="U549" s="3"/>
      <c r="V549" s="3"/>
      <c r="W549" s="3"/>
      <c r="X549" s="3"/>
      <c r="Y549" s="3"/>
      <c r="Z549" s="3"/>
    </row>
    <row r="550" spans="1:26" ht="15.75" customHeight="1">
      <c r="A550" s="3"/>
      <c r="B550" s="3"/>
      <c r="C550" s="3"/>
      <c r="D550" s="33"/>
      <c r="E550" s="33"/>
      <c r="F550" s="33"/>
      <c r="G550" s="33"/>
      <c r="H550" s="33"/>
      <c r="I550" s="33"/>
      <c r="J550" s="33"/>
      <c r="K550" s="33"/>
      <c r="L550" s="33"/>
      <c r="M550" s="33"/>
      <c r="N550" s="33"/>
      <c r="O550" s="33"/>
      <c r="P550" s="33"/>
      <c r="Q550" s="33"/>
      <c r="R550" s="33"/>
      <c r="S550" s="33"/>
      <c r="T550" s="124"/>
      <c r="U550" s="3"/>
      <c r="V550" s="3"/>
      <c r="W550" s="3"/>
      <c r="X550" s="3"/>
      <c r="Y550" s="3"/>
      <c r="Z550" s="3"/>
    </row>
    <row r="551" spans="1:26" ht="15.75" customHeight="1">
      <c r="A551" s="3"/>
      <c r="B551" s="3"/>
      <c r="C551" s="3"/>
      <c r="D551" s="33"/>
      <c r="E551" s="33"/>
      <c r="F551" s="33"/>
      <c r="G551" s="33"/>
      <c r="H551" s="33"/>
      <c r="I551" s="33"/>
      <c r="J551" s="33"/>
      <c r="K551" s="33"/>
      <c r="L551" s="33"/>
      <c r="M551" s="33"/>
      <c r="N551" s="33"/>
      <c r="O551" s="33"/>
      <c r="P551" s="33"/>
      <c r="Q551" s="33"/>
      <c r="R551" s="33"/>
      <c r="S551" s="33"/>
      <c r="T551" s="124"/>
      <c r="U551" s="3"/>
      <c r="V551" s="3"/>
      <c r="W551" s="3"/>
      <c r="X551" s="3"/>
      <c r="Y551" s="3"/>
      <c r="Z551" s="3"/>
    </row>
    <row r="552" spans="1:26" ht="15.75" customHeight="1">
      <c r="A552" s="3"/>
      <c r="B552" s="3"/>
      <c r="C552" s="3"/>
      <c r="D552" s="33"/>
      <c r="E552" s="33"/>
      <c r="F552" s="33"/>
      <c r="G552" s="33"/>
      <c r="H552" s="33"/>
      <c r="I552" s="33"/>
      <c r="J552" s="33"/>
      <c r="K552" s="33"/>
      <c r="L552" s="33"/>
      <c r="M552" s="33"/>
      <c r="N552" s="33"/>
      <c r="O552" s="33"/>
      <c r="P552" s="33"/>
      <c r="Q552" s="33"/>
      <c r="R552" s="33"/>
      <c r="S552" s="33"/>
      <c r="T552" s="124"/>
      <c r="U552" s="3"/>
      <c r="V552" s="3"/>
      <c r="W552" s="3"/>
      <c r="X552" s="3"/>
      <c r="Y552" s="3"/>
      <c r="Z552" s="3"/>
    </row>
    <row r="553" spans="1:26" ht="15.75" customHeight="1">
      <c r="A553" s="3"/>
      <c r="B553" s="3"/>
      <c r="C553" s="3"/>
      <c r="D553" s="33"/>
      <c r="E553" s="33"/>
      <c r="F553" s="33"/>
      <c r="G553" s="33"/>
      <c r="H553" s="33"/>
      <c r="I553" s="33"/>
      <c r="J553" s="33"/>
      <c r="K553" s="33"/>
      <c r="L553" s="33"/>
      <c r="M553" s="33"/>
      <c r="N553" s="33"/>
      <c r="O553" s="33"/>
      <c r="P553" s="33"/>
      <c r="Q553" s="33"/>
      <c r="R553" s="33"/>
      <c r="S553" s="33"/>
      <c r="T553" s="124"/>
      <c r="U553" s="3"/>
      <c r="V553" s="3"/>
      <c r="W553" s="3"/>
      <c r="X553" s="3"/>
      <c r="Y553" s="3"/>
      <c r="Z553" s="3"/>
    </row>
    <row r="554" spans="1:26" ht="15.75" customHeight="1">
      <c r="A554" s="3"/>
      <c r="B554" s="3"/>
      <c r="C554" s="3"/>
      <c r="D554" s="33"/>
      <c r="E554" s="33"/>
      <c r="F554" s="33"/>
      <c r="G554" s="33"/>
      <c r="H554" s="33"/>
      <c r="I554" s="33"/>
      <c r="J554" s="33"/>
      <c r="K554" s="33"/>
      <c r="L554" s="33"/>
      <c r="M554" s="33"/>
      <c r="N554" s="33"/>
      <c r="O554" s="33"/>
      <c r="P554" s="33"/>
      <c r="Q554" s="33"/>
      <c r="R554" s="33"/>
      <c r="S554" s="33"/>
      <c r="T554" s="124"/>
      <c r="U554" s="3"/>
      <c r="V554" s="3"/>
      <c r="W554" s="3"/>
      <c r="X554" s="3"/>
      <c r="Y554" s="3"/>
      <c r="Z554" s="3"/>
    </row>
    <row r="555" spans="1:26" ht="15.75" customHeight="1">
      <c r="A555" s="3"/>
      <c r="B555" s="3"/>
      <c r="C555" s="3"/>
      <c r="D555" s="33"/>
      <c r="E555" s="33"/>
      <c r="F555" s="33"/>
      <c r="G555" s="33"/>
      <c r="H555" s="33"/>
      <c r="I555" s="33"/>
      <c r="J555" s="33"/>
      <c r="K555" s="33"/>
      <c r="L555" s="33"/>
      <c r="M555" s="33"/>
      <c r="N555" s="33"/>
      <c r="O555" s="33"/>
      <c r="P555" s="33"/>
      <c r="Q555" s="33"/>
      <c r="R555" s="33"/>
      <c r="S555" s="33"/>
      <c r="T555" s="124"/>
      <c r="U555" s="3"/>
      <c r="V555" s="3"/>
      <c r="W555" s="3"/>
      <c r="X555" s="3"/>
      <c r="Y555" s="3"/>
      <c r="Z555" s="3"/>
    </row>
    <row r="556" spans="1:26" ht="15.75" customHeight="1">
      <c r="A556" s="3"/>
      <c r="B556" s="3"/>
      <c r="C556" s="3"/>
      <c r="D556" s="33"/>
      <c r="E556" s="33"/>
      <c r="F556" s="33"/>
      <c r="G556" s="33"/>
      <c r="H556" s="33"/>
      <c r="I556" s="33"/>
      <c r="J556" s="33"/>
      <c r="K556" s="33"/>
      <c r="L556" s="33"/>
      <c r="M556" s="33"/>
      <c r="N556" s="33"/>
      <c r="O556" s="33"/>
      <c r="P556" s="33"/>
      <c r="Q556" s="33"/>
      <c r="R556" s="33"/>
      <c r="S556" s="33"/>
      <c r="T556" s="124"/>
      <c r="U556" s="3"/>
      <c r="V556" s="3"/>
      <c r="W556" s="3"/>
      <c r="X556" s="3"/>
      <c r="Y556" s="3"/>
      <c r="Z556" s="3"/>
    </row>
    <row r="557" spans="1:26" ht="15.75" customHeight="1">
      <c r="A557" s="3"/>
      <c r="B557" s="3"/>
      <c r="C557" s="3"/>
      <c r="D557" s="33"/>
      <c r="E557" s="33"/>
      <c r="F557" s="33"/>
      <c r="G557" s="33"/>
      <c r="H557" s="33"/>
      <c r="I557" s="33"/>
      <c r="J557" s="33"/>
      <c r="K557" s="33"/>
      <c r="L557" s="33"/>
      <c r="M557" s="33"/>
      <c r="N557" s="33"/>
      <c r="O557" s="33"/>
      <c r="P557" s="33"/>
      <c r="Q557" s="33"/>
      <c r="R557" s="33"/>
      <c r="S557" s="33"/>
      <c r="T557" s="124"/>
      <c r="U557" s="3"/>
      <c r="V557" s="3"/>
      <c r="W557" s="3"/>
      <c r="X557" s="3"/>
      <c r="Y557" s="3"/>
      <c r="Z557" s="3"/>
    </row>
    <row r="558" spans="1:26" ht="15.75" customHeight="1">
      <c r="A558" s="3"/>
      <c r="B558" s="3"/>
      <c r="C558" s="3"/>
      <c r="D558" s="33"/>
      <c r="E558" s="33"/>
      <c r="F558" s="33"/>
      <c r="G558" s="33"/>
      <c r="H558" s="33"/>
      <c r="I558" s="33"/>
      <c r="J558" s="33"/>
      <c r="K558" s="33"/>
      <c r="L558" s="33"/>
      <c r="M558" s="33"/>
      <c r="N558" s="33"/>
      <c r="O558" s="33"/>
      <c r="P558" s="33"/>
      <c r="Q558" s="33"/>
      <c r="R558" s="33"/>
      <c r="S558" s="33"/>
      <c r="T558" s="124"/>
      <c r="U558" s="3"/>
      <c r="V558" s="3"/>
      <c r="W558" s="3"/>
      <c r="X558" s="3"/>
      <c r="Y558" s="3"/>
      <c r="Z558" s="3"/>
    </row>
    <row r="559" spans="1:26" ht="15.75" customHeight="1">
      <c r="A559" s="3"/>
      <c r="B559" s="3"/>
      <c r="C559" s="3"/>
      <c r="D559" s="33"/>
      <c r="E559" s="33"/>
      <c r="F559" s="33"/>
      <c r="G559" s="33"/>
      <c r="H559" s="33"/>
      <c r="I559" s="33"/>
      <c r="J559" s="33"/>
      <c r="K559" s="33"/>
      <c r="L559" s="33"/>
      <c r="M559" s="33"/>
      <c r="N559" s="33"/>
      <c r="O559" s="33"/>
      <c r="P559" s="33"/>
      <c r="Q559" s="33"/>
      <c r="R559" s="33"/>
      <c r="S559" s="33"/>
      <c r="T559" s="124"/>
      <c r="U559" s="3"/>
      <c r="V559" s="3"/>
      <c r="W559" s="3"/>
      <c r="X559" s="3"/>
      <c r="Y559" s="3"/>
      <c r="Z559" s="3"/>
    </row>
    <row r="560" spans="1:26" ht="15.75" customHeight="1">
      <c r="A560" s="3"/>
      <c r="B560" s="3"/>
      <c r="C560" s="3"/>
      <c r="D560" s="33"/>
      <c r="E560" s="33"/>
      <c r="F560" s="33"/>
      <c r="G560" s="33"/>
      <c r="H560" s="33"/>
      <c r="I560" s="33"/>
      <c r="J560" s="33"/>
      <c r="K560" s="33"/>
      <c r="L560" s="33"/>
      <c r="M560" s="33"/>
      <c r="N560" s="33"/>
      <c r="O560" s="33"/>
      <c r="P560" s="33"/>
      <c r="Q560" s="33"/>
      <c r="R560" s="33"/>
      <c r="S560" s="33"/>
      <c r="T560" s="124"/>
      <c r="U560" s="3"/>
      <c r="V560" s="3"/>
      <c r="W560" s="3"/>
      <c r="X560" s="3"/>
      <c r="Y560" s="3"/>
      <c r="Z560" s="3"/>
    </row>
    <row r="561" spans="1:26" ht="15.75" customHeight="1">
      <c r="A561" s="3"/>
      <c r="B561" s="3"/>
      <c r="C561" s="3"/>
      <c r="D561" s="33"/>
      <c r="E561" s="33"/>
      <c r="F561" s="33"/>
      <c r="G561" s="33"/>
      <c r="H561" s="33"/>
      <c r="I561" s="33"/>
      <c r="J561" s="33"/>
      <c r="K561" s="33"/>
      <c r="L561" s="33"/>
      <c r="M561" s="33"/>
      <c r="N561" s="33"/>
      <c r="O561" s="33"/>
      <c r="P561" s="33"/>
      <c r="Q561" s="33"/>
      <c r="R561" s="33"/>
      <c r="S561" s="33"/>
      <c r="T561" s="124"/>
      <c r="U561" s="3"/>
      <c r="V561" s="3"/>
      <c r="W561" s="3"/>
      <c r="X561" s="3"/>
      <c r="Y561" s="3"/>
      <c r="Z561" s="3"/>
    </row>
    <row r="562" spans="1:26" ht="15.75" customHeight="1">
      <c r="A562" s="3"/>
      <c r="B562" s="3"/>
      <c r="C562" s="3"/>
      <c r="D562" s="33"/>
      <c r="E562" s="33"/>
      <c r="F562" s="33"/>
      <c r="G562" s="33"/>
      <c r="H562" s="33"/>
      <c r="I562" s="33"/>
      <c r="J562" s="33"/>
      <c r="K562" s="33"/>
      <c r="L562" s="33"/>
      <c r="M562" s="33"/>
      <c r="N562" s="33"/>
      <c r="O562" s="33"/>
      <c r="P562" s="33"/>
      <c r="Q562" s="33"/>
      <c r="R562" s="33"/>
      <c r="S562" s="33"/>
      <c r="T562" s="124"/>
      <c r="U562" s="3"/>
      <c r="V562" s="3"/>
      <c r="W562" s="3"/>
      <c r="X562" s="3"/>
      <c r="Y562" s="3"/>
      <c r="Z562" s="3"/>
    </row>
    <row r="563" spans="1:26" ht="15.75" customHeight="1">
      <c r="A563" s="3"/>
      <c r="B563" s="3"/>
      <c r="C563" s="3"/>
      <c r="D563" s="33"/>
      <c r="E563" s="33"/>
      <c r="F563" s="33"/>
      <c r="G563" s="33"/>
      <c r="H563" s="33"/>
      <c r="I563" s="33"/>
      <c r="J563" s="33"/>
      <c r="K563" s="33"/>
      <c r="L563" s="33"/>
      <c r="M563" s="33"/>
      <c r="N563" s="33"/>
      <c r="O563" s="33"/>
      <c r="P563" s="33"/>
      <c r="Q563" s="33"/>
      <c r="R563" s="33"/>
      <c r="S563" s="33"/>
      <c r="T563" s="124"/>
      <c r="U563" s="3"/>
      <c r="V563" s="3"/>
      <c r="W563" s="3"/>
      <c r="X563" s="3"/>
      <c r="Y563" s="3"/>
      <c r="Z563" s="3"/>
    </row>
    <row r="564" spans="1:26" ht="15.75" customHeight="1">
      <c r="A564" s="3"/>
      <c r="B564" s="3"/>
      <c r="C564" s="3"/>
      <c r="D564" s="33"/>
      <c r="E564" s="33"/>
      <c r="F564" s="33"/>
      <c r="G564" s="33"/>
      <c r="H564" s="33"/>
      <c r="I564" s="33"/>
      <c r="J564" s="33"/>
      <c r="K564" s="33"/>
      <c r="L564" s="33"/>
      <c r="M564" s="33"/>
      <c r="N564" s="33"/>
      <c r="O564" s="33"/>
      <c r="P564" s="33"/>
      <c r="Q564" s="33"/>
      <c r="R564" s="33"/>
      <c r="S564" s="33"/>
      <c r="T564" s="124"/>
      <c r="U564" s="3"/>
      <c r="V564" s="3"/>
      <c r="W564" s="3"/>
      <c r="X564" s="3"/>
      <c r="Y564" s="3"/>
      <c r="Z564" s="3"/>
    </row>
    <row r="565" spans="1:26" ht="15.75" customHeight="1">
      <c r="A565" s="3"/>
      <c r="B565" s="3"/>
      <c r="C565" s="3"/>
      <c r="D565" s="33"/>
      <c r="E565" s="33"/>
      <c r="F565" s="33"/>
      <c r="G565" s="33"/>
      <c r="H565" s="33"/>
      <c r="I565" s="33"/>
      <c r="J565" s="33"/>
      <c r="K565" s="33"/>
      <c r="L565" s="33"/>
      <c r="M565" s="33"/>
      <c r="N565" s="33"/>
      <c r="O565" s="33"/>
      <c r="P565" s="33"/>
      <c r="Q565" s="33"/>
      <c r="R565" s="33"/>
      <c r="S565" s="33"/>
      <c r="T565" s="124"/>
      <c r="U565" s="3"/>
      <c r="V565" s="3"/>
      <c r="W565" s="3"/>
      <c r="X565" s="3"/>
      <c r="Y565" s="3"/>
      <c r="Z565" s="3"/>
    </row>
    <row r="566" spans="1:26" ht="15.75" customHeight="1">
      <c r="A566" s="3"/>
      <c r="B566" s="3"/>
      <c r="C566" s="3"/>
      <c r="D566" s="33"/>
      <c r="E566" s="33"/>
      <c r="F566" s="33"/>
      <c r="G566" s="33"/>
      <c r="H566" s="33"/>
      <c r="I566" s="33"/>
      <c r="J566" s="33"/>
      <c r="K566" s="33"/>
      <c r="L566" s="33"/>
      <c r="M566" s="33"/>
      <c r="N566" s="33"/>
      <c r="O566" s="33"/>
      <c r="P566" s="33"/>
      <c r="Q566" s="33"/>
      <c r="R566" s="33"/>
      <c r="S566" s="33"/>
      <c r="T566" s="124"/>
      <c r="U566" s="3"/>
      <c r="V566" s="3"/>
      <c r="W566" s="3"/>
      <c r="X566" s="3"/>
      <c r="Y566" s="3"/>
      <c r="Z566" s="3"/>
    </row>
    <row r="567" spans="1:26" ht="15.75" customHeight="1">
      <c r="A567" s="3"/>
      <c r="B567" s="3"/>
      <c r="C567" s="3"/>
      <c r="D567" s="33"/>
      <c r="E567" s="33"/>
      <c r="F567" s="33"/>
      <c r="G567" s="33"/>
      <c r="H567" s="33"/>
      <c r="I567" s="33"/>
      <c r="J567" s="33"/>
      <c r="K567" s="33"/>
      <c r="L567" s="33"/>
      <c r="M567" s="33"/>
      <c r="N567" s="33"/>
      <c r="O567" s="33"/>
      <c r="P567" s="33"/>
      <c r="Q567" s="33"/>
      <c r="R567" s="33"/>
      <c r="S567" s="33"/>
      <c r="T567" s="124"/>
      <c r="U567" s="3"/>
      <c r="V567" s="3"/>
      <c r="W567" s="3"/>
      <c r="X567" s="3"/>
      <c r="Y567" s="3"/>
      <c r="Z567" s="3"/>
    </row>
    <row r="568" spans="1:26" ht="15.75" customHeight="1">
      <c r="A568" s="3"/>
      <c r="B568" s="3"/>
      <c r="C568" s="3"/>
      <c r="D568" s="33"/>
      <c r="E568" s="33"/>
      <c r="F568" s="33"/>
      <c r="G568" s="33"/>
      <c r="H568" s="33"/>
      <c r="I568" s="33"/>
      <c r="J568" s="33"/>
      <c r="K568" s="33"/>
      <c r="L568" s="33"/>
      <c r="M568" s="33"/>
      <c r="N568" s="33"/>
      <c r="O568" s="33"/>
      <c r="P568" s="33"/>
      <c r="Q568" s="33"/>
      <c r="R568" s="33"/>
      <c r="S568" s="33"/>
      <c r="T568" s="124"/>
      <c r="U568" s="3"/>
      <c r="V568" s="3"/>
      <c r="W568" s="3"/>
      <c r="X568" s="3"/>
      <c r="Y568" s="3"/>
      <c r="Z568" s="3"/>
    </row>
    <row r="569" spans="1:26" ht="15.75" customHeight="1">
      <c r="A569" s="3"/>
      <c r="B569" s="3"/>
      <c r="C569" s="3"/>
      <c r="D569" s="33"/>
      <c r="E569" s="33"/>
      <c r="F569" s="33"/>
      <c r="G569" s="33"/>
      <c r="H569" s="33"/>
      <c r="I569" s="33"/>
      <c r="J569" s="33"/>
      <c r="K569" s="33"/>
      <c r="L569" s="33"/>
      <c r="M569" s="33"/>
      <c r="N569" s="33"/>
      <c r="O569" s="33"/>
      <c r="P569" s="33"/>
      <c r="Q569" s="33"/>
      <c r="R569" s="33"/>
      <c r="S569" s="33"/>
      <c r="T569" s="124"/>
      <c r="U569" s="3"/>
      <c r="V569" s="3"/>
      <c r="W569" s="3"/>
      <c r="X569" s="3"/>
      <c r="Y569" s="3"/>
      <c r="Z569" s="3"/>
    </row>
    <row r="570" spans="1:26" ht="15.75" customHeight="1">
      <c r="A570" s="3"/>
      <c r="B570" s="3"/>
      <c r="C570" s="3"/>
      <c r="D570" s="33"/>
      <c r="E570" s="33"/>
      <c r="F570" s="33"/>
      <c r="G570" s="33"/>
      <c r="H570" s="33"/>
      <c r="I570" s="33"/>
      <c r="J570" s="33"/>
      <c r="K570" s="33"/>
      <c r="L570" s="33"/>
      <c r="M570" s="33"/>
      <c r="N570" s="33"/>
      <c r="O570" s="33"/>
      <c r="P570" s="33"/>
      <c r="Q570" s="33"/>
      <c r="R570" s="33"/>
      <c r="S570" s="33"/>
      <c r="T570" s="124"/>
      <c r="U570" s="3"/>
      <c r="V570" s="3"/>
      <c r="W570" s="3"/>
      <c r="X570" s="3"/>
      <c r="Y570" s="3"/>
      <c r="Z570" s="3"/>
    </row>
    <row r="571" spans="1:26" ht="15.75" customHeight="1">
      <c r="A571" s="3"/>
      <c r="B571" s="3"/>
      <c r="C571" s="3"/>
      <c r="D571" s="33"/>
      <c r="E571" s="33"/>
      <c r="F571" s="33"/>
      <c r="G571" s="33"/>
      <c r="H571" s="33"/>
      <c r="I571" s="33"/>
      <c r="J571" s="33"/>
      <c r="K571" s="33"/>
      <c r="L571" s="33"/>
      <c r="M571" s="33"/>
      <c r="N571" s="33"/>
      <c r="O571" s="33"/>
      <c r="P571" s="33"/>
      <c r="Q571" s="33"/>
      <c r="R571" s="33"/>
      <c r="S571" s="33"/>
      <c r="T571" s="124"/>
      <c r="U571" s="3"/>
      <c r="V571" s="3"/>
      <c r="W571" s="3"/>
      <c r="X571" s="3"/>
      <c r="Y571" s="3"/>
      <c r="Z571" s="3"/>
    </row>
    <row r="572" spans="1:26" ht="15.75" customHeight="1">
      <c r="A572" s="3"/>
      <c r="B572" s="3"/>
      <c r="C572" s="3"/>
      <c r="D572" s="33"/>
      <c r="E572" s="33"/>
      <c r="F572" s="33"/>
      <c r="G572" s="33"/>
      <c r="H572" s="33"/>
      <c r="I572" s="33"/>
      <c r="J572" s="33"/>
      <c r="K572" s="33"/>
      <c r="L572" s="33"/>
      <c r="M572" s="33"/>
      <c r="N572" s="33"/>
      <c r="O572" s="33"/>
      <c r="P572" s="33"/>
      <c r="Q572" s="33"/>
      <c r="R572" s="33"/>
      <c r="S572" s="33"/>
      <c r="T572" s="124"/>
      <c r="U572" s="3"/>
      <c r="V572" s="3"/>
      <c r="W572" s="3"/>
      <c r="X572" s="3"/>
      <c r="Y572" s="3"/>
      <c r="Z572" s="3"/>
    </row>
    <row r="573" spans="1:26" ht="15.75" customHeight="1">
      <c r="A573" s="3"/>
      <c r="B573" s="3"/>
      <c r="C573" s="3"/>
      <c r="D573" s="33"/>
      <c r="E573" s="33"/>
      <c r="F573" s="33"/>
      <c r="G573" s="33"/>
      <c r="H573" s="33"/>
      <c r="I573" s="33"/>
      <c r="J573" s="33"/>
      <c r="K573" s="33"/>
      <c r="L573" s="33"/>
      <c r="M573" s="33"/>
      <c r="N573" s="33"/>
      <c r="O573" s="33"/>
      <c r="P573" s="33"/>
      <c r="Q573" s="33"/>
      <c r="R573" s="33"/>
      <c r="S573" s="33"/>
      <c r="T573" s="124"/>
      <c r="U573" s="3"/>
      <c r="V573" s="3"/>
      <c r="W573" s="3"/>
      <c r="X573" s="3"/>
      <c r="Y573" s="3"/>
      <c r="Z573" s="3"/>
    </row>
    <row r="574" spans="1:26" ht="15.75" customHeight="1">
      <c r="A574" s="3"/>
      <c r="B574" s="3"/>
      <c r="C574" s="3"/>
      <c r="D574" s="33"/>
      <c r="E574" s="33"/>
      <c r="F574" s="33"/>
      <c r="G574" s="33"/>
      <c r="H574" s="33"/>
      <c r="I574" s="33"/>
      <c r="J574" s="33"/>
      <c r="K574" s="33"/>
      <c r="L574" s="33"/>
      <c r="M574" s="33"/>
      <c r="N574" s="33"/>
      <c r="O574" s="33"/>
      <c r="P574" s="33"/>
      <c r="Q574" s="33"/>
      <c r="R574" s="33"/>
      <c r="S574" s="33"/>
      <c r="T574" s="124"/>
      <c r="U574" s="3"/>
      <c r="V574" s="3"/>
      <c r="W574" s="3"/>
      <c r="X574" s="3"/>
      <c r="Y574" s="3"/>
      <c r="Z574" s="3"/>
    </row>
    <row r="575" spans="1:26" ht="15.75" customHeight="1">
      <c r="A575" s="3"/>
      <c r="B575" s="3"/>
      <c r="C575" s="3"/>
      <c r="D575" s="33"/>
      <c r="E575" s="33"/>
      <c r="F575" s="33"/>
      <c r="G575" s="33"/>
      <c r="H575" s="33"/>
      <c r="I575" s="33"/>
      <c r="J575" s="33"/>
      <c r="K575" s="33"/>
      <c r="L575" s="33"/>
      <c r="M575" s="33"/>
      <c r="N575" s="33"/>
      <c r="O575" s="33"/>
      <c r="P575" s="33"/>
      <c r="Q575" s="33"/>
      <c r="R575" s="33"/>
      <c r="S575" s="33"/>
      <c r="T575" s="124"/>
      <c r="U575" s="3"/>
      <c r="V575" s="3"/>
      <c r="W575" s="3"/>
      <c r="X575" s="3"/>
      <c r="Y575" s="3"/>
      <c r="Z575" s="3"/>
    </row>
    <row r="576" spans="1:26" ht="15.75" customHeight="1">
      <c r="A576" s="3"/>
      <c r="B576" s="3"/>
      <c r="C576" s="3"/>
      <c r="D576" s="33"/>
      <c r="E576" s="33"/>
      <c r="F576" s="33"/>
      <c r="G576" s="33"/>
      <c r="H576" s="33"/>
      <c r="I576" s="33"/>
      <c r="J576" s="33"/>
      <c r="K576" s="33"/>
      <c r="L576" s="33"/>
      <c r="M576" s="33"/>
      <c r="N576" s="33"/>
      <c r="O576" s="33"/>
      <c r="P576" s="33"/>
      <c r="Q576" s="33"/>
      <c r="R576" s="33"/>
      <c r="S576" s="33"/>
      <c r="T576" s="124"/>
      <c r="U576" s="3"/>
      <c r="V576" s="3"/>
      <c r="W576" s="3"/>
      <c r="X576" s="3"/>
      <c r="Y576" s="3"/>
      <c r="Z576" s="3"/>
    </row>
    <row r="577" spans="1:26" ht="15.75" customHeight="1">
      <c r="A577" s="3"/>
      <c r="B577" s="3"/>
      <c r="C577" s="3"/>
      <c r="D577" s="33"/>
      <c r="E577" s="33"/>
      <c r="F577" s="33"/>
      <c r="G577" s="33"/>
      <c r="H577" s="33"/>
      <c r="I577" s="33"/>
      <c r="J577" s="33"/>
      <c r="K577" s="33"/>
      <c r="L577" s="33"/>
      <c r="M577" s="33"/>
      <c r="N577" s="33"/>
      <c r="O577" s="33"/>
      <c r="P577" s="33"/>
      <c r="Q577" s="33"/>
      <c r="R577" s="33"/>
      <c r="S577" s="33"/>
      <c r="T577" s="124"/>
      <c r="U577" s="3"/>
      <c r="V577" s="3"/>
      <c r="W577" s="3"/>
      <c r="X577" s="3"/>
      <c r="Y577" s="3"/>
      <c r="Z577" s="3"/>
    </row>
    <row r="578" spans="1:26" ht="15.75" customHeight="1">
      <c r="A578" s="3"/>
      <c r="B578" s="3"/>
      <c r="C578" s="3"/>
      <c r="D578" s="33"/>
      <c r="E578" s="33"/>
      <c r="F578" s="33"/>
      <c r="G578" s="33"/>
      <c r="H578" s="33"/>
      <c r="I578" s="33"/>
      <c r="J578" s="33"/>
      <c r="K578" s="33"/>
      <c r="L578" s="33"/>
      <c r="M578" s="33"/>
      <c r="N578" s="33"/>
      <c r="O578" s="33"/>
      <c r="P578" s="33"/>
      <c r="Q578" s="33"/>
      <c r="R578" s="33"/>
      <c r="S578" s="33"/>
      <c r="T578" s="124"/>
      <c r="U578" s="3"/>
      <c r="V578" s="3"/>
      <c r="W578" s="3"/>
      <c r="X578" s="3"/>
      <c r="Y578" s="3"/>
      <c r="Z578" s="3"/>
    </row>
    <row r="579" spans="1:26" ht="15.75" customHeight="1">
      <c r="A579" s="3"/>
      <c r="B579" s="3"/>
      <c r="C579" s="3"/>
      <c r="D579" s="33"/>
      <c r="E579" s="33"/>
      <c r="F579" s="33"/>
      <c r="G579" s="33"/>
      <c r="H579" s="33"/>
      <c r="I579" s="33"/>
      <c r="J579" s="33"/>
      <c r="K579" s="33"/>
      <c r="L579" s="33"/>
      <c r="M579" s="33"/>
      <c r="N579" s="33"/>
      <c r="O579" s="33"/>
      <c r="P579" s="33"/>
      <c r="Q579" s="33"/>
      <c r="R579" s="33"/>
      <c r="S579" s="33"/>
      <c r="T579" s="124"/>
      <c r="U579" s="3"/>
      <c r="V579" s="3"/>
      <c r="W579" s="3"/>
      <c r="X579" s="3"/>
      <c r="Y579" s="3"/>
      <c r="Z579" s="3"/>
    </row>
    <row r="580" spans="1:26" ht="15.75" customHeight="1">
      <c r="A580" s="3"/>
      <c r="B580" s="3"/>
      <c r="C580" s="3"/>
      <c r="D580" s="33"/>
      <c r="E580" s="33"/>
      <c r="F580" s="33"/>
      <c r="G580" s="33"/>
      <c r="H580" s="33"/>
      <c r="I580" s="33"/>
      <c r="J580" s="33"/>
      <c r="K580" s="33"/>
      <c r="L580" s="33"/>
      <c r="M580" s="33"/>
      <c r="N580" s="33"/>
      <c r="O580" s="33"/>
      <c r="P580" s="33"/>
      <c r="Q580" s="33"/>
      <c r="R580" s="33"/>
      <c r="S580" s="33"/>
      <c r="T580" s="124"/>
      <c r="U580" s="3"/>
      <c r="V580" s="3"/>
      <c r="W580" s="3"/>
      <c r="X580" s="3"/>
      <c r="Y580" s="3"/>
      <c r="Z580" s="3"/>
    </row>
    <row r="581" spans="1:26" ht="15.75" customHeight="1">
      <c r="A581" s="3"/>
      <c r="B581" s="3"/>
      <c r="C581" s="3"/>
      <c r="D581" s="33"/>
      <c r="E581" s="33"/>
      <c r="F581" s="33"/>
      <c r="G581" s="33"/>
      <c r="H581" s="33"/>
      <c r="I581" s="33"/>
      <c r="J581" s="33"/>
      <c r="K581" s="33"/>
      <c r="L581" s="33"/>
      <c r="M581" s="33"/>
      <c r="N581" s="33"/>
      <c r="O581" s="33"/>
      <c r="P581" s="33"/>
      <c r="Q581" s="33"/>
      <c r="R581" s="33"/>
      <c r="S581" s="33"/>
      <c r="T581" s="124"/>
      <c r="U581" s="3"/>
      <c r="V581" s="3"/>
      <c r="W581" s="3"/>
      <c r="X581" s="3"/>
      <c r="Y581" s="3"/>
      <c r="Z581" s="3"/>
    </row>
    <row r="582" spans="1:26" ht="15.75" customHeight="1">
      <c r="A582" s="3"/>
      <c r="B582" s="3"/>
      <c r="C582" s="3"/>
      <c r="D582" s="33"/>
      <c r="E582" s="33"/>
      <c r="F582" s="33"/>
      <c r="G582" s="33"/>
      <c r="H582" s="33"/>
      <c r="I582" s="33"/>
      <c r="J582" s="33"/>
      <c r="K582" s="33"/>
      <c r="L582" s="33"/>
      <c r="M582" s="33"/>
      <c r="N582" s="33"/>
      <c r="O582" s="33"/>
      <c r="P582" s="33"/>
      <c r="Q582" s="33"/>
      <c r="R582" s="33"/>
      <c r="S582" s="33"/>
      <c r="T582" s="124"/>
      <c r="U582" s="3"/>
      <c r="V582" s="3"/>
      <c r="W582" s="3"/>
      <c r="X582" s="3"/>
      <c r="Y582" s="3"/>
      <c r="Z582" s="3"/>
    </row>
    <row r="583" spans="1:26" ht="15.75" customHeight="1">
      <c r="A583" s="3"/>
      <c r="B583" s="3"/>
      <c r="C583" s="3"/>
      <c r="D583" s="33"/>
      <c r="E583" s="33"/>
      <c r="F583" s="33"/>
      <c r="G583" s="33"/>
      <c r="H583" s="33"/>
      <c r="I583" s="33"/>
      <c r="J583" s="33"/>
      <c r="K583" s="33"/>
      <c r="L583" s="33"/>
      <c r="M583" s="33"/>
      <c r="N583" s="33"/>
      <c r="O583" s="33"/>
      <c r="P583" s="33"/>
      <c r="Q583" s="33"/>
      <c r="R583" s="33"/>
      <c r="S583" s="33"/>
      <c r="T583" s="124"/>
      <c r="U583" s="3"/>
      <c r="V583" s="3"/>
      <c r="W583" s="3"/>
      <c r="X583" s="3"/>
      <c r="Y583" s="3"/>
      <c r="Z583" s="3"/>
    </row>
    <row r="584" spans="1:26" ht="15.75" customHeight="1">
      <c r="A584" s="3"/>
      <c r="B584" s="3"/>
      <c r="C584" s="3"/>
      <c r="D584" s="33"/>
      <c r="E584" s="33"/>
      <c r="F584" s="33"/>
      <c r="G584" s="33"/>
      <c r="H584" s="33"/>
      <c r="I584" s="33"/>
      <c r="J584" s="33"/>
      <c r="K584" s="33"/>
      <c r="L584" s="33"/>
      <c r="M584" s="33"/>
      <c r="N584" s="33"/>
      <c r="O584" s="33"/>
      <c r="P584" s="33"/>
      <c r="Q584" s="33"/>
      <c r="R584" s="33"/>
      <c r="S584" s="33"/>
      <c r="T584" s="124"/>
      <c r="U584" s="3"/>
      <c r="V584" s="3"/>
      <c r="W584" s="3"/>
      <c r="X584" s="3"/>
      <c r="Y584" s="3"/>
      <c r="Z584" s="3"/>
    </row>
    <row r="585" spans="1:26" ht="15.75" customHeight="1">
      <c r="A585" s="3"/>
      <c r="B585" s="3"/>
      <c r="C585" s="3"/>
      <c r="D585" s="33"/>
      <c r="E585" s="33"/>
      <c r="F585" s="33"/>
      <c r="G585" s="33"/>
      <c r="H585" s="33"/>
      <c r="I585" s="33"/>
      <c r="J585" s="33"/>
      <c r="K585" s="33"/>
      <c r="L585" s="33"/>
      <c r="M585" s="33"/>
      <c r="N585" s="33"/>
      <c r="O585" s="33"/>
      <c r="P585" s="33"/>
      <c r="Q585" s="33"/>
      <c r="R585" s="33"/>
      <c r="S585" s="33"/>
      <c r="T585" s="124"/>
      <c r="U585" s="3"/>
      <c r="V585" s="3"/>
      <c r="W585" s="3"/>
      <c r="X585" s="3"/>
      <c r="Y585" s="3"/>
      <c r="Z585" s="3"/>
    </row>
    <row r="586" spans="1:26" ht="15.75" customHeight="1">
      <c r="A586" s="3"/>
      <c r="B586" s="3"/>
      <c r="C586" s="3"/>
      <c r="D586" s="33"/>
      <c r="E586" s="33"/>
      <c r="F586" s="33"/>
      <c r="G586" s="33"/>
      <c r="H586" s="33"/>
      <c r="I586" s="33"/>
      <c r="J586" s="33"/>
      <c r="K586" s="33"/>
      <c r="L586" s="33"/>
      <c r="M586" s="33"/>
      <c r="N586" s="33"/>
      <c r="O586" s="33"/>
      <c r="P586" s="33"/>
      <c r="Q586" s="33"/>
      <c r="R586" s="33"/>
      <c r="S586" s="33"/>
      <c r="T586" s="124"/>
      <c r="U586" s="3"/>
      <c r="V586" s="3"/>
      <c r="W586" s="3"/>
      <c r="X586" s="3"/>
      <c r="Y586" s="3"/>
      <c r="Z586" s="3"/>
    </row>
    <row r="587" spans="1:26" ht="15.75" customHeight="1">
      <c r="A587" s="3"/>
      <c r="B587" s="3"/>
      <c r="C587" s="3"/>
      <c r="D587" s="33"/>
      <c r="E587" s="33"/>
      <c r="F587" s="33"/>
      <c r="G587" s="33"/>
      <c r="H587" s="33"/>
      <c r="I587" s="33"/>
      <c r="J587" s="33"/>
      <c r="K587" s="33"/>
      <c r="L587" s="33"/>
      <c r="M587" s="33"/>
      <c r="N587" s="33"/>
      <c r="O587" s="33"/>
      <c r="P587" s="33"/>
      <c r="Q587" s="33"/>
      <c r="R587" s="33"/>
      <c r="S587" s="33"/>
      <c r="T587" s="124"/>
      <c r="U587" s="3"/>
      <c r="V587" s="3"/>
      <c r="W587" s="3"/>
      <c r="X587" s="3"/>
      <c r="Y587" s="3"/>
      <c r="Z587" s="3"/>
    </row>
    <row r="588" spans="1:26" ht="15.75" customHeight="1">
      <c r="A588" s="3"/>
      <c r="B588" s="3"/>
      <c r="C588" s="3"/>
      <c r="D588" s="33"/>
      <c r="E588" s="33"/>
      <c r="F588" s="33"/>
      <c r="G588" s="33"/>
      <c r="H588" s="33"/>
      <c r="I588" s="33"/>
      <c r="J588" s="33"/>
      <c r="K588" s="33"/>
      <c r="L588" s="33"/>
      <c r="M588" s="33"/>
      <c r="N588" s="33"/>
      <c r="O588" s="33"/>
      <c r="P588" s="33"/>
      <c r="Q588" s="33"/>
      <c r="R588" s="33"/>
      <c r="S588" s="33"/>
      <c r="T588" s="124"/>
      <c r="U588" s="3"/>
      <c r="V588" s="3"/>
      <c r="W588" s="3"/>
      <c r="X588" s="3"/>
      <c r="Y588" s="3"/>
      <c r="Z588" s="3"/>
    </row>
    <row r="589" spans="1:26" ht="15.75" customHeight="1">
      <c r="A589" s="3"/>
      <c r="B589" s="3"/>
      <c r="C589" s="3"/>
      <c r="D589" s="33"/>
      <c r="E589" s="33"/>
      <c r="F589" s="33"/>
      <c r="G589" s="33"/>
      <c r="H589" s="33"/>
      <c r="I589" s="33"/>
      <c r="J589" s="33"/>
      <c r="K589" s="33"/>
      <c r="L589" s="33"/>
      <c r="M589" s="33"/>
      <c r="N589" s="33"/>
      <c r="O589" s="33"/>
      <c r="P589" s="33"/>
      <c r="Q589" s="33"/>
      <c r="R589" s="33"/>
      <c r="S589" s="33"/>
      <c r="T589" s="124"/>
      <c r="U589" s="3"/>
      <c r="V589" s="3"/>
      <c r="W589" s="3"/>
      <c r="X589" s="3"/>
      <c r="Y589" s="3"/>
      <c r="Z589" s="3"/>
    </row>
    <row r="590" spans="1:26" ht="15.75" customHeight="1">
      <c r="A590" s="3"/>
      <c r="B590" s="3"/>
      <c r="C590" s="3"/>
      <c r="D590" s="33"/>
      <c r="E590" s="33"/>
      <c r="F590" s="33"/>
      <c r="G590" s="33"/>
      <c r="H590" s="33"/>
      <c r="I590" s="33"/>
      <c r="J590" s="33"/>
      <c r="K590" s="33"/>
      <c r="L590" s="33"/>
      <c r="M590" s="33"/>
      <c r="N590" s="33"/>
      <c r="O590" s="33"/>
      <c r="P590" s="33"/>
      <c r="Q590" s="33"/>
      <c r="R590" s="33"/>
      <c r="S590" s="33"/>
      <c r="T590" s="124"/>
      <c r="U590" s="3"/>
      <c r="V590" s="3"/>
      <c r="W590" s="3"/>
      <c r="X590" s="3"/>
      <c r="Y590" s="3"/>
      <c r="Z590" s="3"/>
    </row>
    <row r="591" spans="1:26" ht="15.75" customHeight="1">
      <c r="A591" s="3"/>
      <c r="B591" s="3"/>
      <c r="C591" s="3"/>
      <c r="D591" s="33"/>
      <c r="E591" s="33"/>
      <c r="F591" s="33"/>
      <c r="G591" s="33"/>
      <c r="H591" s="33"/>
      <c r="I591" s="33"/>
      <c r="J591" s="33"/>
      <c r="K591" s="33"/>
      <c r="L591" s="33"/>
      <c r="M591" s="33"/>
      <c r="N591" s="33"/>
      <c r="O591" s="33"/>
      <c r="P591" s="33"/>
      <c r="Q591" s="33"/>
      <c r="R591" s="33"/>
      <c r="S591" s="33"/>
      <c r="T591" s="124"/>
      <c r="U591" s="3"/>
      <c r="V591" s="3"/>
      <c r="W591" s="3"/>
      <c r="X591" s="3"/>
      <c r="Y591" s="3"/>
      <c r="Z591" s="3"/>
    </row>
    <row r="592" spans="1:26" ht="15.75" customHeight="1">
      <c r="A592" s="3"/>
      <c r="B592" s="3"/>
      <c r="C592" s="3"/>
      <c r="D592" s="33"/>
      <c r="E592" s="33"/>
      <c r="F592" s="33"/>
      <c r="G592" s="33"/>
      <c r="H592" s="33"/>
      <c r="I592" s="33"/>
      <c r="J592" s="33"/>
      <c r="K592" s="33"/>
      <c r="L592" s="33"/>
      <c r="M592" s="33"/>
      <c r="N592" s="33"/>
      <c r="O592" s="33"/>
      <c r="P592" s="33"/>
      <c r="Q592" s="33"/>
      <c r="R592" s="33"/>
      <c r="S592" s="33"/>
      <c r="T592" s="124"/>
      <c r="U592" s="3"/>
      <c r="V592" s="3"/>
      <c r="W592" s="3"/>
      <c r="X592" s="3"/>
      <c r="Y592" s="3"/>
      <c r="Z592" s="3"/>
    </row>
    <row r="593" spans="1:26" ht="15.75" customHeight="1">
      <c r="A593" s="3"/>
      <c r="B593" s="3"/>
      <c r="C593" s="3"/>
      <c r="D593" s="33"/>
      <c r="E593" s="33"/>
      <c r="F593" s="33"/>
      <c r="G593" s="33"/>
      <c r="H593" s="33"/>
      <c r="I593" s="33"/>
      <c r="J593" s="33"/>
      <c r="K593" s="33"/>
      <c r="L593" s="33"/>
      <c r="M593" s="33"/>
      <c r="N593" s="33"/>
      <c r="O593" s="33"/>
      <c r="P593" s="33"/>
      <c r="Q593" s="33"/>
      <c r="R593" s="33"/>
      <c r="S593" s="33"/>
      <c r="T593" s="124"/>
      <c r="U593" s="3"/>
      <c r="V593" s="3"/>
      <c r="W593" s="3"/>
      <c r="X593" s="3"/>
      <c r="Y593" s="3"/>
      <c r="Z593" s="3"/>
    </row>
    <row r="594" spans="1:26" ht="15.75" customHeight="1">
      <c r="A594" s="3"/>
      <c r="B594" s="3"/>
      <c r="C594" s="3"/>
      <c r="D594" s="33"/>
      <c r="E594" s="33"/>
      <c r="F594" s="33"/>
      <c r="G594" s="33"/>
      <c r="H594" s="33"/>
      <c r="I594" s="33"/>
      <c r="J594" s="33"/>
      <c r="K594" s="33"/>
      <c r="L594" s="33"/>
      <c r="M594" s="33"/>
      <c r="N594" s="33"/>
      <c r="O594" s="33"/>
      <c r="P594" s="33"/>
      <c r="Q594" s="33"/>
      <c r="R594" s="33"/>
      <c r="S594" s="33"/>
      <c r="T594" s="124"/>
      <c r="U594" s="3"/>
      <c r="V594" s="3"/>
      <c r="W594" s="3"/>
      <c r="X594" s="3"/>
      <c r="Y594" s="3"/>
      <c r="Z594" s="3"/>
    </row>
    <row r="595" spans="1:26" ht="15.75" customHeight="1">
      <c r="A595" s="3"/>
      <c r="B595" s="3"/>
      <c r="C595" s="3"/>
      <c r="D595" s="33"/>
      <c r="E595" s="33"/>
      <c r="F595" s="33"/>
      <c r="G595" s="33"/>
      <c r="H595" s="33"/>
      <c r="I595" s="33"/>
      <c r="J595" s="33"/>
      <c r="K595" s="33"/>
      <c r="L595" s="33"/>
      <c r="M595" s="33"/>
      <c r="N595" s="33"/>
      <c r="O595" s="33"/>
      <c r="P595" s="33"/>
      <c r="Q595" s="33"/>
      <c r="R595" s="33"/>
      <c r="S595" s="33"/>
      <c r="T595" s="124"/>
      <c r="U595" s="3"/>
      <c r="V595" s="3"/>
      <c r="W595" s="3"/>
      <c r="X595" s="3"/>
      <c r="Y595" s="3"/>
      <c r="Z595" s="3"/>
    </row>
    <row r="596" spans="1:26" ht="15.75" customHeight="1">
      <c r="A596" s="3"/>
      <c r="B596" s="3"/>
      <c r="C596" s="3"/>
      <c r="D596" s="33"/>
      <c r="E596" s="33"/>
      <c r="F596" s="33"/>
      <c r="G596" s="33"/>
      <c r="H596" s="33"/>
      <c r="I596" s="33"/>
      <c r="J596" s="33"/>
      <c r="K596" s="33"/>
      <c r="L596" s="33"/>
      <c r="M596" s="33"/>
      <c r="N596" s="33"/>
      <c r="O596" s="33"/>
      <c r="P596" s="33"/>
      <c r="Q596" s="33"/>
      <c r="R596" s="33"/>
      <c r="S596" s="33"/>
      <c r="T596" s="124"/>
      <c r="U596" s="3"/>
      <c r="V596" s="3"/>
      <c r="W596" s="3"/>
      <c r="X596" s="3"/>
      <c r="Y596" s="3"/>
      <c r="Z596" s="3"/>
    </row>
    <row r="597" spans="1:26" ht="15.75" customHeight="1">
      <c r="A597" s="3"/>
      <c r="B597" s="3"/>
      <c r="C597" s="3"/>
      <c r="D597" s="33"/>
      <c r="E597" s="33"/>
      <c r="F597" s="33"/>
      <c r="G597" s="33"/>
      <c r="H597" s="33"/>
      <c r="I597" s="33"/>
      <c r="J597" s="33"/>
      <c r="K597" s="33"/>
      <c r="L597" s="33"/>
      <c r="M597" s="33"/>
      <c r="N597" s="33"/>
      <c r="O597" s="33"/>
      <c r="P597" s="33"/>
      <c r="Q597" s="33"/>
      <c r="R597" s="33"/>
      <c r="S597" s="33"/>
      <c r="T597" s="124"/>
      <c r="U597" s="3"/>
      <c r="V597" s="3"/>
      <c r="W597" s="3"/>
      <c r="X597" s="3"/>
      <c r="Y597" s="3"/>
      <c r="Z597" s="3"/>
    </row>
    <row r="598" spans="1:26" ht="15.75" customHeight="1">
      <c r="A598" s="3"/>
      <c r="B598" s="3"/>
      <c r="C598" s="3"/>
      <c r="D598" s="33"/>
      <c r="E598" s="33"/>
      <c r="F598" s="33"/>
      <c r="G598" s="33"/>
      <c r="H598" s="33"/>
      <c r="I598" s="33"/>
      <c r="J598" s="33"/>
      <c r="K598" s="33"/>
      <c r="L598" s="33"/>
      <c r="M598" s="33"/>
      <c r="N598" s="33"/>
      <c r="O598" s="33"/>
      <c r="P598" s="33"/>
      <c r="Q598" s="33"/>
      <c r="R598" s="33"/>
      <c r="S598" s="33"/>
      <c r="T598" s="124"/>
      <c r="U598" s="3"/>
      <c r="V598" s="3"/>
      <c r="W598" s="3"/>
      <c r="X598" s="3"/>
      <c r="Y598" s="3"/>
      <c r="Z598" s="3"/>
    </row>
    <row r="599" spans="1:26" ht="15.75" customHeight="1">
      <c r="A599" s="3"/>
      <c r="B599" s="3"/>
      <c r="C599" s="3"/>
      <c r="D599" s="33"/>
      <c r="E599" s="33"/>
      <c r="F599" s="33"/>
      <c r="G599" s="33"/>
      <c r="H599" s="33"/>
      <c r="I599" s="33"/>
      <c r="J599" s="33"/>
      <c r="K599" s="33"/>
      <c r="L599" s="33"/>
      <c r="M599" s="33"/>
      <c r="N599" s="33"/>
      <c r="O599" s="33"/>
      <c r="P599" s="33"/>
      <c r="Q599" s="33"/>
      <c r="R599" s="33"/>
      <c r="S599" s="33"/>
      <c r="T599" s="124"/>
      <c r="U599" s="3"/>
      <c r="V599" s="3"/>
      <c r="W599" s="3"/>
      <c r="X599" s="3"/>
      <c r="Y599" s="3"/>
      <c r="Z599" s="3"/>
    </row>
    <row r="600" spans="1:26" ht="15.75" customHeight="1">
      <c r="A600" s="3"/>
      <c r="B600" s="3"/>
      <c r="C600" s="3"/>
      <c r="D600" s="33"/>
      <c r="E600" s="33"/>
      <c r="F600" s="33"/>
      <c r="G600" s="33"/>
      <c r="H600" s="33"/>
      <c r="I600" s="33"/>
      <c r="J600" s="33"/>
      <c r="K600" s="33"/>
      <c r="L600" s="33"/>
      <c r="M600" s="33"/>
      <c r="N600" s="33"/>
      <c r="O600" s="33"/>
      <c r="P600" s="33"/>
      <c r="Q600" s="33"/>
      <c r="R600" s="33"/>
      <c r="S600" s="33"/>
      <c r="T600" s="124"/>
      <c r="U600" s="3"/>
      <c r="V600" s="3"/>
      <c r="W600" s="3"/>
      <c r="X600" s="3"/>
      <c r="Y600" s="3"/>
      <c r="Z600" s="3"/>
    </row>
    <row r="601" spans="1:26" ht="15.75" customHeight="1">
      <c r="A601" s="3"/>
      <c r="B601" s="3"/>
      <c r="C601" s="3"/>
      <c r="D601" s="33"/>
      <c r="E601" s="33"/>
      <c r="F601" s="33"/>
      <c r="G601" s="33"/>
      <c r="H601" s="33"/>
      <c r="I601" s="33"/>
      <c r="J601" s="33"/>
      <c r="K601" s="33"/>
      <c r="L601" s="33"/>
      <c r="M601" s="33"/>
      <c r="N601" s="33"/>
      <c r="O601" s="33"/>
      <c r="P601" s="33"/>
      <c r="Q601" s="33"/>
      <c r="R601" s="33"/>
      <c r="S601" s="33"/>
      <c r="T601" s="124"/>
      <c r="U601" s="3"/>
      <c r="V601" s="3"/>
      <c r="W601" s="3"/>
      <c r="X601" s="3"/>
      <c r="Y601" s="3"/>
      <c r="Z601" s="3"/>
    </row>
    <row r="602" spans="1:26" ht="15.75" customHeight="1">
      <c r="A602" s="3"/>
      <c r="B602" s="3"/>
      <c r="C602" s="3"/>
      <c r="D602" s="33"/>
      <c r="E602" s="33"/>
      <c r="F602" s="33"/>
      <c r="G602" s="33"/>
      <c r="H602" s="33"/>
      <c r="I602" s="33"/>
      <c r="J602" s="33"/>
      <c r="K602" s="33"/>
      <c r="L602" s="33"/>
      <c r="M602" s="33"/>
      <c r="N602" s="33"/>
      <c r="O602" s="33"/>
      <c r="P602" s="33"/>
      <c r="Q602" s="33"/>
      <c r="R602" s="33"/>
      <c r="S602" s="33"/>
      <c r="T602" s="124"/>
      <c r="U602" s="3"/>
      <c r="V602" s="3"/>
      <c r="W602" s="3"/>
      <c r="X602" s="3"/>
      <c r="Y602" s="3"/>
      <c r="Z602" s="3"/>
    </row>
    <row r="603" spans="1:26" ht="15.75" customHeight="1">
      <c r="A603" s="3"/>
      <c r="B603" s="3"/>
      <c r="C603" s="3"/>
      <c r="D603" s="33"/>
      <c r="E603" s="33"/>
      <c r="F603" s="33"/>
      <c r="G603" s="33"/>
      <c r="H603" s="33"/>
      <c r="I603" s="33"/>
      <c r="J603" s="33"/>
      <c r="K603" s="33"/>
      <c r="L603" s="33"/>
      <c r="M603" s="33"/>
      <c r="N603" s="33"/>
      <c r="O603" s="33"/>
      <c r="P603" s="33"/>
      <c r="Q603" s="33"/>
      <c r="R603" s="33"/>
      <c r="S603" s="33"/>
      <c r="T603" s="124"/>
      <c r="U603" s="3"/>
      <c r="V603" s="3"/>
      <c r="W603" s="3"/>
      <c r="X603" s="3"/>
      <c r="Y603" s="3"/>
      <c r="Z603" s="3"/>
    </row>
    <row r="604" spans="1:26" ht="15.75" customHeight="1">
      <c r="A604" s="3"/>
      <c r="B604" s="3"/>
      <c r="C604" s="3"/>
      <c r="D604" s="33"/>
      <c r="E604" s="33"/>
      <c r="F604" s="33"/>
      <c r="G604" s="33"/>
      <c r="H604" s="33"/>
      <c r="I604" s="33"/>
      <c r="J604" s="33"/>
      <c r="K604" s="33"/>
      <c r="L604" s="33"/>
      <c r="M604" s="33"/>
      <c r="N604" s="33"/>
      <c r="O604" s="33"/>
      <c r="P604" s="33"/>
      <c r="Q604" s="33"/>
      <c r="R604" s="33"/>
      <c r="S604" s="33"/>
      <c r="T604" s="124"/>
      <c r="U604" s="3"/>
      <c r="V604" s="3"/>
      <c r="W604" s="3"/>
      <c r="X604" s="3"/>
      <c r="Y604" s="3"/>
      <c r="Z604" s="3"/>
    </row>
    <row r="605" spans="1:26" ht="15.75" customHeight="1">
      <c r="A605" s="3"/>
      <c r="B605" s="3"/>
      <c r="C605" s="3"/>
      <c r="D605" s="33"/>
      <c r="E605" s="33"/>
      <c r="F605" s="33"/>
      <c r="G605" s="33"/>
      <c r="H605" s="33"/>
      <c r="I605" s="33"/>
      <c r="J605" s="33"/>
      <c r="K605" s="33"/>
      <c r="L605" s="33"/>
      <c r="M605" s="33"/>
      <c r="N605" s="33"/>
      <c r="O605" s="33"/>
      <c r="P605" s="33"/>
      <c r="Q605" s="33"/>
      <c r="R605" s="33"/>
      <c r="S605" s="33"/>
      <c r="T605" s="124"/>
      <c r="U605" s="3"/>
      <c r="V605" s="3"/>
      <c r="W605" s="3"/>
      <c r="X605" s="3"/>
      <c r="Y605" s="3"/>
      <c r="Z605" s="3"/>
    </row>
    <row r="606" spans="1:26" ht="15.75" customHeight="1">
      <c r="A606" s="3"/>
      <c r="B606" s="3"/>
      <c r="C606" s="3"/>
      <c r="D606" s="33"/>
      <c r="E606" s="33"/>
      <c r="F606" s="33"/>
      <c r="G606" s="33"/>
      <c r="H606" s="33"/>
      <c r="I606" s="33"/>
      <c r="J606" s="33"/>
      <c r="K606" s="33"/>
      <c r="L606" s="33"/>
      <c r="M606" s="33"/>
      <c r="N606" s="33"/>
      <c r="O606" s="33"/>
      <c r="P606" s="33"/>
      <c r="Q606" s="33"/>
      <c r="R606" s="33"/>
      <c r="S606" s="33"/>
      <c r="T606" s="124"/>
      <c r="U606" s="3"/>
      <c r="V606" s="3"/>
      <c r="W606" s="3"/>
      <c r="X606" s="3"/>
      <c r="Y606" s="3"/>
      <c r="Z606" s="3"/>
    </row>
    <row r="607" spans="1:26" ht="15.75" customHeight="1">
      <c r="A607" s="3"/>
      <c r="B607" s="3"/>
      <c r="C607" s="3"/>
      <c r="D607" s="33"/>
      <c r="E607" s="33"/>
      <c r="F607" s="33"/>
      <c r="G607" s="33"/>
      <c r="H607" s="33"/>
      <c r="I607" s="33"/>
      <c r="J607" s="33"/>
      <c r="K607" s="33"/>
      <c r="L607" s="33"/>
      <c r="M607" s="33"/>
      <c r="N607" s="33"/>
      <c r="O607" s="33"/>
      <c r="P607" s="33"/>
      <c r="Q607" s="33"/>
      <c r="R607" s="33"/>
      <c r="S607" s="33"/>
      <c r="T607" s="124"/>
      <c r="U607" s="3"/>
      <c r="V607" s="3"/>
      <c r="W607" s="3"/>
      <c r="X607" s="3"/>
      <c r="Y607" s="3"/>
      <c r="Z607" s="3"/>
    </row>
    <row r="608" spans="1:26" ht="15.75" customHeight="1">
      <c r="A608" s="3"/>
      <c r="B608" s="3"/>
      <c r="C608" s="3"/>
      <c r="D608" s="33"/>
      <c r="E608" s="33"/>
      <c r="F608" s="33"/>
      <c r="G608" s="33"/>
      <c r="H608" s="33"/>
      <c r="I608" s="33"/>
      <c r="J608" s="33"/>
      <c r="K608" s="33"/>
      <c r="L608" s="33"/>
      <c r="M608" s="33"/>
      <c r="N608" s="33"/>
      <c r="O608" s="33"/>
      <c r="P608" s="33"/>
      <c r="Q608" s="33"/>
      <c r="R608" s="33"/>
      <c r="S608" s="33"/>
      <c r="T608" s="124"/>
      <c r="U608" s="3"/>
      <c r="V608" s="3"/>
      <c r="W608" s="3"/>
      <c r="X608" s="3"/>
      <c r="Y608" s="3"/>
      <c r="Z608" s="3"/>
    </row>
    <row r="609" spans="1:26" ht="15.75" customHeight="1">
      <c r="A609" s="3"/>
      <c r="B609" s="3"/>
      <c r="C609" s="3"/>
      <c r="D609" s="33"/>
      <c r="E609" s="33"/>
      <c r="F609" s="33"/>
      <c r="G609" s="33"/>
      <c r="H609" s="33"/>
      <c r="I609" s="33"/>
      <c r="J609" s="33"/>
      <c r="K609" s="33"/>
      <c r="L609" s="33"/>
      <c r="M609" s="33"/>
      <c r="N609" s="33"/>
      <c r="O609" s="33"/>
      <c r="P609" s="33"/>
      <c r="Q609" s="33"/>
      <c r="R609" s="33"/>
      <c r="S609" s="33"/>
      <c r="T609" s="124"/>
      <c r="U609" s="3"/>
      <c r="V609" s="3"/>
      <c r="W609" s="3"/>
      <c r="X609" s="3"/>
      <c r="Y609" s="3"/>
      <c r="Z609" s="3"/>
    </row>
    <row r="610" spans="1:26" ht="15.75" customHeight="1">
      <c r="A610" s="3"/>
      <c r="B610" s="3"/>
      <c r="C610" s="3"/>
      <c r="D610" s="33"/>
      <c r="E610" s="33"/>
      <c r="F610" s="33"/>
      <c r="G610" s="33"/>
      <c r="H610" s="33"/>
      <c r="I610" s="33"/>
      <c r="J610" s="33"/>
      <c r="K610" s="33"/>
      <c r="L610" s="33"/>
      <c r="M610" s="33"/>
      <c r="N610" s="33"/>
      <c r="O610" s="33"/>
      <c r="P610" s="33"/>
      <c r="Q610" s="33"/>
      <c r="R610" s="33"/>
      <c r="S610" s="33"/>
      <c r="T610" s="124"/>
      <c r="U610" s="3"/>
      <c r="V610" s="3"/>
      <c r="W610" s="3"/>
      <c r="X610" s="3"/>
      <c r="Y610" s="3"/>
      <c r="Z610" s="3"/>
    </row>
    <row r="611" spans="1:26" ht="15.75" customHeight="1">
      <c r="A611" s="3"/>
      <c r="B611" s="3"/>
      <c r="C611" s="3"/>
      <c r="D611" s="33"/>
      <c r="E611" s="33"/>
      <c r="F611" s="33"/>
      <c r="G611" s="33"/>
      <c r="H611" s="33"/>
      <c r="I611" s="33"/>
      <c r="J611" s="33"/>
      <c r="K611" s="33"/>
      <c r="L611" s="33"/>
      <c r="M611" s="33"/>
      <c r="N611" s="33"/>
      <c r="O611" s="33"/>
      <c r="P611" s="33"/>
      <c r="Q611" s="33"/>
      <c r="R611" s="33"/>
      <c r="S611" s="33"/>
      <c r="T611" s="124"/>
      <c r="U611" s="3"/>
      <c r="V611" s="3"/>
      <c r="W611" s="3"/>
      <c r="X611" s="3"/>
      <c r="Y611" s="3"/>
      <c r="Z611" s="3"/>
    </row>
    <row r="612" spans="1:26" ht="15.75" customHeight="1">
      <c r="A612" s="3"/>
      <c r="B612" s="3"/>
      <c r="C612" s="3"/>
      <c r="D612" s="33"/>
      <c r="E612" s="33"/>
      <c r="F612" s="33"/>
      <c r="G612" s="33"/>
      <c r="H612" s="33"/>
      <c r="I612" s="33"/>
      <c r="J612" s="33"/>
      <c r="K612" s="33"/>
      <c r="L612" s="33"/>
      <c r="M612" s="33"/>
      <c r="N612" s="33"/>
      <c r="O612" s="33"/>
      <c r="P612" s="33"/>
      <c r="Q612" s="33"/>
      <c r="R612" s="33"/>
      <c r="S612" s="33"/>
      <c r="T612" s="124"/>
      <c r="U612" s="3"/>
      <c r="V612" s="3"/>
      <c r="W612" s="3"/>
      <c r="X612" s="3"/>
      <c r="Y612" s="3"/>
      <c r="Z612" s="3"/>
    </row>
    <row r="613" spans="1:26" ht="15.75" customHeight="1">
      <c r="A613" s="3"/>
      <c r="B613" s="3"/>
      <c r="C613" s="3"/>
      <c r="D613" s="33"/>
      <c r="E613" s="33"/>
      <c r="F613" s="33"/>
      <c r="G613" s="33"/>
      <c r="H613" s="33"/>
      <c r="I613" s="33"/>
      <c r="J613" s="33"/>
      <c r="K613" s="33"/>
      <c r="L613" s="33"/>
      <c r="M613" s="33"/>
      <c r="N613" s="33"/>
      <c r="O613" s="33"/>
      <c r="P613" s="33"/>
      <c r="Q613" s="33"/>
      <c r="R613" s="33"/>
      <c r="S613" s="33"/>
      <c r="T613" s="124"/>
      <c r="U613" s="3"/>
      <c r="V613" s="3"/>
      <c r="W613" s="3"/>
      <c r="X613" s="3"/>
      <c r="Y613" s="3"/>
      <c r="Z613" s="3"/>
    </row>
    <row r="614" spans="1:26" ht="15.75" customHeight="1">
      <c r="A614" s="3"/>
      <c r="B614" s="3"/>
      <c r="C614" s="3"/>
      <c r="D614" s="33"/>
      <c r="E614" s="33"/>
      <c r="F614" s="33"/>
      <c r="G614" s="33"/>
      <c r="H614" s="33"/>
      <c r="I614" s="33"/>
      <c r="J614" s="33"/>
      <c r="K614" s="33"/>
      <c r="L614" s="33"/>
      <c r="M614" s="33"/>
      <c r="N614" s="33"/>
      <c r="O614" s="33"/>
      <c r="P614" s="33"/>
      <c r="Q614" s="33"/>
      <c r="R614" s="33"/>
      <c r="S614" s="33"/>
      <c r="T614" s="124"/>
      <c r="U614" s="3"/>
      <c r="V614" s="3"/>
      <c r="W614" s="3"/>
      <c r="X614" s="3"/>
      <c r="Y614" s="3"/>
      <c r="Z614" s="3"/>
    </row>
    <row r="615" spans="1:26" ht="15.75" customHeight="1">
      <c r="A615" s="3"/>
      <c r="B615" s="3"/>
      <c r="C615" s="3"/>
      <c r="D615" s="33"/>
      <c r="E615" s="33"/>
      <c r="F615" s="33"/>
      <c r="G615" s="33"/>
      <c r="H615" s="33"/>
      <c r="I615" s="33"/>
      <c r="J615" s="33"/>
      <c r="K615" s="33"/>
      <c r="L615" s="33"/>
      <c r="M615" s="33"/>
      <c r="N615" s="33"/>
      <c r="O615" s="33"/>
      <c r="P615" s="33"/>
      <c r="Q615" s="33"/>
      <c r="R615" s="33"/>
      <c r="S615" s="33"/>
      <c r="T615" s="124"/>
      <c r="U615" s="3"/>
      <c r="V615" s="3"/>
      <c r="W615" s="3"/>
      <c r="X615" s="3"/>
      <c r="Y615" s="3"/>
      <c r="Z615" s="3"/>
    </row>
    <row r="616" spans="1:26" ht="15.75" customHeight="1">
      <c r="A616" s="3"/>
      <c r="B616" s="3"/>
      <c r="C616" s="3"/>
      <c r="D616" s="33"/>
      <c r="E616" s="33"/>
      <c r="F616" s="33"/>
      <c r="G616" s="33"/>
      <c r="H616" s="33"/>
      <c r="I616" s="33"/>
      <c r="J616" s="33"/>
      <c r="K616" s="33"/>
      <c r="L616" s="33"/>
      <c r="M616" s="33"/>
      <c r="N616" s="33"/>
      <c r="O616" s="33"/>
      <c r="P616" s="33"/>
      <c r="Q616" s="33"/>
      <c r="R616" s="33"/>
      <c r="S616" s="33"/>
      <c r="T616" s="124"/>
      <c r="U616" s="3"/>
      <c r="V616" s="3"/>
      <c r="W616" s="3"/>
      <c r="X616" s="3"/>
      <c r="Y616" s="3"/>
      <c r="Z616" s="3"/>
    </row>
    <row r="617" spans="1:26" ht="15.75" customHeight="1">
      <c r="A617" s="3"/>
      <c r="B617" s="3"/>
      <c r="C617" s="3"/>
      <c r="D617" s="33"/>
      <c r="E617" s="33"/>
      <c r="F617" s="33"/>
      <c r="G617" s="33"/>
      <c r="H617" s="33"/>
      <c r="I617" s="33"/>
      <c r="J617" s="33"/>
      <c r="K617" s="33"/>
      <c r="L617" s="33"/>
      <c r="M617" s="33"/>
      <c r="N617" s="33"/>
      <c r="O617" s="33"/>
      <c r="P617" s="33"/>
      <c r="Q617" s="33"/>
      <c r="R617" s="33"/>
      <c r="S617" s="33"/>
      <c r="T617" s="124"/>
      <c r="U617" s="3"/>
      <c r="V617" s="3"/>
      <c r="W617" s="3"/>
      <c r="X617" s="3"/>
      <c r="Y617" s="3"/>
      <c r="Z617" s="3"/>
    </row>
    <row r="618" spans="1:26" ht="15.75" customHeight="1">
      <c r="A618" s="3"/>
      <c r="B618" s="3"/>
      <c r="C618" s="3"/>
      <c r="D618" s="33"/>
      <c r="E618" s="33"/>
      <c r="F618" s="33"/>
      <c r="G618" s="33"/>
      <c r="H618" s="33"/>
      <c r="I618" s="33"/>
      <c r="J618" s="33"/>
      <c r="K618" s="33"/>
      <c r="L618" s="33"/>
      <c r="M618" s="33"/>
      <c r="N618" s="33"/>
      <c r="O618" s="33"/>
      <c r="P618" s="33"/>
      <c r="Q618" s="33"/>
      <c r="R618" s="33"/>
      <c r="S618" s="33"/>
      <c r="T618" s="124"/>
      <c r="U618" s="3"/>
      <c r="V618" s="3"/>
      <c r="W618" s="3"/>
      <c r="X618" s="3"/>
      <c r="Y618" s="3"/>
      <c r="Z618" s="3"/>
    </row>
    <row r="619" spans="1:26" ht="15.75" customHeight="1">
      <c r="A619" s="3"/>
      <c r="B619" s="3"/>
      <c r="C619" s="3"/>
      <c r="D619" s="33"/>
      <c r="E619" s="33"/>
      <c r="F619" s="33"/>
      <c r="G619" s="33"/>
      <c r="H619" s="33"/>
      <c r="I619" s="33"/>
      <c r="J619" s="33"/>
      <c r="K619" s="33"/>
      <c r="L619" s="33"/>
      <c r="M619" s="33"/>
      <c r="N619" s="33"/>
      <c r="O619" s="33"/>
      <c r="P619" s="33"/>
      <c r="Q619" s="33"/>
      <c r="R619" s="33"/>
      <c r="S619" s="33"/>
      <c r="T619" s="124"/>
      <c r="U619" s="3"/>
      <c r="V619" s="3"/>
      <c r="W619" s="3"/>
      <c r="X619" s="3"/>
      <c r="Y619" s="3"/>
      <c r="Z619" s="3"/>
    </row>
    <row r="620" spans="1:26" ht="15.75" customHeight="1">
      <c r="A620" s="3"/>
      <c r="B620" s="3"/>
      <c r="C620" s="3"/>
      <c r="D620" s="33"/>
      <c r="E620" s="33"/>
      <c r="F620" s="33"/>
      <c r="G620" s="33"/>
      <c r="H620" s="33"/>
      <c r="I620" s="33"/>
      <c r="J620" s="33"/>
      <c r="K620" s="33"/>
      <c r="L620" s="33"/>
      <c r="M620" s="33"/>
      <c r="N620" s="33"/>
      <c r="O620" s="33"/>
      <c r="P620" s="33"/>
      <c r="Q620" s="33"/>
      <c r="R620" s="33"/>
      <c r="S620" s="33"/>
      <c r="T620" s="124"/>
      <c r="U620" s="3"/>
      <c r="V620" s="3"/>
      <c r="W620" s="3"/>
      <c r="X620" s="3"/>
      <c r="Y620" s="3"/>
      <c r="Z620" s="3"/>
    </row>
    <row r="621" spans="1:26" ht="15.75" customHeight="1">
      <c r="A621" s="3"/>
      <c r="B621" s="3"/>
      <c r="C621" s="3"/>
      <c r="D621" s="33"/>
      <c r="E621" s="33"/>
      <c r="F621" s="33"/>
      <c r="G621" s="33"/>
      <c r="H621" s="33"/>
      <c r="I621" s="33"/>
      <c r="J621" s="33"/>
      <c r="K621" s="33"/>
      <c r="L621" s="33"/>
      <c r="M621" s="33"/>
      <c r="N621" s="33"/>
      <c r="O621" s="33"/>
      <c r="P621" s="33"/>
      <c r="Q621" s="33"/>
      <c r="R621" s="33"/>
      <c r="S621" s="33"/>
      <c r="T621" s="124"/>
      <c r="U621" s="3"/>
      <c r="V621" s="3"/>
      <c r="W621" s="3"/>
      <c r="X621" s="3"/>
      <c r="Y621" s="3"/>
      <c r="Z621" s="3"/>
    </row>
    <row r="622" spans="1:26" ht="15.75" customHeight="1">
      <c r="A622" s="3"/>
      <c r="B622" s="3"/>
      <c r="C622" s="3"/>
      <c r="D622" s="33"/>
      <c r="E622" s="33"/>
      <c r="F622" s="33"/>
      <c r="G622" s="33"/>
      <c r="H622" s="33"/>
      <c r="I622" s="33"/>
      <c r="J622" s="33"/>
      <c r="K622" s="33"/>
      <c r="L622" s="33"/>
      <c r="M622" s="33"/>
      <c r="N622" s="33"/>
      <c r="O622" s="33"/>
      <c r="P622" s="33"/>
      <c r="Q622" s="33"/>
      <c r="R622" s="33"/>
      <c r="S622" s="33"/>
      <c r="T622" s="124"/>
      <c r="U622" s="3"/>
      <c r="V622" s="3"/>
      <c r="W622" s="3"/>
      <c r="X622" s="3"/>
      <c r="Y622" s="3"/>
      <c r="Z622" s="3"/>
    </row>
    <row r="623" spans="1:26" ht="15.75" customHeight="1">
      <c r="A623" s="3"/>
      <c r="B623" s="3"/>
      <c r="C623" s="3"/>
      <c r="D623" s="33"/>
      <c r="E623" s="33"/>
      <c r="F623" s="33"/>
      <c r="G623" s="33"/>
      <c r="H623" s="33"/>
      <c r="I623" s="33"/>
      <c r="J623" s="33"/>
      <c r="K623" s="33"/>
      <c r="L623" s="33"/>
      <c r="M623" s="33"/>
      <c r="N623" s="33"/>
      <c r="O623" s="33"/>
      <c r="P623" s="33"/>
      <c r="Q623" s="33"/>
      <c r="R623" s="33"/>
      <c r="S623" s="33"/>
      <c r="T623" s="124"/>
      <c r="U623" s="3"/>
      <c r="V623" s="3"/>
      <c r="W623" s="3"/>
      <c r="X623" s="3"/>
      <c r="Y623" s="3"/>
      <c r="Z623" s="3"/>
    </row>
    <row r="624" spans="1:26" ht="15.75" customHeight="1">
      <c r="A624" s="3"/>
      <c r="B624" s="3"/>
      <c r="C624" s="3"/>
      <c r="D624" s="33"/>
      <c r="E624" s="33"/>
      <c r="F624" s="33"/>
      <c r="G624" s="33"/>
      <c r="H624" s="33"/>
      <c r="I624" s="33"/>
      <c r="J624" s="33"/>
      <c r="K624" s="33"/>
      <c r="L624" s="33"/>
      <c r="M624" s="33"/>
      <c r="N624" s="33"/>
      <c r="O624" s="33"/>
      <c r="P624" s="33"/>
      <c r="Q624" s="33"/>
      <c r="R624" s="33"/>
      <c r="S624" s="33"/>
      <c r="T624" s="124"/>
      <c r="U624" s="3"/>
      <c r="V624" s="3"/>
      <c r="W624" s="3"/>
      <c r="X624" s="3"/>
      <c r="Y624" s="3"/>
      <c r="Z624" s="3"/>
    </row>
    <row r="625" spans="1:26" ht="15.75" customHeight="1">
      <c r="A625" s="3"/>
      <c r="B625" s="3"/>
      <c r="C625" s="3"/>
      <c r="D625" s="33"/>
      <c r="E625" s="33"/>
      <c r="F625" s="33"/>
      <c r="G625" s="33"/>
      <c r="H625" s="33"/>
      <c r="I625" s="33"/>
      <c r="J625" s="33"/>
      <c r="K625" s="33"/>
      <c r="L625" s="33"/>
      <c r="M625" s="33"/>
      <c r="N625" s="33"/>
      <c r="O625" s="33"/>
      <c r="P625" s="33"/>
      <c r="Q625" s="33"/>
      <c r="R625" s="33"/>
      <c r="S625" s="33"/>
      <c r="T625" s="124"/>
      <c r="U625" s="3"/>
      <c r="V625" s="3"/>
      <c r="W625" s="3"/>
      <c r="X625" s="3"/>
      <c r="Y625" s="3"/>
      <c r="Z625" s="3"/>
    </row>
    <row r="626" spans="1:26" ht="15.75" customHeight="1">
      <c r="A626" s="3"/>
      <c r="B626" s="3"/>
      <c r="C626" s="3"/>
      <c r="D626" s="33"/>
      <c r="E626" s="33"/>
      <c r="F626" s="33"/>
      <c r="G626" s="33"/>
      <c r="H626" s="33"/>
      <c r="I626" s="33"/>
      <c r="J626" s="33"/>
      <c r="K626" s="33"/>
      <c r="L626" s="33"/>
      <c r="M626" s="33"/>
      <c r="N626" s="33"/>
      <c r="O626" s="33"/>
      <c r="P626" s="33"/>
      <c r="Q626" s="33"/>
      <c r="R626" s="33"/>
      <c r="S626" s="33"/>
      <c r="T626" s="124"/>
      <c r="U626" s="3"/>
      <c r="V626" s="3"/>
      <c r="W626" s="3"/>
      <c r="X626" s="3"/>
      <c r="Y626" s="3"/>
      <c r="Z626" s="3"/>
    </row>
    <row r="627" spans="1:26" ht="15.75" customHeight="1">
      <c r="A627" s="3"/>
      <c r="B627" s="3"/>
      <c r="C627" s="3"/>
      <c r="D627" s="33"/>
      <c r="E627" s="33"/>
      <c r="F627" s="33"/>
      <c r="G627" s="33"/>
      <c r="H627" s="33"/>
      <c r="I627" s="33"/>
      <c r="J627" s="33"/>
      <c r="K627" s="33"/>
      <c r="L627" s="33"/>
      <c r="M627" s="33"/>
      <c r="N627" s="33"/>
      <c r="O627" s="33"/>
      <c r="P627" s="33"/>
      <c r="Q627" s="33"/>
      <c r="R627" s="33"/>
      <c r="S627" s="33"/>
      <c r="T627" s="124"/>
      <c r="U627" s="3"/>
      <c r="V627" s="3"/>
      <c r="W627" s="3"/>
      <c r="X627" s="3"/>
      <c r="Y627" s="3"/>
      <c r="Z627" s="3"/>
    </row>
    <row r="628" spans="1:26" ht="15.75" customHeight="1">
      <c r="A628" s="3"/>
      <c r="B628" s="3"/>
      <c r="C628" s="3"/>
      <c r="D628" s="33"/>
      <c r="E628" s="33"/>
      <c r="F628" s="33"/>
      <c r="G628" s="33"/>
      <c r="H628" s="33"/>
      <c r="I628" s="33"/>
      <c r="J628" s="33"/>
      <c r="K628" s="33"/>
      <c r="L628" s="33"/>
      <c r="M628" s="33"/>
      <c r="N628" s="33"/>
      <c r="O628" s="33"/>
      <c r="P628" s="33"/>
      <c r="Q628" s="33"/>
      <c r="R628" s="33"/>
      <c r="S628" s="33"/>
      <c r="T628" s="124"/>
      <c r="U628" s="3"/>
      <c r="V628" s="3"/>
      <c r="W628" s="3"/>
      <c r="X628" s="3"/>
      <c r="Y628" s="3"/>
      <c r="Z628" s="3"/>
    </row>
    <row r="629" spans="1:26" ht="15.75" customHeight="1">
      <c r="A629" s="3"/>
      <c r="B629" s="3"/>
      <c r="C629" s="3"/>
      <c r="D629" s="33"/>
      <c r="E629" s="33"/>
      <c r="F629" s="33"/>
      <c r="G629" s="33"/>
      <c r="H629" s="33"/>
      <c r="I629" s="33"/>
      <c r="J629" s="33"/>
      <c r="K629" s="33"/>
      <c r="L629" s="33"/>
      <c r="M629" s="33"/>
      <c r="N629" s="33"/>
      <c r="O629" s="33"/>
      <c r="P629" s="33"/>
      <c r="Q629" s="33"/>
      <c r="R629" s="33"/>
      <c r="S629" s="33"/>
      <c r="T629" s="124"/>
      <c r="U629" s="3"/>
      <c r="V629" s="3"/>
      <c r="W629" s="3"/>
      <c r="X629" s="3"/>
      <c r="Y629" s="3"/>
      <c r="Z629" s="3"/>
    </row>
    <row r="630" spans="1:26" ht="15.75" customHeight="1">
      <c r="A630" s="3"/>
      <c r="B630" s="3"/>
      <c r="C630" s="3"/>
      <c r="D630" s="33"/>
      <c r="E630" s="33"/>
      <c r="F630" s="33"/>
      <c r="G630" s="33"/>
      <c r="H630" s="33"/>
      <c r="I630" s="33"/>
      <c r="J630" s="33"/>
      <c r="K630" s="33"/>
      <c r="L630" s="33"/>
      <c r="M630" s="33"/>
      <c r="N630" s="33"/>
      <c r="O630" s="33"/>
      <c r="P630" s="33"/>
      <c r="Q630" s="33"/>
      <c r="R630" s="33"/>
      <c r="S630" s="33"/>
      <c r="T630" s="124"/>
      <c r="U630" s="3"/>
      <c r="V630" s="3"/>
      <c r="W630" s="3"/>
      <c r="X630" s="3"/>
      <c r="Y630" s="3"/>
      <c r="Z630" s="3"/>
    </row>
    <row r="631" spans="1:26" ht="15.75" customHeight="1">
      <c r="A631" s="3"/>
      <c r="B631" s="3"/>
      <c r="C631" s="3"/>
      <c r="D631" s="33"/>
      <c r="E631" s="33"/>
      <c r="F631" s="33"/>
      <c r="G631" s="33"/>
      <c r="H631" s="33"/>
      <c r="I631" s="33"/>
      <c r="J631" s="33"/>
      <c r="K631" s="33"/>
      <c r="L631" s="33"/>
      <c r="M631" s="33"/>
      <c r="N631" s="33"/>
      <c r="O631" s="33"/>
      <c r="P631" s="33"/>
      <c r="Q631" s="33"/>
      <c r="R631" s="33"/>
      <c r="S631" s="33"/>
      <c r="T631" s="124"/>
      <c r="U631" s="3"/>
      <c r="V631" s="3"/>
      <c r="W631" s="3"/>
      <c r="X631" s="3"/>
      <c r="Y631" s="3"/>
      <c r="Z631" s="3"/>
    </row>
    <row r="632" spans="1:26" ht="15.75" customHeight="1">
      <c r="A632" s="3"/>
      <c r="B632" s="3"/>
      <c r="C632" s="3"/>
      <c r="D632" s="33"/>
      <c r="E632" s="33"/>
      <c r="F632" s="33"/>
      <c r="G632" s="33"/>
      <c r="H632" s="33"/>
      <c r="I632" s="33"/>
      <c r="J632" s="33"/>
      <c r="K632" s="33"/>
      <c r="L632" s="33"/>
      <c r="M632" s="33"/>
      <c r="N632" s="33"/>
      <c r="O632" s="33"/>
      <c r="P632" s="33"/>
      <c r="Q632" s="33"/>
      <c r="R632" s="33"/>
      <c r="S632" s="33"/>
      <c r="T632" s="124"/>
      <c r="U632" s="3"/>
      <c r="V632" s="3"/>
      <c r="W632" s="3"/>
      <c r="X632" s="3"/>
      <c r="Y632" s="3"/>
      <c r="Z632" s="3"/>
    </row>
    <row r="633" spans="1:26" ht="15.75" customHeight="1">
      <c r="A633" s="3"/>
      <c r="B633" s="3"/>
      <c r="C633" s="3"/>
      <c r="D633" s="33"/>
      <c r="E633" s="33"/>
      <c r="F633" s="33"/>
      <c r="G633" s="33"/>
      <c r="H633" s="33"/>
      <c r="I633" s="33"/>
      <c r="J633" s="33"/>
      <c r="K633" s="33"/>
      <c r="L633" s="33"/>
      <c r="M633" s="33"/>
      <c r="N633" s="33"/>
      <c r="O633" s="33"/>
      <c r="P633" s="33"/>
      <c r="Q633" s="33"/>
      <c r="R633" s="33"/>
      <c r="S633" s="33"/>
      <c r="T633" s="124"/>
      <c r="U633" s="3"/>
      <c r="V633" s="3"/>
      <c r="W633" s="3"/>
      <c r="X633" s="3"/>
      <c r="Y633" s="3"/>
      <c r="Z633" s="3"/>
    </row>
    <row r="634" spans="1:26" ht="15.75" customHeight="1">
      <c r="A634" s="3"/>
      <c r="B634" s="3"/>
      <c r="C634" s="3"/>
      <c r="D634" s="33"/>
      <c r="E634" s="33"/>
      <c r="F634" s="33"/>
      <c r="G634" s="33"/>
      <c r="H634" s="33"/>
      <c r="I634" s="33"/>
      <c r="J634" s="33"/>
      <c r="K634" s="33"/>
      <c r="L634" s="33"/>
      <c r="M634" s="33"/>
      <c r="N634" s="33"/>
      <c r="O634" s="33"/>
      <c r="P634" s="33"/>
      <c r="Q634" s="33"/>
      <c r="R634" s="33"/>
      <c r="S634" s="33"/>
      <c r="T634" s="124"/>
      <c r="U634" s="3"/>
      <c r="V634" s="3"/>
      <c r="W634" s="3"/>
      <c r="X634" s="3"/>
      <c r="Y634" s="3"/>
      <c r="Z634" s="3"/>
    </row>
    <row r="635" spans="1:26" ht="15.75" customHeight="1">
      <c r="A635" s="3"/>
      <c r="B635" s="3"/>
      <c r="C635" s="3"/>
      <c r="D635" s="33"/>
      <c r="E635" s="33"/>
      <c r="F635" s="33"/>
      <c r="G635" s="33"/>
      <c r="H635" s="33"/>
      <c r="I635" s="33"/>
      <c r="J635" s="33"/>
      <c r="K635" s="33"/>
      <c r="L635" s="33"/>
      <c r="M635" s="33"/>
      <c r="N635" s="33"/>
      <c r="O635" s="33"/>
      <c r="P635" s="33"/>
      <c r="Q635" s="33"/>
      <c r="R635" s="33"/>
      <c r="S635" s="33"/>
      <c r="T635" s="124"/>
      <c r="U635" s="3"/>
      <c r="V635" s="3"/>
      <c r="W635" s="3"/>
      <c r="X635" s="3"/>
      <c r="Y635" s="3"/>
      <c r="Z635" s="3"/>
    </row>
    <row r="636" spans="1:26" ht="15.75" customHeight="1">
      <c r="A636" s="3"/>
      <c r="B636" s="3"/>
      <c r="C636" s="3"/>
      <c r="D636" s="33"/>
      <c r="E636" s="33"/>
      <c r="F636" s="33"/>
      <c r="G636" s="33"/>
      <c r="H636" s="33"/>
      <c r="I636" s="33"/>
      <c r="J636" s="33"/>
      <c r="K636" s="33"/>
      <c r="L636" s="33"/>
      <c r="M636" s="33"/>
      <c r="N636" s="33"/>
      <c r="O636" s="33"/>
      <c r="P636" s="33"/>
      <c r="Q636" s="33"/>
      <c r="R636" s="33"/>
      <c r="S636" s="33"/>
      <c r="T636" s="124"/>
      <c r="U636" s="3"/>
      <c r="V636" s="3"/>
      <c r="W636" s="3"/>
      <c r="X636" s="3"/>
      <c r="Y636" s="3"/>
      <c r="Z636" s="3"/>
    </row>
    <row r="637" spans="1:26" ht="15.75" customHeight="1">
      <c r="A637" s="3"/>
      <c r="B637" s="3"/>
      <c r="C637" s="3"/>
      <c r="D637" s="33"/>
      <c r="E637" s="33"/>
      <c r="F637" s="33"/>
      <c r="G637" s="33"/>
      <c r="H637" s="33"/>
      <c r="I637" s="33"/>
      <c r="J637" s="33"/>
      <c r="K637" s="33"/>
      <c r="L637" s="33"/>
      <c r="M637" s="33"/>
      <c r="N637" s="33"/>
      <c r="O637" s="33"/>
      <c r="P637" s="33"/>
      <c r="Q637" s="33"/>
      <c r="R637" s="33"/>
      <c r="S637" s="33"/>
      <c r="T637" s="124"/>
      <c r="U637" s="3"/>
      <c r="V637" s="3"/>
      <c r="W637" s="3"/>
      <c r="X637" s="3"/>
      <c r="Y637" s="3"/>
      <c r="Z637" s="3"/>
    </row>
    <row r="638" spans="1:26" ht="15.75" customHeight="1">
      <c r="A638" s="3"/>
      <c r="B638" s="3"/>
      <c r="C638" s="3"/>
      <c r="D638" s="33"/>
      <c r="E638" s="33"/>
      <c r="F638" s="33"/>
      <c r="G638" s="33"/>
      <c r="H638" s="33"/>
      <c r="I638" s="33"/>
      <c r="J638" s="33"/>
      <c r="K638" s="33"/>
      <c r="L638" s="33"/>
      <c r="M638" s="33"/>
      <c r="N638" s="33"/>
      <c r="O638" s="33"/>
      <c r="P638" s="33"/>
      <c r="Q638" s="33"/>
      <c r="R638" s="33"/>
      <c r="S638" s="33"/>
      <c r="T638" s="124"/>
      <c r="U638" s="3"/>
      <c r="V638" s="3"/>
      <c r="W638" s="3"/>
      <c r="X638" s="3"/>
      <c r="Y638" s="3"/>
      <c r="Z638" s="3"/>
    </row>
    <row r="639" spans="1:26" ht="15.75" customHeight="1">
      <c r="A639" s="3"/>
      <c r="B639" s="3"/>
      <c r="C639" s="3"/>
      <c r="D639" s="33"/>
      <c r="E639" s="33"/>
      <c r="F639" s="33"/>
      <c r="G639" s="33"/>
      <c r="H639" s="33"/>
      <c r="I639" s="33"/>
      <c r="J639" s="33"/>
      <c r="K639" s="33"/>
      <c r="L639" s="33"/>
      <c r="M639" s="33"/>
      <c r="N639" s="33"/>
      <c r="O639" s="33"/>
      <c r="P639" s="33"/>
      <c r="Q639" s="33"/>
      <c r="R639" s="33"/>
      <c r="S639" s="33"/>
      <c r="T639" s="124"/>
      <c r="U639" s="3"/>
      <c r="V639" s="3"/>
      <c r="W639" s="3"/>
      <c r="X639" s="3"/>
      <c r="Y639" s="3"/>
      <c r="Z639" s="3"/>
    </row>
    <row r="640" spans="1:26" ht="15.75" customHeight="1">
      <c r="A640" s="3"/>
      <c r="B640" s="3"/>
      <c r="C640" s="3"/>
      <c r="D640" s="33"/>
      <c r="E640" s="33"/>
      <c r="F640" s="33"/>
      <c r="G640" s="33"/>
      <c r="H640" s="33"/>
      <c r="I640" s="33"/>
      <c r="J640" s="33"/>
      <c r="K640" s="33"/>
      <c r="L640" s="33"/>
      <c r="M640" s="33"/>
      <c r="N640" s="33"/>
      <c r="O640" s="33"/>
      <c r="P640" s="33"/>
      <c r="Q640" s="33"/>
      <c r="R640" s="33"/>
      <c r="S640" s="33"/>
      <c r="T640" s="124"/>
      <c r="U640" s="3"/>
      <c r="V640" s="3"/>
      <c r="W640" s="3"/>
      <c r="X640" s="3"/>
      <c r="Y640" s="3"/>
      <c r="Z640" s="3"/>
    </row>
    <row r="641" spans="1:26" ht="15.75" customHeight="1">
      <c r="A641" s="3"/>
      <c r="B641" s="3"/>
      <c r="C641" s="3"/>
      <c r="D641" s="33"/>
      <c r="E641" s="33"/>
      <c r="F641" s="33"/>
      <c r="G641" s="33"/>
      <c r="H641" s="33"/>
      <c r="I641" s="33"/>
      <c r="J641" s="33"/>
      <c r="K641" s="33"/>
      <c r="L641" s="33"/>
      <c r="M641" s="33"/>
      <c r="N641" s="33"/>
      <c r="O641" s="33"/>
      <c r="P641" s="33"/>
      <c r="Q641" s="33"/>
      <c r="R641" s="33"/>
      <c r="S641" s="33"/>
      <c r="T641" s="124"/>
      <c r="U641" s="3"/>
      <c r="V641" s="3"/>
      <c r="W641" s="3"/>
      <c r="X641" s="3"/>
      <c r="Y641" s="3"/>
      <c r="Z641" s="3"/>
    </row>
    <row r="642" spans="1:26" ht="15.75" customHeight="1">
      <c r="A642" s="3"/>
      <c r="B642" s="3"/>
      <c r="C642" s="3"/>
      <c r="D642" s="33"/>
      <c r="E642" s="33"/>
      <c r="F642" s="33"/>
      <c r="G642" s="33"/>
      <c r="H642" s="33"/>
      <c r="I642" s="33"/>
      <c r="J642" s="33"/>
      <c r="K642" s="33"/>
      <c r="L642" s="33"/>
      <c r="M642" s="33"/>
      <c r="N642" s="33"/>
      <c r="O642" s="33"/>
      <c r="P642" s="33"/>
      <c r="Q642" s="33"/>
      <c r="R642" s="33"/>
      <c r="S642" s="33"/>
      <c r="T642" s="124"/>
      <c r="U642" s="3"/>
      <c r="V642" s="3"/>
      <c r="W642" s="3"/>
      <c r="X642" s="3"/>
      <c r="Y642" s="3"/>
      <c r="Z642" s="3"/>
    </row>
    <row r="643" spans="1:26" ht="15.75" customHeight="1">
      <c r="A643" s="3"/>
      <c r="B643" s="3"/>
      <c r="C643" s="3"/>
      <c r="D643" s="33"/>
      <c r="E643" s="33"/>
      <c r="F643" s="33"/>
      <c r="G643" s="33"/>
      <c r="H643" s="33"/>
      <c r="I643" s="33"/>
      <c r="J643" s="33"/>
      <c r="K643" s="33"/>
      <c r="L643" s="33"/>
      <c r="M643" s="33"/>
      <c r="N643" s="33"/>
      <c r="O643" s="33"/>
      <c r="P643" s="33"/>
      <c r="Q643" s="33"/>
      <c r="R643" s="33"/>
      <c r="S643" s="33"/>
      <c r="T643" s="124"/>
      <c r="U643" s="3"/>
      <c r="V643" s="3"/>
      <c r="W643" s="3"/>
      <c r="X643" s="3"/>
      <c r="Y643" s="3"/>
      <c r="Z643" s="3"/>
    </row>
    <row r="644" spans="1:26" ht="15.75" customHeight="1">
      <c r="A644" s="3"/>
      <c r="B644" s="3"/>
      <c r="C644" s="3"/>
      <c r="D644" s="33"/>
      <c r="E644" s="33"/>
      <c r="F644" s="33"/>
      <c r="G644" s="33"/>
      <c r="H644" s="33"/>
      <c r="I644" s="33"/>
      <c r="J644" s="33"/>
      <c r="K644" s="33"/>
      <c r="L644" s="33"/>
      <c r="M644" s="33"/>
      <c r="N644" s="33"/>
      <c r="O644" s="33"/>
      <c r="P644" s="33"/>
      <c r="Q644" s="33"/>
      <c r="R644" s="33"/>
      <c r="S644" s="33"/>
      <c r="T644" s="124"/>
      <c r="U644" s="3"/>
      <c r="V644" s="3"/>
      <c r="W644" s="3"/>
      <c r="X644" s="3"/>
      <c r="Y644" s="3"/>
      <c r="Z644" s="3"/>
    </row>
    <row r="645" spans="1:26" ht="15.75" customHeight="1">
      <c r="A645" s="3"/>
      <c r="B645" s="3"/>
      <c r="C645" s="3"/>
      <c r="D645" s="33"/>
      <c r="E645" s="33"/>
      <c r="F645" s="33"/>
      <c r="G645" s="33"/>
      <c r="H645" s="33"/>
      <c r="I645" s="33"/>
      <c r="J645" s="33"/>
      <c r="K645" s="33"/>
      <c r="L645" s="33"/>
      <c r="M645" s="33"/>
      <c r="N645" s="33"/>
      <c r="O645" s="33"/>
      <c r="P645" s="33"/>
      <c r="Q645" s="33"/>
      <c r="R645" s="33"/>
      <c r="S645" s="33"/>
      <c r="T645" s="124"/>
      <c r="U645" s="3"/>
      <c r="V645" s="3"/>
      <c r="W645" s="3"/>
      <c r="X645" s="3"/>
      <c r="Y645" s="3"/>
      <c r="Z645" s="3"/>
    </row>
    <row r="646" spans="1:26" ht="15.75" customHeight="1">
      <c r="A646" s="3"/>
      <c r="B646" s="3"/>
      <c r="C646" s="3"/>
      <c r="D646" s="33"/>
      <c r="E646" s="33"/>
      <c r="F646" s="33"/>
      <c r="G646" s="33"/>
      <c r="H646" s="33"/>
      <c r="I646" s="33"/>
      <c r="J646" s="33"/>
      <c r="K646" s="33"/>
      <c r="L646" s="33"/>
      <c r="M646" s="33"/>
      <c r="N646" s="33"/>
      <c r="O646" s="33"/>
      <c r="P646" s="33"/>
      <c r="Q646" s="33"/>
      <c r="R646" s="33"/>
      <c r="S646" s="33"/>
      <c r="T646" s="124"/>
      <c r="U646" s="3"/>
      <c r="V646" s="3"/>
      <c r="W646" s="3"/>
      <c r="X646" s="3"/>
      <c r="Y646" s="3"/>
      <c r="Z646" s="3"/>
    </row>
    <row r="647" spans="1:26" ht="15.75" customHeight="1">
      <c r="A647" s="3"/>
      <c r="B647" s="3"/>
      <c r="C647" s="3"/>
      <c r="D647" s="33"/>
      <c r="E647" s="33"/>
      <c r="F647" s="33"/>
      <c r="G647" s="33"/>
      <c r="H647" s="33"/>
      <c r="I647" s="33"/>
      <c r="J647" s="33"/>
      <c r="K647" s="33"/>
      <c r="L647" s="33"/>
      <c r="M647" s="33"/>
      <c r="N647" s="33"/>
      <c r="O647" s="33"/>
      <c r="P647" s="33"/>
      <c r="Q647" s="33"/>
      <c r="R647" s="33"/>
      <c r="S647" s="33"/>
      <c r="T647" s="124"/>
      <c r="U647" s="3"/>
      <c r="V647" s="3"/>
      <c r="W647" s="3"/>
      <c r="X647" s="3"/>
      <c r="Y647" s="3"/>
      <c r="Z647" s="3"/>
    </row>
    <row r="648" spans="1:26" ht="15.75" customHeight="1">
      <c r="A648" s="3"/>
      <c r="B648" s="3"/>
      <c r="C648" s="3"/>
      <c r="D648" s="33"/>
      <c r="E648" s="33"/>
      <c r="F648" s="33"/>
      <c r="G648" s="33"/>
      <c r="H648" s="33"/>
      <c r="I648" s="33"/>
      <c r="J648" s="33"/>
      <c r="K648" s="33"/>
      <c r="L648" s="33"/>
      <c r="M648" s="33"/>
      <c r="N648" s="33"/>
      <c r="O648" s="33"/>
      <c r="P648" s="33"/>
      <c r="Q648" s="33"/>
      <c r="R648" s="33"/>
      <c r="S648" s="33"/>
      <c r="T648" s="124"/>
      <c r="U648" s="3"/>
      <c r="V648" s="3"/>
      <c r="W648" s="3"/>
      <c r="X648" s="3"/>
      <c r="Y648" s="3"/>
      <c r="Z648" s="3"/>
    </row>
    <row r="649" spans="1:26" ht="15.75" customHeight="1">
      <c r="A649" s="3"/>
      <c r="B649" s="3"/>
      <c r="C649" s="3"/>
      <c r="D649" s="33"/>
      <c r="E649" s="33"/>
      <c r="F649" s="33"/>
      <c r="G649" s="33"/>
      <c r="H649" s="33"/>
      <c r="I649" s="33"/>
      <c r="J649" s="33"/>
      <c r="K649" s="33"/>
      <c r="L649" s="33"/>
      <c r="M649" s="33"/>
      <c r="N649" s="33"/>
      <c r="O649" s="33"/>
      <c r="P649" s="33"/>
      <c r="Q649" s="33"/>
      <c r="R649" s="33"/>
      <c r="S649" s="33"/>
      <c r="T649" s="124"/>
      <c r="U649" s="3"/>
      <c r="V649" s="3"/>
      <c r="W649" s="3"/>
      <c r="X649" s="3"/>
      <c r="Y649" s="3"/>
      <c r="Z649" s="3"/>
    </row>
    <row r="650" spans="1:26" ht="15.75" customHeight="1">
      <c r="A650" s="3"/>
      <c r="B650" s="3"/>
      <c r="C650" s="3"/>
      <c r="D650" s="33"/>
      <c r="E650" s="33"/>
      <c r="F650" s="33"/>
      <c r="G650" s="33"/>
      <c r="H650" s="33"/>
      <c r="I650" s="33"/>
      <c r="J650" s="33"/>
      <c r="K650" s="33"/>
      <c r="L650" s="33"/>
      <c r="M650" s="33"/>
      <c r="N650" s="33"/>
      <c r="O650" s="33"/>
      <c r="P650" s="33"/>
      <c r="Q650" s="33"/>
      <c r="R650" s="33"/>
      <c r="S650" s="33"/>
      <c r="T650" s="124"/>
      <c r="U650" s="3"/>
      <c r="V650" s="3"/>
      <c r="W650" s="3"/>
      <c r="X650" s="3"/>
      <c r="Y650" s="3"/>
      <c r="Z650" s="3"/>
    </row>
    <row r="651" spans="1:26" ht="15.75" customHeight="1">
      <c r="A651" s="3"/>
      <c r="B651" s="3"/>
      <c r="C651" s="3"/>
      <c r="D651" s="33"/>
      <c r="E651" s="33"/>
      <c r="F651" s="33"/>
      <c r="G651" s="33"/>
      <c r="H651" s="33"/>
      <c r="I651" s="33"/>
      <c r="J651" s="33"/>
      <c r="K651" s="33"/>
      <c r="L651" s="33"/>
      <c r="M651" s="33"/>
      <c r="N651" s="33"/>
      <c r="O651" s="33"/>
      <c r="P651" s="33"/>
      <c r="Q651" s="33"/>
      <c r="R651" s="33"/>
      <c r="S651" s="33"/>
      <c r="T651" s="124"/>
      <c r="U651" s="3"/>
      <c r="V651" s="3"/>
      <c r="W651" s="3"/>
      <c r="X651" s="3"/>
      <c r="Y651" s="3"/>
      <c r="Z651" s="3"/>
    </row>
    <row r="652" spans="1:26" ht="15.75" customHeight="1">
      <c r="A652" s="3"/>
      <c r="B652" s="3"/>
      <c r="C652" s="3"/>
      <c r="D652" s="33"/>
      <c r="E652" s="33"/>
      <c r="F652" s="33"/>
      <c r="G652" s="33"/>
      <c r="H652" s="33"/>
      <c r="I652" s="33"/>
      <c r="J652" s="33"/>
      <c r="K652" s="33"/>
      <c r="L652" s="33"/>
      <c r="M652" s="33"/>
      <c r="N652" s="33"/>
      <c r="O652" s="33"/>
      <c r="P652" s="33"/>
      <c r="Q652" s="33"/>
      <c r="R652" s="33"/>
      <c r="S652" s="33"/>
      <c r="T652" s="124"/>
      <c r="U652" s="3"/>
      <c r="V652" s="3"/>
      <c r="W652" s="3"/>
      <c r="X652" s="3"/>
      <c r="Y652" s="3"/>
      <c r="Z652" s="3"/>
    </row>
    <row r="653" spans="1:26" ht="15.75" customHeight="1">
      <c r="A653" s="3"/>
      <c r="B653" s="3"/>
      <c r="C653" s="3"/>
      <c r="D653" s="33"/>
      <c r="E653" s="33"/>
      <c r="F653" s="33"/>
      <c r="G653" s="33"/>
      <c r="H653" s="33"/>
      <c r="I653" s="33"/>
      <c r="J653" s="33"/>
      <c r="K653" s="33"/>
      <c r="L653" s="33"/>
      <c r="M653" s="33"/>
      <c r="N653" s="33"/>
      <c r="O653" s="33"/>
      <c r="P653" s="33"/>
      <c r="Q653" s="33"/>
      <c r="R653" s="33"/>
      <c r="S653" s="33"/>
      <c r="T653" s="124"/>
      <c r="U653" s="3"/>
      <c r="V653" s="3"/>
      <c r="W653" s="3"/>
      <c r="X653" s="3"/>
      <c r="Y653" s="3"/>
      <c r="Z653" s="3"/>
    </row>
    <row r="654" spans="1:26" ht="15.75" customHeight="1">
      <c r="A654" s="3"/>
      <c r="B654" s="3"/>
      <c r="C654" s="3"/>
      <c r="D654" s="33"/>
      <c r="E654" s="33"/>
      <c r="F654" s="33"/>
      <c r="G654" s="33"/>
      <c r="H654" s="33"/>
      <c r="I654" s="33"/>
      <c r="J654" s="33"/>
      <c r="K654" s="33"/>
      <c r="L654" s="33"/>
      <c r="M654" s="33"/>
      <c r="N654" s="33"/>
      <c r="O654" s="33"/>
      <c r="P654" s="33"/>
      <c r="Q654" s="33"/>
      <c r="R654" s="33"/>
      <c r="S654" s="33"/>
      <c r="T654" s="124"/>
      <c r="U654" s="3"/>
      <c r="V654" s="3"/>
      <c r="W654" s="3"/>
      <c r="X654" s="3"/>
      <c r="Y654" s="3"/>
      <c r="Z654" s="3"/>
    </row>
    <row r="655" spans="1:26" ht="15.75" customHeight="1">
      <c r="A655" s="3"/>
      <c r="B655" s="3"/>
      <c r="C655" s="3"/>
      <c r="D655" s="33"/>
      <c r="E655" s="33"/>
      <c r="F655" s="33"/>
      <c r="G655" s="33"/>
      <c r="H655" s="33"/>
      <c r="I655" s="33"/>
      <c r="J655" s="33"/>
      <c r="K655" s="33"/>
      <c r="L655" s="33"/>
      <c r="M655" s="33"/>
      <c r="N655" s="33"/>
      <c r="O655" s="33"/>
      <c r="P655" s="33"/>
      <c r="Q655" s="33"/>
      <c r="R655" s="33"/>
      <c r="S655" s="33"/>
      <c r="T655" s="124"/>
      <c r="U655" s="3"/>
      <c r="V655" s="3"/>
      <c r="W655" s="3"/>
      <c r="X655" s="3"/>
      <c r="Y655" s="3"/>
      <c r="Z655" s="3"/>
    </row>
    <row r="656" spans="1:26" ht="15.75" customHeight="1">
      <c r="A656" s="3"/>
      <c r="B656" s="3"/>
      <c r="C656" s="3"/>
      <c r="D656" s="33"/>
      <c r="E656" s="33"/>
      <c r="F656" s="33"/>
      <c r="G656" s="33"/>
      <c r="H656" s="33"/>
      <c r="I656" s="33"/>
      <c r="J656" s="33"/>
      <c r="K656" s="33"/>
      <c r="L656" s="33"/>
      <c r="M656" s="33"/>
      <c r="N656" s="33"/>
      <c r="O656" s="33"/>
      <c r="P656" s="33"/>
      <c r="Q656" s="33"/>
      <c r="R656" s="33"/>
      <c r="S656" s="33"/>
      <c r="T656" s="124"/>
      <c r="U656" s="3"/>
      <c r="V656" s="3"/>
      <c r="W656" s="3"/>
      <c r="X656" s="3"/>
      <c r="Y656" s="3"/>
      <c r="Z656" s="3"/>
    </row>
    <row r="657" spans="1:26" ht="15.75" customHeight="1">
      <c r="A657" s="3"/>
      <c r="B657" s="3"/>
      <c r="C657" s="3"/>
      <c r="D657" s="33"/>
      <c r="E657" s="33"/>
      <c r="F657" s="33"/>
      <c r="G657" s="33"/>
      <c r="H657" s="33"/>
      <c r="I657" s="33"/>
      <c r="J657" s="33"/>
      <c r="K657" s="33"/>
      <c r="L657" s="33"/>
      <c r="M657" s="33"/>
      <c r="N657" s="33"/>
      <c r="O657" s="33"/>
      <c r="P657" s="33"/>
      <c r="Q657" s="33"/>
      <c r="R657" s="33"/>
      <c r="S657" s="33"/>
      <c r="T657" s="124"/>
      <c r="U657" s="3"/>
      <c r="V657" s="3"/>
      <c r="W657" s="3"/>
      <c r="X657" s="3"/>
      <c r="Y657" s="3"/>
      <c r="Z657" s="3"/>
    </row>
    <row r="658" spans="1:26" ht="15.75" customHeight="1">
      <c r="A658" s="3"/>
      <c r="B658" s="3"/>
      <c r="C658" s="3"/>
      <c r="D658" s="33"/>
      <c r="E658" s="33"/>
      <c r="F658" s="33"/>
      <c r="G658" s="33"/>
      <c r="H658" s="33"/>
      <c r="I658" s="33"/>
      <c r="J658" s="33"/>
      <c r="K658" s="33"/>
      <c r="L658" s="33"/>
      <c r="M658" s="33"/>
      <c r="N658" s="33"/>
      <c r="O658" s="33"/>
      <c r="P658" s="33"/>
      <c r="Q658" s="33"/>
      <c r="R658" s="33"/>
      <c r="S658" s="33"/>
      <c r="T658" s="124"/>
      <c r="U658" s="3"/>
      <c r="V658" s="3"/>
      <c r="W658" s="3"/>
      <c r="X658" s="3"/>
      <c r="Y658" s="3"/>
      <c r="Z658" s="3"/>
    </row>
    <row r="659" spans="1:26" ht="15.75" customHeight="1">
      <c r="A659" s="3"/>
      <c r="B659" s="3"/>
      <c r="C659" s="3"/>
      <c r="D659" s="33"/>
      <c r="E659" s="33"/>
      <c r="F659" s="33"/>
      <c r="G659" s="33"/>
      <c r="H659" s="33"/>
      <c r="I659" s="33"/>
      <c r="J659" s="33"/>
      <c r="K659" s="33"/>
      <c r="L659" s="33"/>
      <c r="M659" s="33"/>
      <c r="N659" s="33"/>
      <c r="O659" s="33"/>
      <c r="P659" s="33"/>
      <c r="Q659" s="33"/>
      <c r="R659" s="33"/>
      <c r="S659" s="33"/>
      <c r="T659" s="124"/>
      <c r="U659" s="3"/>
      <c r="V659" s="3"/>
      <c r="W659" s="3"/>
      <c r="X659" s="3"/>
      <c r="Y659" s="3"/>
      <c r="Z659" s="3"/>
    </row>
    <row r="660" spans="1:26" ht="15.75" customHeight="1">
      <c r="A660" s="3"/>
      <c r="B660" s="3"/>
      <c r="C660" s="3"/>
      <c r="D660" s="33"/>
      <c r="E660" s="33"/>
      <c r="F660" s="33"/>
      <c r="G660" s="33"/>
      <c r="H660" s="33"/>
      <c r="I660" s="33"/>
      <c r="J660" s="33"/>
      <c r="K660" s="33"/>
      <c r="L660" s="33"/>
      <c r="M660" s="33"/>
      <c r="N660" s="33"/>
      <c r="O660" s="33"/>
      <c r="P660" s="33"/>
      <c r="Q660" s="33"/>
      <c r="R660" s="33"/>
      <c r="S660" s="33"/>
      <c r="T660" s="124"/>
      <c r="U660" s="3"/>
      <c r="V660" s="3"/>
      <c r="W660" s="3"/>
      <c r="X660" s="3"/>
      <c r="Y660" s="3"/>
      <c r="Z660" s="3"/>
    </row>
    <row r="661" spans="1:26" ht="15.75" customHeight="1">
      <c r="A661" s="3"/>
      <c r="B661" s="3"/>
      <c r="C661" s="3"/>
      <c r="D661" s="33"/>
      <c r="E661" s="33"/>
      <c r="F661" s="33"/>
      <c r="G661" s="33"/>
      <c r="H661" s="33"/>
      <c r="I661" s="33"/>
      <c r="J661" s="33"/>
      <c r="K661" s="33"/>
      <c r="L661" s="33"/>
      <c r="M661" s="33"/>
      <c r="N661" s="33"/>
      <c r="O661" s="33"/>
      <c r="P661" s="33"/>
      <c r="Q661" s="33"/>
      <c r="R661" s="33"/>
      <c r="S661" s="33"/>
      <c r="T661" s="124"/>
      <c r="U661" s="3"/>
      <c r="V661" s="3"/>
      <c r="W661" s="3"/>
      <c r="X661" s="3"/>
      <c r="Y661" s="3"/>
      <c r="Z661" s="3"/>
    </row>
    <row r="662" spans="1:26" ht="15.75" customHeight="1">
      <c r="A662" s="3"/>
      <c r="B662" s="3"/>
      <c r="C662" s="3"/>
      <c r="D662" s="33"/>
      <c r="E662" s="33"/>
      <c r="F662" s="33"/>
      <c r="G662" s="33"/>
      <c r="H662" s="33"/>
      <c r="I662" s="33"/>
      <c r="J662" s="33"/>
      <c r="K662" s="33"/>
      <c r="L662" s="33"/>
      <c r="M662" s="33"/>
      <c r="N662" s="33"/>
      <c r="O662" s="33"/>
      <c r="P662" s="33"/>
      <c r="Q662" s="33"/>
      <c r="R662" s="33"/>
      <c r="S662" s="33"/>
      <c r="T662" s="124"/>
      <c r="U662" s="3"/>
      <c r="V662" s="3"/>
      <c r="W662" s="3"/>
      <c r="X662" s="3"/>
      <c r="Y662" s="3"/>
      <c r="Z662" s="3"/>
    </row>
    <row r="663" spans="1:26" ht="15.75" customHeight="1">
      <c r="A663" s="3"/>
      <c r="B663" s="3"/>
      <c r="C663" s="3"/>
      <c r="D663" s="33"/>
      <c r="E663" s="33"/>
      <c r="F663" s="33"/>
      <c r="G663" s="33"/>
      <c r="H663" s="33"/>
      <c r="I663" s="33"/>
      <c r="J663" s="33"/>
      <c r="K663" s="33"/>
      <c r="L663" s="33"/>
      <c r="M663" s="33"/>
      <c r="N663" s="33"/>
      <c r="O663" s="33"/>
      <c r="P663" s="33"/>
      <c r="Q663" s="33"/>
      <c r="R663" s="33"/>
      <c r="S663" s="33"/>
      <c r="T663" s="124"/>
      <c r="U663" s="3"/>
      <c r="V663" s="3"/>
      <c r="W663" s="3"/>
      <c r="X663" s="3"/>
      <c r="Y663" s="3"/>
      <c r="Z663" s="3"/>
    </row>
    <row r="664" spans="1:26" ht="15.75" customHeight="1">
      <c r="A664" s="3"/>
      <c r="B664" s="3"/>
      <c r="C664" s="3"/>
      <c r="D664" s="33"/>
      <c r="E664" s="33"/>
      <c r="F664" s="33"/>
      <c r="G664" s="33"/>
      <c r="H664" s="33"/>
      <c r="I664" s="33"/>
      <c r="J664" s="33"/>
      <c r="K664" s="33"/>
      <c r="L664" s="33"/>
      <c r="M664" s="33"/>
      <c r="N664" s="33"/>
      <c r="O664" s="33"/>
      <c r="P664" s="33"/>
      <c r="Q664" s="33"/>
      <c r="R664" s="33"/>
      <c r="S664" s="33"/>
      <c r="T664" s="124"/>
      <c r="U664" s="3"/>
      <c r="V664" s="3"/>
      <c r="W664" s="3"/>
      <c r="X664" s="3"/>
      <c r="Y664" s="3"/>
      <c r="Z664" s="3"/>
    </row>
    <row r="665" spans="1:26" ht="15.75" customHeight="1">
      <c r="A665" s="3"/>
      <c r="B665" s="3"/>
      <c r="C665" s="3"/>
      <c r="D665" s="33"/>
      <c r="E665" s="33"/>
      <c r="F665" s="33"/>
      <c r="G665" s="33"/>
      <c r="H665" s="33"/>
      <c r="I665" s="33"/>
      <c r="J665" s="33"/>
      <c r="K665" s="33"/>
      <c r="L665" s="33"/>
      <c r="M665" s="33"/>
      <c r="N665" s="33"/>
      <c r="O665" s="33"/>
      <c r="P665" s="33"/>
      <c r="Q665" s="33"/>
      <c r="R665" s="33"/>
      <c r="S665" s="33"/>
      <c r="T665" s="124"/>
      <c r="U665" s="3"/>
      <c r="V665" s="3"/>
      <c r="W665" s="3"/>
      <c r="X665" s="3"/>
      <c r="Y665" s="3"/>
      <c r="Z665" s="3"/>
    </row>
    <row r="666" spans="1:26" ht="15.75" customHeight="1">
      <c r="A666" s="3"/>
      <c r="B666" s="3"/>
      <c r="C666" s="3"/>
      <c r="D666" s="33"/>
      <c r="E666" s="33"/>
      <c r="F666" s="33"/>
      <c r="G666" s="33"/>
      <c r="H666" s="33"/>
      <c r="I666" s="33"/>
      <c r="J666" s="33"/>
      <c r="K666" s="33"/>
      <c r="L666" s="33"/>
      <c r="M666" s="33"/>
      <c r="N666" s="33"/>
      <c r="O666" s="33"/>
      <c r="P666" s="33"/>
      <c r="Q666" s="33"/>
      <c r="R666" s="33"/>
      <c r="S666" s="33"/>
      <c r="T666" s="124"/>
      <c r="U666" s="3"/>
      <c r="V666" s="3"/>
      <c r="W666" s="3"/>
      <c r="X666" s="3"/>
      <c r="Y666" s="3"/>
      <c r="Z666" s="3"/>
    </row>
    <row r="667" spans="1:26" ht="15.75" customHeight="1">
      <c r="A667" s="3"/>
      <c r="B667" s="3"/>
      <c r="C667" s="3"/>
      <c r="D667" s="33"/>
      <c r="E667" s="33"/>
      <c r="F667" s="33"/>
      <c r="G667" s="33"/>
      <c r="H667" s="33"/>
      <c r="I667" s="33"/>
      <c r="J667" s="33"/>
      <c r="K667" s="33"/>
      <c r="L667" s="33"/>
      <c r="M667" s="33"/>
      <c r="N667" s="33"/>
      <c r="O667" s="33"/>
      <c r="P667" s="33"/>
      <c r="Q667" s="33"/>
      <c r="R667" s="33"/>
      <c r="S667" s="33"/>
      <c r="T667" s="124"/>
      <c r="U667" s="3"/>
      <c r="V667" s="3"/>
      <c r="W667" s="3"/>
      <c r="X667" s="3"/>
      <c r="Y667" s="3"/>
      <c r="Z667" s="3"/>
    </row>
    <row r="668" spans="1:26" ht="15.75" customHeight="1">
      <c r="A668" s="3"/>
      <c r="B668" s="3"/>
      <c r="C668" s="3"/>
      <c r="D668" s="33"/>
      <c r="E668" s="33"/>
      <c r="F668" s="33"/>
      <c r="G668" s="33"/>
      <c r="H668" s="33"/>
      <c r="I668" s="33"/>
      <c r="J668" s="33"/>
      <c r="K668" s="33"/>
      <c r="L668" s="33"/>
      <c r="M668" s="33"/>
      <c r="N668" s="33"/>
      <c r="O668" s="33"/>
      <c r="P668" s="33"/>
      <c r="Q668" s="33"/>
      <c r="R668" s="33"/>
      <c r="S668" s="33"/>
      <c r="T668" s="124"/>
      <c r="U668" s="3"/>
      <c r="V668" s="3"/>
      <c r="W668" s="3"/>
      <c r="X668" s="3"/>
      <c r="Y668" s="3"/>
      <c r="Z668" s="3"/>
    </row>
    <row r="669" spans="1:26" ht="15.75" customHeight="1">
      <c r="A669" s="3"/>
      <c r="B669" s="3"/>
      <c r="C669" s="3"/>
      <c r="D669" s="33"/>
      <c r="E669" s="33"/>
      <c r="F669" s="33"/>
      <c r="G669" s="33"/>
      <c r="H669" s="33"/>
      <c r="I669" s="33"/>
      <c r="J669" s="33"/>
      <c r="K669" s="33"/>
      <c r="L669" s="33"/>
      <c r="M669" s="33"/>
      <c r="N669" s="33"/>
      <c r="O669" s="33"/>
      <c r="P669" s="33"/>
      <c r="Q669" s="33"/>
      <c r="R669" s="33"/>
      <c r="S669" s="33"/>
      <c r="T669" s="124"/>
      <c r="U669" s="3"/>
      <c r="V669" s="3"/>
      <c r="W669" s="3"/>
      <c r="X669" s="3"/>
      <c r="Y669" s="3"/>
      <c r="Z669" s="3"/>
    </row>
    <row r="670" spans="1:26" ht="15.75" customHeight="1">
      <c r="A670" s="3"/>
      <c r="B670" s="3"/>
      <c r="C670" s="3"/>
      <c r="D670" s="33"/>
      <c r="E670" s="33"/>
      <c r="F670" s="33"/>
      <c r="G670" s="33"/>
      <c r="H670" s="33"/>
      <c r="I670" s="33"/>
      <c r="J670" s="33"/>
      <c r="K670" s="33"/>
      <c r="L670" s="33"/>
      <c r="M670" s="33"/>
      <c r="N670" s="33"/>
      <c r="O670" s="33"/>
      <c r="P670" s="33"/>
      <c r="Q670" s="33"/>
      <c r="R670" s="33"/>
      <c r="S670" s="33"/>
      <c r="T670" s="124"/>
      <c r="U670" s="3"/>
      <c r="V670" s="3"/>
      <c r="W670" s="3"/>
      <c r="X670" s="3"/>
      <c r="Y670" s="3"/>
      <c r="Z670" s="3"/>
    </row>
    <row r="671" spans="1:26" ht="15.75" customHeight="1">
      <c r="A671" s="3"/>
      <c r="B671" s="3"/>
      <c r="C671" s="3"/>
      <c r="D671" s="33"/>
      <c r="E671" s="33"/>
      <c r="F671" s="33"/>
      <c r="G671" s="33"/>
      <c r="H671" s="33"/>
      <c r="I671" s="33"/>
      <c r="J671" s="33"/>
      <c r="K671" s="33"/>
      <c r="L671" s="33"/>
      <c r="M671" s="33"/>
      <c r="N671" s="33"/>
      <c r="O671" s="33"/>
      <c r="P671" s="33"/>
      <c r="Q671" s="33"/>
      <c r="R671" s="33"/>
      <c r="S671" s="33"/>
      <c r="T671" s="124"/>
      <c r="U671" s="3"/>
      <c r="V671" s="3"/>
      <c r="W671" s="3"/>
      <c r="X671" s="3"/>
      <c r="Y671" s="3"/>
      <c r="Z671" s="3"/>
    </row>
    <row r="672" spans="1:26" ht="15.75" customHeight="1">
      <c r="A672" s="3"/>
      <c r="B672" s="3"/>
      <c r="C672" s="3"/>
      <c r="D672" s="33"/>
      <c r="E672" s="33"/>
      <c r="F672" s="33"/>
      <c r="G672" s="33"/>
      <c r="H672" s="33"/>
      <c r="I672" s="33"/>
      <c r="J672" s="33"/>
      <c r="K672" s="33"/>
      <c r="L672" s="33"/>
      <c r="M672" s="33"/>
      <c r="N672" s="33"/>
      <c r="O672" s="33"/>
      <c r="P672" s="33"/>
      <c r="Q672" s="33"/>
      <c r="R672" s="33"/>
      <c r="S672" s="33"/>
      <c r="T672" s="124"/>
      <c r="U672" s="3"/>
      <c r="V672" s="3"/>
      <c r="W672" s="3"/>
      <c r="X672" s="3"/>
      <c r="Y672" s="3"/>
      <c r="Z672" s="3"/>
    </row>
    <row r="673" spans="1:26" ht="15.75" customHeight="1">
      <c r="A673" s="3"/>
      <c r="B673" s="3"/>
      <c r="C673" s="3"/>
      <c r="D673" s="33"/>
      <c r="E673" s="33"/>
      <c r="F673" s="33"/>
      <c r="G673" s="33"/>
      <c r="H673" s="33"/>
      <c r="I673" s="33"/>
      <c r="J673" s="33"/>
      <c r="K673" s="33"/>
      <c r="L673" s="33"/>
      <c r="M673" s="33"/>
      <c r="N673" s="33"/>
      <c r="O673" s="33"/>
      <c r="P673" s="33"/>
      <c r="Q673" s="33"/>
      <c r="R673" s="33"/>
      <c r="S673" s="33"/>
      <c r="T673" s="124"/>
      <c r="U673" s="3"/>
      <c r="V673" s="3"/>
      <c r="W673" s="3"/>
      <c r="X673" s="3"/>
      <c r="Y673" s="3"/>
      <c r="Z673" s="3"/>
    </row>
    <row r="674" spans="1:26" ht="15.75" customHeight="1">
      <c r="A674" s="3"/>
      <c r="B674" s="3"/>
      <c r="C674" s="3"/>
      <c r="D674" s="33"/>
      <c r="E674" s="33"/>
      <c r="F674" s="33"/>
      <c r="G674" s="33"/>
      <c r="H674" s="33"/>
      <c r="I674" s="33"/>
      <c r="J674" s="33"/>
      <c r="K674" s="33"/>
      <c r="L674" s="33"/>
      <c r="M674" s="33"/>
      <c r="N674" s="33"/>
      <c r="O674" s="33"/>
      <c r="P674" s="33"/>
      <c r="Q674" s="33"/>
      <c r="R674" s="33"/>
      <c r="S674" s="33"/>
      <c r="T674" s="124"/>
      <c r="U674" s="3"/>
      <c r="V674" s="3"/>
      <c r="W674" s="3"/>
      <c r="X674" s="3"/>
      <c r="Y674" s="3"/>
      <c r="Z674" s="3"/>
    </row>
    <row r="675" spans="1:26" ht="15.75" customHeight="1">
      <c r="A675" s="3"/>
      <c r="B675" s="3"/>
      <c r="C675" s="3"/>
      <c r="D675" s="33"/>
      <c r="E675" s="33"/>
      <c r="F675" s="33"/>
      <c r="G675" s="33"/>
      <c r="H675" s="33"/>
      <c r="I675" s="33"/>
      <c r="J675" s="33"/>
      <c r="K675" s="33"/>
      <c r="L675" s="33"/>
      <c r="M675" s="33"/>
      <c r="N675" s="33"/>
      <c r="O675" s="33"/>
      <c r="P675" s="33"/>
      <c r="Q675" s="33"/>
      <c r="R675" s="33"/>
      <c r="S675" s="33"/>
      <c r="T675" s="124"/>
      <c r="U675" s="3"/>
      <c r="V675" s="3"/>
      <c r="W675" s="3"/>
      <c r="X675" s="3"/>
      <c r="Y675" s="3"/>
      <c r="Z675" s="3"/>
    </row>
    <row r="676" spans="1:26" ht="15.75" customHeight="1">
      <c r="A676" s="3"/>
      <c r="B676" s="3"/>
      <c r="C676" s="3"/>
      <c r="D676" s="33"/>
      <c r="E676" s="33"/>
      <c r="F676" s="33"/>
      <c r="G676" s="33"/>
      <c r="H676" s="33"/>
      <c r="I676" s="33"/>
      <c r="J676" s="33"/>
      <c r="K676" s="33"/>
      <c r="L676" s="33"/>
      <c r="M676" s="33"/>
      <c r="N676" s="33"/>
      <c r="O676" s="33"/>
      <c r="P676" s="33"/>
      <c r="Q676" s="33"/>
      <c r="R676" s="33"/>
      <c r="S676" s="33"/>
      <c r="T676" s="124"/>
      <c r="U676" s="3"/>
      <c r="V676" s="3"/>
      <c r="W676" s="3"/>
      <c r="X676" s="3"/>
      <c r="Y676" s="3"/>
      <c r="Z676" s="3"/>
    </row>
    <row r="677" spans="1:26" ht="15.75" customHeight="1">
      <c r="A677" s="3"/>
      <c r="B677" s="3"/>
      <c r="C677" s="3"/>
      <c r="D677" s="33"/>
      <c r="E677" s="33"/>
      <c r="F677" s="33"/>
      <c r="G677" s="33"/>
      <c r="H677" s="33"/>
      <c r="I677" s="33"/>
      <c r="J677" s="33"/>
      <c r="K677" s="33"/>
      <c r="L677" s="33"/>
      <c r="M677" s="33"/>
      <c r="N677" s="33"/>
      <c r="O677" s="33"/>
      <c r="P677" s="33"/>
      <c r="Q677" s="33"/>
      <c r="R677" s="33"/>
      <c r="S677" s="33"/>
      <c r="T677" s="124"/>
      <c r="U677" s="3"/>
      <c r="V677" s="3"/>
      <c r="W677" s="3"/>
      <c r="X677" s="3"/>
      <c r="Y677" s="3"/>
      <c r="Z677" s="3"/>
    </row>
    <row r="678" spans="1:26" ht="15.75" customHeight="1">
      <c r="A678" s="3"/>
      <c r="B678" s="3"/>
      <c r="C678" s="3"/>
      <c r="D678" s="33"/>
      <c r="E678" s="33"/>
      <c r="F678" s="33"/>
      <c r="G678" s="33"/>
      <c r="H678" s="33"/>
      <c r="I678" s="33"/>
      <c r="J678" s="33"/>
      <c r="K678" s="33"/>
      <c r="L678" s="33"/>
      <c r="M678" s="33"/>
      <c r="N678" s="33"/>
      <c r="O678" s="33"/>
      <c r="P678" s="33"/>
      <c r="Q678" s="33"/>
      <c r="R678" s="33"/>
      <c r="S678" s="33"/>
      <c r="T678" s="124"/>
      <c r="U678" s="3"/>
      <c r="V678" s="3"/>
      <c r="W678" s="3"/>
      <c r="X678" s="3"/>
      <c r="Y678" s="3"/>
      <c r="Z678" s="3"/>
    </row>
    <row r="679" spans="1:26" ht="15.75" customHeight="1">
      <c r="A679" s="3"/>
      <c r="B679" s="3"/>
      <c r="C679" s="3"/>
      <c r="D679" s="33"/>
      <c r="E679" s="33"/>
      <c r="F679" s="33"/>
      <c r="G679" s="33"/>
      <c r="H679" s="33"/>
      <c r="I679" s="33"/>
      <c r="J679" s="33"/>
      <c r="K679" s="33"/>
      <c r="L679" s="33"/>
      <c r="M679" s="33"/>
      <c r="N679" s="33"/>
      <c r="O679" s="33"/>
      <c r="P679" s="33"/>
      <c r="Q679" s="33"/>
      <c r="R679" s="33"/>
      <c r="S679" s="33"/>
      <c r="T679" s="124"/>
      <c r="U679" s="3"/>
      <c r="V679" s="3"/>
      <c r="W679" s="3"/>
      <c r="X679" s="3"/>
      <c r="Y679" s="3"/>
      <c r="Z679" s="3"/>
    </row>
    <row r="680" spans="1:26" ht="15.75" customHeight="1">
      <c r="A680" s="3"/>
      <c r="B680" s="3"/>
      <c r="C680" s="3"/>
      <c r="D680" s="33"/>
      <c r="E680" s="33"/>
      <c r="F680" s="33"/>
      <c r="G680" s="33"/>
      <c r="H680" s="33"/>
      <c r="I680" s="33"/>
      <c r="J680" s="33"/>
      <c r="K680" s="33"/>
      <c r="L680" s="33"/>
      <c r="M680" s="33"/>
      <c r="N680" s="33"/>
      <c r="O680" s="33"/>
      <c r="P680" s="33"/>
      <c r="Q680" s="33"/>
      <c r="R680" s="33"/>
      <c r="S680" s="33"/>
      <c r="T680" s="124"/>
      <c r="U680" s="3"/>
      <c r="V680" s="3"/>
      <c r="W680" s="3"/>
      <c r="X680" s="3"/>
      <c r="Y680" s="3"/>
      <c r="Z680" s="3"/>
    </row>
    <row r="681" spans="1:26" ht="15.75" customHeight="1">
      <c r="A681" s="3"/>
      <c r="B681" s="3"/>
      <c r="C681" s="3"/>
      <c r="D681" s="33"/>
      <c r="E681" s="33"/>
      <c r="F681" s="33"/>
      <c r="G681" s="33"/>
      <c r="H681" s="33"/>
      <c r="I681" s="33"/>
      <c r="J681" s="33"/>
      <c r="K681" s="33"/>
      <c r="L681" s="33"/>
      <c r="M681" s="33"/>
      <c r="N681" s="33"/>
      <c r="O681" s="33"/>
      <c r="P681" s="33"/>
      <c r="Q681" s="33"/>
      <c r="R681" s="33"/>
      <c r="S681" s="33"/>
      <c r="T681" s="124"/>
      <c r="U681" s="3"/>
      <c r="V681" s="3"/>
      <c r="W681" s="3"/>
      <c r="X681" s="3"/>
      <c r="Y681" s="3"/>
      <c r="Z681" s="3"/>
    </row>
    <row r="682" spans="1:26" ht="15.75" customHeight="1">
      <c r="A682" s="3"/>
      <c r="B682" s="3"/>
      <c r="C682" s="3"/>
      <c r="D682" s="33"/>
      <c r="E682" s="33"/>
      <c r="F682" s="33"/>
      <c r="G682" s="33"/>
      <c r="H682" s="33"/>
      <c r="I682" s="33"/>
      <c r="J682" s="33"/>
      <c r="K682" s="33"/>
      <c r="L682" s="33"/>
      <c r="M682" s="33"/>
      <c r="N682" s="33"/>
      <c r="O682" s="33"/>
      <c r="P682" s="33"/>
      <c r="Q682" s="33"/>
      <c r="R682" s="33"/>
      <c r="S682" s="33"/>
      <c r="T682" s="124"/>
      <c r="U682" s="3"/>
      <c r="V682" s="3"/>
      <c r="W682" s="3"/>
      <c r="X682" s="3"/>
      <c r="Y682" s="3"/>
      <c r="Z682" s="3"/>
    </row>
    <row r="683" spans="1:26" ht="15.75" customHeight="1">
      <c r="A683" s="3"/>
      <c r="B683" s="3"/>
      <c r="C683" s="3"/>
      <c r="D683" s="33"/>
      <c r="E683" s="33"/>
      <c r="F683" s="33"/>
      <c r="G683" s="33"/>
      <c r="H683" s="33"/>
      <c r="I683" s="33"/>
      <c r="J683" s="33"/>
      <c r="K683" s="33"/>
      <c r="L683" s="33"/>
      <c r="M683" s="33"/>
      <c r="N683" s="33"/>
      <c r="O683" s="33"/>
      <c r="P683" s="33"/>
      <c r="Q683" s="33"/>
      <c r="R683" s="33"/>
      <c r="S683" s="33"/>
      <c r="T683" s="124"/>
      <c r="U683" s="3"/>
      <c r="V683" s="3"/>
      <c r="W683" s="3"/>
      <c r="X683" s="3"/>
      <c r="Y683" s="3"/>
      <c r="Z683" s="3"/>
    </row>
    <row r="684" spans="1:26" ht="15.75" customHeight="1">
      <c r="A684" s="3"/>
      <c r="B684" s="3"/>
      <c r="C684" s="3"/>
      <c r="D684" s="33"/>
      <c r="E684" s="33"/>
      <c r="F684" s="33"/>
      <c r="G684" s="33"/>
      <c r="H684" s="33"/>
      <c r="I684" s="33"/>
      <c r="J684" s="33"/>
      <c r="K684" s="33"/>
      <c r="L684" s="33"/>
      <c r="M684" s="33"/>
      <c r="N684" s="33"/>
      <c r="O684" s="33"/>
      <c r="P684" s="33"/>
      <c r="Q684" s="33"/>
      <c r="R684" s="33"/>
      <c r="S684" s="33"/>
      <c r="T684" s="124"/>
      <c r="U684" s="3"/>
      <c r="V684" s="3"/>
      <c r="W684" s="3"/>
      <c r="X684" s="3"/>
      <c r="Y684" s="3"/>
      <c r="Z684" s="3"/>
    </row>
    <row r="685" spans="1:26" ht="15.75" customHeight="1">
      <c r="A685" s="3"/>
      <c r="B685" s="3"/>
      <c r="C685" s="3"/>
      <c r="D685" s="33"/>
      <c r="E685" s="33"/>
      <c r="F685" s="33"/>
      <c r="G685" s="33"/>
      <c r="H685" s="33"/>
      <c r="I685" s="33"/>
      <c r="J685" s="33"/>
      <c r="K685" s="33"/>
      <c r="L685" s="33"/>
      <c r="M685" s="33"/>
      <c r="N685" s="33"/>
      <c r="O685" s="33"/>
      <c r="P685" s="33"/>
      <c r="Q685" s="33"/>
      <c r="R685" s="33"/>
      <c r="S685" s="33"/>
      <c r="T685" s="124"/>
      <c r="U685" s="3"/>
      <c r="V685" s="3"/>
      <c r="W685" s="3"/>
      <c r="X685" s="3"/>
      <c r="Y685" s="3"/>
      <c r="Z685" s="3"/>
    </row>
    <row r="686" spans="1:26" ht="15.75" customHeight="1">
      <c r="A686" s="3"/>
      <c r="B686" s="3"/>
      <c r="C686" s="3"/>
      <c r="D686" s="33"/>
      <c r="E686" s="33"/>
      <c r="F686" s="33"/>
      <c r="G686" s="33"/>
      <c r="H686" s="33"/>
      <c r="I686" s="33"/>
      <c r="J686" s="33"/>
      <c r="K686" s="33"/>
      <c r="L686" s="33"/>
      <c r="M686" s="33"/>
      <c r="N686" s="33"/>
      <c r="O686" s="33"/>
      <c r="P686" s="33"/>
      <c r="Q686" s="33"/>
      <c r="R686" s="33"/>
      <c r="S686" s="33"/>
      <c r="T686" s="124"/>
      <c r="U686" s="3"/>
      <c r="V686" s="3"/>
      <c r="W686" s="3"/>
      <c r="X686" s="3"/>
      <c r="Y686" s="3"/>
      <c r="Z686" s="3"/>
    </row>
    <row r="687" spans="1:26" ht="15.75" customHeight="1">
      <c r="A687" s="3"/>
      <c r="B687" s="3"/>
      <c r="C687" s="3"/>
      <c r="D687" s="33"/>
      <c r="E687" s="33"/>
      <c r="F687" s="33"/>
      <c r="G687" s="33"/>
      <c r="H687" s="33"/>
      <c r="I687" s="33"/>
      <c r="J687" s="33"/>
      <c r="K687" s="33"/>
      <c r="L687" s="33"/>
      <c r="M687" s="33"/>
      <c r="N687" s="33"/>
      <c r="O687" s="33"/>
      <c r="P687" s="33"/>
      <c r="Q687" s="33"/>
      <c r="R687" s="33"/>
      <c r="S687" s="33"/>
      <c r="T687" s="124"/>
      <c r="U687" s="3"/>
      <c r="V687" s="3"/>
      <c r="W687" s="3"/>
      <c r="X687" s="3"/>
      <c r="Y687" s="3"/>
      <c r="Z687" s="3"/>
    </row>
    <row r="688" spans="1:26" ht="15.75" customHeight="1">
      <c r="A688" s="3"/>
      <c r="B688" s="3"/>
      <c r="C688" s="3"/>
      <c r="D688" s="33"/>
      <c r="E688" s="33"/>
      <c r="F688" s="33"/>
      <c r="G688" s="33"/>
      <c r="H688" s="33"/>
      <c r="I688" s="33"/>
      <c r="J688" s="33"/>
      <c r="K688" s="33"/>
      <c r="L688" s="33"/>
      <c r="M688" s="33"/>
      <c r="N688" s="33"/>
      <c r="O688" s="33"/>
      <c r="P688" s="33"/>
      <c r="Q688" s="33"/>
      <c r="R688" s="33"/>
      <c r="S688" s="33"/>
      <c r="T688" s="124"/>
      <c r="U688" s="3"/>
      <c r="V688" s="3"/>
      <c r="W688" s="3"/>
      <c r="X688" s="3"/>
      <c r="Y688" s="3"/>
      <c r="Z688" s="3"/>
    </row>
    <row r="689" spans="1:26" ht="15.75" customHeight="1">
      <c r="A689" s="3"/>
      <c r="B689" s="3"/>
      <c r="C689" s="3"/>
      <c r="D689" s="33"/>
      <c r="E689" s="33"/>
      <c r="F689" s="33"/>
      <c r="G689" s="33"/>
      <c r="H689" s="33"/>
      <c r="I689" s="33"/>
      <c r="J689" s="33"/>
      <c r="K689" s="33"/>
      <c r="L689" s="33"/>
      <c r="M689" s="33"/>
      <c r="N689" s="33"/>
      <c r="O689" s="33"/>
      <c r="P689" s="33"/>
      <c r="Q689" s="33"/>
      <c r="R689" s="33"/>
      <c r="S689" s="33"/>
      <c r="T689" s="124"/>
      <c r="U689" s="3"/>
      <c r="V689" s="3"/>
      <c r="W689" s="3"/>
      <c r="X689" s="3"/>
      <c r="Y689" s="3"/>
      <c r="Z689" s="3"/>
    </row>
    <row r="690" spans="1:26" ht="15.75" customHeight="1">
      <c r="A690" s="3"/>
      <c r="B690" s="3"/>
      <c r="C690" s="3"/>
      <c r="D690" s="33"/>
      <c r="E690" s="33"/>
      <c r="F690" s="33"/>
      <c r="G690" s="33"/>
      <c r="H690" s="33"/>
      <c r="I690" s="33"/>
      <c r="J690" s="33"/>
      <c r="K690" s="33"/>
      <c r="L690" s="33"/>
      <c r="M690" s="33"/>
      <c r="N690" s="33"/>
      <c r="O690" s="33"/>
      <c r="P690" s="33"/>
      <c r="Q690" s="33"/>
      <c r="R690" s="33"/>
      <c r="S690" s="33"/>
      <c r="T690" s="124"/>
      <c r="U690" s="3"/>
      <c r="V690" s="3"/>
      <c r="W690" s="3"/>
      <c r="X690" s="3"/>
      <c r="Y690" s="3"/>
      <c r="Z690" s="3"/>
    </row>
    <row r="691" spans="1:26" ht="15.75" customHeight="1">
      <c r="A691" s="3"/>
      <c r="B691" s="3"/>
      <c r="C691" s="3"/>
      <c r="D691" s="33"/>
      <c r="E691" s="33"/>
      <c r="F691" s="33"/>
      <c r="G691" s="33"/>
      <c r="H691" s="33"/>
      <c r="I691" s="33"/>
      <c r="J691" s="33"/>
      <c r="K691" s="33"/>
      <c r="L691" s="33"/>
      <c r="M691" s="33"/>
      <c r="N691" s="33"/>
      <c r="O691" s="33"/>
      <c r="P691" s="33"/>
      <c r="Q691" s="33"/>
      <c r="R691" s="33"/>
      <c r="S691" s="33"/>
      <c r="T691" s="124"/>
      <c r="U691" s="3"/>
      <c r="V691" s="3"/>
      <c r="W691" s="3"/>
      <c r="X691" s="3"/>
      <c r="Y691" s="3"/>
      <c r="Z691" s="3"/>
    </row>
    <row r="692" spans="1:26" ht="15.75" customHeight="1">
      <c r="A692" s="3"/>
      <c r="B692" s="3"/>
      <c r="C692" s="3"/>
      <c r="D692" s="33"/>
      <c r="E692" s="33"/>
      <c r="F692" s="33"/>
      <c r="G692" s="33"/>
      <c r="H692" s="33"/>
      <c r="I692" s="33"/>
      <c r="J692" s="33"/>
      <c r="K692" s="33"/>
      <c r="L692" s="33"/>
      <c r="M692" s="33"/>
      <c r="N692" s="33"/>
      <c r="O692" s="33"/>
      <c r="P692" s="33"/>
      <c r="Q692" s="33"/>
      <c r="R692" s="33"/>
      <c r="S692" s="33"/>
      <c r="T692" s="124"/>
      <c r="U692" s="3"/>
      <c r="V692" s="3"/>
      <c r="W692" s="3"/>
      <c r="X692" s="3"/>
      <c r="Y692" s="3"/>
      <c r="Z692" s="3"/>
    </row>
    <row r="693" spans="1:26" ht="15.75" customHeight="1">
      <c r="A693" s="3"/>
      <c r="B693" s="3"/>
      <c r="C693" s="3"/>
      <c r="D693" s="33"/>
      <c r="E693" s="33"/>
      <c r="F693" s="33"/>
      <c r="G693" s="33"/>
      <c r="H693" s="33"/>
      <c r="I693" s="33"/>
      <c r="J693" s="33"/>
      <c r="K693" s="33"/>
      <c r="L693" s="33"/>
      <c r="M693" s="33"/>
      <c r="N693" s="33"/>
      <c r="O693" s="33"/>
      <c r="P693" s="33"/>
      <c r="Q693" s="33"/>
      <c r="R693" s="33"/>
      <c r="S693" s="33"/>
      <c r="T693" s="124"/>
      <c r="U693" s="3"/>
      <c r="V693" s="3"/>
      <c r="W693" s="3"/>
      <c r="X693" s="3"/>
      <c r="Y693" s="3"/>
      <c r="Z693" s="3"/>
    </row>
    <row r="694" spans="1:26" ht="15.75" customHeight="1">
      <c r="A694" s="3"/>
      <c r="B694" s="3"/>
      <c r="C694" s="3"/>
      <c r="D694" s="33"/>
      <c r="E694" s="33"/>
      <c r="F694" s="33"/>
      <c r="G694" s="33"/>
      <c r="H694" s="33"/>
      <c r="I694" s="33"/>
      <c r="J694" s="33"/>
      <c r="K694" s="33"/>
      <c r="L694" s="33"/>
      <c r="M694" s="33"/>
      <c r="N694" s="33"/>
      <c r="O694" s="33"/>
      <c r="P694" s="33"/>
      <c r="Q694" s="33"/>
      <c r="R694" s="33"/>
      <c r="S694" s="33"/>
      <c r="T694" s="124"/>
      <c r="U694" s="3"/>
      <c r="V694" s="3"/>
      <c r="W694" s="3"/>
      <c r="X694" s="3"/>
      <c r="Y694" s="3"/>
      <c r="Z694" s="3"/>
    </row>
    <row r="695" spans="1:26" ht="15.75" customHeight="1">
      <c r="A695" s="3"/>
      <c r="B695" s="3"/>
      <c r="C695" s="3"/>
      <c r="D695" s="33"/>
      <c r="E695" s="33"/>
      <c r="F695" s="33"/>
      <c r="G695" s="33"/>
      <c r="H695" s="33"/>
      <c r="I695" s="33"/>
      <c r="J695" s="33"/>
      <c r="K695" s="33"/>
      <c r="L695" s="33"/>
      <c r="M695" s="33"/>
      <c r="N695" s="33"/>
      <c r="O695" s="33"/>
      <c r="P695" s="33"/>
      <c r="Q695" s="33"/>
      <c r="R695" s="33"/>
      <c r="S695" s="33"/>
      <c r="T695" s="124"/>
      <c r="U695" s="3"/>
      <c r="V695" s="3"/>
      <c r="W695" s="3"/>
      <c r="X695" s="3"/>
      <c r="Y695" s="3"/>
      <c r="Z695" s="3"/>
    </row>
    <row r="696" spans="1:26" ht="15.75" customHeight="1">
      <c r="A696" s="3"/>
      <c r="B696" s="3"/>
      <c r="C696" s="3"/>
      <c r="D696" s="33"/>
      <c r="E696" s="33"/>
      <c r="F696" s="33"/>
      <c r="G696" s="33"/>
      <c r="H696" s="33"/>
      <c r="I696" s="33"/>
      <c r="J696" s="33"/>
      <c r="K696" s="33"/>
      <c r="L696" s="33"/>
      <c r="M696" s="33"/>
      <c r="N696" s="33"/>
      <c r="O696" s="33"/>
      <c r="P696" s="33"/>
      <c r="Q696" s="33"/>
      <c r="R696" s="33"/>
      <c r="S696" s="33"/>
      <c r="T696" s="124"/>
      <c r="U696" s="3"/>
      <c r="V696" s="3"/>
      <c r="W696" s="3"/>
      <c r="X696" s="3"/>
      <c r="Y696" s="3"/>
      <c r="Z696" s="3"/>
    </row>
    <row r="697" spans="1:26" ht="15.75" customHeight="1">
      <c r="A697" s="3"/>
      <c r="B697" s="3"/>
      <c r="C697" s="3"/>
      <c r="D697" s="33"/>
      <c r="E697" s="33"/>
      <c r="F697" s="33"/>
      <c r="G697" s="33"/>
      <c r="H697" s="33"/>
      <c r="I697" s="33"/>
      <c r="J697" s="33"/>
      <c r="K697" s="33"/>
      <c r="L697" s="33"/>
      <c r="M697" s="33"/>
      <c r="N697" s="33"/>
      <c r="O697" s="33"/>
      <c r="P697" s="33"/>
      <c r="Q697" s="33"/>
      <c r="R697" s="33"/>
      <c r="S697" s="33"/>
      <c r="T697" s="124"/>
      <c r="U697" s="3"/>
      <c r="V697" s="3"/>
      <c r="W697" s="3"/>
      <c r="X697" s="3"/>
      <c r="Y697" s="3"/>
      <c r="Z697" s="3"/>
    </row>
    <row r="698" spans="1:26" ht="15.75" customHeight="1">
      <c r="A698" s="3"/>
      <c r="B698" s="3"/>
      <c r="C698" s="3"/>
      <c r="D698" s="33"/>
      <c r="E698" s="33"/>
      <c r="F698" s="33"/>
      <c r="G698" s="33"/>
      <c r="H698" s="33"/>
      <c r="I698" s="33"/>
      <c r="J698" s="33"/>
      <c r="K698" s="33"/>
      <c r="L698" s="33"/>
      <c r="M698" s="33"/>
      <c r="N698" s="33"/>
      <c r="O698" s="33"/>
      <c r="P698" s="33"/>
      <c r="Q698" s="33"/>
      <c r="R698" s="33"/>
      <c r="S698" s="33"/>
      <c r="T698" s="124"/>
      <c r="U698" s="3"/>
      <c r="V698" s="3"/>
      <c r="W698" s="3"/>
      <c r="X698" s="3"/>
      <c r="Y698" s="3"/>
      <c r="Z698" s="3"/>
    </row>
    <row r="699" spans="1:26" ht="15.75" customHeight="1">
      <c r="A699" s="3"/>
      <c r="B699" s="3"/>
      <c r="C699" s="3"/>
      <c r="D699" s="33"/>
      <c r="E699" s="33"/>
      <c r="F699" s="33"/>
      <c r="G699" s="33"/>
      <c r="H699" s="33"/>
      <c r="I699" s="33"/>
      <c r="J699" s="33"/>
      <c r="K699" s="33"/>
      <c r="L699" s="33"/>
      <c r="M699" s="33"/>
      <c r="N699" s="33"/>
      <c r="O699" s="33"/>
      <c r="P699" s="33"/>
      <c r="Q699" s="33"/>
      <c r="R699" s="33"/>
      <c r="S699" s="33"/>
      <c r="T699" s="124"/>
      <c r="U699" s="3"/>
      <c r="V699" s="3"/>
      <c r="W699" s="3"/>
      <c r="X699" s="3"/>
      <c r="Y699" s="3"/>
      <c r="Z699" s="3"/>
    </row>
    <row r="700" spans="1:26" ht="15.75" customHeight="1">
      <c r="A700" s="3"/>
      <c r="B700" s="3"/>
      <c r="C700" s="3"/>
      <c r="D700" s="33"/>
      <c r="E700" s="33"/>
      <c r="F700" s="33"/>
      <c r="G700" s="33"/>
      <c r="H700" s="33"/>
      <c r="I700" s="33"/>
      <c r="J700" s="33"/>
      <c r="K700" s="33"/>
      <c r="L700" s="33"/>
      <c r="M700" s="33"/>
      <c r="N700" s="33"/>
      <c r="O700" s="33"/>
      <c r="P700" s="33"/>
      <c r="Q700" s="33"/>
      <c r="R700" s="33"/>
      <c r="S700" s="33"/>
      <c r="T700" s="124"/>
      <c r="U700" s="3"/>
      <c r="V700" s="3"/>
      <c r="W700" s="3"/>
      <c r="X700" s="3"/>
      <c r="Y700" s="3"/>
      <c r="Z700" s="3"/>
    </row>
    <row r="701" spans="1:26" ht="15.75" customHeight="1">
      <c r="A701" s="3"/>
      <c r="B701" s="3"/>
      <c r="C701" s="3"/>
      <c r="D701" s="33"/>
      <c r="E701" s="33"/>
      <c r="F701" s="33"/>
      <c r="G701" s="33"/>
      <c r="H701" s="33"/>
      <c r="I701" s="33"/>
      <c r="J701" s="33"/>
      <c r="K701" s="33"/>
      <c r="L701" s="33"/>
      <c r="M701" s="33"/>
      <c r="N701" s="33"/>
      <c r="O701" s="33"/>
      <c r="P701" s="33"/>
      <c r="Q701" s="33"/>
      <c r="R701" s="33"/>
      <c r="S701" s="33"/>
      <c r="T701" s="124"/>
      <c r="U701" s="3"/>
      <c r="V701" s="3"/>
      <c r="W701" s="3"/>
      <c r="X701" s="3"/>
      <c r="Y701" s="3"/>
      <c r="Z701" s="3"/>
    </row>
    <row r="702" spans="1:26" ht="15.75" customHeight="1">
      <c r="A702" s="3"/>
      <c r="B702" s="3"/>
      <c r="C702" s="3"/>
      <c r="D702" s="33"/>
      <c r="E702" s="33"/>
      <c r="F702" s="33"/>
      <c r="G702" s="33"/>
      <c r="H702" s="33"/>
      <c r="I702" s="33"/>
      <c r="J702" s="33"/>
      <c r="K702" s="33"/>
      <c r="L702" s="33"/>
      <c r="M702" s="33"/>
      <c r="N702" s="33"/>
      <c r="O702" s="33"/>
      <c r="P702" s="33"/>
      <c r="Q702" s="33"/>
      <c r="R702" s="33"/>
      <c r="S702" s="33"/>
      <c r="T702" s="124"/>
      <c r="U702" s="3"/>
      <c r="V702" s="3"/>
      <c r="W702" s="3"/>
      <c r="X702" s="3"/>
      <c r="Y702" s="3"/>
      <c r="Z702" s="3"/>
    </row>
    <row r="703" spans="1:26" ht="15.75" customHeight="1">
      <c r="A703" s="3"/>
      <c r="B703" s="3"/>
      <c r="C703" s="3"/>
      <c r="D703" s="33"/>
      <c r="E703" s="33"/>
      <c r="F703" s="33"/>
      <c r="G703" s="33"/>
      <c r="H703" s="33"/>
      <c r="I703" s="33"/>
      <c r="J703" s="33"/>
      <c r="K703" s="33"/>
      <c r="L703" s="33"/>
      <c r="M703" s="33"/>
      <c r="N703" s="33"/>
      <c r="O703" s="33"/>
      <c r="P703" s="33"/>
      <c r="Q703" s="33"/>
      <c r="R703" s="33"/>
      <c r="S703" s="33"/>
      <c r="T703" s="124"/>
      <c r="U703" s="3"/>
      <c r="V703" s="3"/>
      <c r="W703" s="3"/>
      <c r="X703" s="3"/>
      <c r="Y703" s="3"/>
      <c r="Z703" s="3"/>
    </row>
    <row r="704" spans="1:26" ht="15.75" customHeight="1">
      <c r="A704" s="3"/>
      <c r="B704" s="3"/>
      <c r="C704" s="3"/>
      <c r="D704" s="33"/>
      <c r="E704" s="33"/>
      <c r="F704" s="33"/>
      <c r="G704" s="33"/>
      <c r="H704" s="33"/>
      <c r="I704" s="33"/>
      <c r="J704" s="33"/>
      <c r="K704" s="33"/>
      <c r="L704" s="33"/>
      <c r="M704" s="33"/>
      <c r="N704" s="33"/>
      <c r="O704" s="33"/>
      <c r="P704" s="33"/>
      <c r="Q704" s="33"/>
      <c r="R704" s="33"/>
      <c r="S704" s="33"/>
      <c r="T704" s="124"/>
      <c r="U704" s="3"/>
      <c r="V704" s="3"/>
      <c r="W704" s="3"/>
      <c r="X704" s="3"/>
      <c r="Y704" s="3"/>
      <c r="Z704" s="3"/>
    </row>
    <row r="705" spans="1:26" ht="15.75" customHeight="1">
      <c r="A705" s="3"/>
      <c r="B705" s="3"/>
      <c r="C705" s="3"/>
      <c r="D705" s="33"/>
      <c r="E705" s="33"/>
      <c r="F705" s="33"/>
      <c r="G705" s="33"/>
      <c r="H705" s="33"/>
      <c r="I705" s="33"/>
      <c r="J705" s="33"/>
      <c r="K705" s="33"/>
      <c r="L705" s="33"/>
      <c r="M705" s="33"/>
      <c r="N705" s="33"/>
      <c r="O705" s="33"/>
      <c r="P705" s="33"/>
      <c r="Q705" s="33"/>
      <c r="R705" s="33"/>
      <c r="S705" s="33"/>
      <c r="T705" s="124"/>
      <c r="U705" s="3"/>
      <c r="V705" s="3"/>
      <c r="W705" s="3"/>
      <c r="X705" s="3"/>
      <c r="Y705" s="3"/>
      <c r="Z705" s="3"/>
    </row>
    <row r="706" spans="1:26" ht="15.75" customHeight="1">
      <c r="A706" s="3"/>
      <c r="B706" s="3"/>
      <c r="C706" s="3"/>
      <c r="D706" s="33"/>
      <c r="E706" s="33"/>
      <c r="F706" s="33"/>
      <c r="G706" s="33"/>
      <c r="H706" s="33"/>
      <c r="I706" s="33"/>
      <c r="J706" s="33"/>
      <c r="K706" s="33"/>
      <c r="L706" s="33"/>
      <c r="M706" s="33"/>
      <c r="N706" s="33"/>
      <c r="O706" s="33"/>
      <c r="P706" s="33"/>
      <c r="Q706" s="33"/>
      <c r="R706" s="33"/>
      <c r="S706" s="33"/>
      <c r="T706" s="124"/>
      <c r="U706" s="3"/>
      <c r="V706" s="3"/>
      <c r="W706" s="3"/>
      <c r="X706" s="3"/>
      <c r="Y706" s="3"/>
      <c r="Z706" s="3"/>
    </row>
    <row r="707" spans="1:26" ht="15.75" customHeight="1">
      <c r="A707" s="3"/>
      <c r="B707" s="3"/>
      <c r="C707" s="3"/>
      <c r="D707" s="33"/>
      <c r="E707" s="33"/>
      <c r="F707" s="33"/>
      <c r="G707" s="33"/>
      <c r="H707" s="33"/>
      <c r="I707" s="33"/>
      <c r="J707" s="33"/>
      <c r="K707" s="33"/>
      <c r="L707" s="33"/>
      <c r="M707" s="33"/>
      <c r="N707" s="33"/>
      <c r="O707" s="33"/>
      <c r="P707" s="33"/>
      <c r="Q707" s="33"/>
      <c r="R707" s="33"/>
      <c r="S707" s="33"/>
      <c r="T707" s="124"/>
      <c r="U707" s="3"/>
      <c r="V707" s="3"/>
      <c r="W707" s="3"/>
      <c r="X707" s="3"/>
      <c r="Y707" s="3"/>
      <c r="Z707" s="3"/>
    </row>
    <row r="708" spans="1:26" ht="15.75" customHeight="1">
      <c r="A708" s="3"/>
      <c r="B708" s="3"/>
      <c r="C708" s="3"/>
      <c r="D708" s="33"/>
      <c r="E708" s="33"/>
      <c r="F708" s="33"/>
      <c r="G708" s="33"/>
      <c r="H708" s="33"/>
      <c r="I708" s="33"/>
      <c r="J708" s="33"/>
      <c r="K708" s="33"/>
      <c r="L708" s="33"/>
      <c r="M708" s="33"/>
      <c r="N708" s="33"/>
      <c r="O708" s="33"/>
      <c r="P708" s="33"/>
      <c r="Q708" s="33"/>
      <c r="R708" s="33"/>
      <c r="S708" s="33"/>
      <c r="T708" s="124"/>
      <c r="U708" s="3"/>
      <c r="V708" s="3"/>
      <c r="W708" s="3"/>
      <c r="X708" s="3"/>
      <c r="Y708" s="3"/>
      <c r="Z708" s="3"/>
    </row>
    <row r="709" spans="1:26" ht="15.75" customHeight="1">
      <c r="A709" s="3"/>
      <c r="B709" s="3"/>
      <c r="C709" s="3"/>
      <c r="D709" s="33"/>
      <c r="E709" s="33"/>
      <c r="F709" s="33"/>
      <c r="G709" s="33"/>
      <c r="H709" s="33"/>
      <c r="I709" s="33"/>
      <c r="J709" s="33"/>
      <c r="K709" s="33"/>
      <c r="L709" s="33"/>
      <c r="M709" s="33"/>
      <c r="N709" s="33"/>
      <c r="O709" s="33"/>
      <c r="P709" s="33"/>
      <c r="Q709" s="33"/>
      <c r="R709" s="33"/>
      <c r="S709" s="33"/>
      <c r="T709" s="124"/>
      <c r="U709" s="3"/>
      <c r="V709" s="3"/>
      <c r="W709" s="3"/>
      <c r="X709" s="3"/>
      <c r="Y709" s="3"/>
      <c r="Z709" s="3"/>
    </row>
    <row r="710" spans="1:26" ht="15.75" customHeight="1">
      <c r="A710" s="3"/>
      <c r="B710" s="3"/>
      <c r="C710" s="3"/>
      <c r="D710" s="33"/>
      <c r="E710" s="33"/>
      <c r="F710" s="33"/>
      <c r="G710" s="33"/>
      <c r="H710" s="33"/>
      <c r="I710" s="33"/>
      <c r="J710" s="33"/>
      <c r="K710" s="33"/>
      <c r="L710" s="33"/>
      <c r="M710" s="33"/>
      <c r="N710" s="33"/>
      <c r="O710" s="33"/>
      <c r="P710" s="33"/>
      <c r="Q710" s="33"/>
      <c r="R710" s="33"/>
      <c r="S710" s="33"/>
      <c r="T710" s="124"/>
      <c r="U710" s="3"/>
      <c r="V710" s="3"/>
      <c r="W710" s="3"/>
      <c r="X710" s="3"/>
      <c r="Y710" s="3"/>
      <c r="Z710" s="3"/>
    </row>
    <row r="711" spans="1:26" ht="15.75" customHeight="1">
      <c r="A711" s="3"/>
      <c r="B711" s="3"/>
      <c r="C711" s="3"/>
      <c r="D711" s="33"/>
      <c r="E711" s="33"/>
      <c r="F711" s="33"/>
      <c r="G711" s="33"/>
      <c r="H711" s="33"/>
      <c r="I711" s="33"/>
      <c r="J711" s="33"/>
      <c r="K711" s="33"/>
      <c r="L711" s="33"/>
      <c r="M711" s="33"/>
      <c r="N711" s="33"/>
      <c r="O711" s="33"/>
      <c r="P711" s="33"/>
      <c r="Q711" s="33"/>
      <c r="R711" s="33"/>
      <c r="S711" s="33"/>
      <c r="T711" s="124"/>
      <c r="U711" s="3"/>
      <c r="V711" s="3"/>
      <c r="W711" s="3"/>
      <c r="X711" s="3"/>
      <c r="Y711" s="3"/>
      <c r="Z711" s="3"/>
    </row>
    <row r="712" spans="1:26" ht="15.75" customHeight="1">
      <c r="A712" s="3"/>
      <c r="B712" s="3"/>
      <c r="C712" s="3"/>
      <c r="D712" s="33"/>
      <c r="E712" s="33"/>
      <c r="F712" s="33"/>
      <c r="G712" s="33"/>
      <c r="H712" s="33"/>
      <c r="I712" s="33"/>
      <c r="J712" s="33"/>
      <c r="K712" s="33"/>
      <c r="L712" s="33"/>
      <c r="M712" s="33"/>
      <c r="N712" s="33"/>
      <c r="O712" s="33"/>
      <c r="P712" s="33"/>
      <c r="Q712" s="33"/>
      <c r="R712" s="33"/>
      <c r="S712" s="33"/>
      <c r="T712" s="124"/>
      <c r="U712" s="3"/>
      <c r="V712" s="3"/>
      <c r="W712" s="3"/>
      <c r="X712" s="3"/>
      <c r="Y712" s="3"/>
      <c r="Z712" s="3"/>
    </row>
    <row r="713" spans="1:26" ht="15.75" customHeight="1">
      <c r="A713" s="3"/>
      <c r="B713" s="3"/>
      <c r="C713" s="3"/>
      <c r="D713" s="33"/>
      <c r="E713" s="33"/>
      <c r="F713" s="33"/>
      <c r="G713" s="33"/>
      <c r="H713" s="33"/>
      <c r="I713" s="33"/>
      <c r="J713" s="33"/>
      <c r="K713" s="33"/>
      <c r="L713" s="33"/>
      <c r="M713" s="33"/>
      <c r="N713" s="33"/>
      <c r="O713" s="33"/>
      <c r="P713" s="33"/>
      <c r="Q713" s="33"/>
      <c r="R713" s="33"/>
      <c r="S713" s="33"/>
      <c r="T713" s="124"/>
      <c r="U713" s="3"/>
      <c r="V713" s="3"/>
      <c r="W713" s="3"/>
      <c r="X713" s="3"/>
      <c r="Y713" s="3"/>
      <c r="Z713" s="3"/>
    </row>
    <row r="714" spans="1:26" ht="15.75" customHeight="1">
      <c r="A714" s="3"/>
      <c r="B714" s="3"/>
      <c r="C714" s="3"/>
      <c r="D714" s="33"/>
      <c r="E714" s="33"/>
      <c r="F714" s="33"/>
      <c r="G714" s="33"/>
      <c r="H714" s="33"/>
      <c r="I714" s="33"/>
      <c r="J714" s="33"/>
      <c r="K714" s="33"/>
      <c r="L714" s="33"/>
      <c r="M714" s="33"/>
      <c r="N714" s="33"/>
      <c r="O714" s="33"/>
      <c r="P714" s="33"/>
      <c r="Q714" s="33"/>
      <c r="R714" s="33"/>
      <c r="S714" s="33"/>
      <c r="T714" s="124"/>
      <c r="U714" s="3"/>
      <c r="V714" s="3"/>
      <c r="W714" s="3"/>
      <c r="X714" s="3"/>
      <c r="Y714" s="3"/>
      <c r="Z714" s="3"/>
    </row>
    <row r="715" spans="1:26" ht="15.75" customHeight="1">
      <c r="A715" s="3"/>
      <c r="B715" s="3"/>
      <c r="C715" s="3"/>
      <c r="D715" s="33"/>
      <c r="E715" s="33"/>
      <c r="F715" s="33"/>
      <c r="G715" s="33"/>
      <c r="H715" s="33"/>
      <c r="I715" s="33"/>
      <c r="J715" s="33"/>
      <c r="K715" s="33"/>
      <c r="L715" s="33"/>
      <c r="M715" s="33"/>
      <c r="N715" s="33"/>
      <c r="O715" s="33"/>
      <c r="P715" s="33"/>
      <c r="Q715" s="33"/>
      <c r="R715" s="33"/>
      <c r="S715" s="33"/>
      <c r="T715" s="124"/>
      <c r="U715" s="3"/>
      <c r="V715" s="3"/>
      <c r="W715" s="3"/>
      <c r="X715" s="3"/>
      <c r="Y715" s="3"/>
      <c r="Z715" s="3"/>
    </row>
    <row r="716" spans="1:26" ht="15.75" customHeight="1">
      <c r="A716" s="3"/>
      <c r="B716" s="3"/>
      <c r="C716" s="3"/>
      <c r="D716" s="33"/>
      <c r="E716" s="33"/>
      <c r="F716" s="33"/>
      <c r="G716" s="33"/>
      <c r="H716" s="33"/>
      <c r="I716" s="33"/>
      <c r="J716" s="33"/>
      <c r="K716" s="33"/>
      <c r="L716" s="33"/>
      <c r="M716" s="33"/>
      <c r="N716" s="33"/>
      <c r="O716" s="33"/>
      <c r="P716" s="33"/>
      <c r="Q716" s="33"/>
      <c r="R716" s="33"/>
      <c r="S716" s="33"/>
      <c r="T716" s="124"/>
      <c r="U716" s="3"/>
      <c r="V716" s="3"/>
      <c r="W716" s="3"/>
      <c r="X716" s="3"/>
      <c r="Y716" s="3"/>
      <c r="Z716" s="3"/>
    </row>
    <row r="717" spans="1:26" ht="15.75" customHeight="1">
      <c r="A717" s="3"/>
      <c r="B717" s="3"/>
      <c r="C717" s="3"/>
      <c r="D717" s="33"/>
      <c r="E717" s="33"/>
      <c r="F717" s="33"/>
      <c r="G717" s="33"/>
      <c r="H717" s="33"/>
      <c r="I717" s="33"/>
      <c r="J717" s="33"/>
      <c r="K717" s="33"/>
      <c r="L717" s="33"/>
      <c r="M717" s="33"/>
      <c r="N717" s="33"/>
      <c r="O717" s="33"/>
      <c r="P717" s="33"/>
      <c r="Q717" s="33"/>
      <c r="R717" s="33"/>
      <c r="S717" s="33"/>
      <c r="T717" s="124"/>
      <c r="U717" s="3"/>
      <c r="V717" s="3"/>
      <c r="W717" s="3"/>
      <c r="X717" s="3"/>
      <c r="Y717" s="3"/>
      <c r="Z717" s="3"/>
    </row>
    <row r="718" spans="1:26" ht="15.75" customHeight="1">
      <c r="A718" s="3"/>
      <c r="B718" s="3"/>
      <c r="C718" s="3"/>
      <c r="D718" s="33"/>
      <c r="E718" s="33"/>
      <c r="F718" s="33"/>
      <c r="G718" s="33"/>
      <c r="H718" s="33"/>
      <c r="I718" s="33"/>
      <c r="J718" s="33"/>
      <c r="K718" s="33"/>
      <c r="L718" s="33"/>
      <c r="M718" s="33"/>
      <c r="N718" s="33"/>
      <c r="O718" s="33"/>
      <c r="P718" s="33"/>
      <c r="Q718" s="33"/>
      <c r="R718" s="33"/>
      <c r="S718" s="33"/>
      <c r="T718" s="124"/>
      <c r="U718" s="3"/>
      <c r="V718" s="3"/>
      <c r="W718" s="3"/>
      <c r="X718" s="3"/>
      <c r="Y718" s="3"/>
      <c r="Z718" s="3"/>
    </row>
    <row r="719" spans="1:26" ht="15.75" customHeight="1">
      <c r="A719" s="3"/>
      <c r="B719" s="3"/>
      <c r="C719" s="3"/>
      <c r="D719" s="33"/>
      <c r="E719" s="33"/>
      <c r="F719" s="33"/>
      <c r="G719" s="33"/>
      <c r="H719" s="33"/>
      <c r="I719" s="33"/>
      <c r="J719" s="33"/>
      <c r="K719" s="33"/>
      <c r="L719" s="33"/>
      <c r="M719" s="33"/>
      <c r="N719" s="33"/>
      <c r="O719" s="33"/>
      <c r="P719" s="33"/>
      <c r="Q719" s="33"/>
      <c r="R719" s="33"/>
      <c r="S719" s="33"/>
      <c r="T719" s="124"/>
      <c r="U719" s="3"/>
      <c r="V719" s="3"/>
      <c r="W719" s="3"/>
      <c r="X719" s="3"/>
      <c r="Y719" s="3"/>
      <c r="Z719" s="3"/>
    </row>
    <row r="720" spans="1:26" ht="15.75" customHeight="1">
      <c r="A720" s="3"/>
      <c r="B720" s="3"/>
      <c r="C720" s="3"/>
      <c r="D720" s="33"/>
      <c r="E720" s="33"/>
      <c r="F720" s="33"/>
      <c r="G720" s="33"/>
      <c r="H720" s="33"/>
      <c r="I720" s="33"/>
      <c r="J720" s="33"/>
      <c r="K720" s="33"/>
      <c r="L720" s="33"/>
      <c r="M720" s="33"/>
      <c r="N720" s="33"/>
      <c r="O720" s="33"/>
      <c r="P720" s="33"/>
      <c r="Q720" s="33"/>
      <c r="R720" s="33"/>
      <c r="S720" s="33"/>
      <c r="T720" s="124"/>
      <c r="U720" s="3"/>
      <c r="V720" s="3"/>
      <c r="W720" s="3"/>
      <c r="X720" s="3"/>
      <c r="Y720" s="3"/>
      <c r="Z720" s="3"/>
    </row>
    <row r="721" spans="1:26" ht="15.75" customHeight="1">
      <c r="A721" s="3"/>
      <c r="B721" s="3"/>
      <c r="C721" s="3"/>
      <c r="D721" s="33"/>
      <c r="E721" s="33"/>
      <c r="F721" s="33"/>
      <c r="G721" s="33"/>
      <c r="H721" s="33"/>
      <c r="I721" s="33"/>
      <c r="J721" s="33"/>
      <c r="K721" s="33"/>
      <c r="L721" s="33"/>
      <c r="M721" s="33"/>
      <c r="N721" s="33"/>
      <c r="O721" s="33"/>
      <c r="P721" s="33"/>
      <c r="Q721" s="33"/>
      <c r="R721" s="33"/>
      <c r="S721" s="33"/>
      <c r="T721" s="124"/>
      <c r="U721" s="3"/>
      <c r="V721" s="3"/>
      <c r="W721" s="3"/>
      <c r="X721" s="3"/>
      <c r="Y721" s="3"/>
      <c r="Z721" s="3"/>
    </row>
    <row r="722" spans="1:26" ht="15.75" customHeight="1">
      <c r="A722" s="3"/>
      <c r="B722" s="3"/>
      <c r="C722" s="3"/>
      <c r="D722" s="33"/>
      <c r="E722" s="33"/>
      <c r="F722" s="33"/>
      <c r="G722" s="33"/>
      <c r="H722" s="33"/>
      <c r="I722" s="33"/>
      <c r="J722" s="33"/>
      <c r="K722" s="33"/>
      <c r="L722" s="33"/>
      <c r="M722" s="33"/>
      <c r="N722" s="33"/>
      <c r="O722" s="33"/>
      <c r="P722" s="33"/>
      <c r="Q722" s="33"/>
      <c r="R722" s="33"/>
      <c r="S722" s="33"/>
      <c r="T722" s="124"/>
      <c r="U722" s="3"/>
      <c r="V722" s="3"/>
      <c r="W722" s="3"/>
      <c r="X722" s="3"/>
      <c r="Y722" s="3"/>
      <c r="Z722" s="3"/>
    </row>
    <row r="723" spans="1:26" ht="15.75" customHeight="1">
      <c r="A723" s="3"/>
      <c r="B723" s="3"/>
      <c r="C723" s="3"/>
      <c r="D723" s="33"/>
      <c r="E723" s="33"/>
      <c r="F723" s="33"/>
      <c r="G723" s="33"/>
      <c r="H723" s="33"/>
      <c r="I723" s="33"/>
      <c r="J723" s="33"/>
      <c r="K723" s="33"/>
      <c r="L723" s="33"/>
      <c r="M723" s="33"/>
      <c r="N723" s="33"/>
      <c r="O723" s="33"/>
      <c r="P723" s="33"/>
      <c r="Q723" s="33"/>
      <c r="R723" s="33"/>
      <c r="S723" s="33"/>
      <c r="T723" s="124"/>
      <c r="U723" s="3"/>
      <c r="V723" s="3"/>
      <c r="W723" s="3"/>
      <c r="X723" s="3"/>
      <c r="Y723" s="3"/>
      <c r="Z723" s="3"/>
    </row>
    <row r="724" spans="1:26" ht="15.75" customHeight="1">
      <c r="A724" s="3"/>
      <c r="B724" s="3"/>
      <c r="C724" s="3"/>
      <c r="D724" s="33"/>
      <c r="E724" s="33"/>
      <c r="F724" s="33"/>
      <c r="G724" s="33"/>
      <c r="H724" s="33"/>
      <c r="I724" s="33"/>
      <c r="J724" s="33"/>
      <c r="K724" s="33"/>
      <c r="L724" s="33"/>
      <c r="M724" s="33"/>
      <c r="N724" s="33"/>
      <c r="O724" s="33"/>
      <c r="P724" s="33"/>
      <c r="Q724" s="33"/>
      <c r="R724" s="33"/>
      <c r="S724" s="33"/>
      <c r="T724" s="124"/>
      <c r="U724" s="3"/>
      <c r="V724" s="3"/>
      <c r="W724" s="3"/>
      <c r="X724" s="3"/>
      <c r="Y724" s="3"/>
      <c r="Z724" s="3"/>
    </row>
    <row r="725" spans="1:26" ht="15.75" customHeight="1">
      <c r="A725" s="3"/>
      <c r="B725" s="3"/>
      <c r="C725" s="3"/>
      <c r="D725" s="33"/>
      <c r="E725" s="33"/>
      <c r="F725" s="33"/>
      <c r="G725" s="33"/>
      <c r="H725" s="33"/>
      <c r="I725" s="33"/>
      <c r="J725" s="33"/>
      <c r="K725" s="33"/>
      <c r="L725" s="33"/>
      <c r="M725" s="33"/>
      <c r="N725" s="33"/>
      <c r="O725" s="33"/>
      <c r="P725" s="33"/>
      <c r="Q725" s="33"/>
      <c r="R725" s="33"/>
      <c r="S725" s="33"/>
      <c r="T725" s="124"/>
      <c r="U725" s="3"/>
      <c r="V725" s="3"/>
      <c r="W725" s="3"/>
      <c r="X725" s="3"/>
      <c r="Y725" s="3"/>
      <c r="Z725" s="3"/>
    </row>
    <row r="726" spans="1:26" ht="15.75" customHeight="1">
      <c r="A726" s="3"/>
      <c r="B726" s="3"/>
      <c r="C726" s="3"/>
      <c r="D726" s="33"/>
      <c r="E726" s="33"/>
      <c r="F726" s="33"/>
      <c r="G726" s="33"/>
      <c r="H726" s="33"/>
      <c r="I726" s="33"/>
      <c r="J726" s="33"/>
      <c r="K726" s="33"/>
      <c r="L726" s="33"/>
      <c r="M726" s="33"/>
      <c r="N726" s="33"/>
      <c r="O726" s="33"/>
      <c r="P726" s="33"/>
      <c r="Q726" s="33"/>
      <c r="R726" s="33"/>
      <c r="S726" s="33"/>
      <c r="T726" s="124"/>
      <c r="U726" s="3"/>
      <c r="V726" s="3"/>
      <c r="W726" s="3"/>
      <c r="X726" s="3"/>
      <c r="Y726" s="3"/>
      <c r="Z726" s="3"/>
    </row>
    <row r="727" spans="1:26" ht="15.75" customHeight="1">
      <c r="A727" s="3"/>
      <c r="B727" s="3"/>
      <c r="C727" s="3"/>
      <c r="D727" s="33"/>
      <c r="E727" s="33"/>
      <c r="F727" s="33"/>
      <c r="G727" s="33"/>
      <c r="H727" s="33"/>
      <c r="I727" s="33"/>
      <c r="J727" s="33"/>
      <c r="K727" s="33"/>
      <c r="L727" s="33"/>
      <c r="M727" s="33"/>
      <c r="N727" s="33"/>
      <c r="O727" s="33"/>
      <c r="P727" s="33"/>
      <c r="Q727" s="33"/>
      <c r="R727" s="33"/>
      <c r="S727" s="33"/>
      <c r="T727" s="124"/>
      <c r="U727" s="3"/>
      <c r="V727" s="3"/>
      <c r="W727" s="3"/>
      <c r="X727" s="3"/>
      <c r="Y727" s="3"/>
      <c r="Z727" s="3"/>
    </row>
    <row r="728" spans="1:26" ht="15.75" customHeight="1">
      <c r="A728" s="3"/>
      <c r="B728" s="3"/>
      <c r="C728" s="3"/>
      <c r="D728" s="33"/>
      <c r="E728" s="33"/>
      <c r="F728" s="33"/>
      <c r="G728" s="33"/>
      <c r="H728" s="33"/>
      <c r="I728" s="33"/>
      <c r="J728" s="33"/>
      <c r="K728" s="33"/>
      <c r="L728" s="33"/>
      <c r="M728" s="33"/>
      <c r="N728" s="33"/>
      <c r="O728" s="33"/>
      <c r="P728" s="33"/>
      <c r="Q728" s="33"/>
      <c r="R728" s="33"/>
      <c r="S728" s="33"/>
      <c r="T728" s="124"/>
      <c r="U728" s="3"/>
      <c r="V728" s="3"/>
      <c r="W728" s="3"/>
      <c r="X728" s="3"/>
      <c r="Y728" s="3"/>
      <c r="Z728" s="3"/>
    </row>
    <row r="729" spans="1:26" ht="15.75" customHeight="1">
      <c r="A729" s="3"/>
      <c r="B729" s="3"/>
      <c r="C729" s="3"/>
      <c r="D729" s="33"/>
      <c r="E729" s="33"/>
      <c r="F729" s="33"/>
      <c r="G729" s="33"/>
      <c r="H729" s="33"/>
      <c r="I729" s="33"/>
      <c r="J729" s="33"/>
      <c r="K729" s="33"/>
      <c r="L729" s="33"/>
      <c r="M729" s="33"/>
      <c r="N729" s="33"/>
      <c r="O729" s="33"/>
      <c r="P729" s="33"/>
      <c r="Q729" s="33"/>
      <c r="R729" s="33"/>
      <c r="S729" s="33"/>
      <c r="T729" s="124"/>
      <c r="U729" s="3"/>
      <c r="V729" s="3"/>
      <c r="W729" s="3"/>
      <c r="X729" s="3"/>
      <c r="Y729" s="3"/>
      <c r="Z729" s="3"/>
    </row>
    <row r="730" spans="1:26" ht="15.75" customHeight="1">
      <c r="A730" s="3"/>
      <c r="B730" s="3"/>
      <c r="C730" s="3"/>
      <c r="D730" s="33"/>
      <c r="E730" s="33"/>
      <c r="F730" s="33"/>
      <c r="G730" s="33"/>
      <c r="H730" s="33"/>
      <c r="I730" s="33"/>
      <c r="J730" s="33"/>
      <c r="K730" s="33"/>
      <c r="L730" s="33"/>
      <c r="M730" s="33"/>
      <c r="N730" s="33"/>
      <c r="O730" s="33"/>
      <c r="P730" s="33"/>
      <c r="Q730" s="33"/>
      <c r="R730" s="33"/>
      <c r="S730" s="33"/>
      <c r="T730" s="124"/>
      <c r="U730" s="3"/>
      <c r="V730" s="3"/>
      <c r="W730" s="3"/>
      <c r="X730" s="3"/>
      <c r="Y730" s="3"/>
      <c r="Z730" s="3"/>
    </row>
    <row r="731" spans="1:26" ht="15.75" customHeight="1">
      <c r="A731" s="3"/>
      <c r="B731" s="3"/>
      <c r="C731" s="3"/>
      <c r="D731" s="33"/>
      <c r="E731" s="33"/>
      <c r="F731" s="33"/>
      <c r="G731" s="33"/>
      <c r="H731" s="33"/>
      <c r="I731" s="33"/>
      <c r="J731" s="33"/>
      <c r="K731" s="33"/>
      <c r="L731" s="33"/>
      <c r="M731" s="33"/>
      <c r="N731" s="33"/>
      <c r="O731" s="33"/>
      <c r="P731" s="33"/>
      <c r="Q731" s="33"/>
      <c r="R731" s="33"/>
      <c r="S731" s="33"/>
      <c r="T731" s="124"/>
      <c r="U731" s="3"/>
      <c r="V731" s="3"/>
      <c r="W731" s="3"/>
      <c r="X731" s="3"/>
      <c r="Y731" s="3"/>
      <c r="Z731" s="3"/>
    </row>
    <row r="732" spans="1:26" ht="15.75" customHeight="1">
      <c r="A732" s="3"/>
      <c r="B732" s="3"/>
      <c r="C732" s="3"/>
      <c r="D732" s="33"/>
      <c r="E732" s="33"/>
      <c r="F732" s="33"/>
      <c r="G732" s="33"/>
      <c r="H732" s="33"/>
      <c r="I732" s="33"/>
      <c r="J732" s="33"/>
      <c r="K732" s="33"/>
      <c r="L732" s="33"/>
      <c r="M732" s="33"/>
      <c r="N732" s="33"/>
      <c r="O732" s="33"/>
      <c r="P732" s="33"/>
      <c r="Q732" s="33"/>
      <c r="R732" s="33"/>
      <c r="S732" s="33"/>
      <c r="T732" s="124"/>
      <c r="U732" s="3"/>
      <c r="V732" s="3"/>
      <c r="W732" s="3"/>
      <c r="X732" s="3"/>
      <c r="Y732" s="3"/>
      <c r="Z732" s="3"/>
    </row>
    <row r="733" spans="1:26" ht="15.75" customHeight="1">
      <c r="A733" s="3"/>
      <c r="B733" s="3"/>
      <c r="C733" s="3"/>
      <c r="D733" s="33"/>
      <c r="E733" s="33"/>
      <c r="F733" s="33"/>
      <c r="G733" s="33"/>
      <c r="H733" s="33"/>
      <c r="I733" s="33"/>
      <c r="J733" s="33"/>
      <c r="K733" s="33"/>
      <c r="L733" s="33"/>
      <c r="M733" s="33"/>
      <c r="N733" s="33"/>
      <c r="O733" s="33"/>
      <c r="P733" s="33"/>
      <c r="Q733" s="33"/>
      <c r="R733" s="33"/>
      <c r="S733" s="33"/>
      <c r="T733" s="124"/>
      <c r="U733" s="3"/>
      <c r="V733" s="3"/>
      <c r="W733" s="3"/>
      <c r="X733" s="3"/>
      <c r="Y733" s="3"/>
      <c r="Z733" s="3"/>
    </row>
    <row r="734" spans="1:26" ht="15.75" customHeight="1">
      <c r="A734" s="3"/>
      <c r="B734" s="3"/>
      <c r="C734" s="3"/>
      <c r="D734" s="33"/>
      <c r="E734" s="33"/>
      <c r="F734" s="33"/>
      <c r="G734" s="33"/>
      <c r="H734" s="33"/>
      <c r="I734" s="33"/>
      <c r="J734" s="33"/>
      <c r="K734" s="33"/>
      <c r="L734" s="33"/>
      <c r="M734" s="33"/>
      <c r="N734" s="33"/>
      <c r="O734" s="33"/>
      <c r="P734" s="33"/>
      <c r="Q734" s="33"/>
      <c r="R734" s="33"/>
      <c r="S734" s="33"/>
      <c r="T734" s="124"/>
      <c r="U734" s="3"/>
      <c r="V734" s="3"/>
      <c r="W734" s="3"/>
      <c r="X734" s="3"/>
      <c r="Y734" s="3"/>
      <c r="Z734" s="3"/>
    </row>
    <row r="735" spans="1:26" ht="15.75" customHeight="1">
      <c r="A735" s="3"/>
      <c r="B735" s="3"/>
      <c r="C735" s="3"/>
      <c r="D735" s="33"/>
      <c r="E735" s="33"/>
      <c r="F735" s="33"/>
      <c r="G735" s="33"/>
      <c r="H735" s="33"/>
      <c r="I735" s="33"/>
      <c r="J735" s="33"/>
      <c r="K735" s="33"/>
      <c r="L735" s="33"/>
      <c r="M735" s="33"/>
      <c r="N735" s="33"/>
      <c r="O735" s="33"/>
      <c r="P735" s="33"/>
      <c r="Q735" s="33"/>
      <c r="R735" s="33"/>
      <c r="S735" s="33"/>
      <c r="T735" s="124"/>
      <c r="U735" s="3"/>
      <c r="V735" s="3"/>
      <c r="W735" s="3"/>
      <c r="X735" s="3"/>
      <c r="Y735" s="3"/>
      <c r="Z735" s="3"/>
    </row>
    <row r="736" spans="1:26" ht="15.75" customHeight="1">
      <c r="A736" s="3"/>
      <c r="B736" s="3"/>
      <c r="C736" s="3"/>
      <c r="D736" s="33"/>
      <c r="E736" s="33"/>
      <c r="F736" s="33"/>
      <c r="G736" s="33"/>
      <c r="H736" s="33"/>
      <c r="I736" s="33"/>
      <c r="J736" s="33"/>
      <c r="K736" s="33"/>
      <c r="L736" s="33"/>
      <c r="M736" s="33"/>
      <c r="N736" s="33"/>
      <c r="O736" s="33"/>
      <c r="P736" s="33"/>
      <c r="Q736" s="33"/>
      <c r="R736" s="33"/>
      <c r="S736" s="33"/>
      <c r="T736" s="124"/>
      <c r="U736" s="3"/>
      <c r="V736" s="3"/>
      <c r="W736" s="3"/>
      <c r="X736" s="3"/>
      <c r="Y736" s="3"/>
      <c r="Z736" s="3"/>
    </row>
    <row r="737" spans="1:26" ht="15.75" customHeight="1">
      <c r="A737" s="3"/>
      <c r="B737" s="3"/>
      <c r="C737" s="3"/>
      <c r="D737" s="33"/>
      <c r="E737" s="33"/>
      <c r="F737" s="33"/>
      <c r="G737" s="33"/>
      <c r="H737" s="33"/>
      <c r="I737" s="33"/>
      <c r="J737" s="33"/>
      <c r="K737" s="33"/>
      <c r="L737" s="33"/>
      <c r="M737" s="33"/>
      <c r="N737" s="33"/>
      <c r="O737" s="33"/>
      <c r="P737" s="33"/>
      <c r="Q737" s="33"/>
      <c r="R737" s="33"/>
      <c r="S737" s="33"/>
      <c r="T737" s="124"/>
      <c r="U737" s="3"/>
      <c r="V737" s="3"/>
      <c r="W737" s="3"/>
      <c r="X737" s="3"/>
      <c r="Y737" s="3"/>
      <c r="Z737" s="3"/>
    </row>
    <row r="738" spans="1:26" ht="15.75" customHeight="1">
      <c r="A738" s="3"/>
      <c r="B738" s="3"/>
      <c r="C738" s="3"/>
      <c r="D738" s="33"/>
      <c r="E738" s="33"/>
      <c r="F738" s="33"/>
      <c r="G738" s="33"/>
      <c r="H738" s="33"/>
      <c r="I738" s="33"/>
      <c r="J738" s="33"/>
      <c r="K738" s="33"/>
      <c r="L738" s="33"/>
      <c r="M738" s="33"/>
      <c r="N738" s="33"/>
      <c r="O738" s="33"/>
      <c r="P738" s="33"/>
      <c r="Q738" s="33"/>
      <c r="R738" s="33"/>
      <c r="S738" s="33"/>
      <c r="T738" s="124"/>
      <c r="U738" s="3"/>
      <c r="V738" s="3"/>
      <c r="W738" s="3"/>
      <c r="X738" s="3"/>
      <c r="Y738" s="3"/>
      <c r="Z738" s="3"/>
    </row>
    <row r="739" spans="1:26" ht="15.75" customHeight="1">
      <c r="A739" s="3"/>
      <c r="B739" s="3"/>
      <c r="C739" s="3"/>
      <c r="D739" s="33"/>
      <c r="E739" s="33"/>
      <c r="F739" s="33"/>
      <c r="G739" s="33"/>
      <c r="H739" s="33"/>
      <c r="I739" s="33"/>
      <c r="J739" s="33"/>
      <c r="K739" s="33"/>
      <c r="L739" s="33"/>
      <c r="M739" s="33"/>
      <c r="N739" s="33"/>
      <c r="O739" s="33"/>
      <c r="P739" s="33"/>
      <c r="Q739" s="33"/>
      <c r="R739" s="33"/>
      <c r="S739" s="33"/>
      <c r="T739" s="124"/>
      <c r="U739" s="3"/>
      <c r="V739" s="3"/>
      <c r="W739" s="3"/>
      <c r="X739" s="3"/>
      <c r="Y739" s="3"/>
      <c r="Z739" s="3"/>
    </row>
    <row r="740" spans="1:26" ht="15.75" customHeight="1">
      <c r="A740" s="3"/>
      <c r="B740" s="3"/>
      <c r="C740" s="3"/>
      <c r="D740" s="33"/>
      <c r="E740" s="33"/>
      <c r="F740" s="33"/>
      <c r="G740" s="33"/>
      <c r="H740" s="33"/>
      <c r="I740" s="33"/>
      <c r="J740" s="33"/>
      <c r="K740" s="33"/>
      <c r="L740" s="33"/>
      <c r="M740" s="33"/>
      <c r="N740" s="33"/>
      <c r="O740" s="33"/>
      <c r="P740" s="33"/>
      <c r="Q740" s="33"/>
      <c r="R740" s="33"/>
      <c r="S740" s="33"/>
      <c r="T740" s="124"/>
      <c r="U740" s="3"/>
      <c r="V740" s="3"/>
      <c r="W740" s="3"/>
      <c r="X740" s="3"/>
      <c r="Y740" s="3"/>
      <c r="Z740" s="3"/>
    </row>
    <row r="741" spans="1:26" ht="15.75" customHeight="1">
      <c r="A741" s="3"/>
      <c r="B741" s="3"/>
      <c r="C741" s="3"/>
      <c r="D741" s="33"/>
      <c r="E741" s="33"/>
      <c r="F741" s="33"/>
      <c r="G741" s="33"/>
      <c r="H741" s="33"/>
      <c r="I741" s="33"/>
      <c r="J741" s="33"/>
      <c r="K741" s="33"/>
      <c r="L741" s="33"/>
      <c r="M741" s="33"/>
      <c r="N741" s="33"/>
      <c r="O741" s="33"/>
      <c r="P741" s="33"/>
      <c r="Q741" s="33"/>
      <c r="R741" s="33"/>
      <c r="S741" s="33"/>
      <c r="T741" s="124"/>
      <c r="U741" s="3"/>
      <c r="V741" s="3"/>
      <c r="W741" s="3"/>
      <c r="X741" s="3"/>
      <c r="Y741" s="3"/>
      <c r="Z741" s="3"/>
    </row>
    <row r="742" spans="1:26" ht="15.75" customHeight="1">
      <c r="A742" s="3"/>
      <c r="B742" s="3"/>
      <c r="C742" s="3"/>
      <c r="D742" s="33"/>
      <c r="E742" s="33"/>
      <c r="F742" s="33"/>
      <c r="G742" s="33"/>
      <c r="H742" s="33"/>
      <c r="I742" s="33"/>
      <c r="J742" s="33"/>
      <c r="K742" s="33"/>
      <c r="L742" s="33"/>
      <c r="M742" s="33"/>
      <c r="N742" s="33"/>
      <c r="O742" s="33"/>
      <c r="P742" s="33"/>
      <c r="Q742" s="33"/>
      <c r="R742" s="33"/>
      <c r="S742" s="33"/>
      <c r="T742" s="124"/>
      <c r="U742" s="3"/>
      <c r="V742" s="3"/>
      <c r="W742" s="3"/>
      <c r="X742" s="3"/>
      <c r="Y742" s="3"/>
      <c r="Z742" s="3"/>
    </row>
    <row r="743" spans="1:26" ht="15.75" customHeight="1">
      <c r="A743" s="3"/>
      <c r="B743" s="3"/>
      <c r="C743" s="3"/>
      <c r="D743" s="33"/>
      <c r="E743" s="33"/>
      <c r="F743" s="33"/>
      <c r="G743" s="33"/>
      <c r="H743" s="33"/>
      <c r="I743" s="33"/>
      <c r="J743" s="33"/>
      <c r="K743" s="33"/>
      <c r="L743" s="33"/>
      <c r="M743" s="33"/>
      <c r="N743" s="33"/>
      <c r="O743" s="33"/>
      <c r="P743" s="33"/>
      <c r="Q743" s="33"/>
      <c r="R743" s="33"/>
      <c r="S743" s="33"/>
      <c r="T743" s="124"/>
      <c r="U743" s="3"/>
      <c r="V743" s="3"/>
      <c r="W743" s="3"/>
      <c r="X743" s="3"/>
      <c r="Y743" s="3"/>
      <c r="Z743" s="3"/>
    </row>
    <row r="744" spans="1:26" ht="15.75" customHeight="1">
      <c r="A744" s="3"/>
      <c r="B744" s="3"/>
      <c r="C744" s="3"/>
      <c r="D744" s="33"/>
      <c r="E744" s="33"/>
      <c r="F744" s="33"/>
      <c r="G744" s="33"/>
      <c r="H744" s="33"/>
      <c r="I744" s="33"/>
      <c r="J744" s="33"/>
      <c r="K744" s="33"/>
      <c r="L744" s="33"/>
      <c r="M744" s="33"/>
      <c r="N744" s="33"/>
      <c r="O744" s="33"/>
      <c r="P744" s="33"/>
      <c r="Q744" s="33"/>
      <c r="R744" s="33"/>
      <c r="S744" s="33"/>
      <c r="T744" s="124"/>
      <c r="U744" s="3"/>
      <c r="V744" s="3"/>
      <c r="W744" s="3"/>
      <c r="X744" s="3"/>
      <c r="Y744" s="3"/>
      <c r="Z744" s="3"/>
    </row>
    <row r="745" spans="1:26" ht="15.75" customHeight="1">
      <c r="A745" s="3"/>
      <c r="B745" s="3"/>
      <c r="C745" s="3"/>
      <c r="D745" s="33"/>
      <c r="E745" s="33"/>
      <c r="F745" s="33"/>
      <c r="G745" s="33"/>
      <c r="H745" s="33"/>
      <c r="I745" s="33"/>
      <c r="J745" s="33"/>
      <c r="K745" s="33"/>
      <c r="L745" s="33"/>
      <c r="M745" s="33"/>
      <c r="N745" s="33"/>
      <c r="O745" s="33"/>
      <c r="P745" s="33"/>
      <c r="Q745" s="33"/>
      <c r="R745" s="33"/>
      <c r="S745" s="33"/>
      <c r="T745" s="124"/>
      <c r="U745" s="3"/>
      <c r="V745" s="3"/>
      <c r="W745" s="3"/>
      <c r="X745" s="3"/>
      <c r="Y745" s="3"/>
      <c r="Z745" s="3"/>
    </row>
    <row r="746" spans="1:26" ht="15.75" customHeight="1">
      <c r="A746" s="3"/>
      <c r="B746" s="3"/>
      <c r="C746" s="3"/>
      <c r="D746" s="33"/>
      <c r="E746" s="33"/>
      <c r="F746" s="33"/>
      <c r="G746" s="33"/>
      <c r="H746" s="33"/>
      <c r="I746" s="33"/>
      <c r="J746" s="33"/>
      <c r="K746" s="33"/>
      <c r="L746" s="33"/>
      <c r="M746" s="33"/>
      <c r="N746" s="33"/>
      <c r="O746" s="33"/>
      <c r="P746" s="33"/>
      <c r="Q746" s="33"/>
      <c r="R746" s="33"/>
      <c r="S746" s="33"/>
      <c r="T746" s="124"/>
      <c r="U746" s="3"/>
      <c r="V746" s="3"/>
      <c r="W746" s="3"/>
      <c r="X746" s="3"/>
      <c r="Y746" s="3"/>
      <c r="Z746" s="3"/>
    </row>
    <row r="747" spans="1:26" ht="15.75" customHeight="1">
      <c r="A747" s="3"/>
      <c r="B747" s="3"/>
      <c r="C747" s="3"/>
      <c r="D747" s="33"/>
      <c r="E747" s="33"/>
      <c r="F747" s="33"/>
      <c r="G747" s="33"/>
      <c r="H747" s="33"/>
      <c r="I747" s="33"/>
      <c r="J747" s="33"/>
      <c r="K747" s="33"/>
      <c r="L747" s="33"/>
      <c r="M747" s="33"/>
      <c r="N747" s="33"/>
      <c r="O747" s="33"/>
      <c r="P747" s="33"/>
      <c r="Q747" s="33"/>
      <c r="R747" s="33"/>
      <c r="S747" s="33"/>
      <c r="T747" s="124"/>
      <c r="U747" s="3"/>
      <c r="V747" s="3"/>
      <c r="W747" s="3"/>
      <c r="X747" s="3"/>
      <c r="Y747" s="3"/>
      <c r="Z747" s="3"/>
    </row>
    <row r="748" spans="1:26" ht="15.75" customHeight="1">
      <c r="A748" s="3"/>
      <c r="B748" s="3"/>
      <c r="C748" s="3"/>
      <c r="D748" s="33"/>
      <c r="E748" s="33"/>
      <c r="F748" s="33"/>
      <c r="G748" s="33"/>
      <c r="H748" s="33"/>
      <c r="I748" s="33"/>
      <c r="J748" s="33"/>
      <c r="K748" s="33"/>
      <c r="L748" s="33"/>
      <c r="M748" s="33"/>
      <c r="N748" s="33"/>
      <c r="O748" s="33"/>
      <c r="P748" s="33"/>
      <c r="Q748" s="33"/>
      <c r="R748" s="33"/>
      <c r="S748" s="33"/>
      <c r="T748" s="124"/>
      <c r="U748" s="3"/>
      <c r="V748" s="3"/>
      <c r="W748" s="3"/>
      <c r="X748" s="3"/>
      <c r="Y748" s="3"/>
      <c r="Z748" s="3"/>
    </row>
    <row r="749" spans="1:26" ht="15.75" customHeight="1">
      <c r="A749" s="3"/>
      <c r="B749" s="3"/>
      <c r="C749" s="3"/>
      <c r="D749" s="33"/>
      <c r="E749" s="33"/>
      <c r="F749" s="33"/>
      <c r="G749" s="33"/>
      <c r="H749" s="33"/>
      <c r="I749" s="33"/>
      <c r="J749" s="33"/>
      <c r="K749" s="33"/>
      <c r="L749" s="33"/>
      <c r="M749" s="33"/>
      <c r="N749" s="33"/>
      <c r="O749" s="33"/>
      <c r="P749" s="33"/>
      <c r="Q749" s="33"/>
      <c r="R749" s="33"/>
      <c r="S749" s="33"/>
      <c r="T749" s="124"/>
      <c r="U749" s="3"/>
      <c r="V749" s="3"/>
      <c r="W749" s="3"/>
      <c r="X749" s="3"/>
      <c r="Y749" s="3"/>
      <c r="Z749" s="3"/>
    </row>
    <row r="750" spans="1:26" ht="15.75" customHeight="1">
      <c r="A750" s="3"/>
      <c r="B750" s="3"/>
      <c r="C750" s="3"/>
      <c r="D750" s="33"/>
      <c r="E750" s="33"/>
      <c r="F750" s="33"/>
      <c r="G750" s="33"/>
      <c r="H750" s="33"/>
      <c r="I750" s="33"/>
      <c r="J750" s="33"/>
      <c r="K750" s="33"/>
      <c r="L750" s="33"/>
      <c r="M750" s="33"/>
      <c r="N750" s="33"/>
      <c r="O750" s="33"/>
      <c r="P750" s="33"/>
      <c r="Q750" s="33"/>
      <c r="R750" s="33"/>
      <c r="S750" s="33"/>
      <c r="T750" s="124"/>
      <c r="U750" s="3"/>
      <c r="V750" s="3"/>
      <c r="W750" s="3"/>
      <c r="X750" s="3"/>
      <c r="Y750" s="3"/>
      <c r="Z750" s="3"/>
    </row>
    <row r="751" spans="1:26" ht="15.75" customHeight="1">
      <c r="A751" s="3"/>
      <c r="B751" s="3"/>
      <c r="C751" s="3"/>
      <c r="D751" s="33"/>
      <c r="E751" s="33"/>
      <c r="F751" s="33"/>
      <c r="G751" s="33"/>
      <c r="H751" s="33"/>
      <c r="I751" s="33"/>
      <c r="J751" s="33"/>
      <c r="K751" s="33"/>
      <c r="L751" s="33"/>
      <c r="M751" s="33"/>
      <c r="N751" s="33"/>
      <c r="O751" s="33"/>
      <c r="P751" s="33"/>
      <c r="Q751" s="33"/>
      <c r="R751" s="33"/>
      <c r="S751" s="33"/>
      <c r="T751" s="124"/>
      <c r="U751" s="3"/>
      <c r="V751" s="3"/>
      <c r="W751" s="3"/>
      <c r="X751" s="3"/>
      <c r="Y751" s="3"/>
      <c r="Z751" s="3"/>
    </row>
    <row r="752" spans="1:26" ht="15.75" customHeight="1">
      <c r="A752" s="3"/>
      <c r="B752" s="3"/>
      <c r="C752" s="3"/>
      <c r="D752" s="33"/>
      <c r="E752" s="33"/>
      <c r="F752" s="33"/>
      <c r="G752" s="33"/>
      <c r="H752" s="33"/>
      <c r="I752" s="33"/>
      <c r="J752" s="33"/>
      <c r="K752" s="33"/>
      <c r="L752" s="33"/>
      <c r="M752" s="33"/>
      <c r="N752" s="33"/>
      <c r="O752" s="33"/>
      <c r="P752" s="33"/>
      <c r="Q752" s="33"/>
      <c r="R752" s="33"/>
      <c r="S752" s="33"/>
      <c r="T752" s="124"/>
      <c r="U752" s="3"/>
      <c r="V752" s="3"/>
      <c r="W752" s="3"/>
      <c r="X752" s="3"/>
      <c r="Y752" s="3"/>
      <c r="Z752" s="3"/>
    </row>
    <row r="753" spans="1:26" ht="15.75" customHeight="1">
      <c r="A753" s="3"/>
      <c r="B753" s="3"/>
      <c r="C753" s="3"/>
      <c r="D753" s="33"/>
      <c r="E753" s="33"/>
      <c r="F753" s="33"/>
      <c r="G753" s="33"/>
      <c r="H753" s="33"/>
      <c r="I753" s="33"/>
      <c r="J753" s="33"/>
      <c r="K753" s="33"/>
      <c r="L753" s="33"/>
      <c r="M753" s="33"/>
      <c r="N753" s="33"/>
      <c r="O753" s="33"/>
      <c r="P753" s="33"/>
      <c r="Q753" s="33"/>
      <c r="R753" s="33"/>
      <c r="S753" s="33"/>
      <c r="T753" s="124"/>
      <c r="U753" s="3"/>
      <c r="V753" s="3"/>
      <c r="W753" s="3"/>
      <c r="X753" s="3"/>
      <c r="Y753" s="3"/>
      <c r="Z753" s="3"/>
    </row>
    <row r="754" spans="1:26" ht="15.75" customHeight="1">
      <c r="A754" s="3"/>
      <c r="B754" s="3"/>
      <c r="C754" s="3"/>
      <c r="D754" s="33"/>
      <c r="E754" s="33"/>
      <c r="F754" s="33"/>
      <c r="G754" s="33"/>
      <c r="H754" s="33"/>
      <c r="I754" s="33"/>
      <c r="J754" s="33"/>
      <c r="K754" s="33"/>
      <c r="L754" s="33"/>
      <c r="M754" s="33"/>
      <c r="N754" s="33"/>
      <c r="O754" s="33"/>
      <c r="P754" s="33"/>
      <c r="Q754" s="33"/>
      <c r="R754" s="33"/>
      <c r="S754" s="33"/>
      <c r="T754" s="124"/>
      <c r="U754" s="3"/>
      <c r="V754" s="3"/>
      <c r="W754" s="3"/>
      <c r="X754" s="3"/>
      <c r="Y754" s="3"/>
      <c r="Z754" s="3"/>
    </row>
    <row r="755" spans="1:26" ht="15.75" customHeight="1">
      <c r="A755" s="3"/>
      <c r="B755" s="3"/>
      <c r="C755" s="3"/>
      <c r="D755" s="33"/>
      <c r="E755" s="33"/>
      <c r="F755" s="33"/>
      <c r="G755" s="33"/>
      <c r="H755" s="33"/>
      <c r="I755" s="33"/>
      <c r="J755" s="33"/>
      <c r="K755" s="33"/>
      <c r="L755" s="33"/>
      <c r="M755" s="33"/>
      <c r="N755" s="33"/>
      <c r="O755" s="33"/>
      <c r="P755" s="33"/>
      <c r="Q755" s="33"/>
      <c r="R755" s="33"/>
      <c r="S755" s="33"/>
      <c r="T755" s="124"/>
      <c r="U755" s="3"/>
      <c r="V755" s="3"/>
      <c r="W755" s="3"/>
      <c r="X755" s="3"/>
      <c r="Y755" s="3"/>
      <c r="Z755" s="3"/>
    </row>
    <row r="756" spans="1:26" ht="15.75" customHeight="1">
      <c r="A756" s="3"/>
      <c r="B756" s="3"/>
      <c r="C756" s="3"/>
      <c r="D756" s="33"/>
      <c r="E756" s="33"/>
      <c r="F756" s="33"/>
      <c r="G756" s="33"/>
      <c r="H756" s="33"/>
      <c r="I756" s="33"/>
      <c r="J756" s="33"/>
      <c r="K756" s="33"/>
      <c r="L756" s="33"/>
      <c r="M756" s="33"/>
      <c r="N756" s="33"/>
      <c r="O756" s="33"/>
      <c r="P756" s="33"/>
      <c r="Q756" s="33"/>
      <c r="R756" s="33"/>
      <c r="S756" s="33"/>
      <c r="T756" s="124"/>
      <c r="U756" s="3"/>
      <c r="V756" s="3"/>
      <c r="W756" s="3"/>
      <c r="X756" s="3"/>
      <c r="Y756" s="3"/>
      <c r="Z756" s="3"/>
    </row>
    <row r="757" spans="1:26" ht="15.75" customHeight="1">
      <c r="A757" s="3"/>
      <c r="B757" s="3"/>
      <c r="C757" s="3"/>
      <c r="D757" s="33"/>
      <c r="E757" s="33"/>
      <c r="F757" s="33"/>
      <c r="G757" s="33"/>
      <c r="H757" s="33"/>
      <c r="I757" s="33"/>
      <c r="J757" s="33"/>
      <c r="K757" s="33"/>
      <c r="L757" s="33"/>
      <c r="M757" s="33"/>
      <c r="N757" s="33"/>
      <c r="O757" s="33"/>
      <c r="P757" s="33"/>
      <c r="Q757" s="33"/>
      <c r="R757" s="33"/>
      <c r="S757" s="33"/>
      <c r="T757" s="124"/>
      <c r="U757" s="3"/>
      <c r="V757" s="3"/>
      <c r="W757" s="3"/>
      <c r="X757" s="3"/>
      <c r="Y757" s="3"/>
      <c r="Z757" s="3"/>
    </row>
    <row r="758" spans="1:26" ht="15.75" customHeight="1">
      <c r="A758" s="3"/>
      <c r="B758" s="3"/>
      <c r="C758" s="3"/>
      <c r="D758" s="33"/>
      <c r="E758" s="33"/>
      <c r="F758" s="33"/>
      <c r="G758" s="33"/>
      <c r="H758" s="33"/>
      <c r="I758" s="33"/>
      <c r="J758" s="33"/>
      <c r="K758" s="33"/>
      <c r="L758" s="33"/>
      <c r="M758" s="33"/>
      <c r="N758" s="33"/>
      <c r="O758" s="33"/>
      <c r="P758" s="33"/>
      <c r="Q758" s="33"/>
      <c r="R758" s="33"/>
      <c r="S758" s="33"/>
      <c r="T758" s="124"/>
      <c r="U758" s="3"/>
      <c r="V758" s="3"/>
      <c r="W758" s="3"/>
      <c r="X758" s="3"/>
      <c r="Y758" s="3"/>
      <c r="Z758" s="3"/>
    </row>
    <row r="759" spans="1:26" ht="15.75" customHeight="1">
      <c r="A759" s="3"/>
      <c r="B759" s="3"/>
      <c r="C759" s="3"/>
      <c r="D759" s="33"/>
      <c r="E759" s="33"/>
      <c r="F759" s="33"/>
      <c r="G759" s="33"/>
      <c r="H759" s="33"/>
      <c r="I759" s="33"/>
      <c r="J759" s="33"/>
      <c r="K759" s="33"/>
      <c r="L759" s="33"/>
      <c r="M759" s="33"/>
      <c r="N759" s="33"/>
      <c r="O759" s="33"/>
      <c r="P759" s="33"/>
      <c r="Q759" s="33"/>
      <c r="R759" s="33"/>
      <c r="S759" s="33"/>
      <c r="T759" s="124"/>
      <c r="U759" s="3"/>
      <c r="V759" s="3"/>
      <c r="W759" s="3"/>
      <c r="X759" s="3"/>
      <c r="Y759" s="3"/>
      <c r="Z759" s="3"/>
    </row>
    <row r="760" spans="1:26" ht="15.75" customHeight="1">
      <c r="A760" s="3"/>
      <c r="B760" s="3"/>
      <c r="C760" s="3"/>
      <c r="D760" s="33"/>
      <c r="E760" s="33"/>
      <c r="F760" s="33"/>
      <c r="G760" s="33"/>
      <c r="H760" s="33"/>
      <c r="I760" s="33"/>
      <c r="J760" s="33"/>
      <c r="K760" s="33"/>
      <c r="L760" s="33"/>
      <c r="M760" s="33"/>
      <c r="N760" s="33"/>
      <c r="O760" s="33"/>
      <c r="P760" s="33"/>
      <c r="Q760" s="33"/>
      <c r="R760" s="33"/>
      <c r="S760" s="33"/>
      <c r="T760" s="124"/>
      <c r="U760" s="3"/>
      <c r="V760" s="3"/>
      <c r="W760" s="3"/>
      <c r="X760" s="3"/>
      <c r="Y760" s="3"/>
      <c r="Z760" s="3"/>
    </row>
    <row r="761" spans="1:26" ht="15.75" customHeight="1">
      <c r="A761" s="3"/>
      <c r="B761" s="3"/>
      <c r="C761" s="3"/>
      <c r="D761" s="33"/>
      <c r="E761" s="33"/>
      <c r="F761" s="33"/>
      <c r="G761" s="33"/>
      <c r="H761" s="33"/>
      <c r="I761" s="33"/>
      <c r="J761" s="33"/>
      <c r="K761" s="33"/>
      <c r="L761" s="33"/>
      <c r="M761" s="33"/>
      <c r="N761" s="33"/>
      <c r="O761" s="33"/>
      <c r="P761" s="33"/>
      <c r="Q761" s="33"/>
      <c r="R761" s="33"/>
      <c r="S761" s="33"/>
      <c r="T761" s="124"/>
      <c r="U761" s="3"/>
      <c r="V761" s="3"/>
      <c r="W761" s="3"/>
      <c r="X761" s="3"/>
      <c r="Y761" s="3"/>
      <c r="Z761" s="3"/>
    </row>
    <row r="762" spans="1:26" ht="15.75" customHeight="1">
      <c r="A762" s="3"/>
      <c r="B762" s="3"/>
      <c r="C762" s="3"/>
      <c r="D762" s="33"/>
      <c r="E762" s="33"/>
      <c r="F762" s="33"/>
      <c r="G762" s="33"/>
      <c r="H762" s="33"/>
      <c r="I762" s="33"/>
      <c r="J762" s="33"/>
      <c r="K762" s="33"/>
      <c r="L762" s="33"/>
      <c r="M762" s="33"/>
      <c r="N762" s="33"/>
      <c r="O762" s="33"/>
      <c r="P762" s="33"/>
      <c r="Q762" s="33"/>
      <c r="R762" s="33"/>
      <c r="S762" s="33"/>
      <c r="T762" s="124"/>
      <c r="U762" s="3"/>
      <c r="V762" s="3"/>
      <c r="W762" s="3"/>
      <c r="X762" s="3"/>
      <c r="Y762" s="3"/>
      <c r="Z762" s="3"/>
    </row>
    <row r="763" spans="1:26" ht="15.75" customHeight="1">
      <c r="A763" s="3"/>
      <c r="B763" s="3"/>
      <c r="C763" s="3"/>
      <c r="D763" s="33"/>
      <c r="E763" s="33"/>
      <c r="F763" s="33"/>
      <c r="G763" s="33"/>
      <c r="H763" s="33"/>
      <c r="I763" s="33"/>
      <c r="J763" s="33"/>
      <c r="K763" s="33"/>
      <c r="L763" s="33"/>
      <c r="M763" s="33"/>
      <c r="N763" s="33"/>
      <c r="O763" s="33"/>
      <c r="P763" s="33"/>
      <c r="Q763" s="33"/>
      <c r="R763" s="33"/>
      <c r="S763" s="33"/>
      <c r="T763" s="124"/>
      <c r="U763" s="3"/>
      <c r="V763" s="3"/>
      <c r="W763" s="3"/>
      <c r="X763" s="3"/>
      <c r="Y763" s="3"/>
      <c r="Z763" s="3"/>
    </row>
    <row r="764" spans="1:26" ht="15.75" customHeight="1">
      <c r="A764" s="3"/>
      <c r="B764" s="3"/>
      <c r="C764" s="3"/>
      <c r="D764" s="33"/>
      <c r="E764" s="33"/>
      <c r="F764" s="33"/>
      <c r="G764" s="33"/>
      <c r="H764" s="33"/>
      <c r="I764" s="33"/>
      <c r="J764" s="33"/>
      <c r="K764" s="33"/>
      <c r="L764" s="33"/>
      <c r="M764" s="33"/>
      <c r="N764" s="33"/>
      <c r="O764" s="33"/>
      <c r="P764" s="33"/>
      <c r="Q764" s="33"/>
      <c r="R764" s="33"/>
      <c r="S764" s="33"/>
      <c r="T764" s="124"/>
      <c r="U764" s="3"/>
      <c r="V764" s="3"/>
      <c r="W764" s="3"/>
      <c r="X764" s="3"/>
      <c r="Y764" s="3"/>
      <c r="Z764" s="3"/>
    </row>
    <row r="765" spans="1:26" ht="15.75" customHeight="1">
      <c r="A765" s="3"/>
      <c r="B765" s="3"/>
      <c r="C765" s="3"/>
      <c r="D765" s="33"/>
      <c r="E765" s="33"/>
      <c r="F765" s="33"/>
      <c r="G765" s="33"/>
      <c r="H765" s="33"/>
      <c r="I765" s="33"/>
      <c r="J765" s="33"/>
      <c r="K765" s="33"/>
      <c r="L765" s="33"/>
      <c r="M765" s="33"/>
      <c r="N765" s="33"/>
      <c r="O765" s="33"/>
      <c r="P765" s="33"/>
      <c r="Q765" s="33"/>
      <c r="R765" s="33"/>
      <c r="S765" s="33"/>
      <c r="T765" s="124"/>
      <c r="U765" s="3"/>
      <c r="V765" s="3"/>
      <c r="W765" s="3"/>
      <c r="X765" s="3"/>
      <c r="Y765" s="3"/>
      <c r="Z765" s="3"/>
    </row>
    <row r="766" spans="1:26" ht="15.75" customHeight="1">
      <c r="A766" s="3"/>
      <c r="B766" s="3"/>
      <c r="C766" s="3"/>
      <c r="D766" s="33"/>
      <c r="E766" s="33"/>
      <c r="F766" s="33"/>
      <c r="G766" s="33"/>
      <c r="H766" s="33"/>
      <c r="I766" s="33"/>
      <c r="J766" s="33"/>
      <c r="K766" s="33"/>
      <c r="L766" s="33"/>
      <c r="M766" s="33"/>
      <c r="N766" s="33"/>
      <c r="O766" s="33"/>
      <c r="P766" s="33"/>
      <c r="Q766" s="33"/>
      <c r="R766" s="33"/>
      <c r="S766" s="33"/>
      <c r="T766" s="124"/>
      <c r="U766" s="3"/>
      <c r="V766" s="3"/>
      <c r="W766" s="3"/>
      <c r="X766" s="3"/>
      <c r="Y766" s="3"/>
      <c r="Z766" s="3"/>
    </row>
    <row r="767" spans="1:26" ht="15.75" customHeight="1">
      <c r="A767" s="3"/>
      <c r="B767" s="3"/>
      <c r="C767" s="3"/>
      <c r="D767" s="33"/>
      <c r="E767" s="33"/>
      <c r="F767" s="33"/>
      <c r="G767" s="33"/>
      <c r="H767" s="33"/>
      <c r="I767" s="33"/>
      <c r="J767" s="33"/>
      <c r="K767" s="33"/>
      <c r="L767" s="33"/>
      <c r="M767" s="33"/>
      <c r="N767" s="33"/>
      <c r="O767" s="33"/>
      <c r="P767" s="33"/>
      <c r="Q767" s="33"/>
      <c r="R767" s="33"/>
      <c r="S767" s="33"/>
      <c r="T767" s="124"/>
      <c r="U767" s="3"/>
      <c r="V767" s="3"/>
      <c r="W767" s="3"/>
      <c r="X767" s="3"/>
      <c r="Y767" s="3"/>
      <c r="Z767" s="3"/>
    </row>
    <row r="768" spans="1:26" ht="15.75" customHeight="1">
      <c r="A768" s="3"/>
      <c r="B768" s="3"/>
      <c r="C768" s="3"/>
      <c r="D768" s="33"/>
      <c r="E768" s="33"/>
      <c r="F768" s="33"/>
      <c r="G768" s="33"/>
      <c r="H768" s="33"/>
      <c r="I768" s="33"/>
      <c r="J768" s="33"/>
      <c r="K768" s="33"/>
      <c r="L768" s="33"/>
      <c r="M768" s="33"/>
      <c r="N768" s="33"/>
      <c r="O768" s="33"/>
      <c r="P768" s="33"/>
      <c r="Q768" s="33"/>
      <c r="R768" s="33"/>
      <c r="S768" s="33"/>
      <c r="T768" s="124"/>
      <c r="U768" s="3"/>
      <c r="V768" s="3"/>
      <c r="W768" s="3"/>
      <c r="X768" s="3"/>
      <c r="Y768" s="3"/>
      <c r="Z768" s="3"/>
    </row>
    <row r="769" spans="1:26" ht="15.75" customHeight="1">
      <c r="A769" s="3"/>
      <c r="B769" s="3"/>
      <c r="C769" s="3"/>
      <c r="D769" s="33"/>
      <c r="E769" s="33"/>
      <c r="F769" s="33"/>
      <c r="G769" s="33"/>
      <c r="H769" s="33"/>
      <c r="I769" s="33"/>
      <c r="J769" s="33"/>
      <c r="K769" s="33"/>
      <c r="L769" s="33"/>
      <c r="M769" s="33"/>
      <c r="N769" s="33"/>
      <c r="O769" s="33"/>
      <c r="P769" s="33"/>
      <c r="Q769" s="33"/>
      <c r="R769" s="33"/>
      <c r="S769" s="33"/>
      <c r="T769" s="124"/>
      <c r="U769" s="3"/>
      <c r="V769" s="3"/>
      <c r="W769" s="3"/>
      <c r="X769" s="3"/>
      <c r="Y769" s="3"/>
      <c r="Z769" s="3"/>
    </row>
    <row r="770" spans="1:26" ht="15.75" customHeight="1">
      <c r="A770" s="3"/>
      <c r="B770" s="3"/>
      <c r="C770" s="3"/>
      <c r="D770" s="33"/>
      <c r="E770" s="33"/>
      <c r="F770" s="33"/>
      <c r="G770" s="33"/>
      <c r="H770" s="33"/>
      <c r="I770" s="33"/>
      <c r="J770" s="33"/>
      <c r="K770" s="33"/>
      <c r="L770" s="33"/>
      <c r="M770" s="33"/>
      <c r="N770" s="33"/>
      <c r="O770" s="33"/>
      <c r="P770" s="33"/>
      <c r="Q770" s="33"/>
      <c r="R770" s="33"/>
      <c r="S770" s="33"/>
      <c r="T770" s="124"/>
      <c r="U770" s="3"/>
      <c r="V770" s="3"/>
      <c r="W770" s="3"/>
      <c r="X770" s="3"/>
      <c r="Y770" s="3"/>
      <c r="Z770" s="3"/>
    </row>
    <row r="771" spans="1:26" ht="15.75" customHeight="1">
      <c r="A771" s="3"/>
      <c r="B771" s="3"/>
      <c r="C771" s="3"/>
      <c r="D771" s="33"/>
      <c r="E771" s="33"/>
      <c r="F771" s="33"/>
      <c r="G771" s="33"/>
      <c r="H771" s="33"/>
      <c r="I771" s="33"/>
      <c r="J771" s="33"/>
      <c r="K771" s="33"/>
      <c r="L771" s="33"/>
      <c r="M771" s="33"/>
      <c r="N771" s="33"/>
      <c r="O771" s="33"/>
      <c r="P771" s="33"/>
      <c r="Q771" s="33"/>
      <c r="R771" s="33"/>
      <c r="S771" s="33"/>
      <c r="T771" s="124"/>
      <c r="U771" s="3"/>
      <c r="V771" s="3"/>
      <c r="W771" s="3"/>
      <c r="X771" s="3"/>
      <c r="Y771" s="3"/>
      <c r="Z771" s="3"/>
    </row>
    <row r="772" spans="1:26" ht="15.75" customHeight="1">
      <c r="A772" s="3"/>
      <c r="B772" s="3"/>
      <c r="C772" s="3"/>
      <c r="D772" s="33"/>
      <c r="E772" s="33"/>
      <c r="F772" s="33"/>
      <c r="G772" s="33"/>
      <c r="H772" s="33"/>
      <c r="I772" s="33"/>
      <c r="J772" s="33"/>
      <c r="K772" s="33"/>
      <c r="L772" s="33"/>
      <c r="M772" s="33"/>
      <c r="N772" s="33"/>
      <c r="O772" s="33"/>
      <c r="P772" s="33"/>
      <c r="Q772" s="33"/>
      <c r="R772" s="33"/>
      <c r="S772" s="33"/>
      <c r="T772" s="124"/>
      <c r="U772" s="3"/>
      <c r="V772" s="3"/>
      <c r="W772" s="3"/>
      <c r="X772" s="3"/>
      <c r="Y772" s="3"/>
      <c r="Z772" s="3"/>
    </row>
    <row r="773" spans="1:26" ht="15.75" customHeight="1">
      <c r="A773" s="3"/>
      <c r="B773" s="3"/>
      <c r="C773" s="3"/>
      <c r="D773" s="33"/>
      <c r="E773" s="33"/>
      <c r="F773" s="33"/>
      <c r="G773" s="33"/>
      <c r="H773" s="33"/>
      <c r="I773" s="33"/>
      <c r="J773" s="33"/>
      <c r="K773" s="33"/>
      <c r="L773" s="33"/>
      <c r="M773" s="33"/>
      <c r="N773" s="33"/>
      <c r="O773" s="33"/>
      <c r="P773" s="33"/>
      <c r="Q773" s="33"/>
      <c r="R773" s="33"/>
      <c r="S773" s="33"/>
      <c r="T773" s="124"/>
      <c r="U773" s="3"/>
      <c r="V773" s="3"/>
      <c r="W773" s="3"/>
      <c r="X773" s="3"/>
      <c r="Y773" s="3"/>
      <c r="Z773" s="3"/>
    </row>
    <row r="774" spans="1:26" ht="15.75" customHeight="1">
      <c r="A774" s="3"/>
      <c r="B774" s="3"/>
      <c r="C774" s="3"/>
      <c r="D774" s="33"/>
      <c r="E774" s="33"/>
      <c r="F774" s="33"/>
      <c r="G774" s="33"/>
      <c r="H774" s="33"/>
      <c r="I774" s="33"/>
      <c r="J774" s="33"/>
      <c r="K774" s="33"/>
      <c r="L774" s="33"/>
      <c r="M774" s="33"/>
      <c r="N774" s="33"/>
      <c r="O774" s="33"/>
      <c r="P774" s="33"/>
      <c r="Q774" s="33"/>
      <c r="R774" s="33"/>
      <c r="S774" s="33"/>
      <c r="T774" s="124"/>
      <c r="U774" s="3"/>
      <c r="V774" s="3"/>
      <c r="W774" s="3"/>
      <c r="X774" s="3"/>
      <c r="Y774" s="3"/>
      <c r="Z774" s="3"/>
    </row>
    <row r="775" spans="1:26" ht="15.75" customHeight="1">
      <c r="A775" s="3"/>
      <c r="B775" s="3"/>
      <c r="C775" s="3"/>
      <c r="D775" s="33"/>
      <c r="E775" s="33"/>
      <c r="F775" s="33"/>
      <c r="G775" s="33"/>
      <c r="H775" s="33"/>
      <c r="I775" s="33"/>
      <c r="J775" s="33"/>
      <c r="K775" s="33"/>
      <c r="L775" s="33"/>
      <c r="M775" s="33"/>
      <c r="N775" s="33"/>
      <c r="O775" s="33"/>
      <c r="P775" s="33"/>
      <c r="Q775" s="33"/>
      <c r="R775" s="33"/>
      <c r="S775" s="33"/>
      <c r="T775" s="124"/>
      <c r="U775" s="3"/>
      <c r="V775" s="3"/>
      <c r="W775" s="3"/>
      <c r="X775" s="3"/>
      <c r="Y775" s="3"/>
      <c r="Z775" s="3"/>
    </row>
    <row r="776" spans="1:26" ht="15.75" customHeight="1">
      <c r="A776" s="3"/>
      <c r="B776" s="3"/>
      <c r="C776" s="3"/>
      <c r="D776" s="33"/>
      <c r="E776" s="33"/>
      <c r="F776" s="33"/>
      <c r="G776" s="33"/>
      <c r="H776" s="33"/>
      <c r="I776" s="33"/>
      <c r="J776" s="33"/>
      <c r="K776" s="33"/>
      <c r="L776" s="33"/>
      <c r="M776" s="33"/>
      <c r="N776" s="33"/>
      <c r="O776" s="33"/>
      <c r="P776" s="33"/>
      <c r="Q776" s="33"/>
      <c r="R776" s="33"/>
      <c r="S776" s="33"/>
      <c r="T776" s="124"/>
      <c r="U776" s="3"/>
      <c r="V776" s="3"/>
      <c r="W776" s="3"/>
      <c r="X776" s="3"/>
      <c r="Y776" s="3"/>
      <c r="Z776" s="3"/>
    </row>
    <row r="777" spans="1:26" ht="15.75" customHeight="1">
      <c r="A777" s="3"/>
      <c r="B777" s="3"/>
      <c r="C777" s="3"/>
      <c r="D777" s="33"/>
      <c r="E777" s="33"/>
      <c r="F777" s="33"/>
      <c r="G777" s="33"/>
      <c r="H777" s="33"/>
      <c r="I777" s="33"/>
      <c r="J777" s="33"/>
      <c r="K777" s="33"/>
      <c r="L777" s="33"/>
      <c r="M777" s="33"/>
      <c r="N777" s="33"/>
      <c r="O777" s="33"/>
      <c r="P777" s="33"/>
      <c r="Q777" s="33"/>
      <c r="R777" s="33"/>
      <c r="S777" s="33"/>
      <c r="T777" s="124"/>
      <c r="U777" s="3"/>
      <c r="V777" s="3"/>
      <c r="W777" s="3"/>
      <c r="X777" s="3"/>
      <c r="Y777" s="3"/>
      <c r="Z777" s="3"/>
    </row>
    <row r="778" spans="1:26" ht="15.75" customHeight="1">
      <c r="A778" s="3"/>
      <c r="B778" s="3"/>
      <c r="C778" s="3"/>
      <c r="D778" s="33"/>
      <c r="E778" s="33"/>
      <c r="F778" s="33"/>
      <c r="G778" s="33"/>
      <c r="H778" s="33"/>
      <c r="I778" s="33"/>
      <c r="J778" s="33"/>
      <c r="K778" s="33"/>
      <c r="L778" s="33"/>
      <c r="M778" s="33"/>
      <c r="N778" s="33"/>
      <c r="O778" s="33"/>
      <c r="P778" s="33"/>
      <c r="Q778" s="33"/>
      <c r="R778" s="33"/>
      <c r="S778" s="33"/>
      <c r="T778" s="124"/>
      <c r="U778" s="3"/>
      <c r="V778" s="3"/>
      <c r="W778" s="3"/>
      <c r="X778" s="3"/>
      <c r="Y778" s="3"/>
      <c r="Z778" s="3"/>
    </row>
    <row r="779" spans="1:26" ht="15.75" customHeight="1">
      <c r="A779" s="3"/>
      <c r="B779" s="3"/>
      <c r="C779" s="3"/>
      <c r="D779" s="33"/>
      <c r="E779" s="33"/>
      <c r="F779" s="33"/>
      <c r="G779" s="33"/>
      <c r="H779" s="33"/>
      <c r="I779" s="33"/>
      <c r="J779" s="33"/>
      <c r="K779" s="33"/>
      <c r="L779" s="33"/>
      <c r="M779" s="33"/>
      <c r="N779" s="33"/>
      <c r="O779" s="33"/>
      <c r="P779" s="33"/>
      <c r="Q779" s="33"/>
      <c r="R779" s="33"/>
      <c r="S779" s="33"/>
      <c r="T779" s="124"/>
      <c r="U779" s="3"/>
      <c r="V779" s="3"/>
      <c r="W779" s="3"/>
      <c r="X779" s="3"/>
      <c r="Y779" s="3"/>
      <c r="Z779" s="3"/>
    </row>
    <row r="780" spans="1:26" ht="15.75" customHeight="1">
      <c r="A780" s="3"/>
      <c r="B780" s="3"/>
      <c r="C780" s="3"/>
      <c r="D780" s="33"/>
      <c r="E780" s="33"/>
      <c r="F780" s="33"/>
      <c r="G780" s="33"/>
      <c r="H780" s="33"/>
      <c r="I780" s="33"/>
      <c r="J780" s="33"/>
      <c r="K780" s="33"/>
      <c r="L780" s="33"/>
      <c r="M780" s="33"/>
      <c r="N780" s="33"/>
      <c r="O780" s="33"/>
      <c r="P780" s="33"/>
      <c r="Q780" s="33"/>
      <c r="R780" s="33"/>
      <c r="S780" s="33"/>
      <c r="T780" s="124"/>
      <c r="U780" s="3"/>
      <c r="V780" s="3"/>
      <c r="W780" s="3"/>
      <c r="X780" s="3"/>
      <c r="Y780" s="3"/>
      <c r="Z780" s="3"/>
    </row>
    <row r="781" spans="1:26" ht="15.75" customHeight="1">
      <c r="A781" s="3"/>
      <c r="B781" s="3"/>
      <c r="C781" s="3"/>
      <c r="D781" s="33"/>
      <c r="E781" s="33"/>
      <c r="F781" s="33"/>
      <c r="G781" s="33"/>
      <c r="H781" s="33"/>
      <c r="I781" s="33"/>
      <c r="J781" s="33"/>
      <c r="K781" s="33"/>
      <c r="L781" s="33"/>
      <c r="M781" s="33"/>
      <c r="N781" s="33"/>
      <c r="O781" s="33"/>
      <c r="P781" s="33"/>
      <c r="Q781" s="33"/>
      <c r="R781" s="33"/>
      <c r="S781" s="33"/>
      <c r="T781" s="124"/>
      <c r="U781" s="3"/>
      <c r="V781" s="3"/>
      <c r="W781" s="3"/>
      <c r="X781" s="3"/>
      <c r="Y781" s="3"/>
      <c r="Z781" s="3"/>
    </row>
    <row r="782" spans="1:26" ht="15.75" customHeight="1">
      <c r="A782" s="3"/>
      <c r="B782" s="3"/>
      <c r="C782" s="3"/>
      <c r="D782" s="33"/>
      <c r="E782" s="33"/>
      <c r="F782" s="33"/>
      <c r="G782" s="33"/>
      <c r="H782" s="33"/>
      <c r="I782" s="33"/>
      <c r="J782" s="33"/>
      <c r="K782" s="33"/>
      <c r="L782" s="33"/>
      <c r="M782" s="33"/>
      <c r="N782" s="33"/>
      <c r="O782" s="33"/>
      <c r="P782" s="33"/>
      <c r="Q782" s="33"/>
      <c r="R782" s="33"/>
      <c r="S782" s="33"/>
      <c r="T782" s="124"/>
      <c r="U782" s="3"/>
      <c r="V782" s="3"/>
      <c r="W782" s="3"/>
      <c r="X782" s="3"/>
      <c r="Y782" s="3"/>
      <c r="Z782" s="3"/>
    </row>
    <row r="783" spans="1:26" ht="15.75" customHeight="1">
      <c r="A783" s="3"/>
      <c r="B783" s="3"/>
      <c r="C783" s="3"/>
      <c r="D783" s="33"/>
      <c r="E783" s="33"/>
      <c r="F783" s="33"/>
      <c r="G783" s="33"/>
      <c r="H783" s="33"/>
      <c r="I783" s="33"/>
      <c r="J783" s="33"/>
      <c r="K783" s="33"/>
      <c r="L783" s="33"/>
      <c r="M783" s="33"/>
      <c r="N783" s="33"/>
      <c r="O783" s="33"/>
      <c r="P783" s="33"/>
      <c r="Q783" s="33"/>
      <c r="R783" s="33"/>
      <c r="S783" s="33"/>
      <c r="T783" s="124"/>
      <c r="U783" s="3"/>
      <c r="V783" s="3"/>
      <c r="W783" s="3"/>
      <c r="X783" s="3"/>
      <c r="Y783" s="3"/>
      <c r="Z783" s="3"/>
    </row>
    <row r="784" spans="1:26" ht="15.75" customHeight="1">
      <c r="A784" s="3"/>
      <c r="B784" s="3"/>
      <c r="C784" s="3"/>
      <c r="D784" s="33"/>
      <c r="E784" s="33"/>
      <c r="F784" s="33"/>
      <c r="G784" s="33"/>
      <c r="H784" s="33"/>
      <c r="I784" s="33"/>
      <c r="J784" s="33"/>
      <c r="K784" s="33"/>
      <c r="L784" s="33"/>
      <c r="M784" s="33"/>
      <c r="N784" s="33"/>
      <c r="O784" s="33"/>
      <c r="P784" s="33"/>
      <c r="Q784" s="33"/>
      <c r="R784" s="33"/>
      <c r="S784" s="33"/>
      <c r="T784" s="124"/>
      <c r="U784" s="3"/>
      <c r="V784" s="3"/>
      <c r="W784" s="3"/>
      <c r="X784" s="3"/>
      <c r="Y784" s="3"/>
      <c r="Z784" s="3"/>
    </row>
    <row r="785" spans="1:26" ht="15.75" customHeight="1">
      <c r="A785" s="3"/>
      <c r="B785" s="3"/>
      <c r="C785" s="3"/>
      <c r="D785" s="33"/>
      <c r="E785" s="33"/>
      <c r="F785" s="33"/>
      <c r="G785" s="33"/>
      <c r="H785" s="33"/>
      <c r="I785" s="33"/>
      <c r="J785" s="33"/>
      <c r="K785" s="33"/>
      <c r="L785" s="33"/>
      <c r="M785" s="33"/>
      <c r="N785" s="33"/>
      <c r="O785" s="33"/>
      <c r="P785" s="33"/>
      <c r="Q785" s="33"/>
      <c r="R785" s="33"/>
      <c r="S785" s="33"/>
      <c r="T785" s="124"/>
      <c r="U785" s="3"/>
      <c r="V785" s="3"/>
      <c r="W785" s="3"/>
      <c r="X785" s="3"/>
      <c r="Y785" s="3"/>
      <c r="Z785" s="3"/>
    </row>
    <row r="786" spans="1:26" ht="15.75" customHeight="1">
      <c r="A786" s="3"/>
      <c r="B786" s="3"/>
      <c r="C786" s="3"/>
      <c r="D786" s="33"/>
      <c r="E786" s="33"/>
      <c r="F786" s="33"/>
      <c r="G786" s="33"/>
      <c r="H786" s="33"/>
      <c r="I786" s="33"/>
      <c r="J786" s="33"/>
      <c r="K786" s="33"/>
      <c r="L786" s="33"/>
      <c r="M786" s="33"/>
      <c r="N786" s="33"/>
      <c r="O786" s="33"/>
      <c r="P786" s="33"/>
      <c r="Q786" s="33"/>
      <c r="R786" s="33"/>
      <c r="S786" s="33"/>
      <c r="T786" s="124"/>
      <c r="U786" s="3"/>
      <c r="V786" s="3"/>
      <c r="W786" s="3"/>
      <c r="X786" s="3"/>
      <c r="Y786" s="3"/>
      <c r="Z786" s="3"/>
    </row>
    <row r="787" spans="1:26" ht="15.75" customHeight="1">
      <c r="A787" s="3"/>
      <c r="B787" s="3"/>
      <c r="C787" s="3"/>
      <c r="D787" s="33"/>
      <c r="E787" s="33"/>
      <c r="F787" s="33"/>
      <c r="G787" s="33"/>
      <c r="H787" s="33"/>
      <c r="I787" s="33"/>
      <c r="J787" s="33"/>
      <c r="K787" s="33"/>
      <c r="L787" s="33"/>
      <c r="M787" s="33"/>
      <c r="N787" s="33"/>
      <c r="O787" s="33"/>
      <c r="P787" s="33"/>
      <c r="Q787" s="33"/>
      <c r="R787" s="33"/>
      <c r="S787" s="33"/>
      <c r="T787" s="124"/>
      <c r="U787" s="3"/>
      <c r="V787" s="3"/>
      <c r="W787" s="3"/>
      <c r="X787" s="3"/>
      <c r="Y787" s="3"/>
      <c r="Z787" s="3"/>
    </row>
    <row r="788" spans="1:26" ht="15.75" customHeight="1">
      <c r="A788" s="3"/>
      <c r="B788" s="3"/>
      <c r="C788" s="3"/>
      <c r="D788" s="33"/>
      <c r="E788" s="33"/>
      <c r="F788" s="33"/>
      <c r="G788" s="33"/>
      <c r="H788" s="33"/>
      <c r="I788" s="33"/>
      <c r="J788" s="33"/>
      <c r="K788" s="33"/>
      <c r="L788" s="33"/>
      <c r="M788" s="33"/>
      <c r="N788" s="33"/>
      <c r="O788" s="33"/>
      <c r="P788" s="33"/>
      <c r="Q788" s="33"/>
      <c r="R788" s="33"/>
      <c r="S788" s="33"/>
      <c r="T788" s="124"/>
      <c r="U788" s="3"/>
      <c r="V788" s="3"/>
      <c r="W788" s="3"/>
      <c r="X788" s="3"/>
      <c r="Y788" s="3"/>
      <c r="Z788" s="3"/>
    </row>
    <row r="789" spans="1:26" ht="15.75" customHeight="1">
      <c r="A789" s="3"/>
      <c r="B789" s="3"/>
      <c r="C789" s="3"/>
      <c r="D789" s="33"/>
      <c r="E789" s="33"/>
      <c r="F789" s="33"/>
      <c r="G789" s="33"/>
      <c r="H789" s="33"/>
      <c r="I789" s="33"/>
      <c r="J789" s="33"/>
      <c r="K789" s="33"/>
      <c r="L789" s="33"/>
      <c r="M789" s="33"/>
      <c r="N789" s="33"/>
      <c r="O789" s="33"/>
      <c r="P789" s="33"/>
      <c r="Q789" s="33"/>
      <c r="R789" s="33"/>
      <c r="S789" s="33"/>
      <c r="T789" s="124"/>
      <c r="U789" s="3"/>
      <c r="V789" s="3"/>
      <c r="W789" s="3"/>
      <c r="X789" s="3"/>
      <c r="Y789" s="3"/>
      <c r="Z789" s="3"/>
    </row>
    <row r="790" spans="1:26" ht="15.75" customHeight="1">
      <c r="A790" s="3"/>
      <c r="B790" s="3"/>
      <c r="C790" s="3"/>
      <c r="D790" s="33"/>
      <c r="E790" s="33"/>
      <c r="F790" s="33"/>
      <c r="G790" s="33"/>
      <c r="H790" s="33"/>
      <c r="I790" s="33"/>
      <c r="J790" s="33"/>
      <c r="K790" s="33"/>
      <c r="L790" s="33"/>
      <c r="M790" s="33"/>
      <c r="N790" s="33"/>
      <c r="O790" s="33"/>
      <c r="P790" s="33"/>
      <c r="Q790" s="33"/>
      <c r="R790" s="33"/>
      <c r="S790" s="33"/>
      <c r="T790" s="124"/>
      <c r="U790" s="3"/>
      <c r="V790" s="3"/>
      <c r="W790" s="3"/>
      <c r="X790" s="3"/>
      <c r="Y790" s="3"/>
      <c r="Z790" s="3"/>
    </row>
    <row r="791" spans="1:26" ht="15.75" customHeight="1">
      <c r="A791" s="3"/>
      <c r="B791" s="3"/>
      <c r="C791" s="3"/>
      <c r="D791" s="33"/>
      <c r="E791" s="33"/>
      <c r="F791" s="33"/>
      <c r="G791" s="33"/>
      <c r="H791" s="33"/>
      <c r="I791" s="33"/>
      <c r="J791" s="33"/>
      <c r="K791" s="33"/>
      <c r="L791" s="33"/>
      <c r="M791" s="33"/>
      <c r="N791" s="33"/>
      <c r="O791" s="33"/>
      <c r="P791" s="33"/>
      <c r="Q791" s="33"/>
      <c r="R791" s="33"/>
      <c r="S791" s="33"/>
      <c r="T791" s="124"/>
      <c r="U791" s="3"/>
      <c r="V791" s="3"/>
      <c r="W791" s="3"/>
      <c r="X791" s="3"/>
      <c r="Y791" s="3"/>
      <c r="Z791" s="3"/>
    </row>
    <row r="792" spans="1:26" ht="15.75" customHeight="1">
      <c r="A792" s="3"/>
      <c r="B792" s="3"/>
      <c r="C792" s="3"/>
      <c r="D792" s="33"/>
      <c r="E792" s="33"/>
      <c r="F792" s="33"/>
      <c r="G792" s="33"/>
      <c r="H792" s="33"/>
      <c r="I792" s="33"/>
      <c r="J792" s="33"/>
      <c r="K792" s="33"/>
      <c r="L792" s="33"/>
      <c r="M792" s="33"/>
      <c r="N792" s="33"/>
      <c r="O792" s="33"/>
      <c r="P792" s="33"/>
      <c r="Q792" s="33"/>
      <c r="R792" s="33"/>
      <c r="S792" s="33"/>
      <c r="T792" s="124"/>
      <c r="U792" s="3"/>
      <c r="V792" s="3"/>
      <c r="W792" s="3"/>
      <c r="X792" s="3"/>
      <c r="Y792" s="3"/>
      <c r="Z792" s="3"/>
    </row>
    <row r="793" spans="1:26" ht="15.75" customHeight="1">
      <c r="A793" s="3"/>
      <c r="B793" s="3"/>
      <c r="C793" s="3"/>
      <c r="D793" s="33"/>
      <c r="E793" s="33"/>
      <c r="F793" s="33"/>
      <c r="G793" s="33"/>
      <c r="H793" s="33"/>
      <c r="I793" s="33"/>
      <c r="J793" s="33"/>
      <c r="K793" s="33"/>
      <c r="L793" s="33"/>
      <c r="M793" s="33"/>
      <c r="N793" s="33"/>
      <c r="O793" s="33"/>
      <c r="P793" s="33"/>
      <c r="Q793" s="33"/>
      <c r="R793" s="33"/>
      <c r="S793" s="33"/>
      <c r="T793" s="124"/>
      <c r="U793" s="3"/>
      <c r="V793" s="3"/>
      <c r="W793" s="3"/>
      <c r="X793" s="3"/>
      <c r="Y793" s="3"/>
      <c r="Z793" s="3"/>
    </row>
    <row r="794" spans="1:26" ht="15.75" customHeight="1">
      <c r="A794" s="3"/>
      <c r="B794" s="3"/>
      <c r="C794" s="3"/>
      <c r="D794" s="33"/>
      <c r="E794" s="33"/>
      <c r="F794" s="33"/>
      <c r="G794" s="33"/>
      <c r="H794" s="33"/>
      <c r="I794" s="33"/>
      <c r="J794" s="33"/>
      <c r="K794" s="33"/>
      <c r="L794" s="33"/>
      <c r="M794" s="33"/>
      <c r="N794" s="33"/>
      <c r="O794" s="33"/>
      <c r="P794" s="33"/>
      <c r="Q794" s="33"/>
      <c r="R794" s="33"/>
      <c r="S794" s="33"/>
      <c r="T794" s="124"/>
      <c r="U794" s="3"/>
      <c r="V794" s="3"/>
      <c r="W794" s="3"/>
      <c r="X794" s="3"/>
      <c r="Y794" s="3"/>
      <c r="Z794" s="3"/>
    </row>
    <row r="795" spans="1:26" ht="15.75" customHeight="1">
      <c r="A795" s="3"/>
      <c r="B795" s="3"/>
      <c r="C795" s="3"/>
      <c r="D795" s="33"/>
      <c r="E795" s="33"/>
      <c r="F795" s="33"/>
      <c r="G795" s="33"/>
      <c r="H795" s="33"/>
      <c r="I795" s="33"/>
      <c r="J795" s="33"/>
      <c r="K795" s="33"/>
      <c r="L795" s="33"/>
      <c r="M795" s="33"/>
      <c r="N795" s="33"/>
      <c r="O795" s="33"/>
      <c r="P795" s="33"/>
      <c r="Q795" s="33"/>
      <c r="R795" s="33"/>
      <c r="S795" s="33"/>
      <c r="T795" s="124"/>
      <c r="U795" s="3"/>
      <c r="V795" s="3"/>
      <c r="W795" s="3"/>
      <c r="X795" s="3"/>
      <c r="Y795" s="3"/>
      <c r="Z795" s="3"/>
    </row>
    <row r="796" spans="1:26" ht="15.75" customHeight="1">
      <c r="A796" s="3"/>
      <c r="B796" s="3"/>
      <c r="C796" s="3"/>
      <c r="D796" s="33"/>
      <c r="E796" s="33"/>
      <c r="F796" s="33"/>
      <c r="G796" s="33"/>
      <c r="H796" s="33"/>
      <c r="I796" s="33"/>
      <c r="J796" s="33"/>
      <c r="K796" s="33"/>
      <c r="L796" s="33"/>
      <c r="M796" s="33"/>
      <c r="N796" s="33"/>
      <c r="O796" s="33"/>
      <c r="P796" s="33"/>
      <c r="Q796" s="33"/>
      <c r="R796" s="33"/>
      <c r="S796" s="33"/>
      <c r="T796" s="124"/>
      <c r="U796" s="3"/>
      <c r="V796" s="3"/>
      <c r="W796" s="3"/>
      <c r="X796" s="3"/>
      <c r="Y796" s="3"/>
      <c r="Z796" s="3"/>
    </row>
    <row r="797" spans="1:26" ht="15.75" customHeight="1">
      <c r="A797" s="3"/>
      <c r="B797" s="3"/>
      <c r="C797" s="3"/>
      <c r="D797" s="33"/>
      <c r="E797" s="33"/>
      <c r="F797" s="33"/>
      <c r="G797" s="33"/>
      <c r="H797" s="33"/>
      <c r="I797" s="33"/>
      <c r="J797" s="33"/>
      <c r="K797" s="33"/>
      <c r="L797" s="33"/>
      <c r="M797" s="33"/>
      <c r="N797" s="33"/>
      <c r="O797" s="33"/>
      <c r="P797" s="33"/>
      <c r="Q797" s="33"/>
      <c r="R797" s="33"/>
      <c r="S797" s="33"/>
      <c r="T797" s="124"/>
      <c r="U797" s="3"/>
      <c r="V797" s="3"/>
      <c r="W797" s="3"/>
      <c r="X797" s="3"/>
      <c r="Y797" s="3"/>
      <c r="Z797" s="3"/>
    </row>
    <row r="798" spans="1:26" ht="15.75" customHeight="1">
      <c r="A798" s="3"/>
      <c r="B798" s="3"/>
      <c r="C798" s="3"/>
      <c r="D798" s="33"/>
      <c r="E798" s="33"/>
      <c r="F798" s="33"/>
      <c r="G798" s="33"/>
      <c r="H798" s="33"/>
      <c r="I798" s="33"/>
      <c r="J798" s="33"/>
      <c r="K798" s="33"/>
      <c r="L798" s="33"/>
      <c r="M798" s="33"/>
      <c r="N798" s="33"/>
      <c r="O798" s="33"/>
      <c r="P798" s="33"/>
      <c r="Q798" s="33"/>
      <c r="R798" s="33"/>
      <c r="S798" s="33"/>
      <c r="T798" s="124"/>
      <c r="U798" s="3"/>
      <c r="V798" s="3"/>
      <c r="W798" s="3"/>
      <c r="X798" s="3"/>
      <c r="Y798" s="3"/>
      <c r="Z798" s="3"/>
    </row>
    <row r="799" spans="1:26" ht="15.75" customHeight="1">
      <c r="A799" s="3"/>
      <c r="B799" s="3"/>
      <c r="C799" s="3"/>
      <c r="D799" s="33"/>
      <c r="E799" s="33"/>
      <c r="F799" s="33"/>
      <c r="G799" s="33"/>
      <c r="H799" s="33"/>
      <c r="I799" s="33"/>
      <c r="J799" s="33"/>
      <c r="K799" s="33"/>
      <c r="L799" s="33"/>
      <c r="M799" s="33"/>
      <c r="N799" s="33"/>
      <c r="O799" s="33"/>
      <c r="P799" s="33"/>
      <c r="Q799" s="33"/>
      <c r="R799" s="33"/>
      <c r="S799" s="33"/>
      <c r="T799" s="124"/>
      <c r="U799" s="3"/>
      <c r="V799" s="3"/>
      <c r="W799" s="3"/>
      <c r="X799" s="3"/>
      <c r="Y799" s="3"/>
      <c r="Z799" s="3"/>
    </row>
    <row r="800" spans="1:26" ht="15.75" customHeight="1">
      <c r="A800" s="3"/>
      <c r="B800" s="3"/>
      <c r="C800" s="3"/>
      <c r="D800" s="33"/>
      <c r="E800" s="33"/>
      <c r="F800" s="33"/>
      <c r="G800" s="33"/>
      <c r="H800" s="33"/>
      <c r="I800" s="33"/>
      <c r="J800" s="33"/>
      <c r="K800" s="33"/>
      <c r="L800" s="33"/>
      <c r="M800" s="33"/>
      <c r="N800" s="33"/>
      <c r="O800" s="33"/>
      <c r="P800" s="33"/>
      <c r="Q800" s="33"/>
      <c r="R800" s="33"/>
      <c r="S800" s="33"/>
      <c r="T800" s="124"/>
      <c r="U800" s="3"/>
      <c r="V800" s="3"/>
      <c r="W800" s="3"/>
      <c r="X800" s="3"/>
      <c r="Y800" s="3"/>
      <c r="Z800" s="3"/>
    </row>
    <row r="801" spans="1:26" ht="15.75" customHeight="1">
      <c r="A801" s="3"/>
      <c r="B801" s="3"/>
      <c r="C801" s="3"/>
      <c r="D801" s="33"/>
      <c r="E801" s="33"/>
      <c r="F801" s="33"/>
      <c r="G801" s="33"/>
      <c r="H801" s="33"/>
      <c r="I801" s="33"/>
      <c r="J801" s="33"/>
      <c r="K801" s="33"/>
      <c r="L801" s="33"/>
      <c r="M801" s="33"/>
      <c r="N801" s="33"/>
      <c r="O801" s="33"/>
      <c r="P801" s="33"/>
      <c r="Q801" s="33"/>
      <c r="R801" s="33"/>
      <c r="S801" s="33"/>
      <c r="T801" s="124"/>
      <c r="U801" s="3"/>
      <c r="V801" s="3"/>
      <c r="W801" s="3"/>
      <c r="X801" s="3"/>
      <c r="Y801" s="3"/>
      <c r="Z801" s="3"/>
    </row>
    <row r="802" spans="1:26" ht="15.75" customHeight="1">
      <c r="A802" s="3"/>
      <c r="B802" s="3"/>
      <c r="C802" s="3"/>
      <c r="D802" s="33"/>
      <c r="E802" s="33"/>
      <c r="F802" s="33"/>
      <c r="G802" s="33"/>
      <c r="H802" s="33"/>
      <c r="I802" s="33"/>
      <c r="J802" s="33"/>
      <c r="K802" s="33"/>
      <c r="L802" s="33"/>
      <c r="M802" s="33"/>
      <c r="N802" s="33"/>
      <c r="O802" s="33"/>
      <c r="P802" s="33"/>
      <c r="Q802" s="33"/>
      <c r="R802" s="33"/>
      <c r="S802" s="33"/>
      <c r="T802" s="124"/>
      <c r="U802" s="3"/>
      <c r="V802" s="3"/>
      <c r="W802" s="3"/>
      <c r="X802" s="3"/>
      <c r="Y802" s="3"/>
      <c r="Z802" s="3"/>
    </row>
    <row r="803" spans="1:26" ht="15.75" customHeight="1">
      <c r="A803" s="3"/>
      <c r="B803" s="3"/>
      <c r="C803" s="3"/>
      <c r="D803" s="33"/>
      <c r="E803" s="33"/>
      <c r="F803" s="33"/>
      <c r="G803" s="33"/>
      <c r="H803" s="33"/>
      <c r="I803" s="33"/>
      <c r="J803" s="33"/>
      <c r="K803" s="33"/>
      <c r="L803" s="33"/>
      <c r="M803" s="33"/>
      <c r="N803" s="33"/>
      <c r="O803" s="33"/>
      <c r="P803" s="33"/>
      <c r="Q803" s="33"/>
      <c r="R803" s="33"/>
      <c r="S803" s="33"/>
      <c r="T803" s="124"/>
      <c r="U803" s="3"/>
      <c r="V803" s="3"/>
      <c r="W803" s="3"/>
      <c r="X803" s="3"/>
      <c r="Y803" s="3"/>
      <c r="Z803" s="3"/>
    </row>
    <row r="804" spans="1:26" ht="15.75" customHeight="1">
      <c r="A804" s="3"/>
      <c r="B804" s="3"/>
      <c r="C804" s="3"/>
      <c r="D804" s="33"/>
      <c r="E804" s="33"/>
      <c r="F804" s="33"/>
      <c r="G804" s="33"/>
      <c r="H804" s="33"/>
      <c r="I804" s="33"/>
      <c r="J804" s="33"/>
      <c r="K804" s="33"/>
      <c r="L804" s="33"/>
      <c r="M804" s="33"/>
      <c r="N804" s="33"/>
      <c r="O804" s="33"/>
      <c r="P804" s="33"/>
      <c r="Q804" s="33"/>
      <c r="R804" s="33"/>
      <c r="S804" s="33"/>
      <c r="T804" s="124"/>
      <c r="U804" s="3"/>
      <c r="V804" s="3"/>
      <c r="W804" s="3"/>
      <c r="X804" s="3"/>
      <c r="Y804" s="3"/>
      <c r="Z804" s="3"/>
    </row>
    <row r="805" spans="1:26" ht="15.75" customHeight="1">
      <c r="A805" s="3"/>
      <c r="B805" s="3"/>
      <c r="C805" s="3"/>
      <c r="D805" s="33"/>
      <c r="E805" s="33"/>
      <c r="F805" s="33"/>
      <c r="G805" s="33"/>
      <c r="H805" s="33"/>
      <c r="I805" s="33"/>
      <c r="J805" s="33"/>
      <c r="K805" s="33"/>
      <c r="L805" s="33"/>
      <c r="M805" s="33"/>
      <c r="N805" s="33"/>
      <c r="O805" s="33"/>
      <c r="P805" s="33"/>
      <c r="Q805" s="33"/>
      <c r="R805" s="33"/>
      <c r="S805" s="33"/>
      <c r="T805" s="124"/>
      <c r="U805" s="3"/>
      <c r="V805" s="3"/>
      <c r="W805" s="3"/>
      <c r="X805" s="3"/>
      <c r="Y805" s="3"/>
      <c r="Z805" s="3"/>
    </row>
    <row r="806" spans="1:26" ht="15.75" customHeight="1">
      <c r="A806" s="3"/>
      <c r="B806" s="3"/>
      <c r="C806" s="3"/>
      <c r="D806" s="33"/>
      <c r="E806" s="33"/>
      <c r="F806" s="33"/>
      <c r="G806" s="33"/>
      <c r="H806" s="33"/>
      <c r="I806" s="33"/>
      <c r="J806" s="33"/>
      <c r="K806" s="33"/>
      <c r="L806" s="33"/>
      <c r="M806" s="33"/>
      <c r="N806" s="33"/>
      <c r="O806" s="33"/>
      <c r="P806" s="33"/>
      <c r="Q806" s="33"/>
      <c r="R806" s="33"/>
      <c r="S806" s="33"/>
      <c r="T806" s="124"/>
      <c r="U806" s="3"/>
      <c r="V806" s="3"/>
      <c r="W806" s="3"/>
      <c r="X806" s="3"/>
      <c r="Y806" s="3"/>
      <c r="Z806" s="3"/>
    </row>
    <row r="807" spans="1:26" ht="15.75" customHeight="1">
      <c r="A807" s="3"/>
      <c r="B807" s="3"/>
      <c r="C807" s="3"/>
      <c r="D807" s="33"/>
      <c r="E807" s="33"/>
      <c r="F807" s="33"/>
      <c r="G807" s="33"/>
      <c r="H807" s="33"/>
      <c r="I807" s="33"/>
      <c r="J807" s="33"/>
      <c r="K807" s="33"/>
      <c r="L807" s="33"/>
      <c r="M807" s="33"/>
      <c r="N807" s="33"/>
      <c r="O807" s="33"/>
      <c r="P807" s="33"/>
      <c r="Q807" s="33"/>
      <c r="R807" s="33"/>
      <c r="S807" s="33"/>
      <c r="T807" s="124"/>
      <c r="U807" s="3"/>
      <c r="V807" s="3"/>
      <c r="W807" s="3"/>
      <c r="X807" s="3"/>
      <c r="Y807" s="3"/>
      <c r="Z807" s="3"/>
    </row>
    <row r="808" spans="1:26" ht="15.75" customHeight="1">
      <c r="A808" s="3"/>
      <c r="B808" s="3"/>
      <c r="C808" s="3"/>
      <c r="D808" s="33"/>
      <c r="E808" s="33"/>
      <c r="F808" s="33"/>
      <c r="G808" s="33"/>
      <c r="H808" s="33"/>
      <c r="I808" s="33"/>
      <c r="J808" s="33"/>
      <c r="K808" s="33"/>
      <c r="L808" s="33"/>
      <c r="M808" s="33"/>
      <c r="N808" s="33"/>
      <c r="O808" s="33"/>
      <c r="P808" s="33"/>
      <c r="Q808" s="33"/>
      <c r="R808" s="33"/>
      <c r="S808" s="33"/>
      <c r="T808" s="124"/>
      <c r="U808" s="3"/>
      <c r="V808" s="3"/>
      <c r="W808" s="3"/>
      <c r="X808" s="3"/>
      <c r="Y808" s="3"/>
      <c r="Z808" s="3"/>
    </row>
    <row r="809" spans="1:26" ht="15.75" customHeight="1">
      <c r="A809" s="3"/>
      <c r="B809" s="3"/>
      <c r="C809" s="3"/>
      <c r="D809" s="33"/>
      <c r="E809" s="33"/>
      <c r="F809" s="33"/>
      <c r="G809" s="33"/>
      <c r="H809" s="33"/>
      <c r="I809" s="33"/>
      <c r="J809" s="33"/>
      <c r="K809" s="33"/>
      <c r="L809" s="33"/>
      <c r="M809" s="33"/>
      <c r="N809" s="33"/>
      <c r="O809" s="33"/>
      <c r="P809" s="33"/>
      <c r="Q809" s="33"/>
      <c r="R809" s="33"/>
      <c r="S809" s="33"/>
      <c r="T809" s="124"/>
      <c r="U809" s="3"/>
      <c r="V809" s="3"/>
      <c r="W809" s="3"/>
      <c r="X809" s="3"/>
      <c r="Y809" s="3"/>
      <c r="Z809" s="3"/>
    </row>
    <row r="810" spans="1:26" ht="15.75" customHeight="1">
      <c r="A810" s="3"/>
      <c r="B810" s="3"/>
      <c r="C810" s="3"/>
      <c r="D810" s="33"/>
      <c r="E810" s="33"/>
      <c r="F810" s="33"/>
      <c r="G810" s="33"/>
      <c r="H810" s="33"/>
      <c r="I810" s="33"/>
      <c r="J810" s="33"/>
      <c r="K810" s="33"/>
      <c r="L810" s="33"/>
      <c r="M810" s="33"/>
      <c r="N810" s="33"/>
      <c r="O810" s="33"/>
      <c r="P810" s="33"/>
      <c r="Q810" s="33"/>
      <c r="R810" s="33"/>
      <c r="S810" s="33"/>
      <c r="T810" s="124"/>
      <c r="U810" s="3"/>
      <c r="V810" s="3"/>
      <c r="W810" s="3"/>
      <c r="X810" s="3"/>
      <c r="Y810" s="3"/>
      <c r="Z810" s="3"/>
    </row>
    <row r="811" spans="1:26" ht="15.75" customHeight="1">
      <c r="A811" s="3"/>
      <c r="B811" s="3"/>
      <c r="C811" s="3"/>
      <c r="D811" s="33"/>
      <c r="E811" s="33"/>
      <c r="F811" s="33"/>
      <c r="G811" s="33"/>
      <c r="H811" s="33"/>
      <c r="I811" s="33"/>
      <c r="J811" s="33"/>
      <c r="K811" s="33"/>
      <c r="L811" s="33"/>
      <c r="M811" s="33"/>
      <c r="N811" s="33"/>
      <c r="O811" s="33"/>
      <c r="P811" s="33"/>
      <c r="Q811" s="33"/>
      <c r="R811" s="33"/>
      <c r="S811" s="33"/>
      <c r="T811" s="124"/>
      <c r="U811" s="3"/>
      <c r="V811" s="3"/>
      <c r="W811" s="3"/>
      <c r="X811" s="3"/>
      <c r="Y811" s="3"/>
      <c r="Z811" s="3"/>
    </row>
    <row r="812" spans="1:26" ht="15.75" customHeight="1">
      <c r="A812" s="3"/>
      <c r="B812" s="3"/>
      <c r="C812" s="3"/>
      <c r="D812" s="33"/>
      <c r="E812" s="33"/>
      <c r="F812" s="33"/>
      <c r="G812" s="33"/>
      <c r="H812" s="33"/>
      <c r="I812" s="33"/>
      <c r="J812" s="33"/>
      <c r="K812" s="33"/>
      <c r="L812" s="33"/>
      <c r="M812" s="33"/>
      <c r="N812" s="33"/>
      <c r="O812" s="33"/>
      <c r="P812" s="33"/>
      <c r="Q812" s="33"/>
      <c r="R812" s="33"/>
      <c r="S812" s="33"/>
      <c r="T812" s="124"/>
      <c r="U812" s="3"/>
      <c r="V812" s="3"/>
      <c r="W812" s="3"/>
      <c r="X812" s="3"/>
      <c r="Y812" s="3"/>
      <c r="Z812" s="3"/>
    </row>
    <row r="813" spans="1:26" ht="15.75" customHeight="1">
      <c r="A813" s="3"/>
      <c r="B813" s="3"/>
      <c r="C813" s="3"/>
      <c r="D813" s="33"/>
      <c r="E813" s="33"/>
      <c r="F813" s="33"/>
      <c r="G813" s="33"/>
      <c r="H813" s="33"/>
      <c r="I813" s="33"/>
      <c r="J813" s="33"/>
      <c r="K813" s="33"/>
      <c r="L813" s="33"/>
      <c r="M813" s="33"/>
      <c r="N813" s="33"/>
      <c r="O813" s="33"/>
      <c r="P813" s="33"/>
      <c r="Q813" s="33"/>
      <c r="R813" s="33"/>
      <c r="S813" s="33"/>
      <c r="T813" s="124"/>
      <c r="U813" s="3"/>
      <c r="V813" s="3"/>
      <c r="W813" s="3"/>
      <c r="X813" s="3"/>
      <c r="Y813" s="3"/>
      <c r="Z813" s="3"/>
    </row>
    <row r="814" spans="1:26" ht="15.75" customHeight="1">
      <c r="A814" s="3"/>
      <c r="B814" s="3"/>
      <c r="C814" s="3"/>
      <c r="D814" s="33"/>
      <c r="E814" s="33"/>
      <c r="F814" s="33"/>
      <c r="G814" s="33"/>
      <c r="H814" s="33"/>
      <c r="I814" s="33"/>
      <c r="J814" s="33"/>
      <c r="K814" s="33"/>
      <c r="L814" s="33"/>
      <c r="M814" s="33"/>
      <c r="N814" s="33"/>
      <c r="O814" s="33"/>
      <c r="P814" s="33"/>
      <c r="Q814" s="33"/>
      <c r="R814" s="33"/>
      <c r="S814" s="33"/>
      <c r="T814" s="124"/>
      <c r="U814" s="3"/>
      <c r="V814" s="3"/>
      <c r="W814" s="3"/>
      <c r="X814" s="3"/>
      <c r="Y814" s="3"/>
      <c r="Z814" s="3"/>
    </row>
    <row r="815" spans="1:26" ht="15.75" customHeight="1">
      <c r="A815" s="3"/>
      <c r="B815" s="3"/>
      <c r="C815" s="3"/>
      <c r="D815" s="33"/>
      <c r="E815" s="33"/>
      <c r="F815" s="33"/>
      <c r="G815" s="33"/>
      <c r="H815" s="33"/>
      <c r="I815" s="33"/>
      <c r="J815" s="33"/>
      <c r="K815" s="33"/>
      <c r="L815" s="33"/>
      <c r="M815" s="33"/>
      <c r="N815" s="33"/>
      <c r="O815" s="33"/>
      <c r="P815" s="33"/>
      <c r="Q815" s="33"/>
      <c r="R815" s="33"/>
      <c r="S815" s="33"/>
      <c r="T815" s="124"/>
      <c r="U815" s="3"/>
      <c r="V815" s="3"/>
      <c r="W815" s="3"/>
      <c r="X815" s="3"/>
      <c r="Y815" s="3"/>
      <c r="Z815" s="3"/>
    </row>
    <row r="816" spans="1:26" ht="15.75" customHeight="1">
      <c r="A816" s="3"/>
      <c r="B816" s="3"/>
      <c r="C816" s="3"/>
      <c r="D816" s="33"/>
      <c r="E816" s="33"/>
      <c r="F816" s="33"/>
      <c r="G816" s="33"/>
      <c r="H816" s="33"/>
      <c r="I816" s="33"/>
      <c r="J816" s="33"/>
      <c r="K816" s="33"/>
      <c r="L816" s="33"/>
      <c r="M816" s="33"/>
      <c r="N816" s="33"/>
      <c r="O816" s="33"/>
      <c r="P816" s="33"/>
      <c r="Q816" s="33"/>
      <c r="R816" s="33"/>
      <c r="S816" s="33"/>
      <c r="T816" s="124"/>
      <c r="U816" s="3"/>
      <c r="V816" s="3"/>
      <c r="W816" s="3"/>
      <c r="X816" s="3"/>
      <c r="Y816" s="3"/>
      <c r="Z816" s="3"/>
    </row>
    <row r="817" spans="1:26" ht="15.75" customHeight="1">
      <c r="A817" s="3"/>
      <c r="B817" s="3"/>
      <c r="C817" s="3"/>
      <c r="D817" s="33"/>
      <c r="E817" s="33"/>
      <c r="F817" s="33"/>
      <c r="G817" s="33"/>
      <c r="H817" s="33"/>
      <c r="I817" s="33"/>
      <c r="J817" s="33"/>
      <c r="K817" s="33"/>
      <c r="L817" s="33"/>
      <c r="M817" s="33"/>
      <c r="N817" s="33"/>
      <c r="O817" s="33"/>
      <c r="P817" s="33"/>
      <c r="Q817" s="33"/>
      <c r="R817" s="33"/>
      <c r="S817" s="33"/>
      <c r="T817" s="124"/>
      <c r="U817" s="3"/>
      <c r="V817" s="3"/>
      <c r="W817" s="3"/>
      <c r="X817" s="3"/>
      <c r="Y817" s="3"/>
      <c r="Z817" s="3"/>
    </row>
    <row r="818" spans="1:26" ht="15.75" customHeight="1">
      <c r="A818" s="3"/>
      <c r="B818" s="3"/>
      <c r="C818" s="3"/>
      <c r="D818" s="33"/>
      <c r="E818" s="33"/>
      <c r="F818" s="33"/>
      <c r="G818" s="33"/>
      <c r="H818" s="33"/>
      <c r="I818" s="33"/>
      <c r="J818" s="33"/>
      <c r="K818" s="33"/>
      <c r="L818" s="33"/>
      <c r="M818" s="33"/>
      <c r="N818" s="33"/>
      <c r="O818" s="33"/>
      <c r="P818" s="33"/>
      <c r="Q818" s="33"/>
      <c r="R818" s="33"/>
      <c r="S818" s="33"/>
      <c r="T818" s="124"/>
      <c r="U818" s="3"/>
      <c r="V818" s="3"/>
      <c r="W818" s="3"/>
      <c r="X818" s="3"/>
      <c r="Y818" s="3"/>
      <c r="Z818" s="3"/>
    </row>
    <row r="819" spans="1:26" ht="15.75" customHeight="1">
      <c r="A819" s="3"/>
      <c r="B819" s="3"/>
      <c r="C819" s="3"/>
      <c r="D819" s="33"/>
      <c r="E819" s="33"/>
      <c r="F819" s="33"/>
      <c r="G819" s="33"/>
      <c r="H819" s="33"/>
      <c r="I819" s="33"/>
      <c r="J819" s="33"/>
      <c r="K819" s="33"/>
      <c r="L819" s="33"/>
      <c r="M819" s="33"/>
      <c r="N819" s="33"/>
      <c r="O819" s="33"/>
      <c r="P819" s="33"/>
      <c r="Q819" s="33"/>
      <c r="R819" s="33"/>
      <c r="S819" s="33"/>
      <c r="T819" s="124"/>
      <c r="U819" s="3"/>
      <c r="V819" s="3"/>
      <c r="W819" s="3"/>
      <c r="X819" s="3"/>
      <c r="Y819" s="3"/>
      <c r="Z819" s="3"/>
    </row>
    <row r="820" spans="1:26" ht="15.75" customHeight="1">
      <c r="A820" s="3"/>
      <c r="B820" s="3"/>
      <c r="C820" s="3"/>
      <c r="D820" s="33"/>
      <c r="E820" s="33"/>
      <c r="F820" s="33"/>
      <c r="G820" s="33"/>
      <c r="H820" s="33"/>
      <c r="I820" s="33"/>
      <c r="J820" s="33"/>
      <c r="K820" s="33"/>
      <c r="L820" s="33"/>
      <c r="M820" s="33"/>
      <c r="N820" s="33"/>
      <c r="O820" s="33"/>
      <c r="P820" s="33"/>
      <c r="Q820" s="33"/>
      <c r="R820" s="33"/>
      <c r="S820" s="33"/>
      <c r="T820" s="124"/>
      <c r="U820" s="3"/>
      <c r="V820" s="3"/>
      <c r="W820" s="3"/>
      <c r="X820" s="3"/>
      <c r="Y820" s="3"/>
      <c r="Z820" s="3"/>
    </row>
    <row r="821" spans="1:26" ht="15.75" customHeight="1">
      <c r="A821" s="3"/>
      <c r="B821" s="3"/>
      <c r="C821" s="3"/>
      <c r="D821" s="33"/>
      <c r="E821" s="33"/>
      <c r="F821" s="33"/>
      <c r="G821" s="33"/>
      <c r="H821" s="33"/>
      <c r="I821" s="33"/>
      <c r="J821" s="33"/>
      <c r="K821" s="33"/>
      <c r="L821" s="33"/>
      <c r="M821" s="33"/>
      <c r="N821" s="33"/>
      <c r="O821" s="33"/>
      <c r="P821" s="33"/>
      <c r="Q821" s="33"/>
      <c r="R821" s="33"/>
      <c r="S821" s="33"/>
      <c r="T821" s="124"/>
      <c r="U821" s="3"/>
      <c r="V821" s="3"/>
      <c r="W821" s="3"/>
      <c r="X821" s="3"/>
      <c r="Y821" s="3"/>
      <c r="Z821" s="3"/>
    </row>
    <row r="822" spans="1:26" ht="15.75" customHeight="1">
      <c r="A822" s="3"/>
      <c r="B822" s="3"/>
      <c r="C822" s="3"/>
      <c r="D822" s="33"/>
      <c r="E822" s="33"/>
      <c r="F822" s="33"/>
      <c r="G822" s="33"/>
      <c r="H822" s="33"/>
      <c r="I822" s="33"/>
      <c r="J822" s="33"/>
      <c r="K822" s="33"/>
      <c r="L822" s="33"/>
      <c r="M822" s="33"/>
      <c r="N822" s="33"/>
      <c r="O822" s="33"/>
      <c r="P822" s="33"/>
      <c r="Q822" s="33"/>
      <c r="R822" s="33"/>
      <c r="S822" s="33"/>
      <c r="T822" s="124"/>
      <c r="U822" s="3"/>
      <c r="V822" s="3"/>
      <c r="W822" s="3"/>
      <c r="X822" s="3"/>
      <c r="Y822" s="3"/>
      <c r="Z822" s="3"/>
    </row>
    <row r="823" spans="1:26" ht="15.75" customHeight="1">
      <c r="A823" s="3"/>
      <c r="B823" s="3"/>
      <c r="C823" s="3"/>
      <c r="D823" s="33"/>
      <c r="E823" s="33"/>
      <c r="F823" s="33"/>
      <c r="G823" s="33"/>
      <c r="H823" s="33"/>
      <c r="I823" s="33"/>
      <c r="J823" s="33"/>
      <c r="K823" s="33"/>
      <c r="L823" s="33"/>
      <c r="M823" s="33"/>
      <c r="N823" s="33"/>
      <c r="O823" s="33"/>
      <c r="P823" s="33"/>
      <c r="Q823" s="33"/>
      <c r="R823" s="33"/>
      <c r="S823" s="33"/>
      <c r="T823" s="124"/>
      <c r="U823" s="3"/>
      <c r="V823" s="3"/>
      <c r="W823" s="3"/>
      <c r="X823" s="3"/>
      <c r="Y823" s="3"/>
      <c r="Z823" s="3"/>
    </row>
    <row r="824" spans="1:26" ht="15.75" customHeight="1">
      <c r="A824" s="3"/>
      <c r="B824" s="3"/>
      <c r="C824" s="3"/>
      <c r="D824" s="33"/>
      <c r="E824" s="33"/>
      <c r="F824" s="33"/>
      <c r="G824" s="33"/>
      <c r="H824" s="33"/>
      <c r="I824" s="33"/>
      <c r="J824" s="33"/>
      <c r="K824" s="33"/>
      <c r="L824" s="33"/>
      <c r="M824" s="33"/>
      <c r="N824" s="33"/>
      <c r="O824" s="33"/>
      <c r="P824" s="33"/>
      <c r="Q824" s="33"/>
      <c r="R824" s="33"/>
      <c r="S824" s="33"/>
      <c r="T824" s="124"/>
      <c r="U824" s="3"/>
      <c r="V824" s="3"/>
      <c r="W824" s="3"/>
      <c r="X824" s="3"/>
      <c r="Y824" s="3"/>
      <c r="Z824" s="3"/>
    </row>
    <row r="825" spans="1:26" ht="15.75" customHeight="1">
      <c r="A825" s="3"/>
      <c r="B825" s="3"/>
      <c r="C825" s="3"/>
      <c r="D825" s="33"/>
      <c r="E825" s="33"/>
      <c r="F825" s="33"/>
      <c r="G825" s="33"/>
      <c r="H825" s="33"/>
      <c r="I825" s="33"/>
      <c r="J825" s="33"/>
      <c r="K825" s="33"/>
      <c r="L825" s="33"/>
      <c r="M825" s="33"/>
      <c r="N825" s="33"/>
      <c r="O825" s="33"/>
      <c r="P825" s="33"/>
      <c r="Q825" s="33"/>
      <c r="R825" s="33"/>
      <c r="S825" s="33"/>
      <c r="T825" s="124"/>
      <c r="U825" s="3"/>
      <c r="V825" s="3"/>
      <c r="W825" s="3"/>
      <c r="X825" s="3"/>
      <c r="Y825" s="3"/>
      <c r="Z825" s="3"/>
    </row>
    <row r="826" spans="1:26" ht="15.75" customHeight="1">
      <c r="A826" s="3"/>
      <c r="B826" s="3"/>
      <c r="C826" s="3"/>
      <c r="D826" s="33"/>
      <c r="E826" s="33"/>
      <c r="F826" s="33"/>
      <c r="G826" s="33"/>
      <c r="H826" s="33"/>
      <c r="I826" s="33"/>
      <c r="J826" s="33"/>
      <c r="K826" s="33"/>
      <c r="L826" s="33"/>
      <c r="M826" s="33"/>
      <c r="N826" s="33"/>
      <c r="O826" s="33"/>
      <c r="P826" s="33"/>
      <c r="Q826" s="33"/>
      <c r="R826" s="33"/>
      <c r="S826" s="33"/>
      <c r="T826" s="124"/>
      <c r="U826" s="3"/>
      <c r="V826" s="3"/>
      <c r="W826" s="3"/>
      <c r="X826" s="3"/>
      <c r="Y826" s="3"/>
      <c r="Z826" s="3"/>
    </row>
    <row r="827" spans="1:26" ht="15.75" customHeight="1">
      <c r="A827" s="3"/>
      <c r="B827" s="3"/>
      <c r="C827" s="3"/>
      <c r="D827" s="33"/>
      <c r="E827" s="33"/>
      <c r="F827" s="33"/>
      <c r="G827" s="33"/>
      <c r="H827" s="33"/>
      <c r="I827" s="33"/>
      <c r="J827" s="33"/>
      <c r="K827" s="33"/>
      <c r="L827" s="33"/>
      <c r="M827" s="33"/>
      <c r="N827" s="33"/>
      <c r="O827" s="33"/>
      <c r="P827" s="33"/>
      <c r="Q827" s="33"/>
      <c r="R827" s="33"/>
      <c r="S827" s="33"/>
      <c r="T827" s="124"/>
      <c r="U827" s="3"/>
      <c r="V827" s="3"/>
      <c r="W827" s="3"/>
      <c r="X827" s="3"/>
      <c r="Y827" s="3"/>
      <c r="Z827" s="3"/>
    </row>
    <row r="828" spans="1:26" ht="15.75" customHeight="1">
      <c r="A828" s="3"/>
      <c r="B828" s="3"/>
      <c r="C828" s="3"/>
      <c r="D828" s="33"/>
      <c r="E828" s="33"/>
      <c r="F828" s="33"/>
      <c r="G828" s="33"/>
      <c r="H828" s="33"/>
      <c r="I828" s="33"/>
      <c r="J828" s="33"/>
      <c r="K828" s="33"/>
      <c r="L828" s="33"/>
      <c r="M828" s="33"/>
      <c r="N828" s="33"/>
      <c r="O828" s="33"/>
      <c r="P828" s="33"/>
      <c r="Q828" s="33"/>
      <c r="R828" s="33"/>
      <c r="S828" s="33"/>
      <c r="T828" s="124"/>
      <c r="U828" s="3"/>
      <c r="V828" s="3"/>
      <c r="W828" s="3"/>
      <c r="X828" s="3"/>
      <c r="Y828" s="3"/>
      <c r="Z828" s="3"/>
    </row>
    <row r="829" spans="1:26" ht="15.75" customHeight="1">
      <c r="A829" s="3"/>
      <c r="B829" s="3"/>
      <c r="C829" s="3"/>
      <c r="D829" s="33"/>
      <c r="E829" s="33"/>
      <c r="F829" s="33"/>
      <c r="G829" s="33"/>
      <c r="H829" s="33"/>
      <c r="I829" s="33"/>
      <c r="J829" s="33"/>
      <c r="K829" s="33"/>
      <c r="L829" s="33"/>
      <c r="M829" s="33"/>
      <c r="N829" s="33"/>
      <c r="O829" s="33"/>
      <c r="P829" s="33"/>
      <c r="Q829" s="33"/>
      <c r="R829" s="33"/>
      <c r="S829" s="33"/>
      <c r="T829" s="124"/>
      <c r="U829" s="3"/>
      <c r="V829" s="3"/>
      <c r="W829" s="3"/>
      <c r="X829" s="3"/>
      <c r="Y829" s="3"/>
      <c r="Z829" s="3"/>
    </row>
    <row r="830" spans="1:26" ht="15.75" customHeight="1">
      <c r="A830" s="3"/>
      <c r="B830" s="3"/>
      <c r="C830" s="3"/>
      <c r="D830" s="33"/>
      <c r="E830" s="33"/>
      <c r="F830" s="33"/>
      <c r="G830" s="33"/>
      <c r="H830" s="33"/>
      <c r="I830" s="33"/>
      <c r="J830" s="33"/>
      <c r="K830" s="33"/>
      <c r="L830" s="33"/>
      <c r="M830" s="33"/>
      <c r="N830" s="33"/>
      <c r="O830" s="33"/>
      <c r="P830" s="33"/>
      <c r="Q830" s="33"/>
      <c r="R830" s="33"/>
      <c r="S830" s="33"/>
      <c r="T830" s="124"/>
      <c r="U830" s="3"/>
      <c r="V830" s="3"/>
      <c r="W830" s="3"/>
      <c r="X830" s="3"/>
      <c r="Y830" s="3"/>
      <c r="Z830" s="3"/>
    </row>
    <row r="831" spans="1:26" ht="15.75" customHeight="1">
      <c r="A831" s="3"/>
      <c r="B831" s="3"/>
      <c r="C831" s="3"/>
      <c r="D831" s="33"/>
      <c r="E831" s="33"/>
      <c r="F831" s="33"/>
      <c r="G831" s="33"/>
      <c r="H831" s="33"/>
      <c r="I831" s="33"/>
      <c r="J831" s="33"/>
      <c r="K831" s="33"/>
      <c r="L831" s="33"/>
      <c r="M831" s="33"/>
      <c r="N831" s="33"/>
      <c r="O831" s="33"/>
      <c r="P831" s="33"/>
      <c r="Q831" s="33"/>
      <c r="R831" s="33"/>
      <c r="S831" s="33"/>
      <c r="T831" s="124"/>
      <c r="U831" s="3"/>
      <c r="V831" s="3"/>
      <c r="W831" s="3"/>
      <c r="X831" s="3"/>
      <c r="Y831" s="3"/>
      <c r="Z831" s="3"/>
    </row>
    <row r="832" spans="1:26" ht="15.75" customHeight="1">
      <c r="A832" s="3"/>
      <c r="B832" s="3"/>
      <c r="C832" s="3"/>
      <c r="D832" s="33"/>
      <c r="E832" s="33"/>
      <c r="F832" s="33"/>
      <c r="G832" s="33"/>
      <c r="H832" s="33"/>
      <c r="I832" s="33"/>
      <c r="J832" s="33"/>
      <c r="K832" s="33"/>
      <c r="L832" s="33"/>
      <c r="M832" s="33"/>
      <c r="N832" s="33"/>
      <c r="O832" s="33"/>
      <c r="P832" s="33"/>
      <c r="Q832" s="33"/>
      <c r="R832" s="33"/>
      <c r="S832" s="33"/>
      <c r="T832" s="124"/>
      <c r="U832" s="3"/>
      <c r="V832" s="3"/>
      <c r="W832" s="3"/>
      <c r="X832" s="3"/>
      <c r="Y832" s="3"/>
      <c r="Z832" s="3"/>
    </row>
    <row r="833" spans="1:26" ht="15.75" customHeight="1">
      <c r="A833" s="3"/>
      <c r="B833" s="3"/>
      <c r="C833" s="3"/>
      <c r="D833" s="33"/>
      <c r="E833" s="33"/>
      <c r="F833" s="33"/>
      <c r="G833" s="33"/>
      <c r="H833" s="33"/>
      <c r="I833" s="33"/>
      <c r="J833" s="33"/>
      <c r="K833" s="33"/>
      <c r="L833" s="33"/>
      <c r="M833" s="33"/>
      <c r="N833" s="33"/>
      <c r="O833" s="33"/>
      <c r="P833" s="33"/>
      <c r="Q833" s="33"/>
      <c r="R833" s="33"/>
      <c r="S833" s="33"/>
      <c r="T833" s="124"/>
      <c r="U833" s="3"/>
      <c r="V833" s="3"/>
      <c r="W833" s="3"/>
      <c r="X833" s="3"/>
      <c r="Y833" s="3"/>
      <c r="Z833" s="3"/>
    </row>
    <row r="834" spans="1:26" ht="15.75" customHeight="1">
      <c r="A834" s="3"/>
      <c r="B834" s="3"/>
      <c r="C834" s="3"/>
      <c r="D834" s="33"/>
      <c r="E834" s="33"/>
      <c r="F834" s="33"/>
      <c r="G834" s="33"/>
      <c r="H834" s="33"/>
      <c r="I834" s="33"/>
      <c r="J834" s="33"/>
      <c r="K834" s="33"/>
      <c r="L834" s="33"/>
      <c r="M834" s="33"/>
      <c r="N834" s="33"/>
      <c r="O834" s="33"/>
      <c r="P834" s="33"/>
      <c r="Q834" s="33"/>
      <c r="R834" s="33"/>
      <c r="S834" s="33"/>
      <c r="T834" s="124"/>
      <c r="U834" s="3"/>
      <c r="V834" s="3"/>
      <c r="W834" s="3"/>
      <c r="X834" s="3"/>
      <c r="Y834" s="3"/>
      <c r="Z834" s="3"/>
    </row>
    <row r="835" spans="1:26" ht="15.75" customHeight="1">
      <c r="A835" s="3"/>
      <c r="B835" s="3"/>
      <c r="C835" s="3"/>
      <c r="D835" s="33"/>
      <c r="E835" s="33"/>
      <c r="F835" s="33"/>
      <c r="G835" s="33"/>
      <c r="H835" s="33"/>
      <c r="I835" s="33"/>
      <c r="J835" s="33"/>
      <c r="K835" s="33"/>
      <c r="L835" s="33"/>
      <c r="M835" s="33"/>
      <c r="N835" s="33"/>
      <c r="O835" s="33"/>
      <c r="P835" s="33"/>
      <c r="Q835" s="33"/>
      <c r="R835" s="33"/>
      <c r="S835" s="33"/>
      <c r="T835" s="124"/>
      <c r="U835" s="3"/>
      <c r="V835" s="3"/>
      <c r="W835" s="3"/>
      <c r="X835" s="3"/>
      <c r="Y835" s="3"/>
      <c r="Z835" s="3"/>
    </row>
    <row r="836" spans="1:26" ht="15.75" customHeight="1">
      <c r="A836" s="3"/>
      <c r="B836" s="3"/>
      <c r="C836" s="3"/>
      <c r="D836" s="33"/>
      <c r="E836" s="33"/>
      <c r="F836" s="33"/>
      <c r="G836" s="33"/>
      <c r="H836" s="33"/>
      <c r="I836" s="33"/>
      <c r="J836" s="33"/>
      <c r="K836" s="33"/>
      <c r="L836" s="33"/>
      <c r="M836" s="33"/>
      <c r="N836" s="33"/>
      <c r="O836" s="33"/>
      <c r="P836" s="33"/>
      <c r="Q836" s="33"/>
      <c r="R836" s="33"/>
      <c r="S836" s="33"/>
      <c r="T836" s="124"/>
      <c r="U836" s="3"/>
      <c r="V836" s="3"/>
      <c r="W836" s="3"/>
      <c r="X836" s="3"/>
      <c r="Y836" s="3"/>
      <c r="Z836" s="3"/>
    </row>
    <row r="837" spans="1:26" ht="15.75" customHeight="1">
      <c r="A837" s="3"/>
      <c r="B837" s="3"/>
      <c r="C837" s="3"/>
      <c r="D837" s="33"/>
      <c r="E837" s="33"/>
      <c r="F837" s="33"/>
      <c r="G837" s="33"/>
      <c r="H837" s="33"/>
      <c r="I837" s="33"/>
      <c r="J837" s="33"/>
      <c r="K837" s="33"/>
      <c r="L837" s="33"/>
      <c r="M837" s="33"/>
      <c r="N837" s="33"/>
      <c r="O837" s="33"/>
      <c r="P837" s="33"/>
      <c r="Q837" s="33"/>
      <c r="R837" s="33"/>
      <c r="S837" s="33"/>
      <c r="T837" s="124"/>
      <c r="U837" s="3"/>
      <c r="V837" s="3"/>
      <c r="W837" s="3"/>
      <c r="X837" s="3"/>
      <c r="Y837" s="3"/>
      <c r="Z837" s="3"/>
    </row>
    <row r="838" spans="1:26" ht="15.75" customHeight="1">
      <c r="A838" s="3"/>
      <c r="B838" s="3"/>
      <c r="C838" s="3"/>
      <c r="D838" s="33"/>
      <c r="E838" s="33"/>
      <c r="F838" s="33"/>
      <c r="G838" s="33"/>
      <c r="H838" s="33"/>
      <c r="I838" s="33"/>
      <c r="J838" s="33"/>
      <c r="K838" s="33"/>
      <c r="L838" s="33"/>
      <c r="M838" s="33"/>
      <c r="N838" s="33"/>
      <c r="O838" s="33"/>
      <c r="P838" s="33"/>
      <c r="Q838" s="33"/>
      <c r="R838" s="33"/>
      <c r="S838" s="33"/>
      <c r="T838" s="124"/>
      <c r="U838" s="3"/>
      <c r="V838" s="3"/>
      <c r="W838" s="3"/>
      <c r="X838" s="3"/>
      <c r="Y838" s="3"/>
      <c r="Z838" s="3"/>
    </row>
    <row r="839" spans="1:26" ht="15.75" customHeight="1">
      <c r="A839" s="3"/>
      <c r="B839" s="3"/>
      <c r="C839" s="3"/>
      <c r="D839" s="33"/>
      <c r="E839" s="33"/>
      <c r="F839" s="33"/>
      <c r="G839" s="33"/>
      <c r="H839" s="33"/>
      <c r="I839" s="33"/>
      <c r="J839" s="33"/>
      <c r="K839" s="33"/>
      <c r="L839" s="33"/>
      <c r="M839" s="33"/>
      <c r="N839" s="33"/>
      <c r="O839" s="33"/>
      <c r="P839" s="33"/>
      <c r="Q839" s="33"/>
      <c r="R839" s="33"/>
      <c r="S839" s="33"/>
      <c r="T839" s="124"/>
      <c r="U839" s="3"/>
      <c r="V839" s="3"/>
      <c r="W839" s="3"/>
      <c r="X839" s="3"/>
      <c r="Y839" s="3"/>
      <c r="Z839" s="3"/>
    </row>
    <row r="840" spans="1:26" ht="15.75" customHeight="1">
      <c r="A840" s="3"/>
      <c r="B840" s="3"/>
      <c r="C840" s="3"/>
      <c r="D840" s="33"/>
      <c r="E840" s="33"/>
      <c r="F840" s="33"/>
      <c r="G840" s="33"/>
      <c r="H840" s="33"/>
      <c r="I840" s="33"/>
      <c r="J840" s="33"/>
      <c r="K840" s="33"/>
      <c r="L840" s="33"/>
      <c r="M840" s="33"/>
      <c r="N840" s="33"/>
      <c r="O840" s="33"/>
      <c r="P840" s="33"/>
      <c r="Q840" s="33"/>
      <c r="R840" s="33"/>
      <c r="S840" s="33"/>
      <c r="T840" s="124"/>
      <c r="U840" s="3"/>
      <c r="V840" s="3"/>
      <c r="W840" s="3"/>
      <c r="X840" s="3"/>
      <c r="Y840" s="3"/>
      <c r="Z840" s="3"/>
    </row>
    <row r="841" spans="1:26" ht="15.75" customHeight="1">
      <c r="A841" s="3"/>
      <c r="B841" s="3"/>
      <c r="C841" s="3"/>
      <c r="D841" s="33"/>
      <c r="E841" s="33"/>
      <c r="F841" s="33"/>
      <c r="G841" s="33"/>
      <c r="H841" s="33"/>
      <c r="I841" s="33"/>
      <c r="J841" s="33"/>
      <c r="K841" s="33"/>
      <c r="L841" s="33"/>
      <c r="M841" s="33"/>
      <c r="N841" s="33"/>
      <c r="O841" s="33"/>
      <c r="P841" s="33"/>
      <c r="Q841" s="33"/>
      <c r="R841" s="33"/>
      <c r="S841" s="33"/>
      <c r="T841" s="124"/>
      <c r="U841" s="3"/>
      <c r="V841" s="3"/>
      <c r="W841" s="3"/>
      <c r="X841" s="3"/>
      <c r="Y841" s="3"/>
      <c r="Z841" s="3"/>
    </row>
    <row r="842" spans="1:26" ht="15.75" customHeight="1">
      <c r="A842" s="3"/>
      <c r="B842" s="3"/>
      <c r="C842" s="3"/>
      <c r="D842" s="33"/>
      <c r="E842" s="33"/>
      <c r="F842" s="33"/>
      <c r="G842" s="33"/>
      <c r="H842" s="33"/>
      <c r="I842" s="33"/>
      <c r="J842" s="33"/>
      <c r="K842" s="33"/>
      <c r="L842" s="33"/>
      <c r="M842" s="33"/>
      <c r="N842" s="33"/>
      <c r="O842" s="33"/>
      <c r="P842" s="33"/>
      <c r="Q842" s="33"/>
      <c r="R842" s="33"/>
      <c r="S842" s="33"/>
      <c r="T842" s="124"/>
      <c r="U842" s="3"/>
      <c r="V842" s="3"/>
      <c r="W842" s="3"/>
      <c r="X842" s="3"/>
      <c r="Y842" s="3"/>
      <c r="Z842" s="3"/>
    </row>
    <row r="843" spans="1:26" ht="15.75" customHeight="1">
      <c r="A843" s="3"/>
      <c r="B843" s="3"/>
      <c r="C843" s="3"/>
      <c r="D843" s="33"/>
      <c r="E843" s="33"/>
      <c r="F843" s="33"/>
      <c r="G843" s="33"/>
      <c r="H843" s="33"/>
      <c r="I843" s="33"/>
      <c r="J843" s="33"/>
      <c r="K843" s="33"/>
      <c r="L843" s="33"/>
      <c r="M843" s="33"/>
      <c r="N843" s="33"/>
      <c r="O843" s="33"/>
      <c r="P843" s="33"/>
      <c r="Q843" s="33"/>
      <c r="R843" s="33"/>
      <c r="S843" s="33"/>
      <c r="T843" s="124"/>
      <c r="U843" s="3"/>
      <c r="V843" s="3"/>
      <c r="W843" s="3"/>
      <c r="X843" s="3"/>
      <c r="Y843" s="3"/>
      <c r="Z843" s="3"/>
    </row>
    <row r="844" spans="1:26" ht="15.75" customHeight="1">
      <c r="A844" s="3"/>
      <c r="B844" s="3"/>
      <c r="C844" s="3"/>
      <c r="D844" s="33"/>
      <c r="E844" s="33"/>
      <c r="F844" s="33"/>
      <c r="G844" s="33"/>
      <c r="H844" s="33"/>
      <c r="I844" s="33"/>
      <c r="J844" s="33"/>
      <c r="K844" s="33"/>
      <c r="L844" s="33"/>
      <c r="M844" s="33"/>
      <c r="N844" s="33"/>
      <c r="O844" s="33"/>
      <c r="P844" s="33"/>
      <c r="Q844" s="33"/>
      <c r="R844" s="33"/>
      <c r="S844" s="33"/>
      <c r="T844" s="124"/>
      <c r="U844" s="3"/>
      <c r="V844" s="3"/>
      <c r="W844" s="3"/>
      <c r="X844" s="3"/>
      <c r="Y844" s="3"/>
      <c r="Z844" s="3"/>
    </row>
    <row r="845" spans="1:26" ht="15.75" customHeight="1">
      <c r="A845" s="3"/>
      <c r="B845" s="3"/>
      <c r="C845" s="3"/>
      <c r="D845" s="33"/>
      <c r="E845" s="33"/>
      <c r="F845" s="33"/>
      <c r="G845" s="33"/>
      <c r="H845" s="33"/>
      <c r="I845" s="33"/>
      <c r="J845" s="33"/>
      <c r="K845" s="33"/>
      <c r="L845" s="33"/>
      <c r="M845" s="33"/>
      <c r="N845" s="33"/>
      <c r="O845" s="33"/>
      <c r="P845" s="33"/>
      <c r="Q845" s="33"/>
      <c r="R845" s="33"/>
      <c r="S845" s="33"/>
      <c r="T845" s="124"/>
      <c r="U845" s="3"/>
      <c r="V845" s="3"/>
      <c r="W845" s="3"/>
      <c r="X845" s="3"/>
      <c r="Y845" s="3"/>
      <c r="Z845" s="3"/>
    </row>
    <row r="846" spans="1:26" ht="15.75" customHeight="1">
      <c r="A846" s="3"/>
      <c r="B846" s="3"/>
      <c r="C846" s="3"/>
      <c r="D846" s="33"/>
      <c r="E846" s="33"/>
      <c r="F846" s="33"/>
      <c r="G846" s="33"/>
      <c r="H846" s="33"/>
      <c r="I846" s="33"/>
      <c r="J846" s="33"/>
      <c r="K846" s="33"/>
      <c r="L846" s="33"/>
      <c r="M846" s="33"/>
      <c r="N846" s="33"/>
      <c r="O846" s="33"/>
      <c r="P846" s="33"/>
      <c r="Q846" s="33"/>
      <c r="R846" s="33"/>
      <c r="S846" s="33"/>
      <c r="T846" s="124"/>
      <c r="U846" s="3"/>
      <c r="V846" s="3"/>
      <c r="W846" s="3"/>
      <c r="X846" s="3"/>
      <c r="Y846" s="3"/>
      <c r="Z846" s="3"/>
    </row>
    <row r="847" spans="1:26" ht="15.75" customHeight="1">
      <c r="A847" s="3"/>
      <c r="B847" s="3"/>
      <c r="C847" s="3"/>
      <c r="D847" s="33"/>
      <c r="E847" s="33"/>
      <c r="F847" s="33"/>
      <c r="G847" s="33"/>
      <c r="H847" s="33"/>
      <c r="I847" s="33"/>
      <c r="J847" s="33"/>
      <c r="K847" s="33"/>
      <c r="L847" s="33"/>
      <c r="M847" s="33"/>
      <c r="N847" s="33"/>
      <c r="O847" s="33"/>
      <c r="P847" s="33"/>
      <c r="Q847" s="33"/>
      <c r="R847" s="33"/>
      <c r="S847" s="33"/>
      <c r="T847" s="124"/>
      <c r="U847" s="3"/>
      <c r="V847" s="3"/>
      <c r="W847" s="3"/>
      <c r="X847" s="3"/>
      <c r="Y847" s="3"/>
      <c r="Z847" s="3"/>
    </row>
    <row r="848" spans="1:26" ht="15.75" customHeight="1">
      <c r="A848" s="3"/>
      <c r="B848" s="3"/>
      <c r="C848" s="3"/>
      <c r="D848" s="33"/>
      <c r="E848" s="33"/>
      <c r="F848" s="33"/>
      <c r="G848" s="33"/>
      <c r="H848" s="33"/>
      <c r="I848" s="33"/>
      <c r="J848" s="33"/>
      <c r="K848" s="33"/>
      <c r="L848" s="33"/>
      <c r="M848" s="33"/>
      <c r="N848" s="33"/>
      <c r="O848" s="33"/>
      <c r="P848" s="33"/>
      <c r="Q848" s="33"/>
      <c r="R848" s="33"/>
      <c r="S848" s="33"/>
      <c r="T848" s="124"/>
      <c r="U848" s="3"/>
      <c r="V848" s="3"/>
      <c r="W848" s="3"/>
      <c r="X848" s="3"/>
      <c r="Y848" s="3"/>
      <c r="Z848" s="3"/>
    </row>
    <row r="849" spans="1:26" ht="15.75" customHeight="1">
      <c r="A849" s="3"/>
      <c r="B849" s="3"/>
      <c r="C849" s="3"/>
      <c r="D849" s="33"/>
      <c r="E849" s="33"/>
      <c r="F849" s="33"/>
      <c r="G849" s="33"/>
      <c r="H849" s="33"/>
      <c r="I849" s="33"/>
      <c r="J849" s="33"/>
      <c r="K849" s="33"/>
      <c r="L849" s="33"/>
      <c r="M849" s="33"/>
      <c r="N849" s="33"/>
      <c r="O849" s="33"/>
      <c r="P849" s="33"/>
      <c r="Q849" s="33"/>
      <c r="R849" s="33"/>
      <c r="S849" s="33"/>
      <c r="T849" s="124"/>
      <c r="U849" s="3"/>
      <c r="V849" s="3"/>
      <c r="W849" s="3"/>
      <c r="X849" s="3"/>
      <c r="Y849" s="3"/>
      <c r="Z849" s="3"/>
    </row>
    <row r="850" spans="1:26" ht="15.75" customHeight="1">
      <c r="A850" s="3"/>
      <c r="B850" s="3"/>
      <c r="C850" s="3"/>
      <c r="D850" s="33"/>
      <c r="E850" s="33"/>
      <c r="F850" s="33"/>
      <c r="G850" s="33"/>
      <c r="H850" s="33"/>
      <c r="I850" s="33"/>
      <c r="J850" s="33"/>
      <c r="K850" s="33"/>
      <c r="L850" s="33"/>
      <c r="M850" s="33"/>
      <c r="N850" s="33"/>
      <c r="O850" s="33"/>
      <c r="P850" s="33"/>
      <c r="Q850" s="33"/>
      <c r="R850" s="33"/>
      <c r="S850" s="33"/>
      <c r="T850" s="124"/>
      <c r="U850" s="3"/>
      <c r="V850" s="3"/>
      <c r="W850" s="3"/>
      <c r="X850" s="3"/>
      <c r="Y850" s="3"/>
      <c r="Z850" s="3"/>
    </row>
    <row r="851" spans="1:26" ht="15.75" customHeight="1">
      <c r="A851" s="3"/>
      <c r="B851" s="3"/>
      <c r="C851" s="3"/>
      <c r="D851" s="33"/>
      <c r="E851" s="33"/>
      <c r="F851" s="33"/>
      <c r="G851" s="33"/>
      <c r="H851" s="33"/>
      <c r="I851" s="33"/>
      <c r="J851" s="33"/>
      <c r="K851" s="33"/>
      <c r="L851" s="33"/>
      <c r="M851" s="33"/>
      <c r="N851" s="33"/>
      <c r="O851" s="33"/>
      <c r="P851" s="33"/>
      <c r="Q851" s="33"/>
      <c r="R851" s="33"/>
      <c r="S851" s="33"/>
      <c r="T851" s="124"/>
      <c r="U851" s="3"/>
      <c r="V851" s="3"/>
      <c r="W851" s="3"/>
      <c r="X851" s="3"/>
      <c r="Y851" s="3"/>
      <c r="Z851" s="3"/>
    </row>
    <row r="852" spans="1:26" ht="15.75" customHeight="1">
      <c r="A852" s="3"/>
      <c r="B852" s="3"/>
      <c r="C852" s="3"/>
      <c r="D852" s="33"/>
      <c r="E852" s="33"/>
      <c r="F852" s="33"/>
      <c r="G852" s="33"/>
      <c r="H852" s="33"/>
      <c r="I852" s="33"/>
      <c r="J852" s="33"/>
      <c r="K852" s="33"/>
      <c r="L852" s="33"/>
      <c r="M852" s="33"/>
      <c r="N852" s="33"/>
      <c r="O852" s="33"/>
      <c r="P852" s="33"/>
      <c r="Q852" s="33"/>
      <c r="R852" s="33"/>
      <c r="S852" s="33"/>
      <c r="T852" s="124"/>
      <c r="U852" s="3"/>
      <c r="V852" s="3"/>
      <c r="W852" s="3"/>
      <c r="X852" s="3"/>
      <c r="Y852" s="3"/>
      <c r="Z852" s="3"/>
    </row>
    <row r="853" spans="1:26" ht="15.75" customHeight="1">
      <c r="A853" s="3"/>
      <c r="B853" s="3"/>
      <c r="C853" s="3"/>
      <c r="D853" s="33"/>
      <c r="E853" s="33"/>
      <c r="F853" s="33"/>
      <c r="G853" s="33"/>
      <c r="H853" s="33"/>
      <c r="I853" s="33"/>
      <c r="J853" s="33"/>
      <c r="K853" s="33"/>
      <c r="L853" s="33"/>
      <c r="M853" s="33"/>
      <c r="N853" s="33"/>
      <c r="O853" s="33"/>
      <c r="P853" s="33"/>
      <c r="Q853" s="33"/>
      <c r="R853" s="33"/>
      <c r="S853" s="33"/>
      <c r="T853" s="124"/>
      <c r="U853" s="3"/>
      <c r="V853" s="3"/>
      <c r="W853" s="3"/>
      <c r="X853" s="3"/>
      <c r="Y853" s="3"/>
      <c r="Z853" s="3"/>
    </row>
    <row r="854" spans="1:26" ht="15.75" customHeight="1">
      <c r="A854" s="3"/>
      <c r="B854" s="3"/>
      <c r="C854" s="3"/>
      <c r="D854" s="33"/>
      <c r="E854" s="33"/>
      <c r="F854" s="33"/>
      <c r="G854" s="33"/>
      <c r="H854" s="33"/>
      <c r="I854" s="33"/>
      <c r="J854" s="33"/>
      <c r="K854" s="33"/>
      <c r="L854" s="33"/>
      <c r="M854" s="33"/>
      <c r="N854" s="33"/>
      <c r="O854" s="33"/>
      <c r="P854" s="33"/>
      <c r="Q854" s="33"/>
      <c r="R854" s="33"/>
      <c r="S854" s="33"/>
      <c r="T854" s="124"/>
      <c r="U854" s="3"/>
      <c r="V854" s="3"/>
      <c r="W854" s="3"/>
      <c r="X854" s="3"/>
      <c r="Y854" s="3"/>
      <c r="Z854" s="3"/>
    </row>
    <row r="855" spans="1:26" ht="15.75" customHeight="1">
      <c r="A855" s="3"/>
      <c r="B855" s="3"/>
      <c r="C855" s="3"/>
      <c r="D855" s="33"/>
      <c r="E855" s="33"/>
      <c r="F855" s="33"/>
      <c r="G855" s="33"/>
      <c r="H855" s="33"/>
      <c r="I855" s="33"/>
      <c r="J855" s="33"/>
      <c r="K855" s="33"/>
      <c r="L855" s="33"/>
      <c r="M855" s="33"/>
      <c r="N855" s="33"/>
      <c r="O855" s="33"/>
      <c r="P855" s="33"/>
      <c r="Q855" s="33"/>
      <c r="R855" s="33"/>
      <c r="S855" s="33"/>
      <c r="T855" s="124"/>
      <c r="U855" s="3"/>
      <c r="V855" s="3"/>
      <c r="W855" s="3"/>
      <c r="X855" s="3"/>
      <c r="Y855" s="3"/>
      <c r="Z855" s="3"/>
    </row>
    <row r="856" spans="1:26" ht="15.75" customHeight="1">
      <c r="A856" s="3"/>
      <c r="B856" s="3"/>
      <c r="C856" s="3"/>
      <c r="D856" s="33"/>
      <c r="E856" s="33"/>
      <c r="F856" s="33"/>
      <c r="G856" s="33"/>
      <c r="H856" s="33"/>
      <c r="I856" s="33"/>
      <c r="J856" s="33"/>
      <c r="K856" s="33"/>
      <c r="L856" s="33"/>
      <c r="M856" s="33"/>
      <c r="N856" s="33"/>
      <c r="O856" s="33"/>
      <c r="P856" s="33"/>
      <c r="Q856" s="33"/>
      <c r="R856" s="33"/>
      <c r="S856" s="33"/>
      <c r="T856" s="124"/>
      <c r="U856" s="3"/>
      <c r="V856" s="3"/>
      <c r="W856" s="3"/>
      <c r="X856" s="3"/>
      <c r="Y856" s="3"/>
      <c r="Z856" s="3"/>
    </row>
    <row r="857" spans="1:26" ht="15.75" customHeight="1">
      <c r="A857" s="3"/>
      <c r="B857" s="3"/>
      <c r="C857" s="3"/>
      <c r="D857" s="33"/>
      <c r="E857" s="33"/>
      <c r="F857" s="33"/>
      <c r="G857" s="33"/>
      <c r="H857" s="33"/>
      <c r="I857" s="33"/>
      <c r="J857" s="33"/>
      <c r="K857" s="33"/>
      <c r="L857" s="33"/>
      <c r="M857" s="33"/>
      <c r="N857" s="33"/>
      <c r="O857" s="33"/>
      <c r="P857" s="33"/>
      <c r="Q857" s="33"/>
      <c r="R857" s="33"/>
      <c r="S857" s="33"/>
      <c r="T857" s="124"/>
      <c r="U857" s="3"/>
      <c r="V857" s="3"/>
      <c r="W857" s="3"/>
      <c r="X857" s="3"/>
      <c r="Y857" s="3"/>
      <c r="Z857" s="3"/>
    </row>
    <row r="858" spans="1:26" ht="15.75" customHeight="1">
      <c r="A858" s="3"/>
      <c r="B858" s="3"/>
      <c r="C858" s="3"/>
      <c r="D858" s="33"/>
      <c r="E858" s="33"/>
      <c r="F858" s="33"/>
      <c r="G858" s="33"/>
      <c r="H858" s="33"/>
      <c r="I858" s="33"/>
      <c r="J858" s="33"/>
      <c r="K858" s="33"/>
      <c r="L858" s="33"/>
      <c r="M858" s="33"/>
      <c r="N858" s="33"/>
      <c r="O858" s="33"/>
      <c r="P858" s="33"/>
      <c r="Q858" s="33"/>
      <c r="R858" s="33"/>
      <c r="S858" s="33"/>
      <c r="T858" s="124"/>
      <c r="U858" s="3"/>
      <c r="V858" s="3"/>
      <c r="W858" s="3"/>
      <c r="X858" s="3"/>
      <c r="Y858" s="3"/>
      <c r="Z858" s="3"/>
    </row>
    <row r="859" spans="1:26" ht="15.75" customHeight="1">
      <c r="A859" s="3"/>
      <c r="B859" s="3"/>
      <c r="C859" s="3"/>
      <c r="D859" s="33"/>
      <c r="E859" s="33"/>
      <c r="F859" s="33"/>
      <c r="G859" s="33"/>
      <c r="H859" s="33"/>
      <c r="I859" s="33"/>
      <c r="J859" s="33"/>
      <c r="K859" s="33"/>
      <c r="L859" s="33"/>
      <c r="M859" s="33"/>
      <c r="N859" s="33"/>
      <c r="O859" s="33"/>
      <c r="P859" s="33"/>
      <c r="Q859" s="33"/>
      <c r="R859" s="33"/>
      <c r="S859" s="33"/>
      <c r="T859" s="124"/>
      <c r="U859" s="3"/>
      <c r="V859" s="3"/>
      <c r="W859" s="3"/>
      <c r="X859" s="3"/>
      <c r="Y859" s="3"/>
      <c r="Z859" s="3"/>
    </row>
    <row r="860" spans="1:26" ht="15.75" customHeight="1">
      <c r="A860" s="3"/>
      <c r="B860" s="3"/>
      <c r="C860" s="3"/>
      <c r="D860" s="33"/>
      <c r="E860" s="33"/>
      <c r="F860" s="33"/>
      <c r="G860" s="33"/>
      <c r="H860" s="33"/>
      <c r="I860" s="33"/>
      <c r="J860" s="33"/>
      <c r="K860" s="33"/>
      <c r="L860" s="33"/>
      <c r="M860" s="33"/>
      <c r="N860" s="33"/>
      <c r="O860" s="33"/>
      <c r="P860" s="33"/>
      <c r="Q860" s="33"/>
      <c r="R860" s="33"/>
      <c r="S860" s="33"/>
      <c r="T860" s="124"/>
      <c r="U860" s="3"/>
      <c r="V860" s="3"/>
      <c r="W860" s="3"/>
      <c r="X860" s="3"/>
      <c r="Y860" s="3"/>
      <c r="Z860" s="3"/>
    </row>
    <row r="861" spans="1:26" ht="15.75" customHeight="1">
      <c r="A861" s="3"/>
      <c r="B861" s="3"/>
      <c r="C861" s="3"/>
      <c r="D861" s="33"/>
      <c r="E861" s="33"/>
      <c r="F861" s="33"/>
      <c r="G861" s="33"/>
      <c r="H861" s="33"/>
      <c r="I861" s="33"/>
      <c r="J861" s="33"/>
      <c r="K861" s="33"/>
      <c r="L861" s="33"/>
      <c r="M861" s="33"/>
      <c r="N861" s="33"/>
      <c r="O861" s="33"/>
      <c r="P861" s="33"/>
      <c r="Q861" s="33"/>
      <c r="R861" s="33"/>
      <c r="S861" s="33"/>
      <c r="T861" s="124"/>
      <c r="U861" s="3"/>
      <c r="V861" s="3"/>
      <c r="W861" s="3"/>
      <c r="X861" s="3"/>
      <c r="Y861" s="3"/>
      <c r="Z861" s="3"/>
    </row>
    <row r="862" spans="1:26" ht="15.75" customHeight="1">
      <c r="A862" s="3"/>
      <c r="B862" s="3"/>
      <c r="C862" s="3"/>
      <c r="D862" s="33"/>
      <c r="E862" s="33"/>
      <c r="F862" s="33"/>
      <c r="G862" s="33"/>
      <c r="H862" s="33"/>
      <c r="I862" s="33"/>
      <c r="J862" s="33"/>
      <c r="K862" s="33"/>
      <c r="L862" s="33"/>
      <c r="M862" s="33"/>
      <c r="N862" s="33"/>
      <c r="O862" s="33"/>
      <c r="P862" s="33"/>
      <c r="Q862" s="33"/>
      <c r="R862" s="33"/>
      <c r="S862" s="33"/>
      <c r="T862" s="124"/>
      <c r="U862" s="3"/>
      <c r="V862" s="3"/>
      <c r="W862" s="3"/>
      <c r="X862" s="3"/>
      <c r="Y862" s="3"/>
      <c r="Z862" s="3"/>
    </row>
    <row r="863" spans="1:26" ht="15.75" customHeight="1">
      <c r="A863" s="3"/>
      <c r="B863" s="3"/>
      <c r="C863" s="3"/>
      <c r="D863" s="33"/>
      <c r="E863" s="33"/>
      <c r="F863" s="33"/>
      <c r="G863" s="33"/>
      <c r="H863" s="33"/>
      <c r="I863" s="33"/>
      <c r="J863" s="33"/>
      <c r="K863" s="33"/>
      <c r="L863" s="33"/>
      <c r="M863" s="33"/>
      <c r="N863" s="33"/>
      <c r="O863" s="33"/>
      <c r="P863" s="33"/>
      <c r="Q863" s="33"/>
      <c r="R863" s="33"/>
      <c r="S863" s="33"/>
      <c r="T863" s="124"/>
      <c r="U863" s="3"/>
      <c r="V863" s="3"/>
      <c r="W863" s="3"/>
      <c r="X863" s="3"/>
      <c r="Y863" s="3"/>
      <c r="Z863" s="3"/>
    </row>
    <row r="864" spans="1:26" ht="15.75" customHeight="1">
      <c r="A864" s="3"/>
      <c r="B864" s="3"/>
      <c r="C864" s="3"/>
      <c r="D864" s="33"/>
      <c r="E864" s="33"/>
      <c r="F864" s="33"/>
      <c r="G864" s="33"/>
      <c r="H864" s="33"/>
      <c r="I864" s="33"/>
      <c r="J864" s="33"/>
      <c r="K864" s="33"/>
      <c r="L864" s="33"/>
      <c r="M864" s="33"/>
      <c r="N864" s="33"/>
      <c r="O864" s="33"/>
      <c r="P864" s="33"/>
      <c r="Q864" s="33"/>
      <c r="R864" s="33"/>
      <c r="S864" s="33"/>
      <c r="T864" s="124"/>
      <c r="U864" s="3"/>
      <c r="V864" s="3"/>
      <c r="W864" s="3"/>
      <c r="X864" s="3"/>
      <c r="Y864" s="3"/>
      <c r="Z864" s="3"/>
    </row>
    <row r="865" spans="1:26" ht="15.75" customHeight="1">
      <c r="A865" s="3"/>
      <c r="B865" s="3"/>
      <c r="C865" s="3"/>
      <c r="D865" s="33"/>
      <c r="E865" s="33"/>
      <c r="F865" s="33"/>
      <c r="G865" s="33"/>
      <c r="H865" s="33"/>
      <c r="I865" s="33"/>
      <c r="J865" s="33"/>
      <c r="K865" s="33"/>
      <c r="L865" s="33"/>
      <c r="M865" s="33"/>
      <c r="N865" s="33"/>
      <c r="O865" s="33"/>
      <c r="P865" s="33"/>
      <c r="Q865" s="33"/>
      <c r="R865" s="33"/>
      <c r="S865" s="33"/>
      <c r="T865" s="124"/>
      <c r="U865" s="3"/>
      <c r="V865" s="3"/>
      <c r="W865" s="3"/>
      <c r="X865" s="3"/>
      <c r="Y865" s="3"/>
      <c r="Z865" s="3"/>
    </row>
    <row r="866" spans="1:26" ht="15.75" customHeight="1">
      <c r="A866" s="3"/>
      <c r="B866" s="3"/>
      <c r="C866" s="3"/>
      <c r="D866" s="33"/>
      <c r="E866" s="33"/>
      <c r="F866" s="33"/>
      <c r="G866" s="33"/>
      <c r="H866" s="33"/>
      <c r="I866" s="33"/>
      <c r="J866" s="33"/>
      <c r="K866" s="33"/>
      <c r="L866" s="33"/>
      <c r="M866" s="33"/>
      <c r="N866" s="33"/>
      <c r="O866" s="33"/>
      <c r="P866" s="33"/>
      <c r="Q866" s="33"/>
      <c r="R866" s="33"/>
      <c r="S866" s="33"/>
      <c r="T866" s="124"/>
      <c r="U866" s="3"/>
      <c r="V866" s="3"/>
      <c r="W866" s="3"/>
      <c r="X866" s="3"/>
      <c r="Y866" s="3"/>
      <c r="Z866" s="3"/>
    </row>
    <row r="867" spans="1:26" ht="15.75" customHeight="1">
      <c r="A867" s="3"/>
      <c r="B867" s="3"/>
      <c r="C867" s="3"/>
      <c r="D867" s="33"/>
      <c r="E867" s="33"/>
      <c r="F867" s="33"/>
      <c r="G867" s="33"/>
      <c r="H867" s="33"/>
      <c r="I867" s="33"/>
      <c r="J867" s="33"/>
      <c r="K867" s="33"/>
      <c r="L867" s="33"/>
      <c r="M867" s="33"/>
      <c r="N867" s="33"/>
      <c r="O867" s="33"/>
      <c r="P867" s="33"/>
      <c r="Q867" s="33"/>
      <c r="R867" s="33"/>
      <c r="S867" s="33"/>
      <c r="T867" s="124"/>
      <c r="U867" s="3"/>
      <c r="V867" s="3"/>
      <c r="W867" s="3"/>
      <c r="X867" s="3"/>
      <c r="Y867" s="3"/>
      <c r="Z867" s="3"/>
    </row>
    <row r="868" spans="1:26" ht="15.75" customHeight="1">
      <c r="A868" s="3"/>
      <c r="B868" s="3"/>
      <c r="C868" s="3"/>
      <c r="D868" s="33"/>
      <c r="E868" s="33"/>
      <c r="F868" s="33"/>
      <c r="G868" s="33"/>
      <c r="H868" s="33"/>
      <c r="I868" s="33"/>
      <c r="J868" s="33"/>
      <c r="K868" s="33"/>
      <c r="L868" s="33"/>
      <c r="M868" s="33"/>
      <c r="N868" s="33"/>
      <c r="O868" s="33"/>
      <c r="P868" s="33"/>
      <c r="Q868" s="33"/>
      <c r="R868" s="33"/>
      <c r="S868" s="33"/>
      <c r="T868" s="124"/>
      <c r="U868" s="3"/>
      <c r="V868" s="3"/>
      <c r="W868" s="3"/>
      <c r="X868" s="3"/>
      <c r="Y868" s="3"/>
      <c r="Z868" s="3"/>
    </row>
    <row r="869" spans="1:26" ht="15.75" customHeight="1">
      <c r="A869" s="3"/>
      <c r="B869" s="3"/>
      <c r="C869" s="3"/>
      <c r="D869" s="33"/>
      <c r="E869" s="33"/>
      <c r="F869" s="33"/>
      <c r="G869" s="33"/>
      <c r="H869" s="33"/>
      <c r="I869" s="33"/>
      <c r="J869" s="33"/>
      <c r="K869" s="33"/>
      <c r="L869" s="33"/>
      <c r="M869" s="33"/>
      <c r="N869" s="33"/>
      <c r="O869" s="33"/>
      <c r="P869" s="33"/>
      <c r="Q869" s="33"/>
      <c r="R869" s="33"/>
      <c r="S869" s="33"/>
      <c r="T869" s="124"/>
      <c r="U869" s="3"/>
      <c r="V869" s="3"/>
      <c r="W869" s="3"/>
      <c r="X869" s="3"/>
      <c r="Y869" s="3"/>
      <c r="Z869" s="3"/>
    </row>
    <row r="870" spans="1:26" ht="15.75" customHeight="1">
      <c r="A870" s="3"/>
      <c r="B870" s="3"/>
      <c r="C870" s="3"/>
      <c r="D870" s="33"/>
      <c r="E870" s="33"/>
      <c r="F870" s="33"/>
      <c r="G870" s="33"/>
      <c r="H870" s="33"/>
      <c r="I870" s="33"/>
      <c r="J870" s="33"/>
      <c r="K870" s="33"/>
      <c r="L870" s="33"/>
      <c r="M870" s="33"/>
      <c r="N870" s="33"/>
      <c r="O870" s="33"/>
      <c r="P870" s="33"/>
      <c r="Q870" s="33"/>
      <c r="R870" s="33"/>
      <c r="S870" s="33"/>
      <c r="T870" s="124"/>
      <c r="U870" s="3"/>
      <c r="V870" s="3"/>
      <c r="W870" s="3"/>
      <c r="X870" s="3"/>
      <c r="Y870" s="3"/>
      <c r="Z870" s="3"/>
    </row>
    <row r="871" spans="1:26" ht="15.75" customHeight="1">
      <c r="A871" s="3"/>
      <c r="B871" s="3"/>
      <c r="C871" s="3"/>
      <c r="D871" s="33"/>
      <c r="E871" s="33"/>
      <c r="F871" s="33"/>
      <c r="G871" s="33"/>
      <c r="H871" s="33"/>
      <c r="I871" s="33"/>
      <c r="J871" s="33"/>
      <c r="K871" s="33"/>
      <c r="L871" s="33"/>
      <c r="M871" s="33"/>
      <c r="N871" s="33"/>
      <c r="O871" s="33"/>
      <c r="P871" s="33"/>
      <c r="Q871" s="33"/>
      <c r="R871" s="33"/>
      <c r="S871" s="33"/>
      <c r="T871" s="124"/>
      <c r="U871" s="3"/>
      <c r="V871" s="3"/>
      <c r="W871" s="3"/>
      <c r="X871" s="3"/>
      <c r="Y871" s="3"/>
      <c r="Z871" s="3"/>
    </row>
    <row r="872" spans="1:26" ht="15.75" customHeight="1">
      <c r="A872" s="3"/>
      <c r="B872" s="3"/>
      <c r="C872" s="3"/>
      <c r="D872" s="33"/>
      <c r="E872" s="33"/>
      <c r="F872" s="33"/>
      <c r="G872" s="33"/>
      <c r="H872" s="33"/>
      <c r="I872" s="33"/>
      <c r="J872" s="33"/>
      <c r="K872" s="33"/>
      <c r="L872" s="33"/>
      <c r="M872" s="33"/>
      <c r="N872" s="33"/>
      <c r="O872" s="33"/>
      <c r="P872" s="33"/>
      <c r="Q872" s="33"/>
      <c r="R872" s="33"/>
      <c r="S872" s="33"/>
      <c r="T872" s="124"/>
      <c r="U872" s="3"/>
      <c r="V872" s="3"/>
      <c r="W872" s="3"/>
      <c r="X872" s="3"/>
      <c r="Y872" s="3"/>
      <c r="Z872" s="3"/>
    </row>
    <row r="873" spans="1:26" ht="15.75" customHeight="1">
      <c r="A873" s="3"/>
      <c r="B873" s="3"/>
      <c r="C873" s="3"/>
      <c r="D873" s="33"/>
      <c r="E873" s="33"/>
      <c r="F873" s="33"/>
      <c r="G873" s="33"/>
      <c r="H873" s="33"/>
      <c r="I873" s="33"/>
      <c r="J873" s="33"/>
      <c r="K873" s="33"/>
      <c r="L873" s="33"/>
      <c r="M873" s="33"/>
      <c r="N873" s="33"/>
      <c r="O873" s="33"/>
      <c r="P873" s="33"/>
      <c r="Q873" s="33"/>
      <c r="R873" s="33"/>
      <c r="S873" s="33"/>
      <c r="T873" s="124"/>
      <c r="U873" s="3"/>
      <c r="V873" s="3"/>
      <c r="W873" s="3"/>
      <c r="X873" s="3"/>
      <c r="Y873" s="3"/>
      <c r="Z873" s="3"/>
    </row>
    <row r="874" spans="1:26" ht="15.75" customHeight="1">
      <c r="A874" s="3"/>
      <c r="B874" s="3"/>
      <c r="C874" s="3"/>
      <c r="D874" s="33"/>
      <c r="E874" s="33"/>
      <c r="F874" s="33"/>
      <c r="G874" s="33"/>
      <c r="H874" s="33"/>
      <c r="I874" s="33"/>
      <c r="J874" s="33"/>
      <c r="K874" s="33"/>
      <c r="L874" s="33"/>
      <c r="M874" s="33"/>
      <c r="N874" s="33"/>
      <c r="O874" s="33"/>
      <c r="P874" s="33"/>
      <c r="Q874" s="33"/>
      <c r="R874" s="33"/>
      <c r="S874" s="33"/>
      <c r="T874" s="124"/>
      <c r="U874" s="3"/>
      <c r="V874" s="3"/>
      <c r="W874" s="3"/>
      <c r="X874" s="3"/>
      <c r="Y874" s="3"/>
      <c r="Z874" s="3"/>
    </row>
    <row r="875" spans="1:26" ht="15.75" customHeight="1">
      <c r="A875" s="3"/>
      <c r="B875" s="3"/>
      <c r="C875" s="3"/>
      <c r="D875" s="33"/>
      <c r="E875" s="33"/>
      <c r="F875" s="33"/>
      <c r="G875" s="33"/>
      <c r="H875" s="33"/>
      <c r="I875" s="33"/>
      <c r="J875" s="33"/>
      <c r="K875" s="33"/>
      <c r="L875" s="33"/>
      <c r="M875" s="33"/>
      <c r="N875" s="33"/>
      <c r="O875" s="33"/>
      <c r="P875" s="33"/>
      <c r="Q875" s="33"/>
      <c r="R875" s="33"/>
      <c r="S875" s="33"/>
      <c r="T875" s="124"/>
      <c r="U875" s="3"/>
      <c r="V875" s="3"/>
      <c r="W875" s="3"/>
      <c r="X875" s="3"/>
      <c r="Y875" s="3"/>
      <c r="Z875" s="3"/>
    </row>
    <row r="876" spans="1:26" ht="15.75" customHeight="1">
      <c r="A876" s="3"/>
      <c r="B876" s="3"/>
      <c r="C876" s="3"/>
      <c r="D876" s="33"/>
      <c r="E876" s="33"/>
      <c r="F876" s="33"/>
      <c r="G876" s="33"/>
      <c r="H876" s="33"/>
      <c r="I876" s="33"/>
      <c r="J876" s="33"/>
      <c r="K876" s="33"/>
      <c r="L876" s="33"/>
      <c r="M876" s="33"/>
      <c r="N876" s="33"/>
      <c r="O876" s="33"/>
      <c r="P876" s="33"/>
      <c r="Q876" s="33"/>
      <c r="R876" s="33"/>
      <c r="S876" s="33"/>
      <c r="T876" s="124"/>
      <c r="U876" s="3"/>
      <c r="V876" s="3"/>
      <c r="W876" s="3"/>
      <c r="X876" s="3"/>
      <c r="Y876" s="3"/>
      <c r="Z876" s="3"/>
    </row>
    <row r="877" spans="1:26" ht="15.75" customHeight="1">
      <c r="A877" s="3"/>
      <c r="B877" s="3"/>
      <c r="C877" s="3"/>
      <c r="D877" s="33"/>
      <c r="E877" s="33"/>
      <c r="F877" s="33"/>
      <c r="G877" s="33"/>
      <c r="H877" s="33"/>
      <c r="I877" s="33"/>
      <c r="J877" s="33"/>
      <c r="K877" s="33"/>
      <c r="L877" s="33"/>
      <c r="M877" s="33"/>
      <c r="N877" s="33"/>
      <c r="O877" s="33"/>
      <c r="P877" s="33"/>
      <c r="Q877" s="33"/>
      <c r="R877" s="33"/>
      <c r="S877" s="33"/>
      <c r="T877" s="124"/>
      <c r="U877" s="3"/>
      <c r="V877" s="3"/>
      <c r="W877" s="3"/>
      <c r="X877" s="3"/>
      <c r="Y877" s="3"/>
      <c r="Z877" s="3"/>
    </row>
    <row r="878" spans="1:26" ht="15.75" customHeight="1">
      <c r="A878" s="3"/>
      <c r="B878" s="3"/>
      <c r="C878" s="3"/>
      <c r="D878" s="33"/>
      <c r="E878" s="33"/>
      <c r="F878" s="33"/>
      <c r="G878" s="33"/>
      <c r="H878" s="33"/>
      <c r="I878" s="33"/>
      <c r="J878" s="33"/>
      <c r="K878" s="33"/>
      <c r="L878" s="33"/>
      <c r="M878" s="33"/>
      <c r="N878" s="33"/>
      <c r="O878" s="33"/>
      <c r="P878" s="33"/>
      <c r="Q878" s="33"/>
      <c r="R878" s="33"/>
      <c r="S878" s="33"/>
      <c r="T878" s="124"/>
      <c r="U878" s="3"/>
      <c r="V878" s="3"/>
      <c r="W878" s="3"/>
      <c r="X878" s="3"/>
      <c r="Y878" s="3"/>
      <c r="Z878" s="3"/>
    </row>
    <row r="879" spans="1:26" ht="15.75" customHeight="1">
      <c r="A879" s="3"/>
      <c r="B879" s="3"/>
      <c r="C879" s="3"/>
      <c r="D879" s="33"/>
      <c r="E879" s="33"/>
      <c r="F879" s="33"/>
      <c r="G879" s="33"/>
      <c r="H879" s="33"/>
      <c r="I879" s="33"/>
      <c r="J879" s="33"/>
      <c r="K879" s="33"/>
      <c r="L879" s="33"/>
      <c r="M879" s="33"/>
      <c r="N879" s="33"/>
      <c r="O879" s="33"/>
      <c r="P879" s="33"/>
      <c r="Q879" s="33"/>
      <c r="R879" s="33"/>
      <c r="S879" s="33"/>
      <c r="T879" s="124"/>
      <c r="U879" s="3"/>
      <c r="V879" s="3"/>
      <c r="W879" s="3"/>
      <c r="X879" s="3"/>
      <c r="Y879" s="3"/>
      <c r="Z879" s="3"/>
    </row>
    <row r="880" spans="1:26" ht="15.75" customHeight="1">
      <c r="A880" s="3"/>
      <c r="B880" s="3"/>
      <c r="C880" s="3"/>
      <c r="D880" s="33"/>
      <c r="E880" s="33"/>
      <c r="F880" s="33"/>
      <c r="G880" s="33"/>
      <c r="H880" s="33"/>
      <c r="I880" s="33"/>
      <c r="J880" s="33"/>
      <c r="K880" s="33"/>
      <c r="L880" s="33"/>
      <c r="M880" s="33"/>
      <c r="N880" s="33"/>
      <c r="O880" s="33"/>
      <c r="P880" s="33"/>
      <c r="Q880" s="33"/>
      <c r="R880" s="33"/>
      <c r="S880" s="33"/>
      <c r="T880" s="124"/>
      <c r="U880" s="3"/>
      <c r="V880" s="3"/>
      <c r="W880" s="3"/>
      <c r="X880" s="3"/>
      <c r="Y880" s="3"/>
      <c r="Z880" s="3"/>
    </row>
    <row r="881" spans="1:26" ht="15.75" customHeight="1">
      <c r="A881" s="3"/>
      <c r="B881" s="3"/>
      <c r="C881" s="3"/>
      <c r="D881" s="33"/>
      <c r="E881" s="33"/>
      <c r="F881" s="33"/>
      <c r="G881" s="33"/>
      <c r="H881" s="33"/>
      <c r="I881" s="33"/>
      <c r="J881" s="33"/>
      <c r="K881" s="33"/>
      <c r="L881" s="33"/>
      <c r="M881" s="33"/>
      <c r="N881" s="33"/>
      <c r="O881" s="33"/>
      <c r="P881" s="33"/>
      <c r="Q881" s="33"/>
      <c r="R881" s="33"/>
      <c r="S881" s="33"/>
      <c r="T881" s="124"/>
      <c r="U881" s="3"/>
      <c r="V881" s="3"/>
      <c r="W881" s="3"/>
      <c r="X881" s="3"/>
      <c r="Y881" s="3"/>
      <c r="Z881" s="3"/>
    </row>
    <row r="882" spans="1:26" ht="15.75" customHeight="1">
      <c r="A882" s="3"/>
      <c r="B882" s="3"/>
      <c r="C882" s="3"/>
      <c r="D882" s="33"/>
      <c r="E882" s="33"/>
      <c r="F882" s="33"/>
      <c r="G882" s="33"/>
      <c r="H882" s="33"/>
      <c r="I882" s="33"/>
      <c r="J882" s="33"/>
      <c r="K882" s="33"/>
      <c r="L882" s="33"/>
      <c r="M882" s="33"/>
      <c r="N882" s="33"/>
      <c r="O882" s="33"/>
      <c r="P882" s="33"/>
      <c r="Q882" s="33"/>
      <c r="R882" s="33"/>
      <c r="S882" s="33"/>
      <c r="T882" s="124"/>
      <c r="U882" s="3"/>
      <c r="V882" s="3"/>
      <c r="W882" s="3"/>
      <c r="X882" s="3"/>
      <c r="Y882" s="3"/>
      <c r="Z882" s="3"/>
    </row>
    <row r="883" spans="1:26" ht="15.75" customHeight="1">
      <c r="A883" s="3"/>
      <c r="B883" s="3"/>
      <c r="C883" s="3"/>
      <c r="D883" s="33"/>
      <c r="E883" s="33"/>
      <c r="F883" s="33"/>
      <c r="G883" s="33"/>
      <c r="H883" s="33"/>
      <c r="I883" s="33"/>
      <c r="J883" s="33"/>
      <c r="K883" s="33"/>
      <c r="L883" s="33"/>
      <c r="M883" s="33"/>
      <c r="N883" s="33"/>
      <c r="O883" s="33"/>
      <c r="P883" s="33"/>
      <c r="Q883" s="33"/>
      <c r="R883" s="33"/>
      <c r="S883" s="33"/>
      <c r="T883" s="124"/>
      <c r="U883" s="3"/>
      <c r="V883" s="3"/>
      <c r="W883" s="3"/>
      <c r="X883" s="3"/>
      <c r="Y883" s="3"/>
      <c r="Z883" s="3"/>
    </row>
    <row r="884" spans="1:26" ht="15.75" customHeight="1">
      <c r="A884" s="3"/>
      <c r="B884" s="3"/>
      <c r="C884" s="3"/>
      <c r="D884" s="33"/>
      <c r="E884" s="33"/>
      <c r="F884" s="33"/>
      <c r="G884" s="33"/>
      <c r="H884" s="33"/>
      <c r="I884" s="33"/>
      <c r="J884" s="33"/>
      <c r="K884" s="33"/>
      <c r="L884" s="33"/>
      <c r="M884" s="33"/>
      <c r="N884" s="33"/>
      <c r="O884" s="33"/>
      <c r="P884" s="33"/>
      <c r="Q884" s="33"/>
      <c r="R884" s="33"/>
      <c r="S884" s="33"/>
      <c r="T884" s="124"/>
      <c r="U884" s="3"/>
      <c r="V884" s="3"/>
      <c r="W884" s="3"/>
      <c r="X884" s="3"/>
      <c r="Y884" s="3"/>
      <c r="Z884" s="3"/>
    </row>
    <row r="885" spans="1:26" ht="15.75" customHeight="1">
      <c r="A885" s="3"/>
      <c r="B885" s="3"/>
      <c r="C885" s="3"/>
      <c r="D885" s="33"/>
      <c r="E885" s="33"/>
      <c r="F885" s="33"/>
      <c r="G885" s="33"/>
      <c r="H885" s="33"/>
      <c r="I885" s="33"/>
      <c r="J885" s="33"/>
      <c r="K885" s="33"/>
      <c r="L885" s="33"/>
      <c r="M885" s="33"/>
      <c r="N885" s="33"/>
      <c r="O885" s="33"/>
      <c r="P885" s="33"/>
      <c r="Q885" s="33"/>
      <c r="R885" s="33"/>
      <c r="S885" s="33"/>
      <c r="T885" s="124"/>
      <c r="U885" s="3"/>
      <c r="V885" s="3"/>
      <c r="W885" s="3"/>
      <c r="X885" s="3"/>
      <c r="Y885" s="3"/>
      <c r="Z885" s="3"/>
    </row>
    <row r="886" spans="1:26" ht="15.75" customHeight="1">
      <c r="A886" s="3"/>
      <c r="B886" s="3"/>
      <c r="C886" s="3"/>
      <c r="D886" s="33"/>
      <c r="E886" s="33"/>
      <c r="F886" s="33"/>
      <c r="G886" s="33"/>
      <c r="H886" s="33"/>
      <c r="I886" s="33"/>
      <c r="J886" s="33"/>
      <c r="K886" s="33"/>
      <c r="L886" s="33"/>
      <c r="M886" s="33"/>
      <c r="N886" s="33"/>
      <c r="O886" s="33"/>
      <c r="P886" s="33"/>
      <c r="Q886" s="33"/>
      <c r="R886" s="33"/>
      <c r="S886" s="33"/>
      <c r="T886" s="124"/>
      <c r="U886" s="3"/>
      <c r="V886" s="3"/>
      <c r="W886" s="3"/>
      <c r="X886" s="3"/>
      <c r="Y886" s="3"/>
      <c r="Z886" s="3"/>
    </row>
    <row r="887" spans="1:26" ht="15.75" customHeight="1">
      <c r="A887" s="3"/>
      <c r="B887" s="3"/>
      <c r="C887" s="3"/>
      <c r="D887" s="33"/>
      <c r="E887" s="33"/>
      <c r="F887" s="33"/>
      <c r="G887" s="33"/>
      <c r="H887" s="33"/>
      <c r="I887" s="33"/>
      <c r="J887" s="33"/>
      <c r="K887" s="33"/>
      <c r="L887" s="33"/>
      <c r="M887" s="33"/>
      <c r="N887" s="33"/>
      <c r="O887" s="33"/>
      <c r="P887" s="33"/>
      <c r="Q887" s="33"/>
      <c r="R887" s="33"/>
      <c r="S887" s="33"/>
      <c r="T887" s="124"/>
      <c r="U887" s="3"/>
      <c r="V887" s="3"/>
      <c r="W887" s="3"/>
      <c r="X887" s="3"/>
      <c r="Y887" s="3"/>
      <c r="Z887" s="3"/>
    </row>
    <row r="888" spans="1:26" ht="15.75" customHeight="1">
      <c r="A888" s="3"/>
      <c r="B888" s="3"/>
      <c r="C888" s="3"/>
      <c r="D888" s="33"/>
      <c r="E888" s="33"/>
      <c r="F888" s="33"/>
      <c r="G888" s="33"/>
      <c r="H888" s="33"/>
      <c r="I888" s="33"/>
      <c r="J888" s="33"/>
      <c r="K888" s="33"/>
      <c r="L888" s="33"/>
      <c r="M888" s="33"/>
      <c r="N888" s="33"/>
      <c r="O888" s="33"/>
      <c r="P888" s="33"/>
      <c r="Q888" s="33"/>
      <c r="R888" s="33"/>
      <c r="S888" s="33"/>
      <c r="T888" s="124"/>
      <c r="U888" s="3"/>
      <c r="V888" s="3"/>
      <c r="W888" s="3"/>
      <c r="X888" s="3"/>
      <c r="Y888" s="3"/>
      <c r="Z888" s="3"/>
    </row>
    <row r="889" spans="1:26" ht="15.75" customHeight="1">
      <c r="A889" s="3"/>
      <c r="B889" s="3"/>
      <c r="C889" s="3"/>
      <c r="D889" s="33"/>
      <c r="E889" s="33"/>
      <c r="F889" s="33"/>
      <c r="G889" s="33"/>
      <c r="H889" s="33"/>
      <c r="I889" s="33"/>
      <c r="J889" s="33"/>
      <c r="K889" s="33"/>
      <c r="L889" s="33"/>
      <c r="M889" s="33"/>
      <c r="N889" s="33"/>
      <c r="O889" s="33"/>
      <c r="P889" s="33"/>
      <c r="Q889" s="33"/>
      <c r="R889" s="33"/>
      <c r="S889" s="33"/>
      <c r="T889" s="124"/>
      <c r="U889" s="3"/>
      <c r="V889" s="3"/>
      <c r="W889" s="3"/>
      <c r="X889" s="3"/>
      <c r="Y889" s="3"/>
      <c r="Z889" s="3"/>
    </row>
    <row r="890" spans="1:26" ht="15.75" customHeight="1">
      <c r="A890" s="3"/>
      <c r="B890" s="3"/>
      <c r="C890" s="3"/>
      <c r="D890" s="33"/>
      <c r="E890" s="33"/>
      <c r="F890" s="33"/>
      <c r="G890" s="33"/>
      <c r="H890" s="33"/>
      <c r="I890" s="33"/>
      <c r="J890" s="33"/>
      <c r="K890" s="33"/>
      <c r="L890" s="33"/>
      <c r="M890" s="33"/>
      <c r="N890" s="33"/>
      <c r="O890" s="33"/>
      <c r="P890" s="33"/>
      <c r="Q890" s="33"/>
      <c r="R890" s="33"/>
      <c r="S890" s="33"/>
      <c r="T890" s="124"/>
      <c r="U890" s="3"/>
      <c r="V890" s="3"/>
      <c r="W890" s="3"/>
      <c r="X890" s="3"/>
      <c r="Y890" s="3"/>
      <c r="Z890" s="3"/>
    </row>
    <row r="891" spans="1:26" ht="15.75" customHeight="1">
      <c r="A891" s="3"/>
      <c r="B891" s="3"/>
      <c r="C891" s="3"/>
      <c r="D891" s="33"/>
      <c r="E891" s="33"/>
      <c r="F891" s="33"/>
      <c r="G891" s="33"/>
      <c r="H891" s="33"/>
      <c r="I891" s="33"/>
      <c r="J891" s="33"/>
      <c r="K891" s="33"/>
      <c r="L891" s="33"/>
      <c r="M891" s="33"/>
      <c r="N891" s="33"/>
      <c r="O891" s="33"/>
      <c r="P891" s="33"/>
      <c r="Q891" s="33"/>
      <c r="R891" s="33"/>
      <c r="S891" s="33"/>
      <c r="T891" s="124"/>
      <c r="U891" s="3"/>
      <c r="V891" s="3"/>
      <c r="W891" s="3"/>
      <c r="X891" s="3"/>
      <c r="Y891" s="3"/>
      <c r="Z891" s="3"/>
    </row>
    <row r="892" spans="1:26" ht="15.75" customHeight="1">
      <c r="A892" s="3"/>
      <c r="B892" s="3"/>
      <c r="C892" s="3"/>
      <c r="D892" s="33"/>
      <c r="E892" s="33"/>
      <c r="F892" s="33"/>
      <c r="G892" s="33"/>
      <c r="H892" s="33"/>
      <c r="I892" s="33"/>
      <c r="J892" s="33"/>
      <c r="K892" s="33"/>
      <c r="L892" s="33"/>
      <c r="M892" s="33"/>
      <c r="N892" s="33"/>
      <c r="O892" s="33"/>
      <c r="P892" s="33"/>
      <c r="Q892" s="33"/>
      <c r="R892" s="33"/>
      <c r="S892" s="33"/>
      <c r="T892" s="124"/>
      <c r="U892" s="3"/>
      <c r="V892" s="3"/>
      <c r="W892" s="3"/>
      <c r="X892" s="3"/>
      <c r="Y892" s="3"/>
      <c r="Z892" s="3"/>
    </row>
    <row r="893" spans="1:26" ht="15.75" customHeight="1">
      <c r="A893" s="3"/>
      <c r="B893" s="3"/>
      <c r="C893" s="3"/>
      <c r="D893" s="33"/>
      <c r="E893" s="33"/>
      <c r="F893" s="33"/>
      <c r="G893" s="33"/>
      <c r="H893" s="33"/>
      <c r="I893" s="33"/>
      <c r="J893" s="33"/>
      <c r="K893" s="33"/>
      <c r="L893" s="33"/>
      <c r="M893" s="33"/>
      <c r="N893" s="33"/>
      <c r="O893" s="33"/>
      <c r="P893" s="33"/>
      <c r="Q893" s="33"/>
      <c r="R893" s="33"/>
      <c r="S893" s="33"/>
      <c r="T893" s="124"/>
      <c r="U893" s="3"/>
      <c r="V893" s="3"/>
      <c r="W893" s="3"/>
      <c r="X893" s="3"/>
      <c r="Y893" s="3"/>
      <c r="Z893" s="3"/>
    </row>
    <row r="894" spans="1:26" ht="15.75" customHeight="1">
      <c r="A894" s="3"/>
      <c r="B894" s="3"/>
      <c r="C894" s="3"/>
      <c r="D894" s="33"/>
      <c r="E894" s="33"/>
      <c r="F894" s="33"/>
      <c r="G894" s="33"/>
      <c r="H894" s="33"/>
      <c r="I894" s="33"/>
      <c r="J894" s="33"/>
      <c r="K894" s="33"/>
      <c r="L894" s="33"/>
      <c r="M894" s="33"/>
      <c r="N894" s="33"/>
      <c r="O894" s="33"/>
      <c r="P894" s="33"/>
      <c r="Q894" s="33"/>
      <c r="R894" s="33"/>
      <c r="S894" s="33"/>
      <c r="T894" s="124"/>
      <c r="U894" s="3"/>
      <c r="V894" s="3"/>
      <c r="W894" s="3"/>
      <c r="X894" s="3"/>
      <c r="Y894" s="3"/>
      <c r="Z894" s="3"/>
    </row>
    <row r="895" spans="1:26" ht="15.75" customHeight="1">
      <c r="A895" s="3"/>
      <c r="B895" s="3"/>
      <c r="C895" s="3"/>
      <c r="D895" s="33"/>
      <c r="E895" s="33"/>
      <c r="F895" s="33"/>
      <c r="G895" s="33"/>
      <c r="H895" s="33"/>
      <c r="I895" s="33"/>
      <c r="J895" s="33"/>
      <c r="K895" s="33"/>
      <c r="L895" s="33"/>
      <c r="M895" s="33"/>
      <c r="N895" s="33"/>
      <c r="O895" s="33"/>
      <c r="P895" s="33"/>
      <c r="Q895" s="33"/>
      <c r="R895" s="33"/>
      <c r="S895" s="33"/>
      <c r="T895" s="124"/>
      <c r="U895" s="3"/>
      <c r="V895" s="3"/>
      <c r="W895" s="3"/>
      <c r="X895" s="3"/>
      <c r="Y895" s="3"/>
      <c r="Z895" s="3"/>
    </row>
    <row r="896" spans="1:26" ht="15.75" customHeight="1">
      <c r="A896" s="3"/>
      <c r="B896" s="3"/>
      <c r="C896" s="3"/>
      <c r="D896" s="33"/>
      <c r="E896" s="33"/>
      <c r="F896" s="33"/>
      <c r="G896" s="33"/>
      <c r="H896" s="33"/>
      <c r="I896" s="33"/>
      <c r="J896" s="33"/>
      <c r="K896" s="33"/>
      <c r="L896" s="33"/>
      <c r="M896" s="33"/>
      <c r="N896" s="33"/>
      <c r="O896" s="33"/>
      <c r="P896" s="33"/>
      <c r="Q896" s="33"/>
      <c r="R896" s="33"/>
      <c r="S896" s="33"/>
      <c r="T896" s="124"/>
      <c r="U896" s="3"/>
      <c r="V896" s="3"/>
      <c r="W896" s="3"/>
      <c r="X896" s="3"/>
      <c r="Y896" s="3"/>
      <c r="Z896" s="3"/>
    </row>
    <row r="897" spans="1:26" ht="15.75" customHeight="1">
      <c r="A897" s="3"/>
      <c r="B897" s="3"/>
      <c r="C897" s="3"/>
      <c r="D897" s="33"/>
      <c r="E897" s="33"/>
      <c r="F897" s="33"/>
      <c r="G897" s="33"/>
      <c r="H897" s="33"/>
      <c r="I897" s="33"/>
      <c r="J897" s="33"/>
      <c r="K897" s="33"/>
      <c r="L897" s="33"/>
      <c r="M897" s="33"/>
      <c r="N897" s="33"/>
      <c r="O897" s="33"/>
      <c r="P897" s="33"/>
      <c r="Q897" s="33"/>
      <c r="R897" s="33"/>
      <c r="S897" s="33"/>
      <c r="T897" s="124"/>
      <c r="U897" s="3"/>
      <c r="V897" s="3"/>
      <c r="W897" s="3"/>
      <c r="X897" s="3"/>
      <c r="Y897" s="3"/>
      <c r="Z897" s="3"/>
    </row>
    <row r="898" spans="1:26" ht="15.75" customHeight="1">
      <c r="A898" s="3"/>
      <c r="B898" s="3"/>
      <c r="C898" s="3"/>
      <c r="D898" s="33"/>
      <c r="E898" s="33"/>
      <c r="F898" s="33"/>
      <c r="G898" s="33"/>
      <c r="H898" s="33"/>
      <c r="I898" s="33"/>
      <c r="J898" s="33"/>
      <c r="K898" s="33"/>
      <c r="L898" s="33"/>
      <c r="M898" s="33"/>
      <c r="N898" s="33"/>
      <c r="O898" s="33"/>
      <c r="P898" s="33"/>
      <c r="Q898" s="33"/>
      <c r="R898" s="33"/>
      <c r="S898" s="33"/>
      <c r="T898" s="124"/>
      <c r="U898" s="3"/>
      <c r="V898" s="3"/>
      <c r="W898" s="3"/>
      <c r="X898" s="3"/>
      <c r="Y898" s="3"/>
      <c r="Z898" s="3"/>
    </row>
    <row r="899" spans="1:26" ht="15.75" customHeight="1">
      <c r="A899" s="3"/>
      <c r="B899" s="3"/>
      <c r="C899" s="3"/>
      <c r="D899" s="33"/>
      <c r="E899" s="33"/>
      <c r="F899" s="33"/>
      <c r="G899" s="33"/>
      <c r="H899" s="33"/>
      <c r="I899" s="33"/>
      <c r="J899" s="33"/>
      <c r="K899" s="33"/>
      <c r="L899" s="33"/>
      <c r="M899" s="33"/>
      <c r="N899" s="33"/>
      <c r="O899" s="33"/>
      <c r="P899" s="33"/>
      <c r="Q899" s="33"/>
      <c r="R899" s="33"/>
      <c r="S899" s="33"/>
      <c r="T899" s="124"/>
      <c r="U899" s="3"/>
      <c r="V899" s="3"/>
      <c r="W899" s="3"/>
      <c r="X899" s="3"/>
      <c r="Y899" s="3"/>
      <c r="Z899" s="3"/>
    </row>
    <row r="900" spans="1:26" ht="15.75" customHeight="1">
      <c r="A900" s="3"/>
      <c r="B900" s="3"/>
      <c r="C900" s="3"/>
      <c r="D900" s="33"/>
      <c r="E900" s="33"/>
      <c r="F900" s="33"/>
      <c r="G900" s="33"/>
      <c r="H900" s="33"/>
      <c r="I900" s="33"/>
      <c r="J900" s="33"/>
      <c r="K900" s="33"/>
      <c r="L900" s="33"/>
      <c r="M900" s="33"/>
      <c r="N900" s="33"/>
      <c r="O900" s="33"/>
      <c r="P900" s="33"/>
      <c r="Q900" s="33"/>
      <c r="R900" s="33"/>
      <c r="S900" s="33"/>
      <c r="T900" s="124"/>
      <c r="U900" s="3"/>
      <c r="V900" s="3"/>
      <c r="W900" s="3"/>
      <c r="X900" s="3"/>
      <c r="Y900" s="3"/>
      <c r="Z900" s="3"/>
    </row>
    <row r="901" spans="1:26" ht="15.75" customHeight="1">
      <c r="A901" s="3"/>
      <c r="B901" s="3"/>
      <c r="C901" s="3"/>
      <c r="D901" s="33"/>
      <c r="E901" s="33"/>
      <c r="F901" s="33"/>
      <c r="G901" s="33"/>
      <c r="H901" s="33"/>
      <c r="I901" s="33"/>
      <c r="J901" s="33"/>
      <c r="K901" s="33"/>
      <c r="L901" s="33"/>
      <c r="M901" s="33"/>
      <c r="N901" s="33"/>
      <c r="O901" s="33"/>
      <c r="P901" s="33"/>
      <c r="Q901" s="33"/>
      <c r="R901" s="33"/>
      <c r="S901" s="33"/>
      <c r="T901" s="124"/>
      <c r="U901" s="3"/>
      <c r="V901" s="3"/>
      <c r="W901" s="3"/>
      <c r="X901" s="3"/>
      <c r="Y901" s="3"/>
      <c r="Z901" s="3"/>
    </row>
    <row r="902" spans="1:26" ht="15.75" customHeight="1">
      <c r="A902" s="3"/>
      <c r="B902" s="3"/>
      <c r="C902" s="3"/>
      <c r="D902" s="33"/>
      <c r="E902" s="33"/>
      <c r="F902" s="33"/>
      <c r="G902" s="33"/>
      <c r="H902" s="33"/>
      <c r="I902" s="33"/>
      <c r="J902" s="33"/>
      <c r="K902" s="33"/>
      <c r="L902" s="33"/>
      <c r="M902" s="33"/>
      <c r="N902" s="33"/>
      <c r="O902" s="33"/>
      <c r="P902" s="33"/>
      <c r="Q902" s="33"/>
      <c r="R902" s="33"/>
      <c r="S902" s="33"/>
      <c r="T902" s="124"/>
      <c r="U902" s="3"/>
      <c r="V902" s="3"/>
      <c r="W902" s="3"/>
      <c r="X902" s="3"/>
      <c r="Y902" s="3"/>
      <c r="Z902" s="3"/>
    </row>
    <row r="903" spans="1:26" ht="15.75" customHeight="1">
      <c r="A903" s="3"/>
      <c r="B903" s="3"/>
      <c r="C903" s="3"/>
      <c r="D903" s="33"/>
      <c r="E903" s="33"/>
      <c r="F903" s="33"/>
      <c r="G903" s="33"/>
      <c r="H903" s="33"/>
      <c r="I903" s="33"/>
      <c r="J903" s="33"/>
      <c r="K903" s="33"/>
      <c r="L903" s="33"/>
      <c r="M903" s="33"/>
      <c r="N903" s="33"/>
      <c r="O903" s="33"/>
      <c r="P903" s="33"/>
      <c r="Q903" s="33"/>
      <c r="R903" s="33"/>
      <c r="S903" s="33"/>
      <c r="T903" s="124"/>
      <c r="U903" s="3"/>
      <c r="V903" s="3"/>
      <c r="W903" s="3"/>
      <c r="X903" s="3"/>
      <c r="Y903" s="3"/>
      <c r="Z903" s="3"/>
    </row>
    <row r="904" spans="1:26" ht="15.75" customHeight="1">
      <c r="A904" s="3"/>
      <c r="B904" s="3"/>
      <c r="C904" s="3"/>
      <c r="D904" s="33"/>
      <c r="E904" s="33"/>
      <c r="F904" s="33"/>
      <c r="G904" s="33"/>
      <c r="H904" s="33"/>
      <c r="I904" s="33"/>
      <c r="J904" s="33"/>
      <c r="K904" s="33"/>
      <c r="L904" s="33"/>
      <c r="M904" s="33"/>
      <c r="N904" s="33"/>
      <c r="O904" s="33"/>
      <c r="P904" s="33"/>
      <c r="Q904" s="33"/>
      <c r="R904" s="33"/>
      <c r="S904" s="33"/>
      <c r="T904" s="124"/>
      <c r="U904" s="3"/>
      <c r="V904" s="3"/>
      <c r="W904" s="3"/>
      <c r="X904" s="3"/>
      <c r="Y904" s="3"/>
      <c r="Z904" s="3"/>
    </row>
    <row r="905" spans="1:26" ht="15.75" customHeight="1">
      <c r="A905" s="3"/>
      <c r="B905" s="3"/>
      <c r="C905" s="3"/>
      <c r="D905" s="33"/>
      <c r="E905" s="33"/>
      <c r="F905" s="33"/>
      <c r="G905" s="33"/>
      <c r="H905" s="33"/>
      <c r="I905" s="33"/>
      <c r="J905" s="33"/>
      <c r="K905" s="33"/>
      <c r="L905" s="33"/>
      <c r="M905" s="33"/>
      <c r="N905" s="33"/>
      <c r="O905" s="33"/>
      <c r="P905" s="33"/>
      <c r="Q905" s="33"/>
      <c r="R905" s="33"/>
      <c r="S905" s="33"/>
      <c r="T905" s="124"/>
      <c r="U905" s="3"/>
      <c r="V905" s="3"/>
      <c r="W905" s="3"/>
      <c r="X905" s="3"/>
      <c r="Y905" s="3"/>
      <c r="Z905" s="3"/>
    </row>
    <row r="906" spans="1:26" ht="15.75" customHeight="1">
      <c r="A906" s="3"/>
      <c r="B906" s="3"/>
      <c r="C906" s="3"/>
      <c r="D906" s="33"/>
      <c r="E906" s="33"/>
      <c r="F906" s="33"/>
      <c r="G906" s="33"/>
      <c r="H906" s="33"/>
      <c r="I906" s="33"/>
      <c r="J906" s="33"/>
      <c r="K906" s="33"/>
      <c r="L906" s="33"/>
      <c r="M906" s="33"/>
      <c r="N906" s="33"/>
      <c r="O906" s="33"/>
      <c r="P906" s="33"/>
      <c r="Q906" s="33"/>
      <c r="R906" s="33"/>
      <c r="S906" s="33"/>
      <c r="T906" s="124"/>
      <c r="U906" s="3"/>
      <c r="V906" s="3"/>
      <c r="W906" s="3"/>
      <c r="X906" s="3"/>
      <c r="Y906" s="3"/>
      <c r="Z906" s="3"/>
    </row>
    <row r="907" spans="1:26" ht="15.75" customHeight="1">
      <c r="A907" s="3"/>
      <c r="B907" s="3"/>
      <c r="C907" s="3"/>
      <c r="D907" s="33"/>
      <c r="E907" s="33"/>
      <c r="F907" s="33"/>
      <c r="G907" s="33"/>
      <c r="H907" s="33"/>
      <c r="I907" s="33"/>
      <c r="J907" s="33"/>
      <c r="K907" s="33"/>
      <c r="L907" s="33"/>
      <c r="M907" s="33"/>
      <c r="N907" s="33"/>
      <c r="O907" s="33"/>
      <c r="P907" s="33"/>
      <c r="Q907" s="33"/>
      <c r="R907" s="33"/>
      <c r="S907" s="33"/>
      <c r="T907" s="124"/>
      <c r="U907" s="3"/>
      <c r="V907" s="3"/>
      <c r="W907" s="3"/>
      <c r="X907" s="3"/>
      <c r="Y907" s="3"/>
      <c r="Z907" s="3"/>
    </row>
    <row r="908" spans="1:26" ht="15.75" customHeight="1">
      <c r="A908" s="3"/>
      <c r="B908" s="3"/>
      <c r="C908" s="3"/>
      <c r="D908" s="33"/>
      <c r="E908" s="33"/>
      <c r="F908" s="33"/>
      <c r="G908" s="33"/>
      <c r="H908" s="33"/>
      <c r="I908" s="33"/>
      <c r="J908" s="33"/>
      <c r="K908" s="33"/>
      <c r="L908" s="33"/>
      <c r="M908" s="33"/>
      <c r="N908" s="33"/>
      <c r="O908" s="33"/>
      <c r="P908" s="33"/>
      <c r="Q908" s="33"/>
      <c r="R908" s="33"/>
      <c r="S908" s="33"/>
      <c r="T908" s="124"/>
      <c r="U908" s="3"/>
      <c r="V908" s="3"/>
      <c r="W908" s="3"/>
      <c r="X908" s="3"/>
      <c r="Y908" s="3"/>
      <c r="Z908" s="3"/>
    </row>
    <row r="909" spans="1:26" ht="15.75" customHeight="1">
      <c r="A909" s="3"/>
      <c r="B909" s="3"/>
      <c r="C909" s="3"/>
      <c r="D909" s="33"/>
      <c r="E909" s="33"/>
      <c r="F909" s="33"/>
      <c r="G909" s="33"/>
      <c r="H909" s="33"/>
      <c r="I909" s="33"/>
      <c r="J909" s="33"/>
      <c r="K909" s="33"/>
      <c r="L909" s="33"/>
      <c r="M909" s="33"/>
      <c r="N909" s="33"/>
      <c r="O909" s="33"/>
      <c r="P909" s="33"/>
      <c r="Q909" s="33"/>
      <c r="R909" s="33"/>
      <c r="S909" s="33"/>
      <c r="T909" s="124"/>
      <c r="U909" s="3"/>
      <c r="V909" s="3"/>
      <c r="W909" s="3"/>
      <c r="X909" s="3"/>
      <c r="Y909" s="3"/>
      <c r="Z909" s="3"/>
    </row>
    <row r="910" spans="1:26" ht="15.75" customHeight="1">
      <c r="A910" s="3"/>
      <c r="B910" s="3"/>
      <c r="C910" s="3"/>
      <c r="D910" s="33"/>
      <c r="E910" s="33"/>
      <c r="F910" s="33"/>
      <c r="G910" s="33"/>
      <c r="H910" s="33"/>
      <c r="I910" s="33"/>
      <c r="J910" s="33"/>
      <c r="K910" s="33"/>
      <c r="L910" s="33"/>
      <c r="M910" s="33"/>
      <c r="N910" s="33"/>
      <c r="O910" s="33"/>
      <c r="P910" s="33"/>
      <c r="Q910" s="33"/>
      <c r="R910" s="33"/>
      <c r="S910" s="33"/>
      <c r="T910" s="124"/>
      <c r="U910" s="3"/>
      <c r="V910" s="3"/>
      <c r="W910" s="3"/>
      <c r="X910" s="3"/>
      <c r="Y910" s="3"/>
      <c r="Z910" s="3"/>
    </row>
    <row r="911" spans="1:26" ht="15.75" customHeight="1">
      <c r="A911" s="3"/>
      <c r="B911" s="3"/>
      <c r="C911" s="3"/>
      <c r="D911" s="33"/>
      <c r="E911" s="33"/>
      <c r="F911" s="33"/>
      <c r="G911" s="33"/>
      <c r="H911" s="33"/>
      <c r="I911" s="33"/>
      <c r="J911" s="33"/>
      <c r="K911" s="33"/>
      <c r="L911" s="33"/>
      <c r="M911" s="33"/>
      <c r="N911" s="33"/>
      <c r="O911" s="33"/>
      <c r="P911" s="33"/>
      <c r="Q911" s="33"/>
      <c r="R911" s="33"/>
      <c r="S911" s="33"/>
      <c r="T911" s="124"/>
      <c r="U911" s="3"/>
      <c r="V911" s="3"/>
      <c r="W911" s="3"/>
      <c r="X911" s="3"/>
      <c r="Y911" s="3"/>
      <c r="Z911" s="3"/>
    </row>
    <row r="912" spans="1:26" ht="15.75" customHeight="1">
      <c r="A912" s="3"/>
      <c r="B912" s="3"/>
      <c r="C912" s="3"/>
      <c r="D912" s="33"/>
      <c r="E912" s="33"/>
      <c r="F912" s="33"/>
      <c r="G912" s="33"/>
      <c r="H912" s="33"/>
      <c r="I912" s="33"/>
      <c r="J912" s="33"/>
      <c r="K912" s="33"/>
      <c r="L912" s="33"/>
      <c r="M912" s="33"/>
      <c r="N912" s="33"/>
      <c r="O912" s="33"/>
      <c r="P912" s="33"/>
      <c r="Q912" s="33"/>
      <c r="R912" s="33"/>
      <c r="S912" s="33"/>
      <c r="T912" s="124"/>
      <c r="U912" s="3"/>
      <c r="V912" s="3"/>
      <c r="W912" s="3"/>
      <c r="X912" s="3"/>
      <c r="Y912" s="3"/>
      <c r="Z912" s="3"/>
    </row>
    <row r="913" spans="1:26" ht="15.75" customHeight="1">
      <c r="A913" s="3"/>
      <c r="B913" s="3"/>
      <c r="C913" s="3"/>
      <c r="D913" s="33"/>
      <c r="E913" s="33"/>
      <c r="F913" s="33"/>
      <c r="G913" s="33"/>
      <c r="H913" s="33"/>
      <c r="I913" s="33"/>
      <c r="J913" s="33"/>
      <c r="K913" s="33"/>
      <c r="L913" s="33"/>
      <c r="M913" s="33"/>
      <c r="N913" s="33"/>
      <c r="O913" s="33"/>
      <c r="P913" s="33"/>
      <c r="Q913" s="33"/>
      <c r="R913" s="33"/>
      <c r="S913" s="33"/>
      <c r="T913" s="124"/>
      <c r="U913" s="3"/>
      <c r="V913" s="3"/>
      <c r="W913" s="3"/>
      <c r="X913" s="3"/>
      <c r="Y913" s="3"/>
      <c r="Z913" s="3"/>
    </row>
    <row r="914" spans="1:26" ht="15.75" customHeight="1">
      <c r="A914" s="3"/>
      <c r="B914" s="3"/>
      <c r="C914" s="3"/>
      <c r="D914" s="33"/>
      <c r="E914" s="33"/>
      <c r="F914" s="33"/>
      <c r="G914" s="33"/>
      <c r="H914" s="33"/>
      <c r="I914" s="33"/>
      <c r="J914" s="33"/>
      <c r="K914" s="33"/>
      <c r="L914" s="33"/>
      <c r="M914" s="33"/>
      <c r="N914" s="33"/>
      <c r="O914" s="33"/>
      <c r="P914" s="33"/>
      <c r="Q914" s="33"/>
      <c r="R914" s="33"/>
      <c r="S914" s="33"/>
      <c r="T914" s="124"/>
      <c r="U914" s="3"/>
      <c r="V914" s="3"/>
      <c r="W914" s="3"/>
      <c r="X914" s="3"/>
      <c r="Y914" s="3"/>
      <c r="Z914" s="3"/>
    </row>
    <row r="915" spans="1:26" ht="15.75" customHeight="1">
      <c r="A915" s="3"/>
      <c r="B915" s="3"/>
      <c r="C915" s="3"/>
      <c r="D915" s="33"/>
      <c r="E915" s="33"/>
      <c r="F915" s="33"/>
      <c r="G915" s="33"/>
      <c r="H915" s="33"/>
      <c r="I915" s="33"/>
      <c r="J915" s="33"/>
      <c r="K915" s="33"/>
      <c r="L915" s="33"/>
      <c r="M915" s="33"/>
      <c r="N915" s="33"/>
      <c r="O915" s="33"/>
      <c r="P915" s="33"/>
      <c r="Q915" s="33"/>
      <c r="R915" s="33"/>
      <c r="S915" s="33"/>
      <c r="T915" s="124"/>
      <c r="U915" s="3"/>
      <c r="V915" s="3"/>
      <c r="W915" s="3"/>
      <c r="X915" s="3"/>
      <c r="Y915" s="3"/>
      <c r="Z915" s="3"/>
    </row>
    <row r="916" spans="1:26" ht="15.75" customHeight="1">
      <c r="A916" s="3"/>
      <c r="B916" s="3"/>
      <c r="C916" s="3"/>
      <c r="D916" s="33"/>
      <c r="E916" s="33"/>
      <c r="F916" s="33"/>
      <c r="G916" s="33"/>
      <c r="H916" s="33"/>
      <c r="I916" s="33"/>
      <c r="J916" s="33"/>
      <c r="K916" s="33"/>
      <c r="L916" s="33"/>
      <c r="M916" s="33"/>
      <c r="N916" s="33"/>
      <c r="O916" s="33"/>
      <c r="P916" s="33"/>
      <c r="Q916" s="33"/>
      <c r="R916" s="33"/>
      <c r="S916" s="33"/>
      <c r="T916" s="124"/>
      <c r="U916" s="3"/>
      <c r="V916" s="3"/>
      <c r="W916" s="3"/>
      <c r="X916" s="3"/>
      <c r="Y916" s="3"/>
      <c r="Z916" s="3"/>
    </row>
    <row r="917" spans="1:26" ht="15.75" customHeight="1">
      <c r="A917" s="3"/>
      <c r="B917" s="3"/>
      <c r="C917" s="3"/>
      <c r="D917" s="33"/>
      <c r="E917" s="33"/>
      <c r="F917" s="33"/>
      <c r="G917" s="33"/>
      <c r="H917" s="33"/>
      <c r="I917" s="33"/>
      <c r="J917" s="33"/>
      <c r="K917" s="33"/>
      <c r="L917" s="33"/>
      <c r="M917" s="33"/>
      <c r="N917" s="33"/>
      <c r="O917" s="33"/>
      <c r="P917" s="33"/>
      <c r="Q917" s="33"/>
      <c r="R917" s="33"/>
      <c r="S917" s="33"/>
      <c r="T917" s="124"/>
      <c r="U917" s="3"/>
      <c r="V917" s="3"/>
      <c r="W917" s="3"/>
      <c r="X917" s="3"/>
      <c r="Y917" s="3"/>
      <c r="Z917" s="3"/>
    </row>
    <row r="918" spans="1:26" ht="15.75" customHeight="1">
      <c r="A918" s="3"/>
      <c r="B918" s="3"/>
      <c r="C918" s="3"/>
      <c r="D918" s="33"/>
      <c r="E918" s="33"/>
      <c r="F918" s="33"/>
      <c r="G918" s="33"/>
      <c r="H918" s="33"/>
      <c r="I918" s="33"/>
      <c r="J918" s="33"/>
      <c r="K918" s="33"/>
      <c r="L918" s="33"/>
      <c r="M918" s="33"/>
      <c r="N918" s="33"/>
      <c r="O918" s="33"/>
      <c r="P918" s="33"/>
      <c r="Q918" s="33"/>
      <c r="R918" s="33"/>
      <c r="S918" s="33"/>
      <c r="T918" s="124"/>
      <c r="U918" s="3"/>
      <c r="V918" s="3"/>
      <c r="W918" s="3"/>
      <c r="X918" s="3"/>
      <c r="Y918" s="3"/>
      <c r="Z918" s="3"/>
    </row>
    <row r="919" spans="1:26" ht="15.75" customHeight="1">
      <c r="A919" s="3"/>
      <c r="B919" s="3"/>
      <c r="C919" s="3"/>
      <c r="D919" s="33"/>
      <c r="E919" s="33"/>
      <c r="F919" s="33"/>
      <c r="G919" s="33"/>
      <c r="H919" s="33"/>
      <c r="I919" s="33"/>
      <c r="J919" s="33"/>
      <c r="K919" s="33"/>
      <c r="L919" s="33"/>
      <c r="M919" s="33"/>
      <c r="N919" s="33"/>
      <c r="O919" s="33"/>
      <c r="P919" s="33"/>
      <c r="Q919" s="33"/>
      <c r="R919" s="33"/>
      <c r="S919" s="33"/>
      <c r="T919" s="124"/>
      <c r="U919" s="3"/>
      <c r="V919" s="3"/>
      <c r="W919" s="3"/>
      <c r="X919" s="3"/>
      <c r="Y919" s="3"/>
      <c r="Z919" s="3"/>
    </row>
    <row r="920" spans="1:26" ht="15.75" customHeight="1">
      <c r="A920" s="3"/>
      <c r="B920" s="3"/>
      <c r="C920" s="3"/>
      <c r="D920" s="33"/>
      <c r="E920" s="33"/>
      <c r="F920" s="33"/>
      <c r="G920" s="33"/>
      <c r="H920" s="33"/>
      <c r="I920" s="33"/>
      <c r="J920" s="33"/>
      <c r="K920" s="33"/>
      <c r="L920" s="33"/>
      <c r="M920" s="33"/>
      <c r="N920" s="33"/>
      <c r="O920" s="33"/>
      <c r="P920" s="33"/>
      <c r="Q920" s="33"/>
      <c r="R920" s="33"/>
      <c r="S920" s="33"/>
      <c r="T920" s="124"/>
      <c r="U920" s="3"/>
      <c r="V920" s="3"/>
      <c r="W920" s="3"/>
      <c r="X920" s="3"/>
      <c r="Y920" s="3"/>
      <c r="Z920" s="3"/>
    </row>
    <row r="921" spans="1:26" ht="15.75" customHeight="1">
      <c r="A921" s="3"/>
      <c r="B921" s="3"/>
      <c r="C921" s="3"/>
      <c r="D921" s="33"/>
      <c r="E921" s="33"/>
      <c r="F921" s="33"/>
      <c r="G921" s="33"/>
      <c r="H921" s="33"/>
      <c r="I921" s="33"/>
      <c r="J921" s="33"/>
      <c r="K921" s="33"/>
      <c r="L921" s="33"/>
      <c r="M921" s="33"/>
      <c r="N921" s="33"/>
      <c r="O921" s="33"/>
      <c r="P921" s="33"/>
      <c r="Q921" s="33"/>
      <c r="R921" s="33"/>
      <c r="S921" s="33"/>
      <c r="T921" s="124"/>
      <c r="U921" s="3"/>
      <c r="V921" s="3"/>
      <c r="W921" s="3"/>
      <c r="X921" s="3"/>
      <c r="Y921" s="3"/>
      <c r="Z921" s="3"/>
    </row>
    <row r="922" spans="1:26" ht="15.75" customHeight="1">
      <c r="A922" s="3"/>
      <c r="B922" s="3"/>
      <c r="C922" s="3"/>
      <c r="D922" s="33"/>
      <c r="E922" s="33"/>
      <c r="F922" s="33"/>
      <c r="G922" s="33"/>
      <c r="H922" s="33"/>
      <c r="I922" s="33"/>
      <c r="J922" s="33"/>
      <c r="K922" s="33"/>
      <c r="L922" s="33"/>
      <c r="M922" s="33"/>
      <c r="N922" s="33"/>
      <c r="O922" s="33"/>
      <c r="P922" s="33"/>
      <c r="Q922" s="33"/>
      <c r="R922" s="33"/>
      <c r="S922" s="33"/>
      <c r="T922" s="124"/>
      <c r="U922" s="3"/>
      <c r="V922" s="3"/>
      <c r="W922" s="3"/>
      <c r="X922" s="3"/>
      <c r="Y922" s="3"/>
      <c r="Z922" s="3"/>
    </row>
    <row r="923" spans="1:26" ht="15.75" customHeight="1">
      <c r="A923" s="3"/>
      <c r="B923" s="3"/>
      <c r="C923" s="3"/>
      <c r="D923" s="33"/>
      <c r="E923" s="33"/>
      <c r="F923" s="33"/>
      <c r="G923" s="33"/>
      <c r="H923" s="33"/>
      <c r="I923" s="33"/>
      <c r="J923" s="33"/>
      <c r="K923" s="33"/>
      <c r="L923" s="33"/>
      <c r="M923" s="33"/>
      <c r="N923" s="33"/>
      <c r="O923" s="33"/>
      <c r="P923" s="33"/>
      <c r="Q923" s="33"/>
      <c r="R923" s="33"/>
      <c r="S923" s="33"/>
      <c r="T923" s="124"/>
      <c r="U923" s="3"/>
      <c r="V923" s="3"/>
      <c r="W923" s="3"/>
      <c r="X923" s="3"/>
      <c r="Y923" s="3"/>
      <c r="Z923" s="3"/>
    </row>
    <row r="924" spans="1:26" ht="15.75" customHeight="1">
      <c r="A924" s="3"/>
      <c r="B924" s="3"/>
      <c r="C924" s="3"/>
      <c r="D924" s="33"/>
      <c r="E924" s="33"/>
      <c r="F924" s="33"/>
      <c r="G924" s="33"/>
      <c r="H924" s="33"/>
      <c r="I924" s="33"/>
      <c r="J924" s="33"/>
      <c r="K924" s="33"/>
      <c r="L924" s="33"/>
      <c r="M924" s="33"/>
      <c r="N924" s="33"/>
      <c r="O924" s="33"/>
      <c r="P924" s="33"/>
      <c r="Q924" s="33"/>
      <c r="R924" s="33"/>
      <c r="S924" s="33"/>
      <c r="T924" s="124"/>
      <c r="U924" s="3"/>
      <c r="V924" s="3"/>
      <c r="W924" s="3"/>
      <c r="X924" s="3"/>
      <c r="Y924" s="3"/>
      <c r="Z924" s="3"/>
    </row>
    <row r="925" spans="1:26" ht="15.75" customHeight="1">
      <c r="A925" s="3"/>
      <c r="B925" s="3"/>
      <c r="C925" s="3"/>
      <c r="D925" s="33"/>
      <c r="E925" s="33"/>
      <c r="F925" s="33"/>
      <c r="G925" s="33"/>
      <c r="H925" s="33"/>
      <c r="I925" s="33"/>
      <c r="J925" s="33"/>
      <c r="K925" s="33"/>
      <c r="L925" s="33"/>
      <c r="M925" s="33"/>
      <c r="N925" s="33"/>
      <c r="O925" s="33"/>
      <c r="P925" s="33"/>
      <c r="Q925" s="33"/>
      <c r="R925" s="33"/>
      <c r="S925" s="33"/>
      <c r="T925" s="124"/>
      <c r="U925" s="3"/>
      <c r="V925" s="3"/>
      <c r="W925" s="3"/>
      <c r="X925" s="3"/>
      <c r="Y925" s="3"/>
      <c r="Z925" s="3"/>
    </row>
    <row r="926" spans="1:26" ht="15.75" customHeight="1">
      <c r="A926" s="3"/>
      <c r="B926" s="3"/>
      <c r="C926" s="3"/>
      <c r="D926" s="33"/>
      <c r="E926" s="33"/>
      <c r="F926" s="33"/>
      <c r="G926" s="33"/>
      <c r="H926" s="33"/>
      <c r="I926" s="33"/>
      <c r="J926" s="33"/>
      <c r="K926" s="33"/>
      <c r="L926" s="33"/>
      <c r="M926" s="33"/>
      <c r="N926" s="33"/>
      <c r="O926" s="33"/>
      <c r="P926" s="33"/>
      <c r="Q926" s="33"/>
      <c r="R926" s="33"/>
      <c r="S926" s="33"/>
      <c r="T926" s="124"/>
      <c r="U926" s="3"/>
      <c r="V926" s="3"/>
      <c r="W926" s="3"/>
      <c r="X926" s="3"/>
      <c r="Y926" s="3"/>
      <c r="Z926" s="3"/>
    </row>
    <row r="927" spans="1:26" ht="15.75" customHeight="1">
      <c r="A927" s="3"/>
      <c r="B927" s="3"/>
      <c r="C927" s="3"/>
      <c r="D927" s="33"/>
      <c r="E927" s="33"/>
      <c r="F927" s="33"/>
      <c r="G927" s="33"/>
      <c r="H927" s="33"/>
      <c r="I927" s="33"/>
      <c r="J927" s="33"/>
      <c r="K927" s="33"/>
      <c r="L927" s="33"/>
      <c r="M927" s="33"/>
      <c r="N927" s="33"/>
      <c r="O927" s="33"/>
      <c r="P927" s="33"/>
      <c r="Q927" s="33"/>
      <c r="R927" s="33"/>
      <c r="S927" s="33"/>
      <c r="T927" s="124"/>
      <c r="U927" s="3"/>
      <c r="V927" s="3"/>
      <c r="W927" s="3"/>
      <c r="X927" s="3"/>
      <c r="Y927" s="3"/>
      <c r="Z927" s="3"/>
    </row>
    <row r="928" spans="1:26" ht="15.75" customHeight="1">
      <c r="A928" s="3"/>
      <c r="B928" s="3"/>
      <c r="C928" s="3"/>
      <c r="D928" s="33"/>
      <c r="E928" s="33"/>
      <c r="F928" s="33"/>
      <c r="G928" s="33"/>
      <c r="H928" s="33"/>
      <c r="I928" s="33"/>
      <c r="J928" s="33"/>
      <c r="K928" s="33"/>
      <c r="L928" s="33"/>
      <c r="M928" s="33"/>
      <c r="N928" s="33"/>
      <c r="O928" s="33"/>
      <c r="P928" s="33"/>
      <c r="Q928" s="33"/>
      <c r="R928" s="33"/>
      <c r="S928" s="33"/>
      <c r="T928" s="124"/>
      <c r="U928" s="3"/>
      <c r="V928" s="3"/>
      <c r="W928" s="3"/>
      <c r="X928" s="3"/>
      <c r="Y928" s="3"/>
      <c r="Z928" s="3"/>
    </row>
    <row r="929" spans="1:26" ht="15.75" customHeight="1">
      <c r="A929" s="3"/>
      <c r="B929" s="3"/>
      <c r="C929" s="3"/>
      <c r="D929" s="33"/>
      <c r="E929" s="33"/>
      <c r="F929" s="33"/>
      <c r="G929" s="33"/>
      <c r="H929" s="33"/>
      <c r="I929" s="33"/>
      <c r="J929" s="33"/>
      <c r="K929" s="33"/>
      <c r="L929" s="33"/>
      <c r="M929" s="33"/>
      <c r="N929" s="33"/>
      <c r="O929" s="33"/>
      <c r="P929" s="33"/>
      <c r="Q929" s="33"/>
      <c r="R929" s="33"/>
      <c r="S929" s="33"/>
      <c r="T929" s="124"/>
      <c r="U929" s="3"/>
      <c r="V929" s="3"/>
      <c r="W929" s="3"/>
      <c r="X929" s="3"/>
      <c r="Y929" s="3"/>
      <c r="Z929" s="3"/>
    </row>
    <row r="930" spans="1:26" ht="15.75" customHeight="1">
      <c r="A930" s="3"/>
      <c r="B930" s="3"/>
      <c r="C930" s="3"/>
      <c r="D930" s="33"/>
      <c r="E930" s="33"/>
      <c r="F930" s="33"/>
      <c r="G930" s="33"/>
      <c r="H930" s="33"/>
      <c r="I930" s="33"/>
      <c r="J930" s="33"/>
      <c r="K930" s="33"/>
      <c r="L930" s="33"/>
      <c r="M930" s="33"/>
      <c r="N930" s="33"/>
      <c r="O930" s="33"/>
      <c r="P930" s="33"/>
      <c r="Q930" s="33"/>
      <c r="R930" s="33"/>
      <c r="S930" s="33"/>
      <c r="T930" s="124"/>
      <c r="U930" s="3"/>
      <c r="V930" s="3"/>
      <c r="W930" s="3"/>
      <c r="X930" s="3"/>
      <c r="Y930" s="3"/>
      <c r="Z930" s="3"/>
    </row>
    <row r="931" spans="1:26" ht="15.75" customHeight="1">
      <c r="A931" s="3"/>
      <c r="B931" s="3"/>
      <c r="C931" s="3"/>
      <c r="D931" s="33"/>
      <c r="E931" s="33"/>
      <c r="F931" s="33"/>
      <c r="G931" s="33"/>
      <c r="H931" s="33"/>
      <c r="I931" s="33"/>
      <c r="J931" s="33"/>
      <c r="K931" s="33"/>
      <c r="L931" s="33"/>
      <c r="M931" s="33"/>
      <c r="N931" s="33"/>
      <c r="O931" s="33"/>
      <c r="P931" s="33"/>
      <c r="Q931" s="33"/>
      <c r="R931" s="33"/>
      <c r="S931" s="33"/>
      <c r="T931" s="124"/>
      <c r="U931" s="3"/>
      <c r="V931" s="3"/>
      <c r="W931" s="3"/>
      <c r="X931" s="3"/>
      <c r="Y931" s="3"/>
      <c r="Z931" s="3"/>
    </row>
    <row r="932" spans="1:26" ht="15.75" customHeight="1">
      <c r="A932" s="3"/>
      <c r="B932" s="3"/>
      <c r="C932" s="3"/>
      <c r="D932" s="33"/>
      <c r="E932" s="33"/>
      <c r="F932" s="33"/>
      <c r="G932" s="33"/>
      <c r="H932" s="33"/>
      <c r="I932" s="33"/>
      <c r="J932" s="33"/>
      <c r="K932" s="33"/>
      <c r="L932" s="33"/>
      <c r="M932" s="33"/>
      <c r="N932" s="33"/>
      <c r="O932" s="33"/>
      <c r="P932" s="33"/>
      <c r="Q932" s="33"/>
      <c r="R932" s="33"/>
      <c r="S932" s="33"/>
      <c r="T932" s="124"/>
      <c r="U932" s="3"/>
      <c r="V932" s="3"/>
      <c r="W932" s="3"/>
      <c r="X932" s="3"/>
      <c r="Y932" s="3"/>
      <c r="Z932" s="3"/>
    </row>
    <row r="933" spans="1:26" ht="15.75" customHeight="1">
      <c r="A933" s="3"/>
      <c r="B933" s="3"/>
      <c r="C933" s="3"/>
      <c r="D933" s="33"/>
      <c r="E933" s="33"/>
      <c r="F933" s="33"/>
      <c r="G933" s="33"/>
      <c r="H933" s="33"/>
      <c r="I933" s="33"/>
      <c r="J933" s="33"/>
      <c r="K933" s="33"/>
      <c r="L933" s="33"/>
      <c r="M933" s="33"/>
      <c r="N933" s="33"/>
      <c r="O933" s="33"/>
      <c r="P933" s="33"/>
      <c r="Q933" s="33"/>
      <c r="R933" s="33"/>
      <c r="S933" s="33"/>
      <c r="T933" s="124"/>
      <c r="U933" s="3"/>
      <c r="V933" s="3"/>
      <c r="W933" s="3"/>
      <c r="X933" s="3"/>
      <c r="Y933" s="3"/>
      <c r="Z933" s="3"/>
    </row>
    <row r="934" spans="1:26" ht="15.75" customHeight="1">
      <c r="A934" s="3"/>
      <c r="B934" s="3"/>
      <c r="C934" s="3"/>
      <c r="D934" s="33"/>
      <c r="E934" s="33"/>
      <c r="F934" s="33"/>
      <c r="G934" s="33"/>
      <c r="H934" s="33"/>
      <c r="I934" s="33"/>
      <c r="J934" s="33"/>
      <c r="K934" s="33"/>
      <c r="L934" s="33"/>
      <c r="M934" s="33"/>
      <c r="N934" s="33"/>
      <c r="O934" s="33"/>
      <c r="P934" s="33"/>
      <c r="Q934" s="33"/>
      <c r="R934" s="33"/>
      <c r="S934" s="33"/>
      <c r="T934" s="124"/>
      <c r="U934" s="3"/>
      <c r="V934" s="3"/>
      <c r="W934" s="3"/>
      <c r="X934" s="3"/>
      <c r="Y934" s="3"/>
      <c r="Z934" s="3"/>
    </row>
    <row r="935" spans="1:26" ht="15.75" customHeight="1">
      <c r="A935" s="3"/>
      <c r="B935" s="3"/>
      <c r="C935" s="3"/>
      <c r="D935" s="33"/>
      <c r="E935" s="33"/>
      <c r="F935" s="33"/>
      <c r="G935" s="33"/>
      <c r="H935" s="33"/>
      <c r="I935" s="33"/>
      <c r="J935" s="33"/>
      <c r="K935" s="33"/>
      <c r="L935" s="33"/>
      <c r="M935" s="33"/>
      <c r="N935" s="33"/>
      <c r="O935" s="33"/>
      <c r="P935" s="33"/>
      <c r="Q935" s="33"/>
      <c r="R935" s="33"/>
      <c r="S935" s="33"/>
      <c r="T935" s="124"/>
      <c r="U935" s="3"/>
      <c r="V935" s="3"/>
      <c r="W935" s="3"/>
      <c r="X935" s="3"/>
      <c r="Y935" s="3"/>
      <c r="Z935" s="3"/>
    </row>
    <row r="936" spans="1:26" ht="15.75" customHeight="1">
      <c r="A936" s="3"/>
      <c r="B936" s="3"/>
      <c r="C936" s="3"/>
      <c r="D936" s="33"/>
      <c r="E936" s="33"/>
      <c r="F936" s="33"/>
      <c r="G936" s="33"/>
      <c r="H936" s="33"/>
      <c r="I936" s="33"/>
      <c r="J936" s="33"/>
      <c r="K936" s="33"/>
      <c r="L936" s="33"/>
      <c r="M936" s="33"/>
      <c r="N936" s="33"/>
      <c r="O936" s="33"/>
      <c r="P936" s="33"/>
      <c r="Q936" s="33"/>
      <c r="R936" s="33"/>
      <c r="S936" s="33"/>
      <c r="T936" s="124"/>
      <c r="U936" s="3"/>
      <c r="V936" s="3"/>
      <c r="W936" s="3"/>
      <c r="X936" s="3"/>
      <c r="Y936" s="3"/>
      <c r="Z936" s="3"/>
    </row>
    <row r="937" spans="1:26" ht="15.75" customHeight="1">
      <c r="A937" s="3"/>
      <c r="B937" s="3"/>
      <c r="C937" s="3"/>
      <c r="D937" s="33"/>
      <c r="E937" s="33"/>
      <c r="F937" s="33"/>
      <c r="G937" s="33"/>
      <c r="H937" s="33"/>
      <c r="I937" s="33"/>
      <c r="J937" s="33"/>
      <c r="K937" s="33"/>
      <c r="L937" s="33"/>
      <c r="M937" s="33"/>
      <c r="N937" s="33"/>
      <c r="O937" s="33"/>
      <c r="P937" s="33"/>
      <c r="Q937" s="33"/>
      <c r="R937" s="33"/>
      <c r="S937" s="33"/>
      <c r="T937" s="124"/>
      <c r="U937" s="3"/>
      <c r="V937" s="3"/>
      <c r="W937" s="3"/>
      <c r="X937" s="3"/>
      <c r="Y937" s="3"/>
      <c r="Z937" s="3"/>
    </row>
    <row r="938" spans="1:26" ht="15.75" customHeight="1">
      <c r="A938" s="3"/>
      <c r="B938" s="3"/>
      <c r="C938" s="3"/>
      <c r="D938" s="33"/>
      <c r="E938" s="33"/>
      <c r="F938" s="33"/>
      <c r="G938" s="33"/>
      <c r="H938" s="33"/>
      <c r="I938" s="33"/>
      <c r="J938" s="33"/>
      <c r="K938" s="33"/>
      <c r="L938" s="33"/>
      <c r="M938" s="33"/>
      <c r="N938" s="33"/>
      <c r="O938" s="33"/>
      <c r="P938" s="33"/>
      <c r="Q938" s="33"/>
      <c r="R938" s="33"/>
      <c r="S938" s="33"/>
      <c r="T938" s="124"/>
      <c r="U938" s="3"/>
      <c r="V938" s="3"/>
      <c r="W938" s="3"/>
      <c r="X938" s="3"/>
      <c r="Y938" s="3"/>
      <c r="Z938" s="3"/>
    </row>
    <row r="939" spans="1:26" ht="15.75" customHeight="1">
      <c r="A939" s="3"/>
      <c r="B939" s="3"/>
      <c r="C939" s="3"/>
      <c r="D939" s="33"/>
      <c r="E939" s="33"/>
      <c r="F939" s="33"/>
      <c r="G939" s="33"/>
      <c r="H939" s="33"/>
      <c r="I939" s="33"/>
      <c r="J939" s="33"/>
      <c r="K939" s="33"/>
      <c r="L939" s="33"/>
      <c r="M939" s="33"/>
      <c r="N939" s="33"/>
      <c r="O939" s="33"/>
      <c r="P939" s="33"/>
      <c r="Q939" s="33"/>
      <c r="R939" s="33"/>
      <c r="S939" s="33"/>
      <c r="T939" s="124"/>
      <c r="U939" s="3"/>
      <c r="V939" s="3"/>
      <c r="W939" s="3"/>
      <c r="X939" s="3"/>
      <c r="Y939" s="3"/>
      <c r="Z939" s="3"/>
    </row>
    <row r="940" spans="1:26" ht="15.75" customHeight="1">
      <c r="A940" s="3"/>
      <c r="B940" s="3"/>
      <c r="C940" s="3"/>
      <c r="D940" s="33"/>
      <c r="E940" s="33"/>
      <c r="F940" s="33"/>
      <c r="G940" s="33"/>
      <c r="H940" s="33"/>
      <c r="I940" s="33"/>
      <c r="J940" s="33"/>
      <c r="K940" s="33"/>
      <c r="L940" s="33"/>
      <c r="M940" s="33"/>
      <c r="N940" s="33"/>
      <c r="O940" s="33"/>
      <c r="P940" s="33"/>
      <c r="Q940" s="33"/>
      <c r="R940" s="33"/>
      <c r="S940" s="33"/>
      <c r="T940" s="124"/>
      <c r="U940" s="3"/>
      <c r="V940" s="3"/>
      <c r="W940" s="3"/>
      <c r="X940" s="3"/>
      <c r="Y940" s="3"/>
      <c r="Z940" s="3"/>
    </row>
    <row r="941" spans="1:26" ht="15.75" customHeight="1">
      <c r="A941" s="3"/>
      <c r="B941" s="3"/>
      <c r="C941" s="3"/>
      <c r="D941" s="33"/>
      <c r="E941" s="33"/>
      <c r="F941" s="33"/>
      <c r="G941" s="33"/>
      <c r="H941" s="33"/>
      <c r="I941" s="33"/>
      <c r="J941" s="33"/>
      <c r="K941" s="33"/>
      <c r="L941" s="33"/>
      <c r="M941" s="33"/>
      <c r="N941" s="33"/>
      <c r="O941" s="33"/>
      <c r="P941" s="33"/>
      <c r="Q941" s="33"/>
      <c r="R941" s="33"/>
      <c r="S941" s="33"/>
      <c r="T941" s="124"/>
      <c r="U941" s="3"/>
      <c r="V941" s="3"/>
      <c r="W941" s="3"/>
      <c r="X941" s="3"/>
      <c r="Y941" s="3"/>
      <c r="Z941" s="3"/>
    </row>
    <row r="942" spans="1:26" ht="15.75" customHeight="1">
      <c r="A942" s="3"/>
      <c r="B942" s="3"/>
      <c r="C942" s="3"/>
      <c r="D942" s="33"/>
      <c r="E942" s="33"/>
      <c r="F942" s="33"/>
      <c r="G942" s="33"/>
      <c r="H942" s="33"/>
      <c r="I942" s="33"/>
      <c r="J942" s="33"/>
      <c r="K942" s="33"/>
      <c r="L942" s="33"/>
      <c r="M942" s="33"/>
      <c r="N942" s="33"/>
      <c r="O942" s="33"/>
      <c r="P942" s="33"/>
      <c r="Q942" s="33"/>
      <c r="R942" s="33"/>
      <c r="S942" s="33"/>
      <c r="T942" s="124"/>
      <c r="U942" s="3"/>
      <c r="V942" s="3"/>
      <c r="W942" s="3"/>
      <c r="X942" s="3"/>
      <c r="Y942" s="3"/>
      <c r="Z942" s="3"/>
    </row>
    <row r="943" spans="1:26" ht="15.75" customHeight="1">
      <c r="A943" s="3"/>
      <c r="B943" s="3"/>
      <c r="C943" s="3"/>
      <c r="D943" s="33"/>
      <c r="E943" s="33"/>
      <c r="F943" s="33"/>
      <c r="G943" s="33"/>
      <c r="H943" s="33"/>
      <c r="I943" s="33"/>
      <c r="J943" s="33"/>
      <c r="K943" s="33"/>
      <c r="L943" s="33"/>
      <c r="M943" s="33"/>
      <c r="N943" s="33"/>
      <c r="O943" s="33"/>
      <c r="P943" s="33"/>
      <c r="Q943" s="33"/>
      <c r="R943" s="33"/>
      <c r="S943" s="33"/>
      <c r="T943" s="124"/>
      <c r="U943" s="3"/>
      <c r="V943" s="3"/>
      <c r="W943" s="3"/>
      <c r="X943" s="3"/>
      <c r="Y943" s="3"/>
      <c r="Z943" s="3"/>
    </row>
    <row r="944" spans="1:26" ht="15.75" customHeight="1">
      <c r="A944" s="3"/>
      <c r="B944" s="3"/>
      <c r="C944" s="3"/>
      <c r="D944" s="33"/>
      <c r="E944" s="33"/>
      <c r="F944" s="33"/>
      <c r="G944" s="33"/>
      <c r="H944" s="33"/>
      <c r="I944" s="33"/>
      <c r="J944" s="33"/>
      <c r="K944" s="33"/>
      <c r="L944" s="33"/>
      <c r="M944" s="33"/>
      <c r="N944" s="33"/>
      <c r="O944" s="33"/>
      <c r="P944" s="33"/>
      <c r="Q944" s="33"/>
      <c r="R944" s="33"/>
      <c r="S944" s="33"/>
      <c r="T944" s="124"/>
      <c r="U944" s="3"/>
      <c r="V944" s="3"/>
      <c r="W944" s="3"/>
      <c r="X944" s="3"/>
      <c r="Y944" s="3"/>
      <c r="Z944" s="3"/>
    </row>
    <row r="945" spans="1:26" ht="15.75" customHeight="1">
      <c r="A945" s="3"/>
      <c r="B945" s="3"/>
      <c r="C945" s="3"/>
      <c r="D945" s="33"/>
      <c r="E945" s="33"/>
      <c r="F945" s="33"/>
      <c r="G945" s="33"/>
      <c r="H945" s="33"/>
      <c r="I945" s="33"/>
      <c r="J945" s="33"/>
      <c r="K945" s="33"/>
      <c r="L945" s="33"/>
      <c r="M945" s="33"/>
      <c r="N945" s="33"/>
      <c r="O945" s="33"/>
      <c r="P945" s="33"/>
      <c r="Q945" s="33"/>
      <c r="R945" s="33"/>
      <c r="S945" s="33"/>
      <c r="T945" s="124"/>
      <c r="U945" s="3"/>
      <c r="V945" s="3"/>
      <c r="W945" s="3"/>
      <c r="X945" s="3"/>
      <c r="Y945" s="3"/>
      <c r="Z945" s="3"/>
    </row>
    <row r="946" spans="1:26" ht="15.75" customHeight="1">
      <c r="A946" s="3"/>
      <c r="B946" s="3"/>
      <c r="C946" s="3"/>
      <c r="D946" s="33"/>
      <c r="E946" s="33"/>
      <c r="F946" s="33"/>
      <c r="G946" s="33"/>
      <c r="H946" s="33"/>
      <c r="I946" s="33"/>
      <c r="J946" s="33"/>
      <c r="K946" s="33"/>
      <c r="L946" s="33"/>
      <c r="M946" s="33"/>
      <c r="N946" s="33"/>
      <c r="O946" s="33"/>
      <c r="P946" s="33"/>
      <c r="Q946" s="33"/>
      <c r="R946" s="33"/>
      <c r="S946" s="33"/>
      <c r="T946" s="124"/>
      <c r="U946" s="3"/>
      <c r="V946" s="3"/>
      <c r="W946" s="3"/>
      <c r="X946" s="3"/>
      <c r="Y946" s="3"/>
      <c r="Z946" s="3"/>
    </row>
    <row r="947" spans="1:26" ht="15.75" customHeight="1">
      <c r="A947" s="3"/>
      <c r="B947" s="3"/>
      <c r="C947" s="3"/>
      <c r="D947" s="33"/>
      <c r="E947" s="33"/>
      <c r="F947" s="33"/>
      <c r="G947" s="33"/>
      <c r="H947" s="33"/>
      <c r="I947" s="33"/>
      <c r="J947" s="33"/>
      <c r="K947" s="33"/>
      <c r="L947" s="33"/>
      <c r="M947" s="33"/>
      <c r="N947" s="33"/>
      <c r="O947" s="33"/>
      <c r="P947" s="33"/>
      <c r="Q947" s="33"/>
      <c r="R947" s="33"/>
      <c r="S947" s="33"/>
      <c r="T947" s="124"/>
      <c r="U947" s="3"/>
      <c r="V947" s="3"/>
      <c r="W947" s="3"/>
      <c r="X947" s="3"/>
      <c r="Y947" s="3"/>
      <c r="Z947" s="3"/>
    </row>
    <row r="948" spans="1:26" ht="15.75" customHeight="1">
      <c r="A948" s="3"/>
      <c r="B948" s="3"/>
      <c r="C948" s="3"/>
      <c r="D948" s="33"/>
      <c r="E948" s="33"/>
      <c r="F948" s="33"/>
      <c r="G948" s="33"/>
      <c r="H948" s="33"/>
      <c r="I948" s="33"/>
      <c r="J948" s="33"/>
      <c r="K948" s="33"/>
      <c r="L948" s="33"/>
      <c r="M948" s="33"/>
      <c r="N948" s="33"/>
      <c r="O948" s="33"/>
      <c r="P948" s="33"/>
      <c r="Q948" s="33"/>
      <c r="R948" s="33"/>
      <c r="S948" s="33"/>
      <c r="T948" s="124"/>
      <c r="U948" s="3"/>
      <c r="V948" s="3"/>
      <c r="W948" s="3"/>
      <c r="X948" s="3"/>
      <c r="Y948" s="3"/>
      <c r="Z948" s="3"/>
    </row>
    <row r="949" spans="1:26" ht="15.75" customHeight="1">
      <c r="A949" s="3"/>
      <c r="B949" s="3"/>
      <c r="C949" s="3"/>
      <c r="D949" s="33"/>
      <c r="E949" s="33"/>
      <c r="F949" s="33"/>
      <c r="G949" s="33"/>
      <c r="H949" s="33"/>
      <c r="I949" s="33"/>
      <c r="J949" s="33"/>
      <c r="K949" s="33"/>
      <c r="L949" s="33"/>
      <c r="M949" s="33"/>
      <c r="N949" s="33"/>
      <c r="O949" s="33"/>
      <c r="P949" s="33"/>
      <c r="Q949" s="33"/>
      <c r="R949" s="33"/>
      <c r="S949" s="33"/>
      <c r="T949" s="124"/>
      <c r="U949" s="3"/>
      <c r="V949" s="3"/>
      <c r="W949" s="3"/>
      <c r="X949" s="3"/>
      <c r="Y949" s="3"/>
      <c r="Z949" s="3"/>
    </row>
    <row r="950" spans="1:26" ht="15.75" customHeight="1">
      <c r="A950" s="3"/>
      <c r="B950" s="3"/>
      <c r="C950" s="3"/>
      <c r="D950" s="33"/>
      <c r="E950" s="33"/>
      <c r="F950" s="33"/>
      <c r="G950" s="33"/>
      <c r="H950" s="33"/>
      <c r="I950" s="33"/>
      <c r="J950" s="33"/>
      <c r="K950" s="33"/>
      <c r="L950" s="33"/>
      <c r="M950" s="33"/>
      <c r="N950" s="33"/>
      <c r="O950" s="33"/>
      <c r="P950" s="33"/>
      <c r="Q950" s="33"/>
      <c r="R950" s="33"/>
      <c r="S950" s="33"/>
      <c r="T950" s="124"/>
      <c r="U950" s="3"/>
      <c r="V950" s="3"/>
      <c r="W950" s="3"/>
      <c r="X950" s="3"/>
      <c r="Y950" s="3"/>
      <c r="Z950" s="3"/>
    </row>
    <row r="951" spans="1:26" ht="15.75" customHeight="1">
      <c r="A951" s="3"/>
      <c r="B951" s="3"/>
      <c r="C951" s="3"/>
      <c r="D951" s="33"/>
      <c r="E951" s="33"/>
      <c r="F951" s="33"/>
      <c r="G951" s="33"/>
      <c r="H951" s="33"/>
      <c r="I951" s="33"/>
      <c r="J951" s="33"/>
      <c r="K951" s="33"/>
      <c r="L951" s="33"/>
      <c r="M951" s="33"/>
      <c r="N951" s="33"/>
      <c r="O951" s="33"/>
      <c r="P951" s="33"/>
      <c r="Q951" s="33"/>
      <c r="R951" s="33"/>
      <c r="S951" s="33"/>
      <c r="T951" s="124"/>
      <c r="U951" s="3"/>
      <c r="V951" s="3"/>
      <c r="W951" s="3"/>
      <c r="X951" s="3"/>
      <c r="Y951" s="3"/>
      <c r="Z951" s="3"/>
    </row>
    <row r="952" spans="1:26" ht="15.75" customHeight="1">
      <c r="A952" s="3"/>
      <c r="B952" s="3"/>
      <c r="C952" s="3"/>
      <c r="D952" s="33"/>
      <c r="E952" s="33"/>
      <c r="F952" s="33"/>
      <c r="G952" s="33"/>
      <c r="H952" s="33"/>
      <c r="I952" s="33"/>
      <c r="J952" s="33"/>
      <c r="K952" s="33"/>
      <c r="L952" s="33"/>
      <c r="M952" s="33"/>
      <c r="N952" s="33"/>
      <c r="O952" s="33"/>
      <c r="P952" s="33"/>
      <c r="Q952" s="33"/>
      <c r="R952" s="33"/>
      <c r="S952" s="33"/>
      <c r="T952" s="124"/>
      <c r="U952" s="3"/>
      <c r="V952" s="3"/>
      <c r="W952" s="3"/>
      <c r="X952" s="3"/>
      <c r="Y952" s="3"/>
      <c r="Z952" s="3"/>
    </row>
    <row r="953" spans="1:26" ht="15.75" customHeight="1">
      <c r="A953" s="3"/>
      <c r="B953" s="3"/>
      <c r="C953" s="3"/>
      <c r="D953" s="33"/>
      <c r="E953" s="33"/>
      <c r="F953" s="33"/>
      <c r="G953" s="33"/>
      <c r="H953" s="33"/>
      <c r="I953" s="33"/>
      <c r="J953" s="33"/>
      <c r="K953" s="33"/>
      <c r="L953" s="33"/>
      <c r="M953" s="33"/>
      <c r="N953" s="33"/>
      <c r="O953" s="33"/>
      <c r="P953" s="33"/>
      <c r="Q953" s="33"/>
      <c r="R953" s="33"/>
      <c r="S953" s="33"/>
      <c r="T953" s="124"/>
      <c r="U953" s="3"/>
      <c r="V953" s="3"/>
      <c r="W953" s="3"/>
      <c r="X953" s="3"/>
      <c r="Y953" s="3"/>
      <c r="Z953" s="3"/>
    </row>
    <row r="954" spans="1:26" ht="15.75" customHeight="1">
      <c r="A954" s="3"/>
      <c r="B954" s="3"/>
      <c r="C954" s="3"/>
      <c r="D954" s="33"/>
      <c r="E954" s="33"/>
      <c r="F954" s="33"/>
      <c r="G954" s="33"/>
      <c r="H954" s="33"/>
      <c r="I954" s="33"/>
      <c r="J954" s="33"/>
      <c r="K954" s="33"/>
      <c r="L954" s="33"/>
      <c r="M954" s="33"/>
      <c r="N954" s="33"/>
      <c r="O954" s="33"/>
      <c r="P954" s="33"/>
      <c r="Q954" s="33"/>
      <c r="R954" s="33"/>
      <c r="S954" s="33"/>
      <c r="T954" s="124"/>
      <c r="U954" s="3"/>
      <c r="V954" s="3"/>
      <c r="W954" s="3"/>
      <c r="X954" s="3"/>
      <c r="Y954" s="3"/>
      <c r="Z954" s="3"/>
    </row>
    <row r="955" spans="1:26" ht="15.75" customHeight="1">
      <c r="A955" s="3"/>
      <c r="B955" s="3"/>
      <c r="C955" s="3"/>
      <c r="D955" s="33"/>
      <c r="E955" s="33"/>
      <c r="F955" s="33"/>
      <c r="G955" s="33"/>
      <c r="H955" s="33"/>
      <c r="I955" s="33"/>
      <c r="J955" s="33"/>
      <c r="K955" s="33"/>
      <c r="L955" s="33"/>
      <c r="M955" s="33"/>
      <c r="N955" s="33"/>
      <c r="O955" s="33"/>
      <c r="P955" s="33"/>
      <c r="Q955" s="33"/>
      <c r="R955" s="33"/>
      <c r="S955" s="33"/>
      <c r="T955" s="124"/>
      <c r="U955" s="3"/>
      <c r="V955" s="3"/>
      <c r="W955" s="3"/>
      <c r="X955" s="3"/>
      <c r="Y955" s="3"/>
      <c r="Z955" s="3"/>
    </row>
    <row r="956" spans="1:26" ht="15.75" customHeight="1">
      <c r="A956" s="3"/>
      <c r="B956" s="3"/>
      <c r="C956" s="3"/>
      <c r="D956" s="33"/>
      <c r="E956" s="33"/>
      <c r="F956" s="33"/>
      <c r="G956" s="33"/>
      <c r="H956" s="33"/>
      <c r="I956" s="33"/>
      <c r="J956" s="33"/>
      <c r="K956" s="33"/>
      <c r="L956" s="33"/>
      <c r="M956" s="33"/>
      <c r="N956" s="33"/>
      <c r="O956" s="33"/>
      <c r="P956" s="33"/>
      <c r="Q956" s="33"/>
      <c r="R956" s="33"/>
      <c r="S956" s="33"/>
      <c r="T956" s="124"/>
      <c r="U956" s="3"/>
      <c r="V956" s="3"/>
      <c r="W956" s="3"/>
      <c r="X956" s="3"/>
      <c r="Y956" s="3"/>
      <c r="Z956" s="3"/>
    </row>
    <row r="957" spans="1:26" ht="15.75" customHeight="1">
      <c r="A957" s="3"/>
      <c r="B957" s="3"/>
      <c r="C957" s="3"/>
      <c r="D957" s="33"/>
      <c r="E957" s="33"/>
      <c r="F957" s="33"/>
      <c r="G957" s="33"/>
      <c r="H957" s="33"/>
      <c r="I957" s="33"/>
      <c r="J957" s="33"/>
      <c r="K957" s="33"/>
      <c r="L957" s="33"/>
      <c r="M957" s="33"/>
      <c r="N957" s="33"/>
      <c r="O957" s="33"/>
      <c r="P957" s="33"/>
      <c r="Q957" s="33"/>
      <c r="R957" s="33"/>
      <c r="S957" s="33"/>
      <c r="T957" s="124"/>
      <c r="U957" s="3"/>
      <c r="V957" s="3"/>
      <c r="W957" s="3"/>
      <c r="X957" s="3"/>
      <c r="Y957" s="3"/>
      <c r="Z957" s="3"/>
    </row>
    <row r="958" spans="1:26" ht="15.75" customHeight="1">
      <c r="A958" s="3"/>
      <c r="B958" s="3"/>
      <c r="C958" s="3"/>
      <c r="D958" s="33"/>
      <c r="E958" s="33"/>
      <c r="F958" s="33"/>
      <c r="G958" s="33"/>
      <c r="H958" s="33"/>
      <c r="I958" s="33"/>
      <c r="J958" s="33"/>
      <c r="K958" s="33"/>
      <c r="L958" s="33"/>
      <c r="M958" s="33"/>
      <c r="N958" s="33"/>
      <c r="O958" s="33"/>
      <c r="P958" s="33"/>
      <c r="Q958" s="33"/>
      <c r="R958" s="33"/>
      <c r="S958" s="33"/>
      <c r="T958" s="124"/>
      <c r="U958" s="3"/>
      <c r="V958" s="3"/>
      <c r="W958" s="3"/>
      <c r="X958" s="3"/>
      <c r="Y958" s="3"/>
      <c r="Z958" s="3"/>
    </row>
    <row r="959" spans="1:26" ht="15.75" customHeight="1">
      <c r="A959" s="3"/>
      <c r="B959" s="3"/>
      <c r="C959" s="3"/>
      <c r="D959" s="33"/>
      <c r="E959" s="33"/>
      <c r="F959" s="33"/>
      <c r="G959" s="33"/>
      <c r="H959" s="33"/>
      <c r="I959" s="33"/>
      <c r="J959" s="33"/>
      <c r="K959" s="33"/>
      <c r="L959" s="33"/>
      <c r="M959" s="33"/>
      <c r="N959" s="33"/>
      <c r="O959" s="33"/>
      <c r="P959" s="33"/>
      <c r="Q959" s="33"/>
      <c r="R959" s="33"/>
      <c r="S959" s="33"/>
      <c r="T959" s="124"/>
      <c r="U959" s="3"/>
      <c r="V959" s="3"/>
      <c r="W959" s="3"/>
      <c r="X959" s="3"/>
      <c r="Y959" s="3"/>
      <c r="Z959" s="3"/>
    </row>
    <row r="960" spans="1:26" ht="15.75" customHeight="1">
      <c r="A960" s="3"/>
      <c r="B960" s="3"/>
      <c r="C960" s="3"/>
      <c r="D960" s="33"/>
      <c r="E960" s="33"/>
      <c r="F960" s="33"/>
      <c r="G960" s="33"/>
      <c r="H960" s="33"/>
      <c r="I960" s="33"/>
      <c r="J960" s="33"/>
      <c r="K960" s="33"/>
      <c r="L960" s="33"/>
      <c r="M960" s="33"/>
      <c r="N960" s="33"/>
      <c r="O960" s="33"/>
      <c r="P960" s="33"/>
      <c r="Q960" s="33"/>
      <c r="R960" s="33"/>
      <c r="S960" s="33"/>
      <c r="T960" s="124"/>
      <c r="U960" s="3"/>
      <c r="V960" s="3"/>
      <c r="W960" s="3"/>
      <c r="X960" s="3"/>
      <c r="Y960" s="3"/>
      <c r="Z960" s="3"/>
    </row>
    <row r="961" spans="1:26" ht="15.75" customHeight="1">
      <c r="A961" s="3"/>
      <c r="B961" s="3"/>
      <c r="C961" s="3"/>
      <c r="D961" s="33"/>
      <c r="E961" s="33"/>
      <c r="F961" s="33"/>
      <c r="G961" s="33"/>
      <c r="H961" s="33"/>
      <c r="I961" s="33"/>
      <c r="J961" s="33"/>
      <c r="K961" s="33"/>
      <c r="L961" s="33"/>
      <c r="M961" s="33"/>
      <c r="N961" s="33"/>
      <c r="O961" s="33"/>
      <c r="P961" s="33"/>
      <c r="Q961" s="33"/>
      <c r="R961" s="33"/>
      <c r="S961" s="33"/>
      <c r="T961" s="124"/>
      <c r="U961" s="3"/>
      <c r="V961" s="3"/>
      <c r="W961" s="3"/>
      <c r="X961" s="3"/>
      <c r="Y961" s="3"/>
      <c r="Z961" s="3"/>
    </row>
    <row r="962" spans="1:26" ht="15.75" customHeight="1">
      <c r="A962" s="3"/>
      <c r="B962" s="3"/>
      <c r="C962" s="3"/>
      <c r="D962" s="33"/>
      <c r="E962" s="33"/>
      <c r="F962" s="33"/>
      <c r="G962" s="33"/>
      <c r="H962" s="33"/>
      <c r="I962" s="33"/>
      <c r="J962" s="33"/>
      <c r="K962" s="33"/>
      <c r="L962" s="33"/>
      <c r="M962" s="33"/>
      <c r="N962" s="33"/>
      <c r="O962" s="33"/>
      <c r="P962" s="33"/>
      <c r="Q962" s="33"/>
      <c r="R962" s="33"/>
      <c r="S962" s="33"/>
      <c r="T962" s="124"/>
      <c r="U962" s="3"/>
      <c r="V962" s="3"/>
      <c r="W962" s="3"/>
      <c r="X962" s="3"/>
      <c r="Y962" s="3"/>
      <c r="Z962" s="3"/>
    </row>
    <row r="963" spans="1:26" ht="15.75" customHeight="1">
      <c r="A963" s="3"/>
      <c r="B963" s="3"/>
      <c r="C963" s="3"/>
      <c r="D963" s="33"/>
      <c r="E963" s="33"/>
      <c r="F963" s="33"/>
      <c r="G963" s="33"/>
      <c r="H963" s="33"/>
      <c r="I963" s="33"/>
      <c r="J963" s="33"/>
      <c r="K963" s="33"/>
      <c r="L963" s="33"/>
      <c r="M963" s="33"/>
      <c r="N963" s="33"/>
      <c r="O963" s="33"/>
      <c r="P963" s="33"/>
      <c r="Q963" s="33"/>
      <c r="R963" s="33"/>
      <c r="S963" s="33"/>
      <c r="T963" s="124"/>
      <c r="U963" s="3"/>
      <c r="V963" s="3"/>
      <c r="W963" s="3"/>
      <c r="X963" s="3"/>
      <c r="Y963" s="3"/>
      <c r="Z963" s="3"/>
    </row>
    <row r="964" spans="1:26" ht="15.75" customHeight="1">
      <c r="A964" s="3"/>
      <c r="B964" s="3"/>
      <c r="C964" s="3"/>
      <c r="D964" s="33"/>
      <c r="E964" s="33"/>
      <c r="F964" s="33"/>
      <c r="G964" s="33"/>
      <c r="H964" s="33"/>
      <c r="I964" s="33"/>
      <c r="J964" s="33"/>
      <c r="K964" s="33"/>
      <c r="L964" s="33"/>
      <c r="M964" s="33"/>
      <c r="N964" s="33"/>
      <c r="O964" s="33"/>
      <c r="P964" s="33"/>
      <c r="Q964" s="33"/>
      <c r="R964" s="33"/>
      <c r="S964" s="33"/>
      <c r="T964" s="124"/>
      <c r="U964" s="3"/>
      <c r="V964" s="3"/>
      <c r="W964" s="3"/>
      <c r="X964" s="3"/>
      <c r="Y964" s="3"/>
      <c r="Z964" s="3"/>
    </row>
    <row r="965" spans="1:26" ht="15.75" customHeight="1">
      <c r="A965" s="3"/>
      <c r="B965" s="3"/>
      <c r="C965" s="3"/>
      <c r="D965" s="33"/>
      <c r="E965" s="33"/>
      <c r="F965" s="33"/>
      <c r="G965" s="33"/>
      <c r="H965" s="33"/>
      <c r="I965" s="33"/>
      <c r="J965" s="33"/>
      <c r="K965" s="33"/>
      <c r="L965" s="33"/>
      <c r="M965" s="33"/>
      <c r="N965" s="33"/>
      <c r="O965" s="33"/>
      <c r="P965" s="33"/>
      <c r="Q965" s="33"/>
      <c r="R965" s="33"/>
      <c r="S965" s="33"/>
      <c r="T965" s="124"/>
      <c r="U965" s="3"/>
      <c r="V965" s="3"/>
      <c r="W965" s="3"/>
      <c r="X965" s="3"/>
      <c r="Y965" s="3"/>
      <c r="Z965" s="3"/>
    </row>
    <row r="966" spans="1:26" ht="15.75" customHeight="1">
      <c r="A966" s="3"/>
      <c r="B966" s="3"/>
      <c r="C966" s="3"/>
      <c r="D966" s="33"/>
      <c r="E966" s="33"/>
      <c r="F966" s="33"/>
      <c r="G966" s="33"/>
      <c r="H966" s="33"/>
      <c r="I966" s="33"/>
      <c r="J966" s="33"/>
      <c r="K966" s="33"/>
      <c r="L966" s="33"/>
      <c r="M966" s="33"/>
      <c r="N966" s="33"/>
      <c r="O966" s="33"/>
      <c r="P966" s="33"/>
      <c r="Q966" s="33"/>
      <c r="R966" s="33"/>
      <c r="S966" s="33"/>
      <c r="T966" s="124"/>
      <c r="U966" s="3"/>
      <c r="V966" s="3"/>
      <c r="W966" s="3"/>
      <c r="X966" s="3"/>
      <c r="Y966" s="3"/>
      <c r="Z966" s="3"/>
    </row>
    <row r="967" spans="1:26" ht="15.75" customHeight="1">
      <c r="A967" s="3"/>
      <c r="B967" s="3"/>
      <c r="C967" s="3"/>
      <c r="D967" s="33"/>
      <c r="E967" s="33"/>
      <c r="F967" s="33"/>
      <c r="G967" s="33"/>
      <c r="H967" s="33"/>
      <c r="I967" s="33"/>
      <c r="J967" s="33"/>
      <c r="K967" s="33"/>
      <c r="L967" s="33"/>
      <c r="M967" s="33"/>
      <c r="N967" s="33"/>
      <c r="O967" s="33"/>
      <c r="P967" s="33"/>
      <c r="Q967" s="33"/>
      <c r="R967" s="33"/>
      <c r="S967" s="33"/>
      <c r="T967" s="124"/>
      <c r="U967" s="3"/>
      <c r="V967" s="3"/>
      <c r="W967" s="3"/>
      <c r="X967" s="3"/>
      <c r="Y967" s="3"/>
      <c r="Z967" s="3"/>
    </row>
    <row r="968" spans="1:26" ht="15.75" customHeight="1">
      <c r="A968" s="3"/>
      <c r="B968" s="3"/>
      <c r="C968" s="3"/>
      <c r="D968" s="33"/>
      <c r="E968" s="33"/>
      <c r="F968" s="33"/>
      <c r="G968" s="33"/>
      <c r="H968" s="33"/>
      <c r="I968" s="33"/>
      <c r="J968" s="33"/>
      <c r="K968" s="33"/>
      <c r="L968" s="33"/>
      <c r="M968" s="33"/>
      <c r="N968" s="33"/>
      <c r="O968" s="33"/>
      <c r="P968" s="33"/>
      <c r="Q968" s="33"/>
      <c r="R968" s="33"/>
      <c r="S968" s="33"/>
      <c r="T968" s="124"/>
      <c r="U968" s="3"/>
      <c r="V968" s="3"/>
      <c r="W968" s="3"/>
      <c r="X968" s="3"/>
      <c r="Y968" s="3"/>
      <c r="Z968" s="3"/>
    </row>
    <row r="969" spans="1:26" ht="15.75" customHeight="1">
      <c r="A969" s="3"/>
      <c r="B969" s="3"/>
      <c r="C969" s="3"/>
      <c r="D969" s="33"/>
      <c r="E969" s="33"/>
      <c r="F969" s="33"/>
      <c r="G969" s="33"/>
      <c r="H969" s="33"/>
      <c r="I969" s="33"/>
      <c r="J969" s="33"/>
      <c r="K969" s="33"/>
      <c r="L969" s="33"/>
      <c r="M969" s="33"/>
      <c r="N969" s="33"/>
      <c r="O969" s="33"/>
      <c r="P969" s="33"/>
      <c r="Q969" s="33"/>
      <c r="R969" s="33"/>
      <c r="S969" s="33"/>
      <c r="T969" s="124"/>
      <c r="U969" s="3"/>
      <c r="V969" s="3"/>
      <c r="W969" s="3"/>
      <c r="X969" s="3"/>
      <c r="Y969" s="3"/>
      <c r="Z969" s="3"/>
    </row>
    <row r="970" spans="1:26" ht="15.75" customHeight="1">
      <c r="A970" s="3"/>
      <c r="B970" s="3"/>
      <c r="C970" s="3"/>
      <c r="D970" s="33"/>
      <c r="E970" s="33"/>
      <c r="F970" s="33"/>
      <c r="G970" s="33"/>
      <c r="H970" s="33"/>
      <c r="I970" s="33"/>
      <c r="J970" s="33"/>
      <c r="K970" s="33"/>
      <c r="L970" s="33"/>
      <c r="M970" s="33"/>
      <c r="N970" s="33"/>
      <c r="O970" s="33"/>
      <c r="P970" s="33"/>
      <c r="Q970" s="33"/>
      <c r="R970" s="33"/>
      <c r="S970" s="33"/>
      <c r="T970" s="124"/>
      <c r="U970" s="3"/>
      <c r="V970" s="3"/>
      <c r="W970" s="3"/>
      <c r="X970" s="3"/>
      <c r="Y970" s="3"/>
      <c r="Z970" s="3"/>
    </row>
    <row r="971" spans="1:26" ht="15.75" customHeight="1">
      <c r="A971" s="3"/>
      <c r="B971" s="3"/>
      <c r="C971" s="3"/>
      <c r="D971" s="33"/>
      <c r="E971" s="33"/>
      <c r="F971" s="33"/>
      <c r="G971" s="33"/>
      <c r="H971" s="33"/>
      <c r="I971" s="33"/>
      <c r="J971" s="33"/>
      <c r="K971" s="33"/>
      <c r="L971" s="33"/>
      <c r="M971" s="33"/>
      <c r="N971" s="33"/>
      <c r="O971" s="33"/>
      <c r="P971" s="33"/>
      <c r="Q971" s="33"/>
      <c r="R971" s="33"/>
      <c r="S971" s="33"/>
      <c r="T971" s="124"/>
      <c r="U971" s="3"/>
      <c r="V971" s="3"/>
      <c r="W971" s="3"/>
      <c r="X971" s="3"/>
      <c r="Y971" s="3"/>
      <c r="Z971" s="3"/>
    </row>
    <row r="972" spans="1:26" ht="15.75" customHeight="1">
      <c r="A972" s="3"/>
      <c r="B972" s="3"/>
      <c r="C972" s="3"/>
      <c r="D972" s="33"/>
      <c r="E972" s="33"/>
      <c r="F972" s="33"/>
      <c r="G972" s="33"/>
      <c r="H972" s="33"/>
      <c r="I972" s="33"/>
      <c r="J972" s="33"/>
      <c r="K972" s="33"/>
      <c r="L972" s="33"/>
      <c r="M972" s="33"/>
      <c r="N972" s="33"/>
      <c r="O972" s="33"/>
      <c r="P972" s="33"/>
      <c r="Q972" s="33"/>
      <c r="R972" s="33"/>
      <c r="S972" s="33"/>
      <c r="T972" s="124"/>
      <c r="U972" s="3"/>
      <c r="V972" s="3"/>
      <c r="W972" s="3"/>
      <c r="X972" s="3"/>
      <c r="Y972" s="3"/>
      <c r="Z972" s="3"/>
    </row>
    <row r="973" spans="1:26" ht="15.75" customHeight="1">
      <c r="A973" s="3"/>
      <c r="B973" s="3"/>
      <c r="C973" s="3"/>
      <c r="D973" s="33"/>
      <c r="E973" s="33"/>
      <c r="F973" s="33"/>
      <c r="G973" s="33"/>
      <c r="H973" s="33"/>
      <c r="I973" s="33"/>
      <c r="J973" s="33"/>
      <c r="K973" s="33"/>
      <c r="L973" s="33"/>
      <c r="M973" s="33"/>
      <c r="N973" s="33"/>
      <c r="O973" s="33"/>
      <c r="P973" s="33"/>
      <c r="Q973" s="33"/>
      <c r="R973" s="33"/>
      <c r="S973" s="33"/>
      <c r="T973" s="124"/>
      <c r="U973" s="3"/>
      <c r="V973" s="3"/>
      <c r="W973" s="3"/>
      <c r="X973" s="3"/>
      <c r="Y973" s="3"/>
      <c r="Z973" s="3"/>
    </row>
    <row r="974" spans="1:26" ht="15.75" customHeight="1">
      <c r="A974" s="3"/>
      <c r="B974" s="3"/>
      <c r="C974" s="3"/>
      <c r="D974" s="33"/>
      <c r="E974" s="33"/>
      <c r="F974" s="33"/>
      <c r="G974" s="33"/>
      <c r="H974" s="33"/>
      <c r="I974" s="33"/>
      <c r="J974" s="33"/>
      <c r="K974" s="33"/>
      <c r="L974" s="33"/>
      <c r="M974" s="33"/>
      <c r="N974" s="33"/>
      <c r="O974" s="33"/>
      <c r="P974" s="33"/>
      <c r="Q974" s="33"/>
      <c r="R974" s="33"/>
      <c r="S974" s="33"/>
      <c r="T974" s="124"/>
      <c r="U974" s="3"/>
      <c r="V974" s="3"/>
      <c r="W974" s="3"/>
      <c r="X974" s="3"/>
      <c r="Y974" s="3"/>
      <c r="Z974" s="3"/>
    </row>
    <row r="975" spans="1:26" ht="15.75" customHeight="1">
      <c r="A975" s="3"/>
      <c r="B975" s="3"/>
      <c r="C975" s="3"/>
      <c r="D975" s="33"/>
      <c r="E975" s="33"/>
      <c r="F975" s="33"/>
      <c r="G975" s="33"/>
      <c r="H975" s="33"/>
      <c r="I975" s="33"/>
      <c r="J975" s="33"/>
      <c r="K975" s="33"/>
      <c r="L975" s="33"/>
      <c r="M975" s="33"/>
      <c r="N975" s="33"/>
      <c r="O975" s="33"/>
      <c r="P975" s="33"/>
      <c r="Q975" s="33"/>
      <c r="R975" s="33"/>
      <c r="S975" s="33"/>
      <c r="T975" s="124"/>
      <c r="U975" s="3"/>
      <c r="V975" s="3"/>
      <c r="W975" s="3"/>
      <c r="X975" s="3"/>
      <c r="Y975" s="3"/>
      <c r="Z975" s="3"/>
    </row>
    <row r="976" spans="1:26" ht="15.75" customHeight="1">
      <c r="A976" s="3"/>
      <c r="B976" s="3"/>
      <c r="C976" s="3"/>
      <c r="D976" s="33"/>
      <c r="E976" s="33"/>
      <c r="F976" s="33"/>
      <c r="G976" s="33"/>
      <c r="H976" s="33"/>
      <c r="I976" s="33"/>
      <c r="J976" s="33"/>
      <c r="K976" s="33"/>
      <c r="L976" s="33"/>
      <c r="M976" s="33"/>
      <c r="N976" s="33"/>
      <c r="O976" s="33"/>
      <c r="P976" s="33"/>
      <c r="Q976" s="33"/>
      <c r="R976" s="33"/>
      <c r="S976" s="33"/>
      <c r="T976" s="124"/>
      <c r="U976" s="3"/>
      <c r="V976" s="3"/>
      <c r="W976" s="3"/>
      <c r="X976" s="3"/>
      <c r="Y976" s="3"/>
      <c r="Z976" s="3"/>
    </row>
    <row r="977" spans="1:26" ht="15.75" customHeight="1">
      <c r="A977" s="3"/>
      <c r="B977" s="3"/>
      <c r="C977" s="3"/>
      <c r="D977" s="33"/>
      <c r="E977" s="33"/>
      <c r="F977" s="33"/>
      <c r="G977" s="33"/>
      <c r="H977" s="33"/>
      <c r="I977" s="33"/>
      <c r="J977" s="33"/>
      <c r="K977" s="33"/>
      <c r="L977" s="33"/>
      <c r="M977" s="33"/>
      <c r="N977" s="33"/>
      <c r="O977" s="33"/>
      <c r="P977" s="33"/>
      <c r="Q977" s="33"/>
      <c r="R977" s="33"/>
      <c r="S977" s="33"/>
      <c r="T977" s="124"/>
      <c r="U977" s="3"/>
      <c r="V977" s="3"/>
      <c r="W977" s="3"/>
      <c r="X977" s="3"/>
      <c r="Y977" s="3"/>
      <c r="Z977" s="3"/>
    </row>
    <row r="978" spans="1:26" ht="15.75" customHeight="1">
      <c r="A978" s="3"/>
      <c r="B978" s="3"/>
      <c r="C978" s="3"/>
      <c r="D978" s="33"/>
      <c r="E978" s="33"/>
      <c r="F978" s="33"/>
      <c r="G978" s="33"/>
      <c r="H978" s="33"/>
      <c r="I978" s="33"/>
      <c r="J978" s="33"/>
      <c r="K978" s="33"/>
      <c r="L978" s="33"/>
      <c r="M978" s="33"/>
      <c r="N978" s="33"/>
      <c r="O978" s="33"/>
      <c r="P978" s="33"/>
      <c r="Q978" s="33"/>
      <c r="R978" s="33"/>
      <c r="S978" s="33"/>
      <c r="T978" s="124"/>
      <c r="U978" s="3"/>
      <c r="V978" s="3"/>
      <c r="W978" s="3"/>
      <c r="X978" s="3"/>
      <c r="Y978" s="3"/>
      <c r="Z978" s="3"/>
    </row>
    <row r="979" spans="1:26" ht="15.75" customHeight="1">
      <c r="A979" s="3"/>
      <c r="B979" s="3"/>
      <c r="C979" s="3"/>
      <c r="D979" s="33"/>
      <c r="E979" s="33"/>
      <c r="F979" s="33"/>
      <c r="G979" s="33"/>
      <c r="H979" s="33"/>
      <c r="I979" s="33"/>
      <c r="J979" s="33"/>
      <c r="K979" s="33"/>
      <c r="L979" s="33"/>
      <c r="M979" s="33"/>
      <c r="N979" s="33"/>
      <c r="O979" s="33"/>
      <c r="P979" s="33"/>
      <c r="Q979" s="33"/>
      <c r="R979" s="33"/>
      <c r="S979" s="33"/>
      <c r="T979" s="124"/>
      <c r="U979" s="3"/>
      <c r="V979" s="3"/>
      <c r="W979" s="3"/>
      <c r="X979" s="3"/>
      <c r="Y979" s="3"/>
      <c r="Z979" s="3"/>
    </row>
    <row r="980" spans="1:26" ht="15.75" customHeight="1">
      <c r="A980" s="3"/>
      <c r="B980" s="3"/>
      <c r="C980" s="3"/>
      <c r="D980" s="33"/>
      <c r="E980" s="33"/>
      <c r="F980" s="33"/>
      <c r="G980" s="33"/>
      <c r="H980" s="33"/>
      <c r="I980" s="33"/>
      <c r="J980" s="33"/>
      <c r="K980" s="33"/>
      <c r="L980" s="33"/>
      <c r="M980" s="33"/>
      <c r="N980" s="33"/>
      <c r="O980" s="33"/>
      <c r="P980" s="33"/>
      <c r="Q980" s="33"/>
      <c r="R980" s="33"/>
      <c r="S980" s="33"/>
      <c r="T980" s="124"/>
      <c r="U980" s="3"/>
      <c r="V980" s="3"/>
      <c r="W980" s="3"/>
      <c r="X980" s="3"/>
      <c r="Y980" s="3"/>
      <c r="Z980" s="3"/>
    </row>
    <row r="981" spans="1:26" ht="15.75" customHeight="1">
      <c r="A981" s="3"/>
      <c r="B981" s="3"/>
      <c r="C981" s="3"/>
      <c r="D981" s="33"/>
      <c r="E981" s="33"/>
      <c r="F981" s="33"/>
      <c r="G981" s="33"/>
      <c r="H981" s="33"/>
      <c r="I981" s="33"/>
      <c r="J981" s="33"/>
      <c r="K981" s="33"/>
      <c r="L981" s="33"/>
      <c r="M981" s="33"/>
      <c r="N981" s="33"/>
      <c r="O981" s="33"/>
      <c r="P981" s="33"/>
      <c r="Q981" s="33"/>
      <c r="R981" s="33"/>
      <c r="S981" s="33"/>
      <c r="T981" s="124"/>
      <c r="U981" s="3"/>
      <c r="V981" s="3"/>
      <c r="W981" s="3"/>
      <c r="X981" s="3"/>
      <c r="Y981" s="3"/>
      <c r="Z981" s="3"/>
    </row>
    <row r="982" spans="1:26" ht="15.75" customHeight="1">
      <c r="A982" s="3"/>
      <c r="B982" s="3"/>
      <c r="C982" s="3"/>
      <c r="D982" s="33"/>
      <c r="E982" s="33"/>
      <c r="F982" s="33"/>
      <c r="G982" s="33"/>
      <c r="H982" s="33"/>
      <c r="I982" s="33"/>
      <c r="J982" s="33"/>
      <c r="K982" s="33"/>
      <c r="L982" s="33"/>
      <c r="M982" s="33"/>
      <c r="N982" s="33"/>
      <c r="O982" s="33"/>
      <c r="P982" s="33"/>
      <c r="Q982" s="33"/>
      <c r="R982" s="33"/>
      <c r="S982" s="33"/>
      <c r="T982" s="124"/>
      <c r="U982" s="3"/>
      <c r="V982" s="3"/>
      <c r="W982" s="3"/>
      <c r="X982" s="3"/>
      <c r="Y982" s="3"/>
      <c r="Z982" s="3"/>
    </row>
    <row r="983" spans="1:26" ht="15.75" customHeight="1">
      <c r="A983" s="3"/>
      <c r="B983" s="3"/>
      <c r="C983" s="3"/>
      <c r="D983" s="33"/>
      <c r="E983" s="33"/>
      <c r="F983" s="33"/>
      <c r="G983" s="33"/>
      <c r="H983" s="33"/>
      <c r="I983" s="33"/>
      <c r="J983" s="33"/>
      <c r="K983" s="33"/>
      <c r="L983" s="33"/>
      <c r="M983" s="33"/>
      <c r="N983" s="33"/>
      <c r="O983" s="33"/>
      <c r="P983" s="33"/>
      <c r="Q983" s="33"/>
      <c r="R983" s="33"/>
      <c r="S983" s="33"/>
      <c r="T983" s="124"/>
      <c r="U983" s="3"/>
      <c r="V983" s="3"/>
      <c r="W983" s="3"/>
      <c r="X983" s="3"/>
      <c r="Y983" s="3"/>
      <c r="Z983" s="3"/>
    </row>
    <row r="984" spans="1:26" ht="15.75" customHeight="1">
      <c r="A984" s="3"/>
      <c r="B984" s="3"/>
      <c r="C984" s="3"/>
      <c r="D984" s="33"/>
      <c r="E984" s="33"/>
      <c r="F984" s="33"/>
      <c r="G984" s="33"/>
      <c r="H984" s="33"/>
      <c r="I984" s="33"/>
      <c r="J984" s="33"/>
      <c r="K984" s="33"/>
      <c r="L984" s="33"/>
      <c r="M984" s="33"/>
      <c r="N984" s="33"/>
      <c r="O984" s="33"/>
      <c r="P984" s="33"/>
      <c r="Q984" s="33"/>
      <c r="R984" s="33"/>
      <c r="S984" s="33"/>
      <c r="T984" s="124"/>
      <c r="U984" s="3"/>
      <c r="V984" s="3"/>
      <c r="W984" s="3"/>
      <c r="X984" s="3"/>
      <c r="Y984" s="3"/>
      <c r="Z984" s="3"/>
    </row>
    <row r="985" spans="1:26" ht="15.75" customHeight="1">
      <c r="A985" s="3"/>
      <c r="B985" s="3"/>
      <c r="C985" s="3"/>
      <c r="D985" s="33"/>
      <c r="E985" s="33"/>
      <c r="F985" s="33"/>
      <c r="G985" s="33"/>
      <c r="H985" s="33"/>
      <c r="I985" s="33"/>
      <c r="J985" s="33"/>
      <c r="K985" s="33"/>
      <c r="L985" s="33"/>
      <c r="M985" s="33"/>
      <c r="N985" s="33"/>
      <c r="O985" s="33"/>
      <c r="P985" s="33"/>
      <c r="Q985" s="33"/>
      <c r="R985" s="33"/>
      <c r="S985" s="33"/>
      <c r="T985" s="124"/>
      <c r="U985" s="3"/>
      <c r="V985" s="3"/>
      <c r="W985" s="3"/>
      <c r="X985" s="3"/>
      <c r="Y985" s="3"/>
      <c r="Z985" s="3"/>
    </row>
    <row r="986" spans="1:26" ht="15.75" customHeight="1">
      <c r="A986" s="3"/>
      <c r="B986" s="3"/>
      <c r="C986" s="3"/>
      <c r="D986" s="33"/>
      <c r="E986" s="33"/>
      <c r="F986" s="33"/>
      <c r="G986" s="33"/>
      <c r="H986" s="33"/>
      <c r="I986" s="33"/>
      <c r="J986" s="33"/>
      <c r="K986" s="33"/>
      <c r="L986" s="33"/>
      <c r="M986" s="33"/>
      <c r="N986" s="33"/>
      <c r="O986" s="33"/>
      <c r="P986" s="33"/>
      <c r="Q986" s="33"/>
      <c r="R986" s="33"/>
      <c r="S986" s="33"/>
      <c r="T986" s="124"/>
      <c r="U986" s="3"/>
      <c r="V986" s="3"/>
      <c r="W986" s="3"/>
      <c r="X986" s="3"/>
      <c r="Y986" s="3"/>
      <c r="Z986" s="3"/>
    </row>
    <row r="987" spans="1:26" ht="15.75" customHeight="1">
      <c r="A987" s="3"/>
      <c r="B987" s="3"/>
      <c r="C987" s="3"/>
      <c r="D987" s="33"/>
      <c r="E987" s="33"/>
      <c r="F987" s="33"/>
      <c r="G987" s="33"/>
      <c r="H987" s="33"/>
      <c r="I987" s="33"/>
      <c r="J987" s="33"/>
      <c r="K987" s="33"/>
      <c r="L987" s="33"/>
      <c r="M987" s="33"/>
      <c r="N987" s="33"/>
      <c r="O987" s="33"/>
      <c r="P987" s="33"/>
      <c r="Q987" s="33"/>
      <c r="R987" s="33"/>
      <c r="S987" s="33"/>
      <c r="T987" s="124"/>
      <c r="U987" s="3"/>
      <c r="V987" s="3"/>
      <c r="W987" s="3"/>
      <c r="X987" s="3"/>
      <c r="Y987" s="3"/>
      <c r="Z987" s="3"/>
    </row>
    <row r="988" spans="1:26" ht="15.75" customHeight="1">
      <c r="A988" s="3"/>
      <c r="B988" s="3"/>
      <c r="C988" s="3"/>
      <c r="D988" s="33"/>
      <c r="E988" s="33"/>
      <c r="F988" s="33"/>
      <c r="G988" s="33"/>
      <c r="H988" s="33"/>
      <c r="I988" s="33"/>
      <c r="J988" s="33"/>
      <c r="K988" s="33"/>
      <c r="L988" s="33"/>
      <c r="M988" s="33"/>
      <c r="N988" s="33"/>
      <c r="O988" s="33"/>
      <c r="P988" s="33"/>
      <c r="Q988" s="33"/>
      <c r="R988" s="33"/>
      <c r="S988" s="33"/>
      <c r="T988" s="124"/>
      <c r="U988" s="3"/>
      <c r="V988" s="3"/>
      <c r="W988" s="3"/>
      <c r="X988" s="3"/>
      <c r="Y988" s="3"/>
      <c r="Z988" s="3"/>
    </row>
    <row r="989" spans="1:26" ht="15.75" customHeight="1">
      <c r="A989" s="3"/>
      <c r="B989" s="3"/>
      <c r="C989" s="3"/>
      <c r="D989" s="33"/>
      <c r="E989" s="33"/>
      <c r="F989" s="33"/>
      <c r="G989" s="33"/>
      <c r="H989" s="33"/>
      <c r="I989" s="33"/>
      <c r="J989" s="33"/>
      <c r="K989" s="33"/>
      <c r="L989" s="33"/>
      <c r="M989" s="33"/>
      <c r="N989" s="33"/>
      <c r="O989" s="33"/>
      <c r="P989" s="33"/>
      <c r="Q989" s="33"/>
      <c r="R989" s="33"/>
      <c r="S989" s="33"/>
      <c r="T989" s="124"/>
      <c r="U989" s="3"/>
      <c r="V989" s="3"/>
      <c r="W989" s="3"/>
      <c r="X989" s="3"/>
      <c r="Y989" s="3"/>
      <c r="Z989" s="3"/>
    </row>
    <row r="990" spans="1:26" ht="15.75" customHeight="1">
      <c r="A990" s="3"/>
      <c r="B990" s="3"/>
      <c r="C990" s="3"/>
      <c r="D990" s="33"/>
      <c r="E990" s="33"/>
      <c r="F990" s="33"/>
      <c r="G990" s="33"/>
      <c r="H990" s="33"/>
      <c r="I990" s="33"/>
      <c r="J990" s="33"/>
      <c r="K990" s="33"/>
      <c r="L990" s="33"/>
      <c r="M990" s="33"/>
      <c r="N990" s="33"/>
      <c r="O990" s="33"/>
      <c r="P990" s="33"/>
      <c r="Q990" s="33"/>
      <c r="R990" s="33"/>
      <c r="S990" s="33"/>
      <c r="T990" s="124"/>
      <c r="U990" s="3"/>
      <c r="V990" s="3"/>
      <c r="W990" s="3"/>
      <c r="X990" s="3"/>
      <c r="Y990" s="3"/>
      <c r="Z990" s="3"/>
    </row>
    <row r="991" spans="1:26" ht="15.75" customHeight="1">
      <c r="A991" s="3"/>
      <c r="B991" s="3"/>
      <c r="C991" s="3"/>
      <c r="D991" s="33"/>
      <c r="E991" s="33"/>
      <c r="F991" s="33"/>
      <c r="G991" s="33"/>
      <c r="H991" s="33"/>
      <c r="I991" s="33"/>
      <c r="J991" s="33"/>
      <c r="K991" s="33"/>
      <c r="L991" s="33"/>
      <c r="M991" s="33"/>
      <c r="N991" s="33"/>
      <c r="O991" s="33"/>
      <c r="P991" s="33"/>
      <c r="Q991" s="33"/>
      <c r="R991" s="33"/>
      <c r="S991" s="33"/>
      <c r="T991" s="124"/>
      <c r="U991" s="3"/>
      <c r="V991" s="3"/>
      <c r="W991" s="3"/>
      <c r="X991" s="3"/>
      <c r="Y991" s="3"/>
      <c r="Z991" s="3"/>
    </row>
    <row r="992" spans="1:26" ht="15.75" customHeight="1">
      <c r="A992" s="3"/>
      <c r="B992" s="3"/>
      <c r="C992" s="3"/>
      <c r="D992" s="33"/>
      <c r="E992" s="33"/>
      <c r="F992" s="33"/>
      <c r="G992" s="33"/>
      <c r="H992" s="33"/>
      <c r="I992" s="33"/>
      <c r="J992" s="33"/>
      <c r="K992" s="33"/>
      <c r="L992" s="33"/>
      <c r="M992" s="33"/>
      <c r="N992" s="33"/>
      <c r="O992" s="33"/>
      <c r="P992" s="33"/>
      <c r="Q992" s="33"/>
      <c r="R992" s="33"/>
      <c r="S992" s="33"/>
      <c r="T992" s="124"/>
      <c r="U992" s="3"/>
      <c r="V992" s="3"/>
      <c r="W992" s="3"/>
      <c r="X992" s="3"/>
      <c r="Y992" s="3"/>
      <c r="Z992" s="3"/>
    </row>
    <row r="993" spans="1:26" ht="15.75" customHeight="1">
      <c r="A993" s="3"/>
      <c r="B993" s="3"/>
      <c r="C993" s="3"/>
      <c r="D993" s="33"/>
      <c r="E993" s="33"/>
      <c r="F993" s="33"/>
      <c r="G993" s="33"/>
      <c r="H993" s="33"/>
      <c r="I993" s="33"/>
      <c r="J993" s="33"/>
      <c r="K993" s="33"/>
      <c r="L993" s="33"/>
      <c r="M993" s="33"/>
      <c r="N993" s="33"/>
      <c r="O993" s="33"/>
      <c r="P993" s="33"/>
      <c r="Q993" s="33"/>
      <c r="R993" s="33"/>
      <c r="S993" s="33"/>
      <c r="T993" s="124"/>
      <c r="U993" s="3"/>
      <c r="V993" s="3"/>
      <c r="W993" s="3"/>
      <c r="X993" s="3"/>
      <c r="Y993" s="3"/>
      <c r="Z993" s="3"/>
    </row>
    <row r="994" spans="1:26" ht="15.75" customHeight="1">
      <c r="A994" s="3"/>
      <c r="B994" s="3"/>
      <c r="C994" s="3"/>
      <c r="D994" s="33"/>
      <c r="E994" s="33"/>
      <c r="F994" s="33"/>
      <c r="G994" s="33"/>
      <c r="H994" s="33"/>
      <c r="I994" s="33"/>
      <c r="J994" s="33"/>
      <c r="K994" s="33"/>
      <c r="L994" s="33"/>
      <c r="M994" s="33"/>
      <c r="N994" s="33"/>
      <c r="O994" s="33"/>
      <c r="P994" s="33"/>
      <c r="Q994" s="33"/>
      <c r="R994" s="33"/>
      <c r="S994" s="33"/>
      <c r="T994" s="124"/>
      <c r="U994" s="3"/>
      <c r="V994" s="3"/>
      <c r="W994" s="3"/>
      <c r="X994" s="3"/>
      <c r="Y994" s="3"/>
      <c r="Z994" s="3"/>
    </row>
    <row r="995" spans="1:26" ht="15.75" customHeight="1">
      <c r="A995" s="3"/>
      <c r="B995" s="3"/>
      <c r="C995" s="3"/>
      <c r="D995" s="33"/>
      <c r="E995" s="33"/>
      <c r="F995" s="33"/>
      <c r="G995" s="33"/>
      <c r="H995" s="33"/>
      <c r="I995" s="33"/>
      <c r="J995" s="33"/>
      <c r="K995" s="33"/>
      <c r="L995" s="33"/>
      <c r="M995" s="33"/>
      <c r="N995" s="33"/>
      <c r="O995" s="33"/>
      <c r="P995" s="33"/>
      <c r="Q995" s="33"/>
      <c r="R995" s="33"/>
      <c r="S995" s="33"/>
      <c r="T995" s="124"/>
      <c r="U995" s="3"/>
      <c r="V995" s="3"/>
      <c r="W995" s="3"/>
      <c r="X995" s="3"/>
      <c r="Y995" s="3"/>
      <c r="Z995" s="3"/>
    </row>
    <row r="996" spans="1:26" ht="15.75" customHeight="1">
      <c r="A996" s="3"/>
      <c r="B996" s="3"/>
      <c r="C996" s="3"/>
      <c r="D996" s="33"/>
      <c r="E996" s="33"/>
      <c r="F996" s="33"/>
      <c r="G996" s="33"/>
      <c r="H996" s="33"/>
      <c r="I996" s="33"/>
      <c r="J996" s="33"/>
      <c r="K996" s="33"/>
      <c r="L996" s="33"/>
      <c r="M996" s="33"/>
      <c r="N996" s="33"/>
      <c r="O996" s="33"/>
      <c r="P996" s="33"/>
      <c r="Q996" s="33"/>
      <c r="R996" s="33"/>
      <c r="S996" s="33"/>
      <c r="T996" s="124"/>
      <c r="U996" s="3"/>
      <c r="V996" s="3"/>
      <c r="W996" s="3"/>
      <c r="X996" s="3"/>
      <c r="Y996" s="3"/>
      <c r="Z996" s="3"/>
    </row>
    <row r="997" spans="1:26" ht="15.75" customHeight="1">
      <c r="A997" s="3"/>
      <c r="B997" s="3"/>
      <c r="C997" s="3"/>
      <c r="D997" s="33"/>
      <c r="E997" s="33"/>
      <c r="F997" s="33"/>
      <c r="G997" s="33"/>
      <c r="H997" s="33"/>
      <c r="I997" s="33"/>
      <c r="J997" s="33"/>
      <c r="K997" s="33"/>
      <c r="L997" s="33"/>
      <c r="M997" s="33"/>
      <c r="N997" s="33"/>
      <c r="O997" s="33"/>
      <c r="P997" s="33"/>
      <c r="Q997" s="33"/>
      <c r="R997" s="33"/>
      <c r="S997" s="33"/>
      <c r="T997" s="124"/>
      <c r="U997" s="3"/>
      <c r="V997" s="3"/>
      <c r="W997" s="3"/>
      <c r="X997" s="3"/>
      <c r="Y997" s="3"/>
      <c r="Z997" s="3"/>
    </row>
    <row r="998" spans="1:26" ht="15.75" customHeight="1">
      <c r="A998" s="3"/>
      <c r="B998" s="3"/>
      <c r="C998" s="3"/>
      <c r="D998" s="33"/>
      <c r="E998" s="33"/>
      <c r="F998" s="33"/>
      <c r="G998" s="33"/>
      <c r="H998" s="33"/>
      <c r="I998" s="33"/>
      <c r="J998" s="33"/>
      <c r="K998" s="33"/>
      <c r="L998" s="33"/>
      <c r="M998" s="33"/>
      <c r="N998" s="33"/>
      <c r="O998" s="33"/>
      <c r="P998" s="33"/>
      <c r="Q998" s="33"/>
      <c r="R998" s="33"/>
      <c r="S998" s="33"/>
      <c r="T998" s="124"/>
      <c r="U998" s="3"/>
      <c r="V998" s="3"/>
      <c r="W998" s="3"/>
      <c r="X998" s="3"/>
      <c r="Y998" s="3"/>
      <c r="Z998" s="3"/>
    </row>
    <row r="999" spans="1:26" ht="15.75" customHeight="1">
      <c r="A999" s="3"/>
      <c r="B999" s="3"/>
      <c r="C999" s="3"/>
      <c r="D999" s="33"/>
      <c r="E999" s="33"/>
      <c r="F999" s="33"/>
      <c r="G999" s="33"/>
      <c r="H999" s="33"/>
      <c r="I999" s="33"/>
      <c r="J999" s="33"/>
      <c r="K999" s="33"/>
      <c r="L999" s="33"/>
      <c r="M999" s="33"/>
      <c r="N999" s="33"/>
      <c r="O999" s="33"/>
      <c r="P999" s="33"/>
      <c r="Q999" s="33"/>
      <c r="R999" s="33"/>
      <c r="S999" s="33"/>
      <c r="T999" s="124"/>
      <c r="U999" s="3"/>
      <c r="V999" s="3"/>
      <c r="W999" s="3"/>
      <c r="X999" s="3"/>
      <c r="Y999" s="3"/>
      <c r="Z999" s="3"/>
    </row>
  </sheetData>
  <mergeCells count="3">
    <mergeCell ref="A4:A5"/>
    <mergeCell ref="B4:B5"/>
    <mergeCell ref="C5:D5"/>
  </mergeCells>
  <dataValidations count="2">
    <dataValidation type="list" allowBlank="1" showErrorMessage="1" sqref="X17 B6:B20">
      <formula1>$X$17</formula1>
    </dataValidation>
    <dataValidation type="list" allowBlank="1" showErrorMessage="1" sqref="D6:D20 X5:X16">
      <formula1>$X$5:$X$12</formula1>
    </dataValidation>
  </dataValidations>
  <printOptions horizontalCentered="1"/>
  <pageMargins left="0" right="0" top="0" bottom="0" header="0" footer="0"/>
  <pageSetup scale="38"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2D69B"/>
  </sheetPr>
  <dimension ref="A1:AB968"/>
  <sheetViews>
    <sheetView workbookViewId="0"/>
  </sheetViews>
  <sheetFormatPr baseColWidth="10" defaultColWidth="12.58203125" defaultRowHeight="15" customHeight="1"/>
  <cols>
    <col min="1" max="2" width="11" customWidth="1"/>
    <col min="3" max="3" width="25.58203125" customWidth="1"/>
    <col min="4" max="4" width="18.58203125" customWidth="1"/>
    <col min="5" max="5" width="12" customWidth="1"/>
    <col min="6" max="6" width="12.58203125" customWidth="1"/>
    <col min="7" max="7" width="23.58203125" customWidth="1"/>
    <col min="8" max="9" width="11" customWidth="1"/>
    <col min="10" max="10" width="13.58203125" customWidth="1"/>
    <col min="11" max="12" width="11" customWidth="1"/>
    <col min="13" max="13" width="14.58203125" bestFit="1" customWidth="1"/>
    <col min="14" max="14" width="12.58203125" customWidth="1"/>
    <col min="15" max="15" width="13.1640625" customWidth="1"/>
    <col min="16" max="28" width="11" customWidth="1"/>
  </cols>
  <sheetData>
    <row r="1" spans="1:28" ht="14.25" customHeight="1">
      <c r="A1" s="1066" t="s">
        <v>252</v>
      </c>
      <c r="B1" s="1072" t="s">
        <v>9</v>
      </c>
      <c r="C1" s="1072" t="s">
        <v>253</v>
      </c>
      <c r="D1" s="1072" t="s">
        <v>254</v>
      </c>
      <c r="E1" s="1068" t="s">
        <v>848</v>
      </c>
      <c r="F1" s="1068" t="s">
        <v>905</v>
      </c>
      <c r="G1" s="1066" t="s">
        <v>257</v>
      </c>
      <c r="H1" s="1070" t="s">
        <v>258</v>
      </c>
      <c r="I1" s="138"/>
      <c r="J1" s="138"/>
      <c r="K1" s="138"/>
      <c r="L1" s="138"/>
      <c r="M1" s="988">
        <v>45169</v>
      </c>
      <c r="N1" s="140" t="s">
        <v>255</v>
      </c>
      <c r="O1" s="140" t="s">
        <v>256</v>
      </c>
      <c r="P1" s="138"/>
      <c r="Q1" s="138"/>
      <c r="R1" s="138"/>
      <c r="S1" s="138"/>
      <c r="T1" s="138"/>
      <c r="U1" s="138"/>
      <c r="V1" s="138"/>
      <c r="W1" s="138"/>
      <c r="X1" s="138"/>
      <c r="Y1" s="138"/>
      <c r="Z1" s="138"/>
      <c r="AA1" s="138"/>
      <c r="AB1" s="138"/>
    </row>
    <row r="2" spans="1:28" ht="14.25" customHeight="1">
      <c r="A2" s="1067" t="s">
        <v>281</v>
      </c>
      <c r="B2" s="1067" t="s">
        <v>278</v>
      </c>
      <c r="C2" s="1067" t="s">
        <v>267</v>
      </c>
      <c r="D2" s="1067" t="s">
        <v>282</v>
      </c>
      <c r="E2" s="1069">
        <v>32007.51</v>
      </c>
      <c r="F2" s="1069">
        <v>-22494.36</v>
      </c>
      <c r="G2" s="1067" t="s">
        <v>283</v>
      </c>
      <c r="H2" s="1064">
        <v>423</v>
      </c>
      <c r="I2" s="1026"/>
      <c r="J2" s="1025"/>
      <c r="K2" s="1025"/>
      <c r="L2" s="138"/>
      <c r="M2" s="140" t="s">
        <v>261</v>
      </c>
      <c r="N2" s="142">
        <f>+SUM(E:E)</f>
        <v>2779322.1000000006</v>
      </c>
      <c r="O2" s="143">
        <f>+SUM(F:F)</f>
        <v>-640715.52999999991</v>
      </c>
      <c r="P2" s="138"/>
      <c r="Q2" s="138"/>
      <c r="R2" s="138"/>
      <c r="S2" s="138"/>
      <c r="T2" s="138"/>
      <c r="U2" s="138"/>
      <c r="V2" s="138"/>
      <c r="W2" s="138"/>
      <c r="X2" s="138"/>
      <c r="Y2" s="138"/>
      <c r="Z2" s="138"/>
      <c r="AA2" s="138"/>
      <c r="AB2" s="138"/>
    </row>
    <row r="3" spans="1:28" ht="14.25" customHeight="1">
      <c r="A3" s="1067" t="s">
        <v>3341</v>
      </c>
      <c r="B3" s="1067" t="s">
        <v>278</v>
      </c>
      <c r="C3" s="1067" t="s">
        <v>267</v>
      </c>
      <c r="D3" s="1067" t="s">
        <v>282</v>
      </c>
      <c r="E3" s="1069">
        <v>24454.46</v>
      </c>
      <c r="F3" s="1065"/>
      <c r="G3" s="1067" t="s">
        <v>3342</v>
      </c>
      <c r="H3" s="1064">
        <v>306</v>
      </c>
      <c r="I3" s="1025"/>
      <c r="J3" s="1025"/>
      <c r="K3" s="1025"/>
      <c r="L3" s="138"/>
      <c r="M3" s="138" t="s">
        <v>263</v>
      </c>
      <c r="N3" s="149">
        <f>COUNT(E:E)</f>
        <v>111</v>
      </c>
      <c r="O3" s="144">
        <f>-O2/N2</f>
        <v>0.23052942658211503</v>
      </c>
      <c r="P3" s="138"/>
      <c r="Q3" s="138"/>
      <c r="R3" s="138"/>
      <c r="S3" s="138"/>
      <c r="T3" s="138"/>
      <c r="U3" s="138"/>
      <c r="V3" s="138"/>
      <c r="W3" s="138"/>
      <c r="X3" s="138"/>
      <c r="Y3" s="138"/>
      <c r="Z3" s="138"/>
      <c r="AA3" s="138"/>
      <c r="AB3" s="138"/>
    </row>
    <row r="4" spans="1:28" ht="14.25" customHeight="1">
      <c r="A4" s="1067" t="s">
        <v>3419</v>
      </c>
      <c r="B4" s="1067" t="s">
        <v>268</v>
      </c>
      <c r="C4" s="1067" t="s">
        <v>267</v>
      </c>
      <c r="D4" s="1067" t="s">
        <v>269</v>
      </c>
      <c r="E4" s="1069">
        <v>37735.15</v>
      </c>
      <c r="F4" s="1065"/>
      <c r="G4" s="1067" t="s">
        <v>3420</v>
      </c>
      <c r="H4" s="1064">
        <v>188</v>
      </c>
      <c r="I4" s="1025"/>
      <c r="J4" s="1025"/>
      <c r="K4" s="1025"/>
      <c r="L4" s="138"/>
      <c r="M4" s="138"/>
      <c r="N4" s="138"/>
      <c r="O4" s="138"/>
      <c r="P4" s="138"/>
      <c r="Q4" s="138"/>
      <c r="R4" s="138"/>
      <c r="S4" s="138"/>
      <c r="T4" s="138"/>
      <c r="U4" s="138"/>
      <c r="V4" s="138"/>
      <c r="W4" s="138"/>
      <c r="X4" s="138"/>
      <c r="Y4" s="138"/>
      <c r="Z4" s="138"/>
      <c r="AA4" s="138"/>
      <c r="AB4" s="138"/>
    </row>
    <row r="5" spans="1:28" ht="14.25" customHeight="1">
      <c r="A5" s="1067" t="s">
        <v>3421</v>
      </c>
      <c r="B5" s="1067" t="s">
        <v>266</v>
      </c>
      <c r="C5" s="1067" t="s">
        <v>267</v>
      </c>
      <c r="D5" s="1067" t="s">
        <v>3408</v>
      </c>
      <c r="E5" s="1069">
        <v>29929.55</v>
      </c>
      <c r="F5" s="1065"/>
      <c r="G5" s="1067" t="s">
        <v>3422</v>
      </c>
      <c r="H5" s="1064">
        <v>187</v>
      </c>
      <c r="I5" s="1025"/>
      <c r="J5" s="1025"/>
      <c r="K5" s="1025"/>
      <c r="L5" s="138"/>
      <c r="M5" s="138" t="s">
        <v>274</v>
      </c>
      <c r="N5" s="150">
        <f>+N2/N3</f>
        <v>25038.937837837842</v>
      </c>
      <c r="O5" s="138"/>
      <c r="P5" s="138"/>
      <c r="Q5" s="138"/>
      <c r="R5" s="138"/>
      <c r="S5" s="138"/>
      <c r="T5" s="138"/>
      <c r="U5" s="138"/>
      <c r="V5" s="138"/>
      <c r="W5" s="138"/>
      <c r="X5" s="138"/>
      <c r="Y5" s="138"/>
      <c r="Z5" s="138"/>
      <c r="AA5" s="138"/>
      <c r="AB5" s="138"/>
    </row>
    <row r="6" spans="1:28" ht="14.25" customHeight="1">
      <c r="A6" s="1067" t="s">
        <v>3441</v>
      </c>
      <c r="B6" s="1067" t="s">
        <v>266</v>
      </c>
      <c r="C6" s="1067" t="s">
        <v>267</v>
      </c>
      <c r="D6" s="1067" t="s">
        <v>262</v>
      </c>
      <c r="E6" s="1069">
        <v>31306.12</v>
      </c>
      <c r="F6" s="1065"/>
      <c r="G6" s="1067" t="s">
        <v>3442</v>
      </c>
      <c r="H6" s="1064">
        <v>131</v>
      </c>
      <c r="I6" s="1025"/>
      <c r="J6" s="1025"/>
      <c r="K6" s="1025"/>
      <c r="L6" s="138"/>
      <c r="M6" s="138"/>
      <c r="N6" s="138"/>
      <c r="O6" s="138"/>
      <c r="P6" s="138"/>
      <c r="Q6" s="138"/>
      <c r="R6" s="138"/>
      <c r="S6" s="138"/>
      <c r="T6" s="138"/>
      <c r="U6" s="138"/>
      <c r="V6" s="138"/>
      <c r="W6" s="138"/>
      <c r="X6" s="138"/>
      <c r="Y6" s="138"/>
      <c r="Z6" s="138"/>
      <c r="AA6" s="138"/>
      <c r="AB6" s="138"/>
    </row>
    <row r="7" spans="1:28" ht="14.25" customHeight="1">
      <c r="A7" s="1067" t="s">
        <v>3548</v>
      </c>
      <c r="B7" s="1067" t="s">
        <v>3549</v>
      </c>
      <c r="C7" s="1067" t="s">
        <v>3543</v>
      </c>
      <c r="D7" s="1067" t="s">
        <v>3544</v>
      </c>
      <c r="E7" s="1069">
        <v>17680.419999999998</v>
      </c>
      <c r="F7" s="1065"/>
      <c r="G7" s="1067" t="s">
        <v>3550</v>
      </c>
      <c r="H7" s="1064">
        <v>121</v>
      </c>
      <c r="I7" s="1025"/>
      <c r="J7" s="1025"/>
      <c r="K7" s="1025"/>
      <c r="L7" s="138"/>
      <c r="M7" s="151" t="s">
        <v>276</v>
      </c>
      <c r="N7" s="152">
        <f>SUM(E2:E13)</f>
        <v>337989.36</v>
      </c>
      <c r="O7" s="144">
        <f>+N7/N2</f>
        <v>0.12160856059108799</v>
      </c>
      <c r="P7" s="138"/>
      <c r="Q7" s="138"/>
      <c r="R7" s="138"/>
      <c r="S7" s="138"/>
      <c r="T7" s="138"/>
      <c r="U7" s="138"/>
      <c r="V7" s="138"/>
      <c r="W7" s="138"/>
      <c r="X7" s="138"/>
      <c r="Y7" s="138"/>
      <c r="Z7" s="138"/>
      <c r="AA7" s="138"/>
      <c r="AB7" s="138"/>
    </row>
    <row r="8" spans="1:28" ht="14.25" customHeight="1">
      <c r="A8" s="1067" t="s">
        <v>3463</v>
      </c>
      <c r="B8" s="1067" t="s">
        <v>268</v>
      </c>
      <c r="C8" s="1067" t="s">
        <v>267</v>
      </c>
      <c r="D8" s="1067" t="s">
        <v>260</v>
      </c>
      <c r="E8" s="1069">
        <v>28635.15</v>
      </c>
      <c r="F8" s="1069">
        <v>-31332.799999999999</v>
      </c>
      <c r="G8" s="1067" t="s">
        <v>3464</v>
      </c>
      <c r="H8" s="1064">
        <v>104</v>
      </c>
      <c r="I8" s="1025"/>
      <c r="J8" s="1025"/>
      <c r="K8" s="1025"/>
      <c r="L8" s="138"/>
      <c r="M8" s="138"/>
      <c r="N8" s="148">
        <f>COUNT(H2:H13)</f>
        <v>12</v>
      </c>
      <c r="O8" s="144">
        <f>+N8/(N3)</f>
        <v>0.10810810810810811</v>
      </c>
      <c r="P8" s="138"/>
      <c r="Q8" s="138"/>
      <c r="R8" s="138"/>
      <c r="S8" s="138"/>
      <c r="T8" s="138"/>
      <c r="U8" s="138"/>
      <c r="V8" s="138"/>
      <c r="W8" s="138"/>
      <c r="X8" s="138"/>
      <c r="Y8" s="138"/>
      <c r="Z8" s="138"/>
      <c r="AA8" s="138"/>
      <c r="AB8" s="138"/>
    </row>
    <row r="9" spans="1:28" ht="14.25" customHeight="1">
      <c r="A9" s="1067" t="s">
        <v>3459</v>
      </c>
      <c r="B9" s="1067" t="s">
        <v>259</v>
      </c>
      <c r="C9" s="1067" t="s">
        <v>267</v>
      </c>
      <c r="D9" s="1067" t="s">
        <v>260</v>
      </c>
      <c r="E9" s="1069">
        <v>38815.25</v>
      </c>
      <c r="F9" s="1065"/>
      <c r="G9" s="1067" t="s">
        <v>3460</v>
      </c>
      <c r="H9" s="1064">
        <v>94</v>
      </c>
      <c r="I9" s="1025"/>
      <c r="J9" s="1025"/>
      <c r="K9" s="1025"/>
      <c r="L9" s="138"/>
      <c r="M9" s="138"/>
      <c r="N9" s="138"/>
      <c r="O9" s="138"/>
      <c r="P9" s="138"/>
      <c r="Q9" s="138"/>
      <c r="R9" s="138"/>
      <c r="S9" s="138"/>
      <c r="T9" s="138"/>
      <c r="U9" s="138"/>
      <c r="V9" s="138"/>
      <c r="W9" s="138"/>
      <c r="X9" s="138"/>
      <c r="Y9" s="138"/>
      <c r="Z9" s="138"/>
      <c r="AA9" s="138"/>
      <c r="AB9" s="138"/>
    </row>
    <row r="10" spans="1:28" ht="14.25" customHeight="1">
      <c r="A10" s="1067" t="s">
        <v>3461</v>
      </c>
      <c r="B10" s="1067" t="s">
        <v>278</v>
      </c>
      <c r="C10" s="1067" t="s">
        <v>267</v>
      </c>
      <c r="D10" s="1067" t="s">
        <v>260</v>
      </c>
      <c r="E10" s="1069">
        <v>31315.25</v>
      </c>
      <c r="F10" s="1069">
        <v>-24944.54</v>
      </c>
      <c r="G10" s="1067" t="s">
        <v>3462</v>
      </c>
      <c r="H10" s="1064">
        <v>94</v>
      </c>
      <c r="I10" s="1025"/>
      <c r="J10" s="1025"/>
      <c r="K10" s="1025"/>
      <c r="L10" s="138"/>
      <c r="M10" s="138"/>
      <c r="N10" s="138"/>
      <c r="O10" s="138"/>
      <c r="P10" s="138"/>
      <c r="Q10" s="138"/>
      <c r="R10" s="138"/>
      <c r="S10" s="138"/>
      <c r="T10" s="138"/>
      <c r="U10" s="138"/>
      <c r="V10" s="138"/>
      <c r="W10" s="138"/>
      <c r="X10" s="138"/>
      <c r="Y10" s="138"/>
      <c r="Z10" s="138"/>
      <c r="AA10" s="138"/>
      <c r="AB10" s="138"/>
    </row>
    <row r="11" spans="1:28" ht="14.25" customHeight="1">
      <c r="A11" s="1067" t="s">
        <v>3466</v>
      </c>
      <c r="B11" s="1067" t="s">
        <v>275</v>
      </c>
      <c r="C11" s="1067" t="s">
        <v>267</v>
      </c>
      <c r="D11" s="1067" t="s">
        <v>277</v>
      </c>
      <c r="E11" s="1069">
        <v>21280.25</v>
      </c>
      <c r="F11" s="1069">
        <v>-10962</v>
      </c>
      <c r="G11" s="1067" t="s">
        <v>3467</v>
      </c>
      <c r="H11" s="1064">
        <v>94</v>
      </c>
      <c r="I11" s="1025"/>
      <c r="J11" s="1025"/>
      <c r="K11" s="1025"/>
      <c r="L11" s="138"/>
      <c r="M11" s="138"/>
      <c r="N11" s="138"/>
      <c r="O11" s="138"/>
      <c r="P11" s="138"/>
      <c r="Q11" s="138"/>
      <c r="R11" s="138"/>
      <c r="S11" s="138"/>
      <c r="T11" s="138"/>
      <c r="U11" s="138"/>
      <c r="V11" s="138"/>
      <c r="W11" s="138"/>
      <c r="X11" s="138"/>
      <c r="Y11" s="138"/>
      <c r="Z11" s="138"/>
      <c r="AA11" s="138"/>
      <c r="AB11" s="138"/>
    </row>
    <row r="12" spans="1:28" ht="14.25" customHeight="1">
      <c r="A12" s="1067" t="s">
        <v>3468</v>
      </c>
      <c r="B12" s="1067" t="s">
        <v>266</v>
      </c>
      <c r="C12" s="1067" t="s">
        <v>3469</v>
      </c>
      <c r="D12" s="1067" t="s">
        <v>3470</v>
      </c>
      <c r="E12" s="1069">
        <v>17550</v>
      </c>
      <c r="F12" s="1065"/>
      <c r="G12" s="1067" t="s">
        <v>3471</v>
      </c>
      <c r="H12" s="1064">
        <v>93</v>
      </c>
      <c r="I12" s="1025"/>
      <c r="J12" s="1025"/>
      <c r="K12" s="1025"/>
      <c r="L12" s="138"/>
      <c r="M12" s="138"/>
      <c r="N12" s="138"/>
      <c r="O12" s="138"/>
      <c r="P12" s="138"/>
      <c r="Q12" s="138"/>
      <c r="R12" s="138"/>
      <c r="S12" s="138"/>
      <c r="T12" s="138"/>
      <c r="U12" s="138"/>
      <c r="V12" s="138"/>
      <c r="W12" s="138"/>
      <c r="X12" s="138"/>
      <c r="Y12" s="138"/>
      <c r="Z12" s="138"/>
      <c r="AA12" s="138"/>
      <c r="AB12" s="138"/>
    </row>
    <row r="13" spans="1:28" ht="14.25" customHeight="1">
      <c r="A13" s="1067" t="s">
        <v>3534</v>
      </c>
      <c r="B13" s="1067" t="s">
        <v>275</v>
      </c>
      <c r="C13" s="1067" t="s">
        <v>267</v>
      </c>
      <c r="D13" s="1067" t="s">
        <v>279</v>
      </c>
      <c r="E13" s="1069">
        <v>27280.25</v>
      </c>
      <c r="F13" s="1069">
        <v>-17480.23</v>
      </c>
      <c r="G13" s="1067" t="s">
        <v>3535</v>
      </c>
      <c r="H13" s="1064">
        <v>90</v>
      </c>
      <c r="I13" s="1025"/>
      <c r="J13" s="1025"/>
      <c r="K13" s="1025"/>
      <c r="L13" s="138"/>
      <c r="M13" s="138"/>
      <c r="N13" s="138"/>
      <c r="O13" s="138"/>
      <c r="P13" s="138"/>
      <c r="Q13" s="138"/>
      <c r="R13" s="138"/>
      <c r="S13" s="138"/>
      <c r="T13" s="138"/>
      <c r="U13" s="138"/>
      <c r="V13" s="138"/>
      <c r="W13" s="138"/>
      <c r="X13" s="138"/>
      <c r="Y13" s="138"/>
      <c r="Z13" s="138"/>
      <c r="AA13" s="138"/>
      <c r="AB13" s="138"/>
    </row>
    <row r="14" spans="1:28" ht="14.25" customHeight="1">
      <c r="A14" s="1067" t="s">
        <v>3511</v>
      </c>
      <c r="B14" s="1067" t="s">
        <v>259</v>
      </c>
      <c r="C14" s="1067" t="s">
        <v>267</v>
      </c>
      <c r="D14" s="1067" t="s">
        <v>269</v>
      </c>
      <c r="E14" s="1069">
        <v>44105.05</v>
      </c>
      <c r="F14" s="1069">
        <v>-38250</v>
      </c>
      <c r="G14" s="1067" t="s">
        <v>3512</v>
      </c>
      <c r="H14" s="1071">
        <v>88</v>
      </c>
      <c r="I14" s="1025"/>
      <c r="J14" s="1025"/>
      <c r="K14" s="1025"/>
      <c r="L14" s="138"/>
      <c r="M14" s="138"/>
      <c r="N14" s="138"/>
      <c r="O14" s="138"/>
      <c r="P14" s="138"/>
      <c r="Q14" s="138"/>
      <c r="R14" s="138"/>
      <c r="S14" s="138"/>
      <c r="T14" s="138"/>
      <c r="U14" s="138"/>
      <c r="V14" s="138"/>
      <c r="W14" s="138"/>
      <c r="X14" s="138"/>
      <c r="Y14" s="138"/>
      <c r="Z14" s="138"/>
      <c r="AA14" s="138"/>
      <c r="AB14" s="138"/>
    </row>
    <row r="15" spans="1:28" ht="14.25" customHeight="1">
      <c r="A15" s="1067" t="s">
        <v>3525</v>
      </c>
      <c r="B15" s="1067" t="s">
        <v>278</v>
      </c>
      <c r="C15" s="1067" t="s">
        <v>267</v>
      </c>
      <c r="D15" s="1067" t="s">
        <v>269</v>
      </c>
      <c r="E15" s="1069">
        <v>36415.129999999997</v>
      </c>
      <c r="F15" s="1069">
        <v>-26892</v>
      </c>
      <c r="G15" s="1067" t="s">
        <v>3526</v>
      </c>
      <c r="H15" s="1071">
        <v>82</v>
      </c>
      <c r="I15" s="1025"/>
      <c r="J15" s="1025"/>
      <c r="K15" s="1025"/>
      <c r="L15" s="138"/>
      <c r="M15" s="138"/>
      <c r="N15" s="138"/>
      <c r="O15" s="138"/>
      <c r="P15" s="138"/>
      <c r="Q15" s="138"/>
      <c r="R15" s="138"/>
      <c r="S15" s="138"/>
      <c r="T15" s="138"/>
      <c r="U15" s="138"/>
      <c r="V15" s="138"/>
      <c r="W15" s="138"/>
      <c r="X15" s="138"/>
      <c r="Y15" s="138"/>
      <c r="Z15" s="138"/>
      <c r="AA15" s="138"/>
      <c r="AB15" s="138"/>
    </row>
    <row r="16" spans="1:28" ht="14.25" customHeight="1">
      <c r="A16" s="1067" t="s">
        <v>3519</v>
      </c>
      <c r="B16" s="1067" t="s">
        <v>278</v>
      </c>
      <c r="C16" s="1067" t="s">
        <v>267</v>
      </c>
      <c r="D16" s="1067" t="s">
        <v>260</v>
      </c>
      <c r="E16" s="1069">
        <v>27935.05</v>
      </c>
      <c r="F16" s="1065"/>
      <c r="G16" s="1067" t="s">
        <v>3520</v>
      </c>
      <c r="H16" s="1071">
        <v>76</v>
      </c>
      <c r="I16" s="1025"/>
      <c r="J16" s="1025"/>
      <c r="K16" s="1025"/>
      <c r="L16" s="138"/>
      <c r="M16" s="138"/>
      <c r="N16" s="138"/>
      <c r="O16" s="138"/>
      <c r="P16" s="138"/>
      <c r="Q16" s="138"/>
      <c r="R16" s="138"/>
      <c r="S16" s="138"/>
      <c r="T16" s="138"/>
      <c r="U16" s="138"/>
      <c r="V16" s="138"/>
      <c r="W16" s="138"/>
      <c r="X16" s="138"/>
      <c r="Y16" s="138"/>
      <c r="Z16" s="138"/>
      <c r="AA16" s="138"/>
      <c r="AB16" s="138"/>
    </row>
    <row r="17" spans="1:28" ht="14.25" customHeight="1">
      <c r="A17" s="1067" t="s">
        <v>3545</v>
      </c>
      <c r="B17" s="1067" t="s">
        <v>280</v>
      </c>
      <c r="C17" s="1067" t="s">
        <v>3351</v>
      </c>
      <c r="D17" s="1067" t="s">
        <v>3546</v>
      </c>
      <c r="E17" s="1069">
        <v>20050</v>
      </c>
      <c r="F17" s="1065"/>
      <c r="G17" s="1067" t="s">
        <v>3547</v>
      </c>
      <c r="H17" s="1071">
        <v>74</v>
      </c>
      <c r="I17" s="1025"/>
      <c r="J17" s="1025"/>
      <c r="K17" s="1025"/>
      <c r="L17" s="138"/>
      <c r="M17" s="138"/>
      <c r="N17" s="138"/>
      <c r="O17" s="138"/>
      <c r="P17" s="138"/>
      <c r="Q17" s="138"/>
      <c r="R17" s="138"/>
      <c r="S17" s="138"/>
      <c r="T17" s="138"/>
      <c r="U17" s="138"/>
      <c r="V17" s="138"/>
      <c r="W17" s="138"/>
      <c r="X17" s="138"/>
      <c r="Y17" s="138"/>
      <c r="Z17" s="138"/>
      <c r="AA17" s="138"/>
      <c r="AB17" s="138"/>
    </row>
    <row r="18" spans="1:28" ht="14.25" customHeight="1">
      <c r="A18" s="1067" t="s">
        <v>3538</v>
      </c>
      <c r="B18" s="1067" t="s">
        <v>266</v>
      </c>
      <c r="C18" s="1067" t="s">
        <v>267</v>
      </c>
      <c r="D18" s="1067" t="s">
        <v>260</v>
      </c>
      <c r="E18" s="1069">
        <v>20497.05</v>
      </c>
      <c r="F18" s="1065"/>
      <c r="G18" s="1067" t="s">
        <v>3539</v>
      </c>
      <c r="H18" s="1071">
        <v>72</v>
      </c>
      <c r="I18" s="1025"/>
      <c r="J18" s="1025"/>
      <c r="K18" s="1025"/>
      <c r="L18" s="138"/>
      <c r="M18" s="138"/>
      <c r="N18" s="138"/>
      <c r="O18" s="138"/>
      <c r="P18" s="138"/>
      <c r="Q18" s="138"/>
      <c r="R18" s="138"/>
      <c r="S18" s="138"/>
      <c r="T18" s="138"/>
      <c r="U18" s="138"/>
      <c r="V18" s="138"/>
      <c r="W18" s="138"/>
      <c r="X18" s="138"/>
      <c r="Y18" s="138"/>
      <c r="Z18" s="138"/>
      <c r="AA18" s="138"/>
      <c r="AB18" s="138"/>
    </row>
    <row r="19" spans="1:28" ht="14.25" customHeight="1">
      <c r="A19" s="1067" t="s">
        <v>3521</v>
      </c>
      <c r="B19" s="1067" t="s">
        <v>278</v>
      </c>
      <c r="C19" s="1067" t="s">
        <v>267</v>
      </c>
      <c r="D19" s="1067" t="s">
        <v>260</v>
      </c>
      <c r="E19" s="1069">
        <v>28075.78</v>
      </c>
      <c r="F19" s="1069">
        <v>-23850</v>
      </c>
      <c r="G19" s="1067" t="s">
        <v>3522</v>
      </c>
      <c r="H19" s="1071">
        <v>69</v>
      </c>
      <c r="I19" s="1025"/>
      <c r="J19" s="1025"/>
      <c r="K19" s="1025"/>
      <c r="L19" s="138"/>
      <c r="M19" s="138"/>
      <c r="N19" s="138"/>
      <c r="O19" s="138"/>
      <c r="P19" s="138"/>
      <c r="Q19" s="138"/>
      <c r="R19" s="138"/>
      <c r="S19" s="138"/>
      <c r="T19" s="138"/>
      <c r="U19" s="138"/>
      <c r="V19" s="138"/>
      <c r="W19" s="138"/>
      <c r="X19" s="138"/>
      <c r="Y19" s="138"/>
      <c r="Z19" s="138"/>
      <c r="AA19" s="138"/>
      <c r="AB19" s="138"/>
    </row>
    <row r="20" spans="1:28" ht="14.25" customHeight="1">
      <c r="A20" s="1067" t="s">
        <v>3532</v>
      </c>
      <c r="B20" s="1067" t="s">
        <v>275</v>
      </c>
      <c r="C20" s="1067" t="s">
        <v>267</v>
      </c>
      <c r="D20" s="1067" t="s">
        <v>260</v>
      </c>
      <c r="E20" s="1069">
        <v>26815.25</v>
      </c>
      <c r="F20" s="1065"/>
      <c r="G20" s="1067" t="s">
        <v>3533</v>
      </c>
      <c r="H20" s="1071">
        <v>69</v>
      </c>
      <c r="I20" s="1025"/>
      <c r="J20" s="1025"/>
      <c r="K20" s="1025"/>
      <c r="L20" s="138"/>
      <c r="M20" s="138"/>
      <c r="N20" s="138"/>
      <c r="O20" s="138"/>
      <c r="P20" s="138"/>
      <c r="Q20" s="138"/>
      <c r="R20" s="138"/>
      <c r="S20" s="138"/>
      <c r="T20" s="138"/>
      <c r="U20" s="138"/>
      <c r="V20" s="138"/>
      <c r="W20" s="138"/>
      <c r="X20" s="138"/>
      <c r="Y20" s="138"/>
      <c r="Z20" s="138"/>
      <c r="AA20" s="138"/>
      <c r="AB20" s="138"/>
    </row>
    <row r="21" spans="1:28" ht="14.25" customHeight="1">
      <c r="A21" s="1067" t="s">
        <v>3582</v>
      </c>
      <c r="B21" s="1067" t="s">
        <v>268</v>
      </c>
      <c r="C21" s="1067" t="s">
        <v>267</v>
      </c>
      <c r="D21" s="1067" t="s">
        <v>260</v>
      </c>
      <c r="E21" s="1069">
        <v>28447.25</v>
      </c>
      <c r="F21" s="1069">
        <v>-24418.799999999999</v>
      </c>
      <c r="G21" s="1067" t="s">
        <v>3583</v>
      </c>
      <c r="H21" s="1071">
        <v>68</v>
      </c>
      <c r="I21" s="1025"/>
      <c r="J21" s="1025"/>
      <c r="K21" s="1025"/>
      <c r="L21" s="138"/>
      <c r="M21" s="138"/>
      <c r="N21" s="138"/>
      <c r="O21" s="138"/>
      <c r="P21" s="138"/>
      <c r="Q21" s="138"/>
      <c r="R21" s="138"/>
      <c r="S21" s="138"/>
      <c r="T21" s="138"/>
      <c r="U21" s="138"/>
      <c r="V21" s="138"/>
      <c r="W21" s="138"/>
      <c r="X21" s="138"/>
      <c r="Y21" s="138"/>
      <c r="Z21" s="138"/>
      <c r="AA21" s="138"/>
      <c r="AB21" s="138"/>
    </row>
    <row r="22" spans="1:28" ht="14.25" customHeight="1">
      <c r="A22" s="1067" t="s">
        <v>3536</v>
      </c>
      <c r="B22" s="1067" t="s">
        <v>275</v>
      </c>
      <c r="C22" s="1067" t="s">
        <v>267</v>
      </c>
      <c r="D22" s="1067" t="s">
        <v>262</v>
      </c>
      <c r="E22" s="1069">
        <v>29352</v>
      </c>
      <c r="F22" s="1065"/>
      <c r="G22" s="1067" t="s">
        <v>3537</v>
      </c>
      <c r="H22" s="1071">
        <v>66</v>
      </c>
      <c r="I22" s="1025"/>
      <c r="J22" s="1025"/>
      <c r="K22" s="1025"/>
      <c r="L22" s="138"/>
      <c r="M22" s="138"/>
      <c r="N22" s="138"/>
      <c r="O22" s="138"/>
      <c r="P22" s="138"/>
      <c r="Q22" s="138"/>
      <c r="R22" s="138"/>
      <c r="S22" s="138"/>
      <c r="T22" s="138"/>
      <c r="U22" s="138"/>
      <c r="V22" s="138"/>
      <c r="W22" s="138"/>
      <c r="X22" s="138"/>
      <c r="Y22" s="138"/>
      <c r="Z22" s="138"/>
      <c r="AA22" s="138"/>
      <c r="AB22" s="138"/>
    </row>
    <row r="23" spans="1:28" ht="14.25" customHeight="1">
      <c r="A23" s="1067" t="s">
        <v>3541</v>
      </c>
      <c r="B23" s="1067" t="s">
        <v>266</v>
      </c>
      <c r="C23" s="1067" t="s">
        <v>267</v>
      </c>
      <c r="D23" s="1067" t="s">
        <v>273</v>
      </c>
      <c r="E23" s="1069">
        <v>18787.5</v>
      </c>
      <c r="F23" s="1065"/>
      <c r="G23" s="1067" t="s">
        <v>3542</v>
      </c>
      <c r="H23" s="1071">
        <v>66</v>
      </c>
      <c r="I23" s="1025"/>
      <c r="J23" s="1025"/>
      <c r="K23" s="1025"/>
      <c r="L23" s="138"/>
      <c r="M23" s="138"/>
      <c r="N23" s="138"/>
      <c r="O23" s="138"/>
      <c r="P23" s="138"/>
      <c r="Q23" s="138"/>
      <c r="R23" s="138"/>
      <c r="S23" s="138"/>
      <c r="T23" s="138"/>
      <c r="U23" s="138"/>
      <c r="V23" s="138"/>
      <c r="W23" s="138"/>
      <c r="X23" s="138"/>
      <c r="Y23" s="138"/>
      <c r="Z23" s="138"/>
      <c r="AA23" s="138"/>
      <c r="AB23" s="138"/>
    </row>
    <row r="24" spans="1:28" ht="14.25" customHeight="1">
      <c r="A24" s="1067" t="s">
        <v>3523</v>
      </c>
      <c r="B24" s="1067" t="s">
        <v>278</v>
      </c>
      <c r="C24" s="1067" t="s">
        <v>267</v>
      </c>
      <c r="D24" s="1067" t="s">
        <v>277</v>
      </c>
      <c r="E24" s="1069">
        <v>18043.82</v>
      </c>
      <c r="F24" s="1065"/>
      <c r="G24" s="1067" t="s">
        <v>3524</v>
      </c>
      <c r="H24" s="1071">
        <v>65</v>
      </c>
      <c r="I24" s="1025"/>
      <c r="J24" s="1025"/>
      <c r="K24" s="1025"/>
      <c r="L24" s="138"/>
      <c r="M24" s="138"/>
      <c r="N24" s="138"/>
      <c r="O24" s="138"/>
      <c r="P24" s="138"/>
      <c r="Q24" s="138"/>
      <c r="R24" s="138"/>
      <c r="S24" s="138"/>
      <c r="T24" s="138"/>
      <c r="U24" s="138"/>
      <c r="V24" s="138"/>
      <c r="W24" s="138"/>
      <c r="X24" s="138"/>
      <c r="Y24" s="138"/>
      <c r="Z24" s="138"/>
      <c r="AA24" s="138"/>
      <c r="AB24" s="138"/>
    </row>
    <row r="25" spans="1:28" ht="14.25" customHeight="1">
      <c r="A25" s="1067" t="s">
        <v>3515</v>
      </c>
      <c r="B25" s="1067" t="s">
        <v>268</v>
      </c>
      <c r="C25" s="1067" t="s">
        <v>267</v>
      </c>
      <c r="D25" s="1067" t="s">
        <v>262</v>
      </c>
      <c r="E25" s="1069">
        <v>40209.65</v>
      </c>
      <c r="F25" s="1065"/>
      <c r="G25" s="1067" t="s">
        <v>3516</v>
      </c>
      <c r="H25" s="1071">
        <v>62</v>
      </c>
      <c r="I25" s="1025"/>
      <c r="J25" s="1025"/>
      <c r="K25" s="1025"/>
      <c r="L25" s="138"/>
      <c r="M25" s="138"/>
      <c r="N25" s="138"/>
      <c r="O25" s="138"/>
      <c r="P25" s="138"/>
      <c r="Q25" s="138"/>
      <c r="R25" s="138"/>
      <c r="S25" s="138"/>
      <c r="T25" s="138"/>
      <c r="U25" s="138"/>
      <c r="V25" s="138"/>
      <c r="W25" s="138"/>
      <c r="X25" s="138"/>
      <c r="Y25" s="138"/>
      <c r="Z25" s="138"/>
      <c r="AA25" s="138"/>
      <c r="AB25" s="138"/>
    </row>
    <row r="26" spans="1:28" ht="14.25" customHeight="1">
      <c r="A26" s="1067" t="s">
        <v>3517</v>
      </c>
      <c r="B26" s="1067" t="s">
        <v>278</v>
      </c>
      <c r="C26" s="1067" t="s">
        <v>267</v>
      </c>
      <c r="D26" s="1067" t="s">
        <v>260</v>
      </c>
      <c r="E26" s="1069">
        <v>30620.3</v>
      </c>
      <c r="F26" s="1065"/>
      <c r="G26" s="1067" t="s">
        <v>3518</v>
      </c>
      <c r="H26" s="1071">
        <v>62</v>
      </c>
      <c r="I26" s="1025"/>
      <c r="J26" s="1025"/>
      <c r="K26" s="1025"/>
      <c r="L26" s="138"/>
      <c r="M26" s="138"/>
      <c r="N26" s="138"/>
      <c r="O26" s="138"/>
      <c r="P26" s="138"/>
      <c r="Q26" s="138"/>
      <c r="R26" s="138"/>
      <c r="S26" s="138"/>
      <c r="T26" s="138"/>
      <c r="U26" s="138"/>
      <c r="V26" s="138"/>
      <c r="W26" s="138"/>
      <c r="X26" s="138"/>
      <c r="Y26" s="138"/>
      <c r="Z26" s="138"/>
      <c r="AA26" s="138"/>
      <c r="AB26" s="138"/>
    </row>
    <row r="27" spans="1:28" ht="14.25" customHeight="1">
      <c r="A27" s="1067" t="s">
        <v>3530</v>
      </c>
      <c r="B27" s="1067" t="s">
        <v>278</v>
      </c>
      <c r="C27" s="1067" t="s">
        <v>3473</v>
      </c>
      <c r="D27" s="1067" t="s">
        <v>3474</v>
      </c>
      <c r="E27" s="1069">
        <v>28211.38</v>
      </c>
      <c r="F27" s="1065"/>
      <c r="G27" s="1067" t="s">
        <v>3531</v>
      </c>
      <c r="H27" s="1071">
        <v>62</v>
      </c>
      <c r="I27" s="1025"/>
      <c r="J27" s="1025"/>
      <c r="K27" s="1025"/>
      <c r="L27" s="138"/>
      <c r="M27" s="138"/>
      <c r="N27" s="138"/>
      <c r="O27" s="138"/>
      <c r="P27" s="138"/>
      <c r="Q27" s="138"/>
      <c r="R27" s="138"/>
      <c r="S27" s="138"/>
      <c r="T27" s="138"/>
      <c r="U27" s="138"/>
      <c r="V27" s="138"/>
      <c r="W27" s="138"/>
      <c r="X27" s="138"/>
      <c r="Y27" s="138"/>
      <c r="Z27" s="138"/>
      <c r="AA27" s="138"/>
      <c r="AB27" s="138"/>
    </row>
    <row r="28" spans="1:28" ht="14.25" customHeight="1">
      <c r="A28" s="1067" t="s">
        <v>3527</v>
      </c>
      <c r="B28" s="1067" t="s">
        <v>278</v>
      </c>
      <c r="C28" s="1067" t="s">
        <v>3434</v>
      </c>
      <c r="D28" s="1067" t="s">
        <v>3528</v>
      </c>
      <c r="E28" s="1069">
        <v>23550</v>
      </c>
      <c r="F28" s="1065"/>
      <c r="G28" s="1067" t="s">
        <v>3529</v>
      </c>
      <c r="H28" s="1071">
        <v>61</v>
      </c>
      <c r="I28" s="1025"/>
      <c r="J28" s="1025"/>
      <c r="K28" s="1025"/>
      <c r="L28" s="138"/>
      <c r="M28" s="138"/>
      <c r="N28" s="138"/>
      <c r="O28" s="138"/>
      <c r="P28" s="138"/>
      <c r="Q28" s="138"/>
      <c r="R28" s="138"/>
      <c r="S28" s="138"/>
      <c r="T28" s="138"/>
      <c r="U28" s="138"/>
      <c r="V28" s="138"/>
      <c r="W28" s="138"/>
      <c r="X28" s="138"/>
      <c r="Y28" s="138"/>
      <c r="Z28" s="138"/>
      <c r="AA28" s="138"/>
      <c r="AB28" s="138"/>
    </row>
    <row r="29" spans="1:28" ht="14.25" customHeight="1">
      <c r="A29" s="1067" t="s">
        <v>3584</v>
      </c>
      <c r="B29" s="1067" t="s">
        <v>259</v>
      </c>
      <c r="C29" s="1067" t="s">
        <v>267</v>
      </c>
      <c r="D29" s="1067" t="s">
        <v>260</v>
      </c>
      <c r="E29" s="1069">
        <v>36524.6</v>
      </c>
      <c r="F29" s="1065"/>
      <c r="G29" s="1067" t="s">
        <v>3585</v>
      </c>
      <c r="H29" s="1071">
        <v>60</v>
      </c>
      <c r="I29" s="1025"/>
      <c r="J29" s="1025"/>
      <c r="K29" s="1025"/>
      <c r="L29" s="138"/>
      <c r="M29" s="138"/>
      <c r="N29" s="138"/>
      <c r="O29" s="138"/>
      <c r="P29" s="138"/>
      <c r="Q29" s="138"/>
      <c r="R29" s="138"/>
      <c r="S29" s="138"/>
      <c r="T29" s="138"/>
      <c r="U29" s="138"/>
      <c r="V29" s="138"/>
      <c r="W29" s="138"/>
      <c r="X29" s="138"/>
      <c r="Y29" s="138"/>
      <c r="Z29" s="138"/>
      <c r="AA29" s="138"/>
      <c r="AB29" s="138"/>
    </row>
    <row r="30" spans="1:28" ht="14.25" customHeight="1">
      <c r="A30" s="1067" t="s">
        <v>3586</v>
      </c>
      <c r="B30" s="1067" t="s">
        <v>278</v>
      </c>
      <c r="C30" s="1067" t="s">
        <v>267</v>
      </c>
      <c r="D30" s="1067" t="s">
        <v>260</v>
      </c>
      <c r="E30" s="1069">
        <v>24346.21</v>
      </c>
      <c r="F30" s="1069">
        <v>-16047.88</v>
      </c>
      <c r="G30" s="1067" t="s">
        <v>3587</v>
      </c>
      <c r="H30" s="1071">
        <v>60</v>
      </c>
      <c r="I30" s="1025"/>
      <c r="J30" s="1025"/>
      <c r="K30" s="1025"/>
      <c r="L30" s="138"/>
      <c r="M30" s="138"/>
      <c r="N30" s="138"/>
      <c r="O30" s="138"/>
      <c r="P30" s="138"/>
      <c r="Q30" s="138"/>
      <c r="R30" s="138"/>
      <c r="S30" s="138"/>
      <c r="T30" s="138"/>
      <c r="U30" s="138"/>
      <c r="V30" s="138"/>
      <c r="W30" s="138"/>
      <c r="X30" s="138"/>
      <c r="Y30" s="138"/>
      <c r="Z30" s="138"/>
      <c r="AA30" s="138"/>
      <c r="AB30" s="138"/>
    </row>
    <row r="31" spans="1:28" ht="14.25" customHeight="1">
      <c r="A31" s="1067" t="s">
        <v>3588</v>
      </c>
      <c r="B31" s="1067" t="s">
        <v>275</v>
      </c>
      <c r="C31" s="1067" t="s">
        <v>267</v>
      </c>
      <c r="D31" s="1067" t="s">
        <v>273</v>
      </c>
      <c r="E31" s="1069">
        <v>18530.25</v>
      </c>
      <c r="F31" s="1065"/>
      <c r="G31" s="1067" t="s">
        <v>3589</v>
      </c>
      <c r="H31" s="1071">
        <v>60</v>
      </c>
      <c r="I31" s="1025"/>
      <c r="J31" s="1025"/>
      <c r="K31" s="1025"/>
      <c r="L31" s="138"/>
      <c r="M31" s="138"/>
      <c r="N31" s="138"/>
      <c r="O31" s="138"/>
      <c r="P31" s="138"/>
      <c r="Q31" s="138"/>
      <c r="R31" s="138"/>
      <c r="S31" s="138"/>
      <c r="T31" s="138"/>
      <c r="U31" s="138"/>
      <c r="V31" s="138"/>
      <c r="W31" s="138"/>
      <c r="X31" s="138"/>
      <c r="Y31" s="138"/>
      <c r="Z31" s="138"/>
      <c r="AA31" s="138"/>
      <c r="AB31" s="138"/>
    </row>
    <row r="32" spans="1:28" ht="14.25" customHeight="1">
      <c r="A32" s="1067" t="s">
        <v>3513</v>
      </c>
      <c r="B32" s="1067" t="s">
        <v>268</v>
      </c>
      <c r="C32" s="1067" t="s">
        <v>267</v>
      </c>
      <c r="D32" s="1067" t="s">
        <v>260</v>
      </c>
      <c r="E32" s="1069">
        <v>29670.31</v>
      </c>
      <c r="F32" s="1069">
        <v>-25505.1</v>
      </c>
      <c r="G32" s="1067" t="s">
        <v>3514</v>
      </c>
      <c r="H32" s="1071">
        <v>59</v>
      </c>
      <c r="I32" s="1025"/>
      <c r="J32" s="1025"/>
      <c r="K32" s="1025"/>
      <c r="L32" s="138"/>
      <c r="M32" s="138"/>
      <c r="N32" s="138"/>
      <c r="O32" s="138"/>
      <c r="P32" s="138"/>
      <c r="Q32" s="138"/>
      <c r="R32" s="138"/>
      <c r="S32" s="138"/>
      <c r="T32" s="138"/>
      <c r="U32" s="138"/>
      <c r="V32" s="138"/>
      <c r="W32" s="138"/>
      <c r="X32" s="138"/>
      <c r="Y32" s="138"/>
      <c r="Z32" s="138"/>
      <c r="AA32" s="138"/>
      <c r="AB32" s="138"/>
    </row>
    <row r="33" spans="1:28" ht="14.25" customHeight="1">
      <c r="A33" s="1067" t="s">
        <v>3590</v>
      </c>
      <c r="B33" s="1067" t="s">
        <v>278</v>
      </c>
      <c r="C33" s="1067" t="s">
        <v>267</v>
      </c>
      <c r="D33" s="1067" t="s">
        <v>277</v>
      </c>
      <c r="E33" s="1069">
        <v>22965.200000000001</v>
      </c>
      <c r="F33" s="1065"/>
      <c r="G33" s="1067" t="s">
        <v>3591</v>
      </c>
      <c r="H33" s="1071">
        <v>55</v>
      </c>
      <c r="I33" s="1025"/>
      <c r="J33" s="1025"/>
      <c r="K33" s="1025"/>
      <c r="L33" s="1000"/>
      <c r="M33" s="138"/>
      <c r="N33" s="138"/>
      <c r="O33" s="138"/>
      <c r="P33" s="138"/>
      <c r="Q33" s="138"/>
      <c r="R33" s="138"/>
      <c r="S33" s="138"/>
      <c r="T33" s="138"/>
      <c r="U33" s="138"/>
      <c r="V33" s="138"/>
      <c r="W33" s="138"/>
      <c r="X33" s="138"/>
      <c r="Y33" s="138"/>
      <c r="Z33" s="138"/>
      <c r="AA33" s="138"/>
      <c r="AB33" s="138"/>
    </row>
    <row r="34" spans="1:28" ht="14.25" customHeight="1">
      <c r="A34" s="1067" t="s">
        <v>3751</v>
      </c>
      <c r="B34" s="1067" t="s">
        <v>268</v>
      </c>
      <c r="C34" s="1067" t="s">
        <v>267</v>
      </c>
      <c r="D34" s="1067" t="s">
        <v>260</v>
      </c>
      <c r="E34" s="1069">
        <v>31666.799999999999</v>
      </c>
      <c r="F34" s="1069">
        <v>-33046.589999999997</v>
      </c>
      <c r="G34" s="1067" t="s">
        <v>3752</v>
      </c>
      <c r="H34" s="1071">
        <v>54</v>
      </c>
      <c r="I34" s="1025"/>
      <c r="J34" s="1025"/>
      <c r="K34" s="1025"/>
      <c r="L34" s="138"/>
      <c r="M34" s="138"/>
      <c r="N34" s="138"/>
      <c r="O34" s="138"/>
      <c r="P34" s="138"/>
      <c r="Q34" s="138"/>
      <c r="R34" s="138"/>
      <c r="S34" s="138"/>
      <c r="T34" s="138"/>
      <c r="U34" s="138"/>
      <c r="V34" s="138"/>
      <c r="W34" s="138"/>
      <c r="X34" s="138"/>
      <c r="Y34" s="138"/>
      <c r="Z34" s="138"/>
      <c r="AA34" s="138"/>
      <c r="AB34" s="138"/>
    </row>
    <row r="35" spans="1:28" ht="14.25" customHeight="1">
      <c r="A35" s="1067" t="s">
        <v>3592</v>
      </c>
      <c r="B35" s="1067" t="s">
        <v>275</v>
      </c>
      <c r="C35" s="1067" t="s">
        <v>267</v>
      </c>
      <c r="D35" s="1067" t="s">
        <v>260</v>
      </c>
      <c r="E35" s="1069">
        <v>24846.26</v>
      </c>
      <c r="F35" s="1065"/>
      <c r="G35" s="1067" t="s">
        <v>3593</v>
      </c>
      <c r="H35" s="1071">
        <v>53</v>
      </c>
      <c r="I35" s="1025"/>
      <c r="J35" s="1025"/>
      <c r="K35" s="1025"/>
      <c r="L35" s="138"/>
      <c r="M35" s="138"/>
      <c r="N35" s="138"/>
      <c r="O35" s="138"/>
      <c r="P35" s="138"/>
      <c r="Q35" s="138"/>
      <c r="R35" s="138"/>
      <c r="S35" s="138"/>
      <c r="T35" s="138"/>
      <c r="U35" s="138"/>
      <c r="V35" s="138"/>
      <c r="W35" s="138"/>
      <c r="X35" s="138"/>
      <c r="Y35" s="138"/>
      <c r="Z35" s="138"/>
      <c r="AA35" s="138"/>
      <c r="AB35" s="138"/>
    </row>
    <row r="36" spans="1:28" ht="14.25" customHeight="1">
      <c r="A36" s="1067" t="s">
        <v>3594</v>
      </c>
      <c r="B36" s="1067" t="s">
        <v>278</v>
      </c>
      <c r="C36" s="1067" t="s">
        <v>267</v>
      </c>
      <c r="D36" s="1067" t="s">
        <v>277</v>
      </c>
      <c r="E36" s="1069">
        <v>19323.740000000002</v>
      </c>
      <c r="F36" s="1065"/>
      <c r="G36" s="1067" t="s">
        <v>3595</v>
      </c>
      <c r="H36" s="1071">
        <v>51</v>
      </c>
      <c r="I36" s="1025"/>
      <c r="J36" s="1025"/>
      <c r="K36" s="1025"/>
      <c r="L36" s="138"/>
      <c r="M36" s="138"/>
      <c r="N36" s="138"/>
      <c r="O36" s="138"/>
      <c r="P36" s="138"/>
      <c r="Q36" s="138"/>
      <c r="R36" s="138"/>
      <c r="S36" s="138"/>
      <c r="T36" s="138"/>
      <c r="U36" s="138"/>
      <c r="V36" s="138"/>
      <c r="W36" s="138"/>
      <c r="X36" s="138"/>
      <c r="Y36" s="138"/>
      <c r="Z36" s="138"/>
      <c r="AA36" s="138"/>
      <c r="AB36" s="138"/>
    </row>
    <row r="37" spans="1:28" ht="14.25" customHeight="1">
      <c r="A37" s="1067" t="s">
        <v>3596</v>
      </c>
      <c r="B37" s="1067" t="s">
        <v>275</v>
      </c>
      <c r="C37" s="1067" t="s">
        <v>267</v>
      </c>
      <c r="D37" s="1067" t="s">
        <v>273</v>
      </c>
      <c r="E37" s="1069">
        <v>18294.75</v>
      </c>
      <c r="F37" s="1065"/>
      <c r="G37" s="1067" t="s">
        <v>3597</v>
      </c>
      <c r="H37" s="1071">
        <v>48</v>
      </c>
      <c r="I37" s="1025"/>
      <c r="J37" s="1025"/>
      <c r="K37" s="1025"/>
      <c r="L37" s="138"/>
      <c r="M37" s="138"/>
      <c r="N37" s="138"/>
      <c r="O37" s="138"/>
      <c r="P37" s="138"/>
      <c r="Q37" s="138"/>
      <c r="R37" s="138"/>
      <c r="S37" s="138"/>
      <c r="T37" s="138"/>
      <c r="U37" s="138"/>
      <c r="V37" s="138"/>
      <c r="W37" s="138"/>
      <c r="X37" s="138"/>
      <c r="Y37" s="138"/>
      <c r="Z37" s="138"/>
      <c r="AA37" s="138"/>
      <c r="AB37" s="138"/>
    </row>
    <row r="38" spans="1:28" ht="14.25" customHeight="1">
      <c r="A38" s="1067" t="s">
        <v>3598</v>
      </c>
      <c r="B38" s="1067" t="s">
        <v>266</v>
      </c>
      <c r="C38" s="1067" t="s">
        <v>267</v>
      </c>
      <c r="D38" s="1067" t="s">
        <v>273</v>
      </c>
      <c r="E38" s="1069">
        <v>16745.3</v>
      </c>
      <c r="F38" s="1065"/>
      <c r="G38" s="1067" t="s">
        <v>3599</v>
      </c>
      <c r="H38" s="1071">
        <v>48</v>
      </c>
      <c r="I38" s="1025"/>
      <c r="J38" s="1025"/>
      <c r="K38" s="1025"/>
      <c r="L38" s="138"/>
      <c r="M38" s="138"/>
      <c r="N38" s="138"/>
      <c r="O38" s="138"/>
      <c r="P38" s="138"/>
      <c r="Q38" s="138"/>
      <c r="R38" s="138"/>
      <c r="S38" s="138"/>
      <c r="T38" s="138"/>
      <c r="U38" s="138"/>
      <c r="V38" s="138"/>
      <c r="W38" s="138"/>
      <c r="X38" s="138"/>
      <c r="Y38" s="138"/>
      <c r="Z38" s="138"/>
      <c r="AA38" s="138"/>
      <c r="AB38" s="138"/>
    </row>
    <row r="39" spans="1:28" ht="14.25" customHeight="1">
      <c r="A39" s="1067" t="s">
        <v>3600</v>
      </c>
      <c r="B39" s="1067" t="s">
        <v>259</v>
      </c>
      <c r="C39" s="1067" t="s">
        <v>267</v>
      </c>
      <c r="D39" s="1067" t="s">
        <v>262</v>
      </c>
      <c r="E39" s="1069">
        <v>49927.29</v>
      </c>
      <c r="F39" s="1065"/>
      <c r="G39" s="1067" t="s">
        <v>3601</v>
      </c>
      <c r="H39" s="1071">
        <v>47</v>
      </c>
      <c r="I39" s="1025"/>
      <c r="J39" s="1025"/>
      <c r="K39" s="1025"/>
      <c r="L39" s="138"/>
      <c r="M39" s="138"/>
      <c r="N39" s="138"/>
      <c r="O39" s="138"/>
      <c r="P39" s="138"/>
      <c r="Q39" s="138"/>
      <c r="R39" s="138"/>
      <c r="S39" s="138"/>
      <c r="T39" s="138"/>
      <c r="U39" s="138"/>
      <c r="V39" s="138"/>
      <c r="W39" s="138"/>
      <c r="X39" s="138"/>
      <c r="Y39" s="138"/>
      <c r="Z39" s="138"/>
      <c r="AA39" s="138"/>
      <c r="AB39" s="138"/>
    </row>
    <row r="40" spans="1:28" ht="14.25" customHeight="1">
      <c r="A40" s="1067" t="s">
        <v>3602</v>
      </c>
      <c r="B40" s="1067" t="s">
        <v>278</v>
      </c>
      <c r="C40" s="1067" t="s">
        <v>267</v>
      </c>
      <c r="D40" s="1067" t="s">
        <v>260</v>
      </c>
      <c r="E40" s="1069">
        <v>24483.1</v>
      </c>
      <c r="F40" s="1069">
        <v>-18876</v>
      </c>
      <c r="G40" s="1067" t="s">
        <v>3603</v>
      </c>
      <c r="H40" s="1071">
        <v>47</v>
      </c>
      <c r="I40" s="1025"/>
      <c r="J40" s="1025"/>
      <c r="K40" s="1025"/>
      <c r="L40" s="138"/>
      <c r="M40" s="138"/>
      <c r="N40" s="138"/>
      <c r="O40" s="138"/>
      <c r="P40" s="138"/>
      <c r="Q40" s="138"/>
      <c r="R40" s="138"/>
      <c r="S40" s="138"/>
      <c r="T40" s="138"/>
      <c r="U40" s="138"/>
      <c r="V40" s="138"/>
      <c r="W40" s="138"/>
      <c r="X40" s="138"/>
      <c r="Y40" s="138"/>
      <c r="Z40" s="138"/>
      <c r="AA40" s="138"/>
      <c r="AB40" s="138"/>
    </row>
    <row r="41" spans="1:28" ht="14.25" customHeight="1">
      <c r="A41" s="1067" t="s">
        <v>3604</v>
      </c>
      <c r="B41" s="1067" t="s">
        <v>275</v>
      </c>
      <c r="C41" s="1067" t="s">
        <v>267</v>
      </c>
      <c r="D41" s="1067" t="s">
        <v>273</v>
      </c>
      <c r="E41" s="1069">
        <v>21779.599999999999</v>
      </c>
      <c r="F41" s="1065"/>
      <c r="G41" s="1067" t="s">
        <v>3605</v>
      </c>
      <c r="H41" s="1071">
        <v>47</v>
      </c>
      <c r="I41" s="1025"/>
      <c r="J41" s="1025"/>
      <c r="K41" s="1025"/>
      <c r="L41" s="138"/>
      <c r="M41" s="138"/>
      <c r="N41" s="138"/>
      <c r="O41" s="138"/>
      <c r="P41" s="138"/>
      <c r="Q41" s="138"/>
      <c r="R41" s="138"/>
      <c r="S41" s="138"/>
      <c r="T41" s="138"/>
      <c r="U41" s="138"/>
      <c r="V41" s="138"/>
      <c r="W41" s="138"/>
      <c r="X41" s="138"/>
      <c r="Y41" s="138"/>
      <c r="Z41" s="138"/>
      <c r="AA41" s="138"/>
      <c r="AB41" s="138"/>
    </row>
    <row r="42" spans="1:28" ht="14.25" customHeight="1">
      <c r="A42" s="1067" t="s">
        <v>3606</v>
      </c>
      <c r="B42" s="1067" t="s">
        <v>268</v>
      </c>
      <c r="C42" s="1067" t="s">
        <v>267</v>
      </c>
      <c r="D42" s="1067" t="s">
        <v>273</v>
      </c>
      <c r="E42" s="1069">
        <v>21350</v>
      </c>
      <c r="F42" s="1065"/>
      <c r="G42" s="1067" t="s">
        <v>3607</v>
      </c>
      <c r="H42" s="1071">
        <v>45</v>
      </c>
      <c r="I42" s="1025"/>
      <c r="J42" s="1025"/>
      <c r="K42" s="1025"/>
      <c r="L42" s="138"/>
      <c r="M42" s="138"/>
      <c r="N42" s="138"/>
      <c r="O42" s="138"/>
      <c r="P42" s="138"/>
      <c r="Q42" s="138"/>
      <c r="R42" s="138"/>
      <c r="S42" s="138"/>
      <c r="T42" s="138"/>
      <c r="U42" s="138"/>
      <c r="V42" s="138"/>
      <c r="W42" s="138"/>
      <c r="X42" s="138"/>
      <c r="Y42" s="138"/>
      <c r="Z42" s="138"/>
      <c r="AA42" s="138"/>
      <c r="AB42" s="138"/>
    </row>
    <row r="43" spans="1:28" ht="14.25" customHeight="1">
      <c r="A43" s="1067" t="s">
        <v>3608</v>
      </c>
      <c r="B43" s="1067" t="s">
        <v>275</v>
      </c>
      <c r="C43" s="1067" t="s">
        <v>267</v>
      </c>
      <c r="D43" s="1067" t="s">
        <v>277</v>
      </c>
      <c r="E43" s="1069">
        <v>17488.18</v>
      </c>
      <c r="F43" s="1065"/>
      <c r="G43" s="1067" t="s">
        <v>3609</v>
      </c>
      <c r="H43" s="1071">
        <v>45</v>
      </c>
      <c r="I43" s="1025"/>
      <c r="J43" s="1025"/>
      <c r="K43" s="1025"/>
      <c r="L43" s="138"/>
      <c r="M43" s="138"/>
      <c r="N43" s="138"/>
      <c r="O43" s="138"/>
      <c r="P43" s="138"/>
      <c r="Q43" s="138"/>
      <c r="R43" s="138"/>
      <c r="S43" s="138"/>
      <c r="T43" s="138"/>
      <c r="U43" s="138"/>
      <c r="V43" s="138"/>
      <c r="W43" s="138"/>
      <c r="X43" s="138"/>
      <c r="Y43" s="138"/>
      <c r="Z43" s="138"/>
      <c r="AA43" s="138"/>
      <c r="AB43" s="138"/>
    </row>
    <row r="44" spans="1:28" ht="14.25" customHeight="1">
      <c r="A44" s="1067" t="s">
        <v>3610</v>
      </c>
      <c r="B44" s="1067" t="s">
        <v>278</v>
      </c>
      <c r="C44" s="1067" t="s">
        <v>267</v>
      </c>
      <c r="D44" s="1067" t="s">
        <v>277</v>
      </c>
      <c r="E44" s="1069">
        <v>18370.25</v>
      </c>
      <c r="F44" s="1065"/>
      <c r="G44" s="1067" t="s">
        <v>3611</v>
      </c>
      <c r="H44" s="1071">
        <v>44</v>
      </c>
      <c r="I44" s="1025"/>
      <c r="J44" s="1025"/>
      <c r="K44" s="1025"/>
      <c r="L44" s="138"/>
      <c r="M44" s="138"/>
      <c r="N44" s="138"/>
      <c r="O44" s="138"/>
      <c r="P44" s="138"/>
      <c r="Q44" s="138"/>
      <c r="R44" s="138"/>
      <c r="S44" s="138"/>
      <c r="T44" s="138"/>
      <c r="U44" s="138"/>
      <c r="V44" s="138"/>
      <c r="W44" s="138"/>
      <c r="X44" s="138"/>
      <c r="Y44" s="138"/>
      <c r="Z44" s="138"/>
      <c r="AA44" s="138"/>
      <c r="AB44" s="138"/>
    </row>
    <row r="45" spans="1:28" ht="14.25" customHeight="1">
      <c r="A45" s="1067" t="s">
        <v>3612</v>
      </c>
      <c r="B45" s="1067" t="s">
        <v>266</v>
      </c>
      <c r="C45" s="1067" t="s">
        <v>267</v>
      </c>
      <c r="D45" s="1067" t="s">
        <v>260</v>
      </c>
      <c r="E45" s="1069">
        <v>20165.3</v>
      </c>
      <c r="F45" s="1065"/>
      <c r="G45" s="1067" t="s">
        <v>3613</v>
      </c>
      <c r="H45" s="1071">
        <v>44</v>
      </c>
      <c r="I45" s="1025"/>
      <c r="J45" s="1025"/>
      <c r="K45" s="1025"/>
      <c r="L45" s="138"/>
      <c r="M45" s="138"/>
      <c r="N45" s="138"/>
      <c r="O45" s="138"/>
      <c r="P45" s="138"/>
      <c r="Q45" s="138"/>
      <c r="R45" s="138"/>
      <c r="S45" s="138"/>
      <c r="T45" s="138"/>
      <c r="U45" s="138"/>
      <c r="V45" s="138"/>
      <c r="W45" s="138"/>
      <c r="X45" s="138"/>
      <c r="Y45" s="138"/>
      <c r="Z45" s="138"/>
      <c r="AA45" s="138"/>
      <c r="AB45" s="138"/>
    </row>
    <row r="46" spans="1:28" ht="14.25" customHeight="1">
      <c r="A46" s="1067" t="s">
        <v>3753</v>
      </c>
      <c r="B46" s="1067" t="s">
        <v>3340</v>
      </c>
      <c r="C46" s="1067" t="s">
        <v>3473</v>
      </c>
      <c r="D46" s="1067" t="s">
        <v>3754</v>
      </c>
      <c r="E46" s="1069">
        <v>15050</v>
      </c>
      <c r="F46" s="1065"/>
      <c r="G46" s="1067" t="s">
        <v>3755</v>
      </c>
      <c r="H46" s="1071">
        <v>44</v>
      </c>
      <c r="I46" s="1025"/>
      <c r="J46" s="1025"/>
      <c r="K46" s="1025"/>
      <c r="L46" s="138"/>
      <c r="M46" s="138"/>
      <c r="N46" s="138"/>
      <c r="O46" s="138"/>
      <c r="P46" s="138"/>
      <c r="Q46" s="138"/>
      <c r="R46" s="138"/>
      <c r="S46" s="138"/>
      <c r="T46" s="138"/>
      <c r="U46" s="138"/>
      <c r="V46" s="138"/>
      <c r="W46" s="138"/>
      <c r="X46" s="138"/>
      <c r="Y46" s="138"/>
      <c r="Z46" s="138"/>
      <c r="AA46" s="138"/>
      <c r="AB46" s="138"/>
    </row>
    <row r="47" spans="1:28" ht="14.25" customHeight="1">
      <c r="A47" s="1067" t="s">
        <v>3614</v>
      </c>
      <c r="B47" s="1067" t="s">
        <v>278</v>
      </c>
      <c r="C47" s="1067" t="s">
        <v>267</v>
      </c>
      <c r="D47" s="1067" t="s">
        <v>277</v>
      </c>
      <c r="E47" s="1069">
        <v>21360.2</v>
      </c>
      <c r="F47" s="1065"/>
      <c r="G47" s="1067" t="s">
        <v>3615</v>
      </c>
      <c r="H47" s="1071">
        <v>41</v>
      </c>
      <c r="I47" s="1025"/>
      <c r="J47" s="1025"/>
      <c r="K47" s="1025"/>
      <c r="L47" s="138"/>
      <c r="M47" s="138"/>
      <c r="N47" s="138"/>
      <c r="O47" s="138"/>
      <c r="P47" s="138"/>
      <c r="Q47" s="138"/>
      <c r="R47" s="138"/>
      <c r="S47" s="138"/>
      <c r="T47" s="138"/>
      <c r="U47" s="138"/>
      <c r="V47" s="138"/>
      <c r="W47" s="138"/>
      <c r="X47" s="138"/>
      <c r="Y47" s="138"/>
      <c r="Z47" s="138"/>
      <c r="AA47" s="138"/>
      <c r="AB47" s="138"/>
    </row>
    <row r="48" spans="1:28" ht="14.25" customHeight="1">
      <c r="A48" s="1067" t="s">
        <v>3616</v>
      </c>
      <c r="B48" s="1067" t="s">
        <v>268</v>
      </c>
      <c r="C48" s="1067" t="s">
        <v>267</v>
      </c>
      <c r="D48" s="1067" t="s">
        <v>277</v>
      </c>
      <c r="E48" s="1069">
        <v>25003.85</v>
      </c>
      <c r="F48" s="1069">
        <v>-21330</v>
      </c>
      <c r="G48" s="1067" t="s">
        <v>3617</v>
      </c>
      <c r="H48" s="1071">
        <v>40</v>
      </c>
      <c r="I48" s="1025"/>
      <c r="J48" s="1025"/>
      <c r="K48" s="1025"/>
      <c r="L48" s="138"/>
      <c r="M48" s="138"/>
      <c r="N48" s="138"/>
      <c r="O48" s="138"/>
      <c r="P48" s="138"/>
      <c r="Q48" s="138"/>
      <c r="R48" s="138"/>
      <c r="S48" s="138"/>
      <c r="T48" s="138"/>
      <c r="U48" s="138"/>
      <c r="V48" s="138"/>
      <c r="W48" s="138"/>
      <c r="X48" s="138"/>
      <c r="Y48" s="138"/>
      <c r="Z48" s="138"/>
      <c r="AA48" s="138"/>
      <c r="AB48" s="138"/>
    </row>
    <row r="49" spans="1:28" ht="14.25" customHeight="1">
      <c r="A49" s="1067" t="s">
        <v>3618</v>
      </c>
      <c r="B49" s="1067" t="s">
        <v>278</v>
      </c>
      <c r="C49" s="1067" t="s">
        <v>267</v>
      </c>
      <c r="D49" s="1067" t="s">
        <v>260</v>
      </c>
      <c r="E49" s="1069">
        <v>24894.97</v>
      </c>
      <c r="F49" s="1065"/>
      <c r="G49" s="1067" t="s">
        <v>3619</v>
      </c>
      <c r="H49" s="1071">
        <v>40</v>
      </c>
      <c r="I49" s="1025"/>
      <c r="J49" s="1025"/>
      <c r="K49" s="1025"/>
      <c r="L49" s="138"/>
      <c r="M49" s="138"/>
      <c r="N49" s="138"/>
      <c r="O49" s="138"/>
      <c r="P49" s="138"/>
      <c r="Q49" s="138"/>
      <c r="R49" s="138"/>
      <c r="S49" s="138"/>
      <c r="T49" s="138"/>
      <c r="U49" s="138"/>
      <c r="V49" s="138"/>
      <c r="W49" s="138"/>
      <c r="X49" s="138"/>
      <c r="Y49" s="138"/>
      <c r="Z49" s="138"/>
      <c r="AA49" s="138"/>
      <c r="AB49" s="138"/>
    </row>
    <row r="50" spans="1:28" ht="14.25" customHeight="1">
      <c r="A50" s="1067" t="s">
        <v>3620</v>
      </c>
      <c r="B50" s="1067" t="s">
        <v>275</v>
      </c>
      <c r="C50" s="1067" t="s">
        <v>267</v>
      </c>
      <c r="D50" s="1067" t="s">
        <v>260</v>
      </c>
      <c r="E50" s="1069">
        <v>27870.3</v>
      </c>
      <c r="F50" s="1065"/>
      <c r="G50" s="1067" t="s">
        <v>3621</v>
      </c>
      <c r="H50" s="1071">
        <v>40</v>
      </c>
      <c r="I50" s="1025"/>
      <c r="J50" s="1025"/>
      <c r="K50" s="1025"/>
      <c r="L50" s="138"/>
      <c r="M50" s="138"/>
      <c r="N50" s="138"/>
      <c r="O50" s="138"/>
      <c r="P50" s="138"/>
      <c r="Q50" s="138"/>
      <c r="R50" s="138"/>
      <c r="S50" s="138"/>
      <c r="T50" s="138"/>
      <c r="U50" s="138"/>
      <c r="V50" s="138"/>
      <c r="W50" s="138"/>
      <c r="X50" s="138"/>
      <c r="Y50" s="138"/>
      <c r="Z50" s="138"/>
      <c r="AA50" s="138"/>
      <c r="AB50" s="138"/>
    </row>
    <row r="51" spans="1:28" ht="14.25" customHeight="1">
      <c r="A51" s="1067" t="s">
        <v>3622</v>
      </c>
      <c r="B51" s="1067" t="s">
        <v>268</v>
      </c>
      <c r="C51" s="1067" t="s">
        <v>267</v>
      </c>
      <c r="D51" s="1067" t="s">
        <v>277</v>
      </c>
      <c r="E51" s="1069">
        <v>24530.400000000001</v>
      </c>
      <c r="F51" s="1065"/>
      <c r="G51" s="1067" t="s">
        <v>3623</v>
      </c>
      <c r="H51" s="1071">
        <v>37</v>
      </c>
      <c r="I51" s="1025"/>
      <c r="J51" s="1025"/>
      <c r="K51" s="1025"/>
      <c r="L51" s="138"/>
      <c r="M51" s="138"/>
      <c r="N51" s="138"/>
      <c r="O51" s="138"/>
      <c r="P51" s="138"/>
      <c r="Q51" s="138"/>
      <c r="R51" s="138"/>
      <c r="S51" s="138"/>
      <c r="T51" s="138"/>
      <c r="U51" s="138"/>
      <c r="V51" s="138"/>
      <c r="W51" s="138"/>
      <c r="X51" s="138"/>
      <c r="Y51" s="138"/>
      <c r="Z51" s="138"/>
      <c r="AA51" s="138"/>
      <c r="AB51" s="138"/>
    </row>
    <row r="52" spans="1:28" ht="14.25" customHeight="1">
      <c r="A52" s="1067" t="s">
        <v>3624</v>
      </c>
      <c r="B52" s="1067" t="s">
        <v>3625</v>
      </c>
      <c r="C52" s="1067" t="s">
        <v>267</v>
      </c>
      <c r="D52" s="1067" t="s">
        <v>3626</v>
      </c>
      <c r="E52" s="1069">
        <v>4314.03</v>
      </c>
      <c r="F52" s="1065"/>
      <c r="G52" s="1067" t="s">
        <v>3627</v>
      </c>
      <c r="H52" s="1071">
        <v>37</v>
      </c>
      <c r="I52" s="1025"/>
      <c r="J52" s="1025"/>
      <c r="K52" s="1025"/>
      <c r="L52" s="138"/>
      <c r="M52" s="138"/>
      <c r="N52" s="138"/>
      <c r="O52" s="138"/>
      <c r="P52" s="138"/>
      <c r="Q52" s="138"/>
      <c r="R52" s="138"/>
      <c r="S52" s="138"/>
      <c r="T52" s="138"/>
      <c r="U52" s="138"/>
      <c r="V52" s="138"/>
      <c r="W52" s="138"/>
      <c r="X52" s="138"/>
      <c r="Y52" s="138"/>
      <c r="Z52" s="138"/>
      <c r="AA52" s="138"/>
      <c r="AB52" s="138"/>
    </row>
    <row r="53" spans="1:28" ht="14.25" customHeight="1">
      <c r="A53" s="1067" t="s">
        <v>3630</v>
      </c>
      <c r="B53" s="1067" t="s">
        <v>268</v>
      </c>
      <c r="C53" s="1067" t="s">
        <v>267</v>
      </c>
      <c r="D53" s="1067" t="s">
        <v>277</v>
      </c>
      <c r="E53" s="1069">
        <v>24447.5</v>
      </c>
      <c r="F53" s="1065"/>
      <c r="G53" s="1067" t="s">
        <v>3631</v>
      </c>
      <c r="H53" s="1071">
        <v>33</v>
      </c>
      <c r="I53" s="1025"/>
      <c r="J53" s="1025"/>
      <c r="K53" s="1025"/>
      <c r="L53" s="138"/>
      <c r="M53" s="138"/>
      <c r="N53" s="138"/>
      <c r="O53" s="138"/>
      <c r="P53" s="138"/>
      <c r="Q53" s="138"/>
      <c r="R53" s="138"/>
      <c r="S53" s="138"/>
      <c r="T53" s="138"/>
      <c r="U53" s="138"/>
      <c r="V53" s="138"/>
      <c r="W53" s="138"/>
      <c r="X53" s="138"/>
      <c r="Y53" s="138"/>
      <c r="Z53" s="138"/>
      <c r="AA53" s="138"/>
      <c r="AB53" s="138"/>
    </row>
    <row r="54" spans="1:28" ht="14.25" customHeight="1">
      <c r="A54" s="1067" t="s">
        <v>3632</v>
      </c>
      <c r="B54" s="1067" t="s">
        <v>275</v>
      </c>
      <c r="C54" s="1067" t="s">
        <v>267</v>
      </c>
      <c r="D54" s="1067" t="s">
        <v>273</v>
      </c>
      <c r="E54" s="1069">
        <v>20373.45</v>
      </c>
      <c r="F54" s="1069">
        <v>-12553.38</v>
      </c>
      <c r="G54" s="1067" t="s">
        <v>3633</v>
      </c>
      <c r="H54" s="1071">
        <v>33</v>
      </c>
      <c r="I54" s="1025"/>
      <c r="J54" s="1025"/>
      <c r="K54" s="1025"/>
      <c r="L54" s="138"/>
      <c r="M54" s="138"/>
      <c r="N54" s="138"/>
      <c r="O54" s="138"/>
      <c r="P54" s="138"/>
      <c r="Q54" s="138"/>
      <c r="R54" s="138"/>
      <c r="S54" s="138"/>
      <c r="T54" s="138"/>
      <c r="U54" s="138"/>
      <c r="V54" s="138"/>
      <c r="W54" s="138"/>
      <c r="X54" s="138"/>
      <c r="Y54" s="138"/>
      <c r="Z54" s="138"/>
      <c r="AA54" s="138"/>
      <c r="AB54" s="138"/>
    </row>
    <row r="55" spans="1:28" ht="14.25" customHeight="1">
      <c r="A55" s="1067" t="s">
        <v>3638</v>
      </c>
      <c r="B55" s="1067" t="s">
        <v>268</v>
      </c>
      <c r="C55" s="1067" t="s">
        <v>267</v>
      </c>
      <c r="D55" s="1067" t="s">
        <v>279</v>
      </c>
      <c r="E55" s="1069">
        <v>32388.2</v>
      </c>
      <c r="F55" s="1065"/>
      <c r="G55" s="1067" t="s">
        <v>3639</v>
      </c>
      <c r="H55" s="1071">
        <v>32</v>
      </c>
      <c r="I55" s="1025"/>
      <c r="J55" s="1025"/>
      <c r="K55" s="1025"/>
      <c r="L55" s="138"/>
      <c r="M55" s="138"/>
      <c r="N55" s="138"/>
      <c r="O55" s="138"/>
      <c r="P55" s="138"/>
      <c r="Q55" s="138"/>
      <c r="R55" s="138"/>
      <c r="S55" s="138"/>
      <c r="T55" s="138"/>
      <c r="U55" s="138"/>
      <c r="V55" s="138"/>
      <c r="W55" s="138"/>
      <c r="X55" s="138"/>
      <c r="Y55" s="138"/>
      <c r="Z55" s="138"/>
      <c r="AA55" s="138"/>
      <c r="AB55" s="138"/>
    </row>
    <row r="56" spans="1:28" ht="14.25" customHeight="1">
      <c r="A56" s="1067" t="s">
        <v>3642</v>
      </c>
      <c r="B56" s="1067" t="s">
        <v>278</v>
      </c>
      <c r="C56" s="1067" t="s">
        <v>267</v>
      </c>
      <c r="D56" s="1067" t="s">
        <v>3643</v>
      </c>
      <c r="E56" s="1069">
        <v>23491.599999999999</v>
      </c>
      <c r="F56" s="1065"/>
      <c r="G56" s="1067" t="s">
        <v>3644</v>
      </c>
      <c r="H56" s="1071">
        <v>32</v>
      </c>
      <c r="I56" s="1025"/>
      <c r="J56" s="1025"/>
      <c r="K56" s="1025"/>
      <c r="L56" s="138"/>
      <c r="M56" s="138"/>
      <c r="N56" s="138"/>
      <c r="O56" s="138"/>
      <c r="P56" s="138"/>
      <c r="Q56" s="138"/>
      <c r="R56" s="138"/>
      <c r="S56" s="138"/>
      <c r="T56" s="138"/>
      <c r="U56" s="138"/>
      <c r="V56" s="138"/>
      <c r="W56" s="138"/>
      <c r="X56" s="138"/>
      <c r="Y56" s="138"/>
      <c r="Z56" s="138"/>
      <c r="AA56" s="138"/>
      <c r="AB56" s="138"/>
    </row>
    <row r="57" spans="1:28" ht="14.25" customHeight="1">
      <c r="A57" s="1067" t="s">
        <v>3645</v>
      </c>
      <c r="B57" s="1067" t="s">
        <v>268</v>
      </c>
      <c r="C57" s="1067" t="s">
        <v>267</v>
      </c>
      <c r="D57" s="1067" t="s">
        <v>260</v>
      </c>
      <c r="E57" s="1069">
        <v>29343.25</v>
      </c>
      <c r="F57" s="1065"/>
      <c r="G57" s="1067" t="s">
        <v>3646</v>
      </c>
      <c r="H57" s="1071">
        <v>31</v>
      </c>
      <c r="I57" s="1025"/>
      <c r="J57" s="1025"/>
      <c r="K57" s="1025"/>
      <c r="L57" s="138"/>
      <c r="M57" s="138"/>
      <c r="N57" s="138"/>
      <c r="O57" s="138"/>
      <c r="P57" s="138"/>
      <c r="Q57" s="138"/>
      <c r="R57" s="138"/>
      <c r="S57" s="138"/>
      <c r="T57" s="138"/>
      <c r="U57" s="138"/>
      <c r="V57" s="138"/>
      <c r="W57" s="138"/>
      <c r="X57" s="138"/>
      <c r="Y57" s="138"/>
      <c r="Z57" s="138"/>
      <c r="AA57" s="138"/>
      <c r="AB57" s="138"/>
    </row>
    <row r="58" spans="1:28" ht="14.25" customHeight="1">
      <c r="A58" s="1067" t="s">
        <v>3647</v>
      </c>
      <c r="B58" s="1067" t="s">
        <v>278</v>
      </c>
      <c r="C58" s="1067" t="s">
        <v>267</v>
      </c>
      <c r="D58" s="1067" t="s">
        <v>260</v>
      </c>
      <c r="E58" s="1069">
        <v>29950</v>
      </c>
      <c r="F58" s="1065"/>
      <c r="G58" s="1067" t="s">
        <v>3648</v>
      </c>
      <c r="H58" s="1071">
        <v>31</v>
      </c>
      <c r="I58" s="1025"/>
      <c r="J58" s="1025"/>
      <c r="K58" s="1025"/>
      <c r="L58" s="138"/>
      <c r="M58" s="138"/>
      <c r="N58" s="138"/>
      <c r="O58" s="138"/>
      <c r="P58" s="138"/>
      <c r="Q58" s="138"/>
      <c r="R58" s="138"/>
      <c r="S58" s="138"/>
      <c r="T58" s="138"/>
      <c r="U58" s="138"/>
      <c r="V58" s="138"/>
      <c r="W58" s="138"/>
      <c r="X58" s="138"/>
      <c r="Y58" s="138"/>
      <c r="Z58" s="138"/>
      <c r="AA58" s="138"/>
      <c r="AB58" s="138"/>
    </row>
    <row r="59" spans="1:28" ht="14.25" customHeight="1">
      <c r="A59" s="1067" t="s">
        <v>3649</v>
      </c>
      <c r="B59" s="1067" t="s">
        <v>275</v>
      </c>
      <c r="C59" s="1067" t="s">
        <v>267</v>
      </c>
      <c r="D59" s="1067" t="s">
        <v>260</v>
      </c>
      <c r="E59" s="1069">
        <v>21448.99</v>
      </c>
      <c r="F59" s="1069">
        <v>-18000</v>
      </c>
      <c r="G59" s="1067" t="s">
        <v>3650</v>
      </c>
      <c r="H59" s="1071">
        <v>31</v>
      </c>
      <c r="I59" s="1025"/>
      <c r="J59" s="1025"/>
      <c r="K59" s="1025"/>
      <c r="L59" s="138"/>
      <c r="M59" s="138"/>
      <c r="N59" s="138"/>
      <c r="O59" s="138"/>
      <c r="P59" s="138"/>
      <c r="Q59" s="138"/>
      <c r="R59" s="138"/>
      <c r="S59" s="138"/>
      <c r="T59" s="138"/>
      <c r="U59" s="138"/>
      <c r="V59" s="138"/>
      <c r="W59" s="138"/>
      <c r="X59" s="138"/>
      <c r="Y59" s="138"/>
      <c r="Z59" s="138"/>
      <c r="AA59" s="138"/>
      <c r="AB59" s="138"/>
    </row>
    <row r="60" spans="1:28" ht="14.25" customHeight="1">
      <c r="A60" s="1067" t="s">
        <v>3651</v>
      </c>
      <c r="B60" s="1067" t="s">
        <v>275</v>
      </c>
      <c r="C60" s="1067" t="s">
        <v>267</v>
      </c>
      <c r="D60" s="1067" t="s">
        <v>3540</v>
      </c>
      <c r="E60" s="1069">
        <v>23680.2</v>
      </c>
      <c r="F60" s="1065"/>
      <c r="G60" s="1067" t="s">
        <v>3652</v>
      </c>
      <c r="H60" s="1071">
        <v>31</v>
      </c>
      <c r="I60" s="1025"/>
      <c r="J60" s="1025"/>
      <c r="K60" s="1025"/>
      <c r="L60" s="138"/>
      <c r="M60" s="138"/>
      <c r="N60" s="138"/>
      <c r="O60" s="138"/>
      <c r="P60" s="138"/>
      <c r="Q60" s="138"/>
      <c r="R60" s="138"/>
      <c r="S60" s="138"/>
      <c r="T60" s="138"/>
      <c r="U60" s="138"/>
      <c r="V60" s="138"/>
      <c r="W60" s="138"/>
      <c r="X60" s="138"/>
      <c r="Y60" s="138"/>
      <c r="Z60" s="138"/>
      <c r="AA60" s="138"/>
      <c r="AB60" s="138"/>
    </row>
    <row r="61" spans="1:28" ht="14.25" customHeight="1">
      <c r="A61" s="1067" t="s">
        <v>3653</v>
      </c>
      <c r="B61" s="1067" t="s">
        <v>275</v>
      </c>
      <c r="C61" s="1067" t="s">
        <v>267</v>
      </c>
      <c r="D61" s="1067" t="s">
        <v>273</v>
      </c>
      <c r="E61" s="1069">
        <v>19433.849999999999</v>
      </c>
      <c r="F61" s="1065"/>
      <c r="G61" s="1067" t="s">
        <v>3654</v>
      </c>
      <c r="H61" s="1071">
        <v>31</v>
      </c>
      <c r="I61" s="1025"/>
      <c r="J61" s="1025"/>
      <c r="K61" s="1025"/>
      <c r="L61" s="138"/>
      <c r="M61" s="138"/>
      <c r="N61" s="138"/>
      <c r="O61" s="138"/>
      <c r="P61" s="138"/>
      <c r="Q61" s="138"/>
      <c r="R61" s="138"/>
      <c r="S61" s="138"/>
      <c r="T61" s="138"/>
      <c r="U61" s="138"/>
      <c r="V61" s="138"/>
      <c r="W61" s="138"/>
      <c r="X61" s="138"/>
      <c r="Y61" s="138"/>
      <c r="Z61" s="138"/>
      <c r="AA61" s="138"/>
      <c r="AB61" s="138"/>
    </row>
    <row r="62" spans="1:28" ht="14.25" customHeight="1">
      <c r="A62" s="1067" t="s">
        <v>3655</v>
      </c>
      <c r="B62" s="1067" t="s">
        <v>275</v>
      </c>
      <c r="C62" s="1067" t="s">
        <v>3434</v>
      </c>
      <c r="D62" s="1067" t="s">
        <v>3528</v>
      </c>
      <c r="E62" s="1069">
        <v>17516.849999999999</v>
      </c>
      <c r="F62" s="1065"/>
      <c r="G62" s="1067" t="s">
        <v>3656</v>
      </c>
      <c r="H62" s="1071">
        <v>31</v>
      </c>
      <c r="I62" s="1025"/>
      <c r="J62" s="1025"/>
      <c r="K62" s="1025"/>
      <c r="L62" s="138"/>
      <c r="M62" s="138"/>
      <c r="N62" s="138"/>
      <c r="O62" s="138"/>
      <c r="P62" s="138"/>
      <c r="Q62" s="138"/>
      <c r="R62" s="138"/>
      <c r="S62" s="138"/>
      <c r="T62" s="138"/>
      <c r="U62" s="138"/>
      <c r="V62" s="138"/>
      <c r="W62" s="138"/>
      <c r="X62" s="138"/>
      <c r="Y62" s="138"/>
      <c r="Z62" s="138"/>
      <c r="AA62" s="138"/>
      <c r="AB62" s="138"/>
    </row>
    <row r="63" spans="1:28" ht="14.25" customHeight="1">
      <c r="A63" s="1067" t="s">
        <v>3636</v>
      </c>
      <c r="B63" s="1067" t="s">
        <v>268</v>
      </c>
      <c r="C63" s="1067" t="s">
        <v>267</v>
      </c>
      <c r="D63" s="1067" t="s">
        <v>260</v>
      </c>
      <c r="E63" s="1069">
        <v>28418.09</v>
      </c>
      <c r="F63" s="1065"/>
      <c r="G63" s="1067" t="s">
        <v>3637</v>
      </c>
      <c r="H63" s="1071">
        <v>30</v>
      </c>
      <c r="I63" s="1025"/>
      <c r="J63" s="1025"/>
      <c r="K63" s="1025"/>
      <c r="L63" s="138"/>
      <c r="M63" s="138"/>
      <c r="N63" s="138"/>
      <c r="O63" s="138"/>
      <c r="P63" s="138"/>
      <c r="Q63" s="138"/>
      <c r="R63" s="138"/>
      <c r="S63" s="138"/>
      <c r="T63" s="138"/>
      <c r="U63" s="138"/>
      <c r="V63" s="138"/>
      <c r="W63" s="138"/>
      <c r="X63" s="138"/>
      <c r="Y63" s="138"/>
      <c r="Z63" s="138"/>
      <c r="AA63" s="138"/>
      <c r="AB63" s="138"/>
    </row>
    <row r="64" spans="1:28" ht="14.25" customHeight="1">
      <c r="A64" s="1067" t="s">
        <v>3640</v>
      </c>
      <c r="B64" s="1067" t="s">
        <v>278</v>
      </c>
      <c r="C64" s="1067" t="s">
        <v>267</v>
      </c>
      <c r="D64" s="1067" t="s">
        <v>260</v>
      </c>
      <c r="E64" s="1069">
        <v>26650</v>
      </c>
      <c r="F64" s="1065"/>
      <c r="G64" s="1067" t="s">
        <v>3641</v>
      </c>
      <c r="H64" s="1071">
        <v>30</v>
      </c>
      <c r="I64" s="1025"/>
      <c r="J64" s="1025"/>
      <c r="K64" s="1025"/>
      <c r="L64" s="138"/>
      <c r="M64" s="138"/>
      <c r="N64" s="138"/>
      <c r="O64" s="138"/>
      <c r="P64" s="138"/>
      <c r="Q64" s="138"/>
      <c r="R64" s="138"/>
      <c r="S64" s="138"/>
      <c r="T64" s="138"/>
      <c r="U64" s="138"/>
      <c r="V64" s="138"/>
      <c r="W64" s="138"/>
      <c r="X64" s="138"/>
      <c r="Y64" s="138"/>
      <c r="Z64" s="138"/>
      <c r="AA64" s="138"/>
      <c r="AB64" s="138"/>
    </row>
    <row r="65" spans="1:28" ht="14.25" customHeight="1">
      <c r="A65" s="1067" t="s">
        <v>3756</v>
      </c>
      <c r="B65" s="1067" t="s">
        <v>275</v>
      </c>
      <c r="C65" s="1067" t="s">
        <v>267</v>
      </c>
      <c r="D65" s="1067" t="s">
        <v>260</v>
      </c>
      <c r="E65" s="1069">
        <v>22943.200000000001</v>
      </c>
      <c r="F65" s="1069">
        <v>-14910</v>
      </c>
      <c r="G65" s="1067" t="s">
        <v>3757</v>
      </c>
      <c r="H65" s="1071">
        <v>27</v>
      </c>
      <c r="I65" s="1025"/>
      <c r="J65" s="1025"/>
      <c r="K65" s="1025"/>
      <c r="L65" s="138"/>
      <c r="M65" s="138"/>
      <c r="N65" s="138"/>
      <c r="O65" s="138"/>
      <c r="P65" s="138"/>
      <c r="Q65" s="138"/>
      <c r="R65" s="138"/>
      <c r="S65" s="138"/>
      <c r="T65" s="138"/>
      <c r="U65" s="138"/>
      <c r="V65" s="138"/>
      <c r="W65" s="138"/>
      <c r="X65" s="138"/>
      <c r="Y65" s="138"/>
      <c r="Z65" s="138"/>
      <c r="AA65" s="138"/>
      <c r="AB65" s="138"/>
    </row>
    <row r="66" spans="1:28" ht="14.25" customHeight="1">
      <c r="A66" s="1067" t="s">
        <v>3758</v>
      </c>
      <c r="B66" s="1067" t="s">
        <v>3439</v>
      </c>
      <c r="C66" s="1067" t="s">
        <v>267</v>
      </c>
      <c r="D66" s="1067" t="s">
        <v>3573</v>
      </c>
      <c r="E66" s="1069">
        <v>56282.9</v>
      </c>
      <c r="F66" s="1069">
        <v>-53444.44</v>
      </c>
      <c r="G66" s="1067" t="s">
        <v>3759</v>
      </c>
      <c r="H66" s="1071">
        <v>26</v>
      </c>
      <c r="I66" s="1025"/>
      <c r="J66" s="1025"/>
      <c r="K66" s="1025"/>
      <c r="L66" s="138"/>
      <c r="M66" s="138"/>
      <c r="N66" s="138"/>
      <c r="O66" s="138"/>
      <c r="P66" s="138"/>
      <c r="Q66" s="138"/>
      <c r="R66" s="138"/>
      <c r="S66" s="138"/>
      <c r="T66" s="138"/>
      <c r="U66" s="138"/>
      <c r="V66" s="138"/>
      <c r="W66" s="138"/>
      <c r="X66" s="138"/>
      <c r="Y66" s="138"/>
      <c r="Z66" s="138"/>
      <c r="AA66" s="138"/>
      <c r="AB66" s="138"/>
    </row>
    <row r="67" spans="1:28" ht="14.25" customHeight="1">
      <c r="A67" s="1067" t="s">
        <v>3760</v>
      </c>
      <c r="B67" s="1067" t="s">
        <v>264</v>
      </c>
      <c r="C67" s="1067" t="s">
        <v>267</v>
      </c>
      <c r="D67" s="1067" t="s">
        <v>260</v>
      </c>
      <c r="E67" s="1069">
        <v>37343.25</v>
      </c>
      <c r="F67" s="1069">
        <v>-31500</v>
      </c>
      <c r="G67" s="1067" t="s">
        <v>3761</v>
      </c>
      <c r="H67" s="1071">
        <v>26</v>
      </c>
      <c r="I67" s="1025"/>
      <c r="J67" s="1025"/>
      <c r="K67" s="1025"/>
      <c r="L67" s="138"/>
      <c r="M67" s="138"/>
      <c r="N67" s="138"/>
      <c r="O67" s="138"/>
      <c r="P67" s="138"/>
      <c r="Q67" s="138"/>
      <c r="R67" s="138"/>
      <c r="S67" s="138"/>
      <c r="T67" s="138"/>
      <c r="U67" s="138"/>
      <c r="V67" s="138"/>
      <c r="W67" s="138"/>
      <c r="X67" s="138"/>
      <c r="Y67" s="138"/>
      <c r="Z67" s="138"/>
      <c r="AA67" s="138"/>
      <c r="AB67" s="138"/>
    </row>
    <row r="68" spans="1:28" ht="14.25" customHeight="1">
      <c r="A68" s="1067" t="s">
        <v>3762</v>
      </c>
      <c r="B68" s="1067" t="s">
        <v>268</v>
      </c>
      <c r="C68" s="1067" t="s">
        <v>267</v>
      </c>
      <c r="D68" s="1067" t="s">
        <v>260</v>
      </c>
      <c r="E68" s="1069">
        <v>27555.439999999999</v>
      </c>
      <c r="F68" s="1069">
        <v>-26142.19</v>
      </c>
      <c r="G68" s="1067" t="s">
        <v>3763</v>
      </c>
      <c r="H68" s="1071">
        <v>26</v>
      </c>
      <c r="I68" s="1025"/>
      <c r="J68" s="1025"/>
      <c r="K68" s="1025"/>
      <c r="L68" s="138"/>
      <c r="M68" s="138"/>
      <c r="N68" s="138"/>
      <c r="O68" s="138"/>
      <c r="P68" s="138"/>
      <c r="Q68" s="138"/>
      <c r="R68" s="138"/>
      <c r="S68" s="138"/>
      <c r="T68" s="138"/>
      <c r="U68" s="138"/>
      <c r="V68" s="138"/>
      <c r="W68" s="138"/>
      <c r="X68" s="138"/>
      <c r="Y68" s="138"/>
      <c r="Z68" s="138"/>
      <c r="AA68" s="138"/>
      <c r="AB68" s="138"/>
    </row>
    <row r="69" spans="1:28" ht="14.25" customHeight="1">
      <c r="A69" s="1067" t="s">
        <v>3628</v>
      </c>
      <c r="B69" s="1067" t="s">
        <v>275</v>
      </c>
      <c r="C69" s="1067" t="s">
        <v>267</v>
      </c>
      <c r="D69" s="1067" t="s">
        <v>277</v>
      </c>
      <c r="E69" s="1069">
        <v>15050</v>
      </c>
      <c r="F69" s="1065"/>
      <c r="G69" s="1067" t="s">
        <v>3629</v>
      </c>
      <c r="H69" s="1071">
        <v>26</v>
      </c>
      <c r="I69" s="1025"/>
      <c r="J69" s="1025"/>
      <c r="K69" s="1025"/>
      <c r="L69" s="138"/>
      <c r="M69" s="138"/>
      <c r="N69" s="138"/>
      <c r="O69" s="138"/>
      <c r="P69" s="138"/>
      <c r="Q69" s="138"/>
      <c r="R69" s="138"/>
      <c r="S69" s="138"/>
      <c r="T69" s="138"/>
      <c r="U69" s="138"/>
      <c r="V69" s="138"/>
      <c r="W69" s="138"/>
      <c r="X69" s="138"/>
      <c r="Y69" s="138"/>
      <c r="Z69" s="138"/>
      <c r="AA69" s="138"/>
      <c r="AB69" s="138"/>
    </row>
    <row r="70" spans="1:28" ht="14.25" customHeight="1">
      <c r="A70" s="1067" t="s">
        <v>3764</v>
      </c>
      <c r="B70" s="1067" t="s">
        <v>278</v>
      </c>
      <c r="C70" s="1067" t="s">
        <v>267</v>
      </c>
      <c r="D70" s="1067" t="s">
        <v>282</v>
      </c>
      <c r="E70" s="1069">
        <v>24148.3</v>
      </c>
      <c r="F70" s="1069">
        <v>-13011</v>
      </c>
      <c r="G70" s="1067" t="s">
        <v>3765</v>
      </c>
      <c r="H70" s="1071">
        <v>25</v>
      </c>
      <c r="I70" s="1025"/>
      <c r="J70" s="1025"/>
      <c r="K70" s="1025"/>
      <c r="L70" s="138"/>
      <c r="M70" s="138"/>
      <c r="N70" s="138"/>
      <c r="O70" s="138"/>
      <c r="P70" s="138"/>
      <c r="Q70" s="138"/>
      <c r="R70" s="138"/>
      <c r="S70" s="138"/>
      <c r="T70" s="138"/>
      <c r="U70" s="138"/>
      <c r="V70" s="138"/>
      <c r="W70" s="138"/>
      <c r="X70" s="138"/>
      <c r="Y70" s="138"/>
      <c r="Z70" s="138"/>
      <c r="AA70" s="138"/>
      <c r="AB70" s="138"/>
    </row>
    <row r="71" spans="1:28" ht="14.25" customHeight="1">
      <c r="A71" s="1067" t="s">
        <v>3766</v>
      </c>
      <c r="B71" s="1067" t="s">
        <v>280</v>
      </c>
      <c r="C71" s="1067" t="s">
        <v>267</v>
      </c>
      <c r="D71" s="1067" t="s">
        <v>260</v>
      </c>
      <c r="E71" s="1069">
        <v>17323.25</v>
      </c>
      <c r="F71" s="1069">
        <v>-14400</v>
      </c>
      <c r="G71" s="1067" t="s">
        <v>3767</v>
      </c>
      <c r="H71" s="1071">
        <v>25</v>
      </c>
      <c r="I71" s="1025"/>
      <c r="J71" s="1025"/>
      <c r="K71" s="1025"/>
      <c r="L71" s="138"/>
      <c r="M71" s="138"/>
      <c r="N71" s="138"/>
      <c r="O71" s="138"/>
      <c r="P71" s="138"/>
      <c r="Q71" s="138"/>
      <c r="R71" s="138"/>
      <c r="S71" s="138"/>
      <c r="T71" s="138"/>
      <c r="U71" s="138"/>
      <c r="V71" s="138"/>
      <c r="W71" s="138"/>
      <c r="X71" s="138"/>
      <c r="Y71" s="138"/>
      <c r="Z71" s="138"/>
      <c r="AA71" s="138"/>
      <c r="AB71" s="138"/>
    </row>
    <row r="72" spans="1:28" ht="14.25" customHeight="1">
      <c r="A72" s="1067" t="s">
        <v>3768</v>
      </c>
      <c r="B72" s="1067" t="s">
        <v>278</v>
      </c>
      <c r="C72" s="1067" t="s">
        <v>267</v>
      </c>
      <c r="D72" s="1067" t="s">
        <v>260</v>
      </c>
      <c r="E72" s="1069">
        <v>24729.89</v>
      </c>
      <c r="F72" s="1069">
        <v>-21121.07</v>
      </c>
      <c r="G72" s="1067" t="s">
        <v>3769</v>
      </c>
      <c r="H72" s="1071">
        <v>24</v>
      </c>
      <c r="I72" s="1025"/>
      <c r="J72" s="1025"/>
      <c r="K72" s="1025"/>
      <c r="L72" s="138"/>
      <c r="M72" s="138"/>
      <c r="N72" s="138"/>
      <c r="O72" s="138"/>
      <c r="P72" s="138"/>
      <c r="Q72" s="138"/>
      <c r="R72" s="138"/>
      <c r="S72" s="138"/>
      <c r="T72" s="138"/>
      <c r="U72" s="138"/>
      <c r="V72" s="138"/>
      <c r="W72" s="138"/>
      <c r="X72" s="138"/>
      <c r="Y72" s="138"/>
      <c r="Z72" s="138"/>
      <c r="AA72" s="138"/>
      <c r="AB72" s="138"/>
    </row>
    <row r="73" spans="1:28" ht="14.25" customHeight="1">
      <c r="A73" s="1067" t="s">
        <v>3770</v>
      </c>
      <c r="B73" s="1067" t="s">
        <v>264</v>
      </c>
      <c r="C73" s="1067" t="s">
        <v>3635</v>
      </c>
      <c r="D73" s="1067" t="s">
        <v>3771</v>
      </c>
      <c r="E73" s="1069">
        <v>39801.279999999999</v>
      </c>
      <c r="F73" s="1065"/>
      <c r="G73" s="1067" t="s">
        <v>3772</v>
      </c>
      <c r="H73" s="1071">
        <v>17</v>
      </c>
      <c r="I73" s="1025"/>
      <c r="J73" s="1025"/>
      <c r="K73" s="1025"/>
      <c r="L73" s="138"/>
      <c r="M73" s="138"/>
      <c r="N73" s="138"/>
      <c r="O73" s="138"/>
      <c r="P73" s="138"/>
      <c r="Q73" s="138"/>
      <c r="R73" s="138"/>
      <c r="S73" s="138"/>
      <c r="T73" s="138"/>
      <c r="U73" s="138"/>
      <c r="V73" s="138"/>
      <c r="W73" s="138"/>
      <c r="X73" s="138"/>
      <c r="Y73" s="138"/>
      <c r="Z73" s="138"/>
      <c r="AA73" s="138"/>
      <c r="AB73" s="138"/>
    </row>
    <row r="74" spans="1:28" ht="14.25" customHeight="1">
      <c r="A74" s="1067" t="s">
        <v>3773</v>
      </c>
      <c r="B74" s="1067" t="s">
        <v>278</v>
      </c>
      <c r="C74" s="1067" t="s">
        <v>267</v>
      </c>
      <c r="D74" s="1067" t="s">
        <v>260</v>
      </c>
      <c r="E74" s="1069">
        <v>27897</v>
      </c>
      <c r="F74" s="1069">
        <v>-21259.15</v>
      </c>
      <c r="G74" s="1067" t="s">
        <v>3774</v>
      </c>
      <c r="H74" s="1071">
        <v>17</v>
      </c>
      <c r="I74" s="1025"/>
      <c r="J74" s="1025"/>
      <c r="K74" s="1025"/>
      <c r="L74" s="138"/>
      <c r="M74" s="138"/>
      <c r="N74" s="138"/>
      <c r="O74" s="138"/>
      <c r="P74" s="138"/>
      <c r="Q74" s="138"/>
      <c r="R74" s="138"/>
      <c r="S74" s="138"/>
      <c r="T74" s="138"/>
      <c r="U74" s="138"/>
      <c r="V74" s="138"/>
      <c r="W74" s="138"/>
      <c r="X74" s="138"/>
      <c r="Y74" s="138"/>
      <c r="Z74" s="138"/>
      <c r="AA74" s="138"/>
      <c r="AB74" s="138"/>
    </row>
    <row r="75" spans="1:28" ht="14.25" customHeight="1">
      <c r="A75" s="1067" t="s">
        <v>3775</v>
      </c>
      <c r="B75" s="1067" t="s">
        <v>268</v>
      </c>
      <c r="C75" s="1067" t="s">
        <v>267</v>
      </c>
      <c r="D75" s="1067" t="s">
        <v>260</v>
      </c>
      <c r="E75" s="1069">
        <v>29849.7</v>
      </c>
      <c r="F75" s="1069">
        <v>-25650</v>
      </c>
      <c r="G75" s="1067" t="s">
        <v>3776</v>
      </c>
      <c r="H75" s="1071">
        <v>16</v>
      </c>
      <c r="I75" s="1025"/>
      <c r="J75" s="1025"/>
      <c r="K75" s="1025"/>
      <c r="L75" s="138"/>
      <c r="M75" s="138"/>
      <c r="N75" s="138"/>
      <c r="O75" s="138"/>
      <c r="P75" s="138"/>
      <c r="Q75" s="138"/>
      <c r="R75" s="138"/>
      <c r="S75" s="138"/>
      <c r="T75" s="138"/>
      <c r="U75" s="138"/>
      <c r="V75" s="138"/>
      <c r="W75" s="138"/>
      <c r="X75" s="138"/>
      <c r="Y75" s="138"/>
      <c r="Z75" s="138"/>
      <c r="AA75" s="138"/>
      <c r="AB75" s="138"/>
    </row>
    <row r="76" spans="1:28" ht="14.25" customHeight="1">
      <c r="A76" s="1067" t="s">
        <v>3777</v>
      </c>
      <c r="B76" s="1067" t="s">
        <v>268</v>
      </c>
      <c r="C76" s="1067" t="s">
        <v>267</v>
      </c>
      <c r="D76" s="1067" t="s">
        <v>277</v>
      </c>
      <c r="E76" s="1069">
        <v>22734.85</v>
      </c>
      <c r="F76" s="1065"/>
      <c r="G76" s="1067" t="s">
        <v>3778</v>
      </c>
      <c r="H76" s="1071">
        <v>16</v>
      </c>
      <c r="I76" s="1025"/>
      <c r="J76" s="1025"/>
      <c r="K76" s="1025"/>
      <c r="L76" s="138"/>
      <c r="M76" s="138"/>
      <c r="N76" s="138"/>
      <c r="O76" s="138"/>
      <c r="P76" s="138"/>
      <c r="Q76" s="138"/>
      <c r="R76" s="138"/>
      <c r="S76" s="138"/>
      <c r="T76" s="138"/>
      <c r="U76" s="138"/>
      <c r="V76" s="138"/>
      <c r="W76" s="138"/>
      <c r="X76" s="138"/>
      <c r="Y76" s="138"/>
      <c r="Z76" s="138"/>
      <c r="AA76" s="138"/>
      <c r="AB76" s="138"/>
    </row>
    <row r="77" spans="1:28" ht="14.25" customHeight="1">
      <c r="A77" s="1067" t="s">
        <v>3779</v>
      </c>
      <c r="B77" s="1067" t="s">
        <v>278</v>
      </c>
      <c r="C77" s="1067" t="s">
        <v>267</v>
      </c>
      <c r="D77" s="1067" t="s">
        <v>260</v>
      </c>
      <c r="E77" s="1069">
        <v>23937.85</v>
      </c>
      <c r="F77" s="1065"/>
      <c r="G77" s="1067" t="s">
        <v>3780</v>
      </c>
      <c r="H77" s="1071">
        <v>16</v>
      </c>
      <c r="I77" s="138"/>
      <c r="J77" s="138"/>
      <c r="K77" s="138"/>
      <c r="L77" s="138"/>
      <c r="M77" s="138"/>
      <c r="N77" s="138"/>
      <c r="O77" s="138"/>
      <c r="P77" s="138"/>
      <c r="Q77" s="138"/>
      <c r="R77" s="138"/>
      <c r="S77" s="138"/>
      <c r="T77" s="138"/>
      <c r="U77" s="138"/>
      <c r="V77" s="138"/>
      <c r="W77" s="138"/>
      <c r="X77" s="138"/>
      <c r="Y77" s="138"/>
      <c r="Z77" s="138"/>
      <c r="AA77" s="138"/>
      <c r="AB77" s="138"/>
    </row>
    <row r="78" spans="1:28" ht="14.25" customHeight="1">
      <c r="A78" s="1067" t="s">
        <v>3781</v>
      </c>
      <c r="B78" s="1067" t="s">
        <v>278</v>
      </c>
      <c r="C78" s="1067" t="s">
        <v>3782</v>
      </c>
      <c r="D78" s="1067" t="s">
        <v>3783</v>
      </c>
      <c r="E78" s="1069">
        <v>37860.379999999997</v>
      </c>
      <c r="F78" s="1065"/>
      <c r="G78" s="1067" t="s">
        <v>3784</v>
      </c>
      <c r="H78" s="1071">
        <v>16</v>
      </c>
      <c r="I78" s="138"/>
      <c r="J78" s="138"/>
      <c r="K78" s="138"/>
      <c r="L78" s="138"/>
      <c r="M78" s="138"/>
      <c r="N78" s="138"/>
      <c r="O78" s="138"/>
      <c r="P78" s="138"/>
      <c r="Q78" s="138"/>
      <c r="R78" s="138"/>
      <c r="S78" s="138"/>
      <c r="T78" s="138"/>
      <c r="U78" s="138"/>
      <c r="V78" s="138"/>
      <c r="W78" s="138"/>
      <c r="X78" s="138"/>
      <c r="Y78" s="138"/>
      <c r="Z78" s="138"/>
      <c r="AA78" s="138"/>
      <c r="AB78" s="138"/>
    </row>
    <row r="79" spans="1:28" ht="14.25" customHeight="1">
      <c r="A79" s="1067" t="s">
        <v>3785</v>
      </c>
      <c r="B79" s="1067" t="s">
        <v>275</v>
      </c>
      <c r="C79" s="1067" t="s">
        <v>267</v>
      </c>
      <c r="D79" s="1067" t="s">
        <v>273</v>
      </c>
      <c r="E79" s="1069">
        <v>17250</v>
      </c>
      <c r="F79" s="1069">
        <v>-10994</v>
      </c>
      <c r="G79" s="1067" t="s">
        <v>3786</v>
      </c>
      <c r="H79" s="1071">
        <v>16</v>
      </c>
      <c r="I79" s="138"/>
      <c r="J79" s="138"/>
      <c r="K79" s="138"/>
      <c r="L79" s="138"/>
      <c r="M79" s="138"/>
      <c r="N79" s="138"/>
      <c r="O79" s="138"/>
      <c r="P79" s="138"/>
      <c r="Q79" s="138"/>
      <c r="R79" s="138"/>
      <c r="S79" s="138"/>
      <c r="T79" s="138"/>
      <c r="U79" s="138"/>
      <c r="V79" s="138"/>
      <c r="W79" s="138"/>
      <c r="X79" s="138"/>
      <c r="Y79" s="138"/>
      <c r="Z79" s="138"/>
      <c r="AA79" s="138"/>
      <c r="AB79" s="138"/>
    </row>
    <row r="80" spans="1:28" ht="14.25" customHeight="1">
      <c r="A80" s="1067" t="s">
        <v>3787</v>
      </c>
      <c r="B80" s="1067" t="s">
        <v>3340</v>
      </c>
      <c r="C80" s="1067" t="s">
        <v>267</v>
      </c>
      <c r="D80" s="1067" t="s">
        <v>265</v>
      </c>
      <c r="E80" s="1069">
        <v>9050</v>
      </c>
      <c r="F80" s="1065"/>
      <c r="G80" s="1067" t="s">
        <v>3788</v>
      </c>
      <c r="H80" s="1071">
        <v>13</v>
      </c>
      <c r="I80" s="138"/>
      <c r="J80" s="138"/>
      <c r="K80" s="138"/>
      <c r="L80" s="138"/>
      <c r="M80" s="138"/>
      <c r="N80" s="138"/>
      <c r="O80" s="138"/>
      <c r="P80" s="138"/>
      <c r="Q80" s="138"/>
      <c r="R80" s="138"/>
      <c r="S80" s="138"/>
      <c r="T80" s="138"/>
      <c r="U80" s="138"/>
      <c r="V80" s="138"/>
      <c r="W80" s="138"/>
      <c r="X80" s="138"/>
      <c r="Y80" s="138"/>
      <c r="Z80" s="138"/>
      <c r="AA80" s="138"/>
      <c r="AB80" s="138"/>
    </row>
    <row r="81" spans="1:28" ht="14.25" customHeight="1">
      <c r="A81" s="1067" t="s">
        <v>3789</v>
      </c>
      <c r="B81" s="1067" t="s">
        <v>3549</v>
      </c>
      <c r="C81" s="1067" t="s">
        <v>3434</v>
      </c>
      <c r="D81" s="1067" t="s">
        <v>3790</v>
      </c>
      <c r="E81" s="1069">
        <v>10550</v>
      </c>
      <c r="F81" s="1065"/>
      <c r="G81" s="1067" t="s">
        <v>3791</v>
      </c>
      <c r="H81" s="1071">
        <v>12</v>
      </c>
      <c r="I81" s="138"/>
      <c r="J81" s="138"/>
      <c r="K81" s="138"/>
      <c r="L81" s="138"/>
      <c r="M81" s="138"/>
      <c r="N81" s="138"/>
      <c r="O81" s="138"/>
      <c r="P81" s="138"/>
      <c r="Q81" s="138"/>
      <c r="R81" s="138"/>
      <c r="S81" s="138"/>
      <c r="T81" s="138"/>
      <c r="U81" s="138"/>
      <c r="V81" s="138"/>
      <c r="W81" s="138"/>
      <c r="X81" s="138"/>
      <c r="Y81" s="138"/>
      <c r="Z81" s="138"/>
      <c r="AA81" s="138"/>
      <c r="AB81" s="138"/>
    </row>
    <row r="82" spans="1:28" ht="14.25" customHeight="1">
      <c r="A82" s="1067" t="s">
        <v>3792</v>
      </c>
      <c r="B82" s="1067" t="s">
        <v>259</v>
      </c>
      <c r="C82" s="1067" t="s">
        <v>267</v>
      </c>
      <c r="D82" s="1067" t="s">
        <v>3573</v>
      </c>
      <c r="E82" s="1069">
        <v>48197.8</v>
      </c>
      <c r="F82" s="1069">
        <v>-42300</v>
      </c>
      <c r="G82" s="1067" t="s">
        <v>3793</v>
      </c>
      <c r="H82" s="1071">
        <v>11</v>
      </c>
      <c r="I82" s="138"/>
      <c r="J82" s="138"/>
      <c r="K82" s="138"/>
      <c r="L82" s="138"/>
      <c r="M82" s="138"/>
      <c r="N82" s="138"/>
      <c r="O82" s="138"/>
      <c r="P82" s="138"/>
      <c r="Q82" s="138"/>
      <c r="R82" s="138"/>
      <c r="S82" s="138"/>
      <c r="T82" s="138"/>
      <c r="U82" s="138"/>
      <c r="V82" s="138"/>
      <c r="W82" s="138"/>
      <c r="X82" s="138"/>
      <c r="Y82" s="138"/>
      <c r="Z82" s="138"/>
      <c r="AA82" s="138"/>
      <c r="AB82" s="138"/>
    </row>
    <row r="83" spans="1:28" ht="14.25" customHeight="1">
      <c r="A83" s="1067" t="s">
        <v>3794</v>
      </c>
      <c r="B83" s="1067" t="s">
        <v>275</v>
      </c>
      <c r="C83" s="1067" t="s">
        <v>267</v>
      </c>
      <c r="D83" s="1067" t="s">
        <v>277</v>
      </c>
      <c r="E83" s="1069">
        <v>21402.85</v>
      </c>
      <c r="F83" s="1065"/>
      <c r="G83" s="1067" t="s">
        <v>3795</v>
      </c>
      <c r="H83" s="1071">
        <v>11</v>
      </c>
      <c r="I83" s="138"/>
      <c r="J83" s="138"/>
      <c r="K83" s="138"/>
      <c r="L83" s="138"/>
      <c r="M83" s="138"/>
      <c r="N83" s="138"/>
      <c r="O83" s="138"/>
      <c r="P83" s="138"/>
      <c r="Q83" s="138"/>
      <c r="R83" s="138"/>
      <c r="S83" s="138"/>
      <c r="T83" s="138"/>
      <c r="U83" s="138"/>
      <c r="V83" s="138"/>
      <c r="W83" s="138"/>
      <c r="X83" s="138"/>
      <c r="Y83" s="138"/>
      <c r="Z83" s="138"/>
      <c r="AA83" s="138"/>
      <c r="AB83" s="138"/>
    </row>
    <row r="84" spans="1:28" ht="14.25" customHeight="1">
      <c r="A84" s="1067" t="s">
        <v>3796</v>
      </c>
      <c r="B84" s="1067" t="s">
        <v>275</v>
      </c>
      <c r="C84" s="1067" t="s">
        <v>267</v>
      </c>
      <c r="D84" s="1067" t="s">
        <v>273</v>
      </c>
      <c r="E84" s="1069">
        <v>18179.95</v>
      </c>
      <c r="F84" s="1065"/>
      <c r="G84" s="1067" t="s">
        <v>3797</v>
      </c>
      <c r="H84" s="1071">
        <v>11</v>
      </c>
      <c r="I84" s="138"/>
      <c r="J84" s="138"/>
      <c r="K84" s="138"/>
      <c r="L84" s="138"/>
      <c r="M84" s="138"/>
      <c r="N84" s="138"/>
      <c r="O84" s="138"/>
      <c r="P84" s="138"/>
      <c r="Q84" s="138"/>
      <c r="R84" s="138"/>
      <c r="S84" s="138"/>
      <c r="T84" s="138"/>
      <c r="U84" s="138"/>
      <c r="V84" s="138"/>
      <c r="W84" s="138"/>
      <c r="X84" s="138"/>
      <c r="Y84" s="138"/>
      <c r="Z84" s="138"/>
      <c r="AA84" s="138"/>
      <c r="AB84" s="138"/>
    </row>
    <row r="85" spans="1:28" ht="14.25" customHeight="1">
      <c r="A85" s="1067" t="s">
        <v>3798</v>
      </c>
      <c r="B85" s="1067" t="s">
        <v>3472</v>
      </c>
      <c r="C85" s="1067" t="s">
        <v>3799</v>
      </c>
      <c r="D85" s="1067" t="s">
        <v>3800</v>
      </c>
      <c r="E85" s="1069">
        <v>22550</v>
      </c>
      <c r="F85" s="1065"/>
      <c r="G85" s="1067" t="s">
        <v>3801</v>
      </c>
      <c r="H85" s="1071">
        <v>11</v>
      </c>
      <c r="I85" s="138"/>
      <c r="J85" s="138"/>
      <c r="K85" s="138"/>
      <c r="L85" s="138"/>
      <c r="M85" s="138"/>
      <c r="N85" s="138"/>
      <c r="O85" s="138"/>
      <c r="P85" s="138"/>
      <c r="Q85" s="138"/>
      <c r="R85" s="138"/>
      <c r="S85" s="138"/>
      <c r="T85" s="138"/>
      <c r="U85" s="138"/>
      <c r="V85" s="138"/>
      <c r="W85" s="138"/>
      <c r="X85" s="138"/>
      <c r="Y85" s="138"/>
      <c r="Z85" s="138"/>
      <c r="AA85" s="138"/>
      <c r="AB85" s="138"/>
    </row>
    <row r="86" spans="1:28" ht="14.25" customHeight="1">
      <c r="A86" s="1067" t="s">
        <v>3802</v>
      </c>
      <c r="B86" s="1067" t="s">
        <v>3443</v>
      </c>
      <c r="C86" s="1067" t="s">
        <v>3432</v>
      </c>
      <c r="D86" s="1067" t="s">
        <v>3803</v>
      </c>
      <c r="E86" s="1069">
        <v>5450</v>
      </c>
      <c r="F86" s="1065"/>
      <c r="G86" s="1067" t="s">
        <v>3804</v>
      </c>
      <c r="H86" s="1071">
        <v>11</v>
      </c>
      <c r="I86" s="138"/>
      <c r="J86" s="138"/>
      <c r="K86" s="138"/>
      <c r="L86" s="138"/>
      <c r="M86" s="138"/>
      <c r="N86" s="138"/>
      <c r="O86" s="138"/>
      <c r="P86" s="138"/>
      <c r="Q86" s="138"/>
      <c r="R86" s="138"/>
      <c r="S86" s="138"/>
      <c r="T86" s="138"/>
      <c r="U86" s="138"/>
      <c r="V86" s="138"/>
      <c r="W86" s="138"/>
      <c r="X86" s="138"/>
      <c r="Y86" s="138"/>
      <c r="Z86" s="138"/>
      <c r="AA86" s="138"/>
      <c r="AB86" s="138"/>
    </row>
    <row r="87" spans="1:28" ht="14.25" customHeight="1">
      <c r="A87" s="1067" t="s">
        <v>3805</v>
      </c>
      <c r="B87" s="1067" t="s">
        <v>275</v>
      </c>
      <c r="C87" s="1067" t="s">
        <v>267</v>
      </c>
      <c r="D87" s="1067" t="s">
        <v>260</v>
      </c>
      <c r="E87" s="1069">
        <v>20650</v>
      </c>
      <c r="F87" s="1065"/>
      <c r="G87" s="1067" t="s">
        <v>3806</v>
      </c>
      <c r="H87" s="1071">
        <v>10</v>
      </c>
      <c r="I87" s="138"/>
      <c r="J87" s="138"/>
      <c r="K87" s="138"/>
      <c r="L87" s="138"/>
      <c r="M87" s="138"/>
      <c r="N87" s="138"/>
      <c r="O87" s="138"/>
      <c r="P87" s="138"/>
      <c r="Q87" s="138"/>
      <c r="R87" s="138"/>
      <c r="S87" s="138"/>
      <c r="T87" s="138"/>
      <c r="U87" s="138"/>
      <c r="V87" s="138"/>
      <c r="W87" s="138"/>
      <c r="X87" s="138"/>
      <c r="Y87" s="138"/>
      <c r="Z87" s="138"/>
      <c r="AA87" s="138"/>
      <c r="AB87" s="138"/>
    </row>
    <row r="88" spans="1:28" ht="14.25" customHeight="1">
      <c r="A88" s="1067" t="s">
        <v>3807</v>
      </c>
      <c r="B88" s="1067" t="s">
        <v>3340</v>
      </c>
      <c r="C88" s="1067" t="s">
        <v>267</v>
      </c>
      <c r="D88" s="1067" t="s">
        <v>260</v>
      </c>
      <c r="E88" s="1069">
        <v>8550</v>
      </c>
      <c r="F88" s="1065"/>
      <c r="G88" s="1067" t="s">
        <v>3808</v>
      </c>
      <c r="H88" s="1071">
        <v>10</v>
      </c>
      <c r="I88" s="138"/>
      <c r="J88" s="138"/>
      <c r="K88" s="138"/>
      <c r="L88" s="138"/>
      <c r="M88" s="138"/>
      <c r="N88" s="138"/>
      <c r="O88" s="138"/>
      <c r="P88" s="138"/>
      <c r="Q88" s="138"/>
      <c r="R88" s="138"/>
      <c r="S88" s="138"/>
      <c r="T88" s="138"/>
      <c r="U88" s="138"/>
      <c r="V88" s="138"/>
      <c r="W88" s="138"/>
      <c r="X88" s="138"/>
      <c r="Y88" s="138"/>
      <c r="Z88" s="138"/>
      <c r="AA88" s="138"/>
      <c r="AB88" s="138"/>
    </row>
    <row r="89" spans="1:28" ht="14.25" customHeight="1">
      <c r="A89" s="1067" t="s">
        <v>3809</v>
      </c>
      <c r="B89" s="1067" t="s">
        <v>278</v>
      </c>
      <c r="C89" s="1067" t="s">
        <v>267</v>
      </c>
      <c r="D89" s="1067" t="s">
        <v>260</v>
      </c>
      <c r="E89" s="1069">
        <v>25550</v>
      </c>
      <c r="F89" s="1065"/>
      <c r="G89" s="1067" t="s">
        <v>3810</v>
      </c>
      <c r="H89" s="1071">
        <v>9</v>
      </c>
      <c r="I89" s="138"/>
      <c r="J89" s="138"/>
      <c r="K89" s="138"/>
      <c r="L89" s="138"/>
      <c r="M89" s="138"/>
      <c r="N89" s="138"/>
      <c r="O89" s="138"/>
      <c r="P89" s="138"/>
      <c r="Q89" s="138"/>
      <c r="R89" s="138"/>
      <c r="S89" s="138"/>
      <c r="T89" s="138"/>
      <c r="U89" s="138"/>
      <c r="V89" s="138"/>
      <c r="W89" s="138"/>
      <c r="X89" s="138"/>
      <c r="Y89" s="138"/>
      <c r="Z89" s="138"/>
      <c r="AA89" s="138"/>
      <c r="AB89" s="138"/>
    </row>
    <row r="90" spans="1:28" ht="14.25" customHeight="1">
      <c r="A90" s="1067" t="s">
        <v>3811</v>
      </c>
      <c r="B90" s="1067" t="s">
        <v>278</v>
      </c>
      <c r="C90" s="1067" t="s">
        <v>3433</v>
      </c>
      <c r="D90" s="1067" t="s">
        <v>3812</v>
      </c>
      <c r="E90" s="1069">
        <v>28550</v>
      </c>
      <c r="F90" s="1065"/>
      <c r="G90" s="1067" t="s">
        <v>3813</v>
      </c>
      <c r="H90" s="1071">
        <v>9</v>
      </c>
      <c r="I90" s="138"/>
      <c r="J90" s="138"/>
      <c r="K90" s="138"/>
      <c r="L90" s="138"/>
      <c r="M90" s="138"/>
      <c r="N90" s="138"/>
      <c r="O90" s="138"/>
      <c r="P90" s="138"/>
      <c r="Q90" s="138"/>
      <c r="R90" s="138"/>
      <c r="S90" s="138"/>
      <c r="T90" s="138"/>
      <c r="U90" s="138"/>
      <c r="V90" s="138"/>
      <c r="W90" s="138"/>
      <c r="X90" s="138"/>
      <c r="Y90" s="138"/>
      <c r="Z90" s="138"/>
      <c r="AA90" s="138"/>
      <c r="AB90" s="138"/>
    </row>
    <row r="91" spans="1:28" ht="14.25" customHeight="1">
      <c r="A91" s="1067" t="s">
        <v>3814</v>
      </c>
      <c r="B91" s="1067" t="s">
        <v>275</v>
      </c>
      <c r="C91" s="1067" t="s">
        <v>267</v>
      </c>
      <c r="D91" s="1067" t="s">
        <v>273</v>
      </c>
      <c r="E91" s="1069">
        <v>17050</v>
      </c>
      <c r="F91" s="1065"/>
      <c r="G91" s="1067" t="s">
        <v>3815</v>
      </c>
      <c r="H91" s="1071">
        <v>9</v>
      </c>
      <c r="I91" s="138"/>
      <c r="J91" s="138"/>
      <c r="K91" s="138"/>
      <c r="L91" s="138"/>
      <c r="M91" s="138"/>
      <c r="N91" s="138"/>
      <c r="O91" s="138"/>
      <c r="P91" s="138"/>
      <c r="Q91" s="138"/>
      <c r="R91" s="138"/>
      <c r="S91" s="138"/>
      <c r="T91" s="138"/>
      <c r="U91" s="138"/>
      <c r="V91" s="138"/>
      <c r="W91" s="138"/>
      <c r="X91" s="138"/>
      <c r="Y91" s="138"/>
      <c r="Z91" s="138"/>
      <c r="AA91" s="138"/>
      <c r="AB91" s="138"/>
    </row>
    <row r="92" spans="1:28" ht="14.25" customHeight="1">
      <c r="A92" s="1067" t="s">
        <v>3816</v>
      </c>
      <c r="B92" s="1067" t="s">
        <v>259</v>
      </c>
      <c r="C92" s="1067" t="s">
        <v>267</v>
      </c>
      <c r="D92" s="1067" t="s">
        <v>260</v>
      </c>
      <c r="E92" s="1069">
        <v>31300</v>
      </c>
      <c r="F92" s="1065"/>
      <c r="G92" s="1067" t="s">
        <v>3817</v>
      </c>
      <c r="H92" s="1071">
        <v>8</v>
      </c>
      <c r="I92" s="138"/>
      <c r="J92" s="138"/>
      <c r="K92" s="138"/>
      <c r="L92" s="138"/>
      <c r="M92" s="138"/>
      <c r="N92" s="138"/>
      <c r="O92" s="138"/>
      <c r="P92" s="138"/>
      <c r="Q92" s="138"/>
      <c r="R92" s="138"/>
      <c r="S92" s="138"/>
      <c r="T92" s="138"/>
      <c r="U92" s="138"/>
      <c r="V92" s="138"/>
      <c r="W92" s="138"/>
      <c r="X92" s="138"/>
      <c r="Y92" s="138"/>
      <c r="Z92" s="138"/>
      <c r="AA92" s="138"/>
      <c r="AB92" s="138"/>
    </row>
    <row r="93" spans="1:28" ht="14.25" customHeight="1">
      <c r="A93" s="1067" t="s">
        <v>3818</v>
      </c>
      <c r="B93" s="1067" t="s">
        <v>264</v>
      </c>
      <c r="C93" s="1067" t="s">
        <v>267</v>
      </c>
      <c r="D93" s="1067" t="s">
        <v>262</v>
      </c>
      <c r="E93" s="1069">
        <v>47388.75</v>
      </c>
      <c r="F93" s="1065"/>
      <c r="G93" s="1067" t="s">
        <v>3819</v>
      </c>
      <c r="H93" s="1071">
        <v>4</v>
      </c>
      <c r="I93" s="138"/>
      <c r="J93" s="138"/>
      <c r="K93" s="138"/>
      <c r="L93" s="138"/>
      <c r="M93" s="138"/>
      <c r="N93" s="138"/>
      <c r="O93" s="138"/>
      <c r="P93" s="138"/>
      <c r="Q93" s="138"/>
      <c r="R93" s="138"/>
      <c r="S93" s="138"/>
      <c r="T93" s="138"/>
      <c r="U93" s="138"/>
      <c r="V93" s="138"/>
      <c r="W93" s="138"/>
      <c r="X93" s="138"/>
      <c r="Y93" s="138"/>
      <c r="Z93" s="138"/>
      <c r="AA93" s="138"/>
      <c r="AB93" s="138"/>
    </row>
    <row r="94" spans="1:28" ht="14.25" customHeight="1">
      <c r="A94" s="1067" t="s">
        <v>3820</v>
      </c>
      <c r="B94" s="1067" t="s">
        <v>268</v>
      </c>
      <c r="C94" s="1067" t="s">
        <v>267</v>
      </c>
      <c r="D94" s="1067" t="s">
        <v>277</v>
      </c>
      <c r="E94" s="1069">
        <v>24050</v>
      </c>
      <c r="F94" s="1065"/>
      <c r="G94" s="1067" t="s">
        <v>3821</v>
      </c>
      <c r="H94" s="1071">
        <v>4</v>
      </c>
      <c r="I94" s="138"/>
      <c r="J94" s="138"/>
      <c r="K94" s="138"/>
      <c r="L94" s="138"/>
      <c r="M94" s="138"/>
      <c r="N94" s="138"/>
      <c r="O94" s="138"/>
      <c r="P94" s="138"/>
      <c r="Q94" s="138"/>
      <c r="R94" s="138"/>
      <c r="S94" s="138"/>
      <c r="T94" s="138"/>
      <c r="U94" s="138"/>
      <c r="V94" s="138"/>
      <c r="W94" s="138"/>
      <c r="X94" s="138"/>
      <c r="Y94" s="138"/>
      <c r="Z94" s="138"/>
      <c r="AA94" s="138"/>
      <c r="AB94" s="138"/>
    </row>
    <row r="95" spans="1:28" ht="14.25" customHeight="1">
      <c r="A95" s="1067" t="s">
        <v>3822</v>
      </c>
      <c r="B95" s="1067" t="s">
        <v>278</v>
      </c>
      <c r="C95" s="1067" t="s">
        <v>267</v>
      </c>
      <c r="D95" s="1067" t="s">
        <v>260</v>
      </c>
      <c r="E95" s="1069">
        <v>29837.9</v>
      </c>
      <c r="F95" s="1065"/>
      <c r="G95" s="1067" t="s">
        <v>3823</v>
      </c>
      <c r="H95" s="1071">
        <v>4</v>
      </c>
      <c r="I95" s="138"/>
      <c r="J95" s="138"/>
      <c r="K95" s="138"/>
      <c r="L95" s="138"/>
      <c r="M95" s="138"/>
      <c r="N95" s="138"/>
      <c r="O95" s="138"/>
      <c r="P95" s="138"/>
      <c r="Q95" s="138"/>
      <c r="R95" s="138"/>
      <c r="S95" s="138"/>
      <c r="T95" s="138"/>
      <c r="U95" s="138"/>
      <c r="V95" s="138"/>
      <c r="W95" s="138"/>
      <c r="X95" s="138"/>
      <c r="Y95" s="138"/>
      <c r="Z95" s="138"/>
      <c r="AA95" s="138"/>
      <c r="AB95" s="138"/>
    </row>
    <row r="96" spans="1:28" ht="14.25" customHeight="1">
      <c r="A96" s="1067" t="s">
        <v>3824</v>
      </c>
      <c r="B96" s="1067" t="s">
        <v>278</v>
      </c>
      <c r="C96" s="1067" t="s">
        <v>267</v>
      </c>
      <c r="D96" s="1067" t="s">
        <v>277</v>
      </c>
      <c r="E96" s="1069">
        <v>18250</v>
      </c>
      <c r="F96" s="1065"/>
      <c r="G96" s="1067" t="s">
        <v>3825</v>
      </c>
      <c r="H96" s="1071">
        <v>4</v>
      </c>
      <c r="I96" s="138"/>
      <c r="J96" s="138"/>
      <c r="K96" s="138"/>
      <c r="L96" s="138"/>
      <c r="M96" s="138"/>
      <c r="N96" s="138"/>
      <c r="O96" s="138"/>
      <c r="P96" s="138"/>
      <c r="Q96" s="138"/>
      <c r="R96" s="138"/>
      <c r="S96" s="138"/>
      <c r="T96" s="138"/>
      <c r="U96" s="138"/>
      <c r="V96" s="138"/>
      <c r="W96" s="138"/>
      <c r="X96" s="138"/>
      <c r="Y96" s="138"/>
      <c r="Z96" s="138"/>
      <c r="AA96" s="138"/>
      <c r="AB96" s="138"/>
    </row>
    <row r="97" spans="1:28" ht="14.25" customHeight="1">
      <c r="A97" s="1067" t="s">
        <v>3826</v>
      </c>
      <c r="B97" s="1067" t="s">
        <v>268</v>
      </c>
      <c r="C97" s="1067" t="s">
        <v>267</v>
      </c>
      <c r="D97" s="1067" t="s">
        <v>260</v>
      </c>
      <c r="E97" s="1069">
        <v>24300</v>
      </c>
      <c r="F97" s="1065"/>
      <c r="G97" s="1067" t="s">
        <v>3827</v>
      </c>
      <c r="H97" s="1071">
        <v>3</v>
      </c>
      <c r="I97" s="138"/>
      <c r="J97" s="138"/>
      <c r="K97" s="138"/>
      <c r="L97" s="138"/>
      <c r="M97" s="138"/>
      <c r="N97" s="138"/>
      <c r="O97" s="138"/>
      <c r="P97" s="138"/>
      <c r="Q97" s="138"/>
      <c r="R97" s="138"/>
      <c r="S97" s="138"/>
      <c r="T97" s="138"/>
      <c r="U97" s="138"/>
      <c r="V97" s="138"/>
      <c r="W97" s="138"/>
      <c r="X97" s="138"/>
      <c r="Y97" s="138"/>
      <c r="Z97" s="138"/>
      <c r="AA97" s="138"/>
      <c r="AB97" s="138"/>
    </row>
    <row r="98" spans="1:28" ht="14.25" customHeight="1">
      <c r="A98" s="1067" t="s">
        <v>3828</v>
      </c>
      <c r="B98" s="1067" t="s">
        <v>278</v>
      </c>
      <c r="C98" s="1067" t="s">
        <v>267</v>
      </c>
      <c r="D98" s="1067" t="s">
        <v>277</v>
      </c>
      <c r="E98" s="1069">
        <v>16550</v>
      </c>
      <c r="F98" s="1065"/>
      <c r="G98" s="1067" t="s">
        <v>3829</v>
      </c>
      <c r="H98" s="1071">
        <v>3</v>
      </c>
      <c r="I98" s="138"/>
      <c r="J98" s="138"/>
      <c r="K98" s="138"/>
      <c r="L98" s="138"/>
      <c r="M98" s="138"/>
      <c r="N98" s="138"/>
      <c r="O98" s="138"/>
      <c r="P98" s="138"/>
      <c r="Q98" s="138"/>
      <c r="R98" s="138"/>
      <c r="S98" s="138"/>
      <c r="T98" s="138"/>
      <c r="U98" s="138"/>
      <c r="V98" s="138"/>
      <c r="W98" s="138"/>
      <c r="X98" s="138"/>
      <c r="Y98" s="138"/>
      <c r="Z98" s="138"/>
      <c r="AA98" s="138"/>
      <c r="AB98" s="138"/>
    </row>
    <row r="99" spans="1:28" ht="14.25" customHeight="1">
      <c r="A99" s="1067" t="s">
        <v>3830</v>
      </c>
      <c r="B99" s="1067" t="s">
        <v>278</v>
      </c>
      <c r="C99" s="1067" t="s">
        <v>3351</v>
      </c>
      <c r="D99" s="1067" t="s">
        <v>3831</v>
      </c>
      <c r="E99" s="1069">
        <v>53050</v>
      </c>
      <c r="F99" s="1065"/>
      <c r="G99" s="1067" t="s">
        <v>3832</v>
      </c>
      <c r="H99" s="1071">
        <v>3</v>
      </c>
      <c r="I99" s="138"/>
      <c r="J99" s="138"/>
      <c r="K99" s="138"/>
      <c r="L99" s="138"/>
      <c r="M99" s="138"/>
      <c r="N99" s="138"/>
      <c r="O99" s="138"/>
      <c r="P99" s="138"/>
      <c r="Q99" s="138"/>
      <c r="R99" s="138"/>
      <c r="S99" s="138"/>
      <c r="T99" s="138"/>
      <c r="U99" s="138"/>
      <c r="V99" s="138"/>
      <c r="W99" s="138"/>
      <c r="X99" s="138"/>
      <c r="Y99" s="138"/>
      <c r="Z99" s="138"/>
      <c r="AA99" s="138"/>
      <c r="AB99" s="138"/>
    </row>
    <row r="100" spans="1:28" ht="14.25" customHeight="1">
      <c r="A100" s="1067" t="s">
        <v>3833</v>
      </c>
      <c r="B100" s="1067" t="s">
        <v>280</v>
      </c>
      <c r="C100" s="1067" t="s">
        <v>3834</v>
      </c>
      <c r="D100" s="1067" t="s">
        <v>3835</v>
      </c>
      <c r="E100" s="1069">
        <v>10300</v>
      </c>
      <c r="F100" s="1065"/>
      <c r="G100" s="1067" t="s">
        <v>3836</v>
      </c>
      <c r="H100" s="1071">
        <v>3</v>
      </c>
      <c r="I100" s="138"/>
      <c r="J100" s="138"/>
      <c r="K100" s="138"/>
      <c r="L100" s="138"/>
      <c r="M100" s="138"/>
      <c r="N100" s="138"/>
      <c r="O100" s="138"/>
      <c r="P100" s="138"/>
      <c r="Q100" s="138"/>
      <c r="R100" s="138"/>
      <c r="S100" s="138"/>
      <c r="T100" s="138"/>
      <c r="U100" s="138"/>
      <c r="V100" s="138"/>
      <c r="W100" s="138"/>
      <c r="X100" s="138"/>
      <c r="Y100" s="138"/>
      <c r="Z100" s="138"/>
      <c r="AA100" s="138"/>
      <c r="AB100" s="138"/>
    </row>
    <row r="101" spans="1:28" ht="14.25" customHeight="1">
      <c r="A101" s="1067" t="s">
        <v>3837</v>
      </c>
      <c r="B101" s="1067" t="s">
        <v>3634</v>
      </c>
      <c r="C101" s="1067" t="s">
        <v>267</v>
      </c>
      <c r="D101" s="1067" t="s">
        <v>3643</v>
      </c>
      <c r="E101" s="1069">
        <v>2550</v>
      </c>
      <c r="F101" s="1065"/>
      <c r="G101" s="1067" t="s">
        <v>3838</v>
      </c>
      <c r="H101" s="1071">
        <v>3</v>
      </c>
      <c r="I101" s="138"/>
      <c r="J101" s="138"/>
      <c r="K101" s="138"/>
      <c r="L101" s="138"/>
      <c r="M101" s="138"/>
      <c r="N101" s="138"/>
      <c r="O101" s="138"/>
      <c r="P101" s="138"/>
      <c r="Q101" s="138"/>
      <c r="R101" s="138"/>
      <c r="S101" s="138"/>
      <c r="T101" s="138"/>
      <c r="U101" s="138"/>
      <c r="V101" s="138"/>
      <c r="W101" s="138"/>
      <c r="X101" s="138"/>
      <c r="Y101" s="138"/>
      <c r="Z101" s="138"/>
      <c r="AA101" s="138"/>
      <c r="AB101" s="138"/>
    </row>
    <row r="102" spans="1:28" ht="14.25" customHeight="1">
      <c r="A102" s="1067" t="s">
        <v>3839</v>
      </c>
      <c r="B102" s="1067" t="s">
        <v>3634</v>
      </c>
      <c r="C102" s="1067" t="s">
        <v>3465</v>
      </c>
      <c r="D102" s="1067" t="s">
        <v>3840</v>
      </c>
      <c r="E102" s="1069">
        <v>2300</v>
      </c>
      <c r="F102" s="1065"/>
      <c r="G102" s="1067" t="s">
        <v>3841</v>
      </c>
      <c r="H102" s="1071">
        <v>3</v>
      </c>
      <c r="I102" s="138"/>
      <c r="J102" s="138"/>
      <c r="K102" s="138"/>
      <c r="L102" s="138"/>
      <c r="M102" s="138"/>
      <c r="N102" s="138"/>
      <c r="O102" s="138"/>
      <c r="P102" s="138"/>
      <c r="Q102" s="138"/>
      <c r="R102" s="138"/>
      <c r="S102" s="138"/>
      <c r="T102" s="138"/>
      <c r="U102" s="138"/>
      <c r="V102" s="138"/>
      <c r="W102" s="138"/>
      <c r="X102" s="138"/>
      <c r="Y102" s="138"/>
      <c r="Z102" s="138"/>
      <c r="AA102" s="138"/>
      <c r="AB102" s="138"/>
    </row>
    <row r="103" spans="1:28" ht="14.25" customHeight="1">
      <c r="A103" s="1067" t="s">
        <v>3842</v>
      </c>
      <c r="B103" s="1067" t="s">
        <v>264</v>
      </c>
      <c r="C103" s="1067" t="s">
        <v>267</v>
      </c>
      <c r="D103" s="1067" t="s">
        <v>260</v>
      </c>
      <c r="E103" s="1069">
        <v>36050</v>
      </c>
      <c r="F103" s="1065"/>
      <c r="G103" s="1067" t="s">
        <v>3843</v>
      </c>
      <c r="H103" s="1071">
        <v>2</v>
      </c>
      <c r="I103" s="138"/>
      <c r="J103" s="138"/>
      <c r="K103" s="138"/>
      <c r="L103" s="138"/>
      <c r="M103" s="138"/>
      <c r="N103" s="138"/>
      <c r="O103" s="138"/>
      <c r="P103" s="138"/>
      <c r="Q103" s="138"/>
      <c r="R103" s="138"/>
      <c r="S103" s="138"/>
      <c r="T103" s="138"/>
      <c r="U103" s="138"/>
      <c r="V103" s="138"/>
      <c r="W103" s="138"/>
      <c r="X103" s="138"/>
      <c r="Y103" s="138"/>
      <c r="Z103" s="138"/>
      <c r="AA103" s="138"/>
      <c r="AB103" s="138"/>
    </row>
    <row r="104" spans="1:28" ht="14.25" customHeight="1">
      <c r="A104" s="1067" t="s">
        <v>3844</v>
      </c>
      <c r="B104" s="1067" t="s">
        <v>259</v>
      </c>
      <c r="C104" s="1067" t="s">
        <v>267</v>
      </c>
      <c r="D104" s="1067" t="s">
        <v>260</v>
      </c>
      <c r="E104" s="1069">
        <v>33550</v>
      </c>
      <c r="F104" s="1065"/>
      <c r="G104" s="1067" t="s">
        <v>3845</v>
      </c>
      <c r="H104" s="1071">
        <v>2</v>
      </c>
      <c r="I104" s="138"/>
      <c r="J104" s="138"/>
      <c r="K104" s="138"/>
      <c r="L104" s="138"/>
      <c r="M104" s="138"/>
      <c r="N104" s="138"/>
      <c r="O104" s="138"/>
      <c r="P104" s="138"/>
      <c r="Q104" s="138"/>
      <c r="R104" s="138"/>
      <c r="S104" s="138"/>
      <c r="T104" s="138"/>
      <c r="U104" s="138"/>
      <c r="V104" s="138"/>
      <c r="W104" s="138"/>
      <c r="X104" s="138"/>
      <c r="Y104" s="138"/>
      <c r="Z104" s="138"/>
      <c r="AA104" s="138"/>
      <c r="AB104" s="138"/>
    </row>
    <row r="105" spans="1:28" ht="14.25" customHeight="1">
      <c r="A105" s="1067" t="s">
        <v>3846</v>
      </c>
      <c r="B105" s="1067" t="s">
        <v>259</v>
      </c>
      <c r="C105" s="1067" t="s">
        <v>3543</v>
      </c>
      <c r="D105" s="1067" t="s">
        <v>3847</v>
      </c>
      <c r="E105" s="1069">
        <v>20750</v>
      </c>
      <c r="F105" s="1065"/>
      <c r="G105" s="1067" t="s">
        <v>3848</v>
      </c>
      <c r="H105" s="1071">
        <v>2</v>
      </c>
      <c r="I105" s="138"/>
      <c r="J105" s="138"/>
      <c r="K105" s="138"/>
      <c r="L105" s="138"/>
      <c r="M105" s="138"/>
      <c r="N105" s="138"/>
      <c r="O105" s="138"/>
      <c r="P105" s="138"/>
      <c r="Q105" s="138"/>
      <c r="R105" s="138"/>
      <c r="S105" s="138"/>
      <c r="T105" s="138"/>
      <c r="U105" s="138"/>
      <c r="V105" s="138"/>
      <c r="W105" s="138"/>
      <c r="X105" s="138"/>
      <c r="Y105" s="138"/>
      <c r="Z105" s="138"/>
      <c r="AA105" s="138"/>
      <c r="AB105" s="138"/>
    </row>
    <row r="106" spans="1:28" ht="14.25" customHeight="1">
      <c r="A106" s="1067" t="s">
        <v>3849</v>
      </c>
      <c r="B106" s="1067" t="s">
        <v>268</v>
      </c>
      <c r="C106" s="1067" t="s">
        <v>267</v>
      </c>
      <c r="D106" s="1067" t="s">
        <v>260</v>
      </c>
      <c r="E106" s="1069">
        <v>26050</v>
      </c>
      <c r="F106" s="1065"/>
      <c r="G106" s="1067" t="s">
        <v>3850</v>
      </c>
      <c r="H106" s="1071">
        <v>2</v>
      </c>
      <c r="I106" s="138"/>
      <c r="J106" s="138"/>
      <c r="K106" s="138"/>
      <c r="L106" s="138"/>
      <c r="M106" s="138"/>
      <c r="N106" s="138"/>
      <c r="O106" s="138"/>
      <c r="P106" s="138"/>
      <c r="Q106" s="138"/>
      <c r="R106" s="138"/>
      <c r="S106" s="138"/>
      <c r="T106" s="138"/>
      <c r="U106" s="138"/>
      <c r="V106" s="138"/>
      <c r="W106" s="138"/>
      <c r="X106" s="138"/>
      <c r="Y106" s="138"/>
      <c r="Z106" s="138"/>
      <c r="AA106" s="138"/>
      <c r="AB106" s="138"/>
    </row>
    <row r="107" spans="1:28" ht="14.25" customHeight="1">
      <c r="A107" s="1067" t="s">
        <v>3851</v>
      </c>
      <c r="B107" s="1067" t="s">
        <v>268</v>
      </c>
      <c r="C107" s="1067" t="s">
        <v>3543</v>
      </c>
      <c r="D107" s="1067" t="s">
        <v>3544</v>
      </c>
      <c r="E107" s="1069">
        <v>29050</v>
      </c>
      <c r="F107" s="1065"/>
      <c r="G107" s="1067" t="s">
        <v>3852</v>
      </c>
      <c r="H107" s="1071">
        <v>2</v>
      </c>
      <c r="I107" s="138"/>
      <c r="J107" s="138"/>
      <c r="K107" s="138"/>
      <c r="L107" s="138"/>
      <c r="M107" s="138"/>
      <c r="N107" s="138"/>
      <c r="O107" s="138"/>
      <c r="P107" s="138"/>
      <c r="Q107" s="138"/>
      <c r="R107" s="138"/>
      <c r="S107" s="138"/>
      <c r="T107" s="138"/>
      <c r="U107" s="138"/>
      <c r="V107" s="138"/>
      <c r="W107" s="138"/>
      <c r="X107" s="138"/>
      <c r="Y107" s="138"/>
      <c r="Z107" s="138"/>
      <c r="AA107" s="138"/>
      <c r="AB107" s="138"/>
    </row>
    <row r="108" spans="1:28" ht="14.25" customHeight="1">
      <c r="A108" s="1067" t="s">
        <v>3853</v>
      </c>
      <c r="B108" s="1067" t="s">
        <v>275</v>
      </c>
      <c r="C108" s="1067" t="s">
        <v>3469</v>
      </c>
      <c r="D108" s="1067" t="s">
        <v>3854</v>
      </c>
      <c r="E108" s="1069">
        <v>35550</v>
      </c>
      <c r="F108" s="1065"/>
      <c r="G108" s="1067" t="s">
        <v>3855</v>
      </c>
      <c r="H108" s="1071">
        <v>2</v>
      </c>
      <c r="I108" s="138"/>
      <c r="J108" s="138"/>
      <c r="K108" s="138"/>
      <c r="L108" s="138"/>
      <c r="M108" s="138"/>
      <c r="N108" s="138"/>
      <c r="O108" s="138"/>
      <c r="P108" s="138"/>
      <c r="Q108" s="138"/>
      <c r="R108" s="138"/>
      <c r="S108" s="138"/>
      <c r="T108" s="138"/>
      <c r="U108" s="138"/>
      <c r="V108" s="138"/>
      <c r="W108" s="138"/>
      <c r="X108" s="138"/>
      <c r="Y108" s="138"/>
      <c r="Z108" s="138"/>
      <c r="AA108" s="138"/>
      <c r="AB108" s="138"/>
    </row>
    <row r="109" spans="1:28" ht="14.25" customHeight="1">
      <c r="A109" s="1067" t="s">
        <v>3856</v>
      </c>
      <c r="B109" s="1067" t="s">
        <v>3340</v>
      </c>
      <c r="C109" s="1067" t="s">
        <v>267</v>
      </c>
      <c r="D109" s="1067" t="s">
        <v>265</v>
      </c>
      <c r="E109" s="1069">
        <v>4050</v>
      </c>
      <c r="F109" s="1065"/>
      <c r="G109" s="1067" t="s">
        <v>3857</v>
      </c>
      <c r="H109" s="1071">
        <v>2</v>
      </c>
      <c r="I109" s="138"/>
      <c r="J109" s="138"/>
      <c r="K109" s="138"/>
      <c r="L109" s="138"/>
      <c r="M109" s="138"/>
      <c r="N109" s="138"/>
      <c r="O109" s="138"/>
      <c r="P109" s="138"/>
      <c r="Q109" s="138"/>
      <c r="R109" s="138"/>
      <c r="S109" s="138"/>
      <c r="T109" s="138"/>
      <c r="U109" s="138"/>
      <c r="V109" s="138"/>
      <c r="W109" s="138"/>
      <c r="X109" s="138"/>
      <c r="Y109" s="138"/>
      <c r="Z109" s="138"/>
      <c r="AA109" s="138"/>
      <c r="AB109" s="138"/>
    </row>
    <row r="110" spans="1:28"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c r="AA110" s="138"/>
      <c r="AB110" s="138"/>
    </row>
    <row r="111" spans="1:28"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c r="AA111" s="138"/>
      <c r="AB111" s="138"/>
    </row>
    <row r="112" spans="1:28" ht="14.25" customHeight="1">
      <c r="A112" s="1049" t="s">
        <v>270</v>
      </c>
      <c r="B112" s="1049" t="s">
        <v>271</v>
      </c>
      <c r="C112" s="1049" t="s">
        <v>267</v>
      </c>
      <c r="D112" s="1049" t="s">
        <v>265</v>
      </c>
      <c r="E112" s="1047">
        <v>9521.7099999999991</v>
      </c>
      <c r="F112" s="1046"/>
      <c r="G112" s="1049" t="s">
        <v>272</v>
      </c>
      <c r="H112" s="1048">
        <v>554</v>
      </c>
      <c r="I112" s="138"/>
      <c r="J112" s="138"/>
      <c r="K112" s="138"/>
      <c r="L112" s="138"/>
      <c r="M112" s="138"/>
      <c r="N112" s="138"/>
      <c r="O112" s="138"/>
      <c r="P112" s="138"/>
      <c r="Q112" s="138"/>
      <c r="R112" s="138"/>
      <c r="S112" s="138"/>
      <c r="T112" s="138"/>
      <c r="U112" s="138"/>
      <c r="V112" s="138"/>
      <c r="W112" s="138"/>
      <c r="X112" s="138"/>
      <c r="Y112" s="138"/>
      <c r="Z112" s="138"/>
      <c r="AA112" s="138"/>
      <c r="AB112" s="138"/>
    </row>
    <row r="113" spans="1:28" ht="14.25" customHeight="1">
      <c r="A113" s="1049" t="s">
        <v>3409</v>
      </c>
      <c r="B113" s="1049" t="s">
        <v>275</v>
      </c>
      <c r="C113" s="1049" t="s">
        <v>3410</v>
      </c>
      <c r="D113" s="1049" t="s">
        <v>3657</v>
      </c>
      <c r="E113" s="1047">
        <v>36739.79</v>
      </c>
      <c r="F113" s="1046"/>
      <c r="G113" s="1049" t="s">
        <v>3411</v>
      </c>
      <c r="H113" s="1048">
        <v>209</v>
      </c>
      <c r="I113" s="138"/>
      <c r="J113" s="138"/>
      <c r="K113" s="138"/>
      <c r="L113" s="138"/>
      <c r="M113" s="138"/>
      <c r="N113" s="138"/>
      <c r="O113" s="138"/>
      <c r="P113" s="138"/>
      <c r="Q113" s="138"/>
      <c r="R113" s="138"/>
      <c r="S113" s="138"/>
      <c r="T113" s="138"/>
      <c r="U113" s="138"/>
      <c r="V113" s="138"/>
      <c r="W113" s="138"/>
      <c r="X113" s="138"/>
      <c r="Y113" s="138"/>
      <c r="Z113" s="138"/>
      <c r="AA113" s="138"/>
      <c r="AB113" s="138"/>
    </row>
    <row r="114" spans="1:28" ht="14.25" customHeight="1">
      <c r="A114" s="1049" t="s">
        <v>3444</v>
      </c>
      <c r="B114" s="1049" t="s">
        <v>3443</v>
      </c>
      <c r="C114" s="1049" t="s">
        <v>267</v>
      </c>
      <c r="D114" s="1049" t="s">
        <v>1411</v>
      </c>
      <c r="E114" s="1047">
        <v>11948.62</v>
      </c>
      <c r="F114" s="1046"/>
      <c r="G114" s="1049" t="s">
        <v>3445</v>
      </c>
      <c r="H114" s="1048">
        <v>94</v>
      </c>
      <c r="I114" s="138"/>
      <c r="J114" s="138"/>
      <c r="K114" s="138"/>
      <c r="L114" s="138"/>
      <c r="M114" s="138"/>
      <c r="N114" s="138"/>
      <c r="O114" s="138"/>
      <c r="P114" s="138"/>
      <c r="Q114" s="138"/>
      <c r="R114" s="138"/>
      <c r="S114" s="138"/>
      <c r="T114" s="138"/>
      <c r="U114" s="138"/>
      <c r="V114" s="138"/>
      <c r="W114" s="138"/>
      <c r="X114" s="138"/>
      <c r="Y114" s="138"/>
      <c r="Z114" s="138"/>
      <c r="AA114" s="138"/>
      <c r="AB114" s="138"/>
    </row>
    <row r="115" spans="1:28"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c r="AA115" s="138"/>
      <c r="AB115" s="138"/>
    </row>
    <row r="116" spans="1:28"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c r="AA116" s="138"/>
      <c r="AB116" s="138"/>
    </row>
    <row r="117" spans="1:28"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c r="AA117" s="138"/>
      <c r="AB117" s="138"/>
    </row>
    <row r="118" spans="1:28"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c r="AA118" s="138"/>
      <c r="AB118" s="138"/>
    </row>
    <row r="119" spans="1:28"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c r="AA119" s="138"/>
      <c r="AB119" s="138"/>
    </row>
    <row r="120" spans="1:28"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c r="AA120" s="138"/>
      <c r="AB120" s="138"/>
    </row>
    <row r="121" spans="1:28"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c r="AA121" s="138"/>
      <c r="AB121" s="138"/>
    </row>
    <row r="122" spans="1:28"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c r="AA122" s="138"/>
      <c r="AB122" s="138"/>
    </row>
    <row r="123" spans="1:28"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c r="AA123" s="138"/>
      <c r="AB123" s="138"/>
    </row>
    <row r="124" spans="1:28"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c r="AA124" s="138"/>
      <c r="AB124" s="138"/>
    </row>
    <row r="125" spans="1:28"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c r="AA125" s="138"/>
      <c r="AB125" s="138"/>
    </row>
    <row r="126" spans="1:28"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c r="AA126" s="138"/>
      <c r="AB126" s="138"/>
    </row>
    <row r="127" spans="1:28"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c r="AA127" s="138"/>
      <c r="AB127" s="138"/>
    </row>
    <row r="128" spans="1:28"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c r="AA128" s="138"/>
      <c r="AB128" s="138"/>
    </row>
    <row r="129" spans="1:28"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c r="AA129" s="138"/>
      <c r="AB129" s="138"/>
    </row>
    <row r="130" spans="1:28"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c r="AA130" s="138"/>
      <c r="AB130" s="138"/>
    </row>
    <row r="131" spans="1:28"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c r="AA131" s="138"/>
      <c r="AB131" s="138"/>
    </row>
    <row r="132" spans="1:28"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c r="AA132" s="138"/>
      <c r="AB132" s="138"/>
    </row>
    <row r="133" spans="1:28"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c r="AA133" s="138"/>
      <c r="AB133" s="138"/>
    </row>
    <row r="134" spans="1:28"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c r="AA134" s="138"/>
      <c r="AB134" s="138"/>
    </row>
    <row r="135" spans="1:28"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c r="AA135" s="138"/>
      <c r="AB135" s="138"/>
    </row>
    <row r="136" spans="1:28"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c r="AA136" s="138"/>
      <c r="AB136" s="138"/>
    </row>
    <row r="137" spans="1:28"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c r="AA137" s="138"/>
      <c r="AB137" s="138"/>
    </row>
    <row r="138" spans="1:28"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c r="AA138" s="138"/>
      <c r="AB138" s="138"/>
    </row>
    <row r="139" spans="1:28"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c r="AA139" s="138"/>
      <c r="AB139" s="138"/>
    </row>
    <row r="140" spans="1:28"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c r="AA140" s="138"/>
      <c r="AB140" s="138"/>
    </row>
    <row r="141" spans="1:28"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c r="AA141" s="138"/>
      <c r="AB141" s="138"/>
    </row>
    <row r="142" spans="1:28"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c r="AA142" s="138"/>
      <c r="AB142" s="138"/>
    </row>
    <row r="143" spans="1:28"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c r="AA143" s="138"/>
      <c r="AB143" s="138"/>
    </row>
    <row r="144" spans="1:28"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c r="AA144" s="138"/>
      <c r="AB144" s="138"/>
    </row>
    <row r="145" spans="1:28"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c r="AA145" s="138"/>
      <c r="AB145" s="138"/>
    </row>
    <row r="146" spans="1:28"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c r="AA146" s="138"/>
      <c r="AB146" s="138"/>
    </row>
    <row r="147" spans="1:28"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c r="AA147" s="138"/>
      <c r="AB147" s="138"/>
    </row>
    <row r="148" spans="1:28"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c r="AA148" s="138"/>
      <c r="AB148" s="138"/>
    </row>
    <row r="149" spans="1:28"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c r="AA149" s="138"/>
      <c r="AB149" s="138"/>
    </row>
    <row r="150" spans="1:28"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c r="AA150" s="138"/>
      <c r="AB150" s="138"/>
    </row>
    <row r="151" spans="1:28"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c r="AA151" s="138"/>
      <c r="AB151" s="138"/>
    </row>
    <row r="152" spans="1:28"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c r="AA152" s="138"/>
      <c r="AB152" s="138"/>
    </row>
    <row r="153" spans="1:28"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c r="AA153" s="138"/>
      <c r="AB153" s="138"/>
    </row>
    <row r="154" spans="1:28"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c r="AA154" s="138"/>
      <c r="AB154" s="138"/>
    </row>
    <row r="155" spans="1:28"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c r="AA155" s="138"/>
      <c r="AB155" s="138"/>
    </row>
    <row r="156" spans="1:28"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c r="AA156" s="138"/>
      <c r="AB156" s="138"/>
    </row>
    <row r="157" spans="1:28"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c r="AA157" s="138"/>
      <c r="AB157" s="138"/>
    </row>
    <row r="158" spans="1:28"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c r="AA158" s="138"/>
      <c r="AB158" s="138"/>
    </row>
    <row r="159" spans="1:28"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c r="AA159" s="138"/>
      <c r="AB159" s="138"/>
    </row>
    <row r="160" spans="1:28"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c r="AA160" s="138"/>
      <c r="AB160" s="138"/>
    </row>
    <row r="161" spans="1:28"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c r="AA161" s="138"/>
      <c r="AB161" s="138"/>
    </row>
    <row r="162" spans="1:28"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c r="AA162" s="138"/>
      <c r="AB162" s="138"/>
    </row>
    <row r="163" spans="1:28"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c r="AA163" s="138"/>
      <c r="AB163" s="138"/>
    </row>
    <row r="164" spans="1:28"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c r="AA164" s="138"/>
      <c r="AB164" s="138"/>
    </row>
    <row r="165" spans="1:28"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c r="AA165" s="138"/>
      <c r="AB165" s="138"/>
    </row>
    <row r="166" spans="1:28"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c r="AA166" s="138"/>
      <c r="AB166" s="138"/>
    </row>
    <row r="167" spans="1:28"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c r="AA167" s="138"/>
      <c r="AB167" s="138"/>
    </row>
    <row r="168" spans="1:28"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c r="AA168" s="138"/>
      <c r="AB168" s="138"/>
    </row>
    <row r="169" spans="1:28"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c r="AA169" s="138"/>
      <c r="AB169" s="138"/>
    </row>
    <row r="170" spans="1:28"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c r="AA170" s="138"/>
      <c r="AB170" s="138"/>
    </row>
    <row r="171" spans="1:28"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c r="AA171" s="138"/>
      <c r="AB171" s="138"/>
    </row>
    <row r="172" spans="1:28"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c r="AA172" s="138"/>
      <c r="AB172" s="138"/>
    </row>
    <row r="173" spans="1:28"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c r="AA173" s="138"/>
      <c r="AB173" s="138"/>
    </row>
    <row r="174" spans="1:28"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c r="AA174" s="138"/>
      <c r="AB174" s="138"/>
    </row>
    <row r="175" spans="1:28"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c r="AA175" s="138"/>
      <c r="AB175" s="138"/>
    </row>
    <row r="176" spans="1:28"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c r="AA176" s="138"/>
      <c r="AB176" s="138"/>
    </row>
    <row r="177" spans="1:28"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c r="AA177" s="138"/>
      <c r="AB177" s="138"/>
    </row>
    <row r="178" spans="1:28"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c r="AA178" s="138"/>
      <c r="AB178" s="138"/>
    </row>
    <row r="179" spans="1:28"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c r="AA179" s="138"/>
      <c r="AB179" s="138"/>
    </row>
    <row r="180" spans="1:28"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c r="AA180" s="138"/>
      <c r="AB180" s="138"/>
    </row>
    <row r="181" spans="1:28"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c r="AA181" s="138"/>
      <c r="AB181" s="138"/>
    </row>
    <row r="182" spans="1:28"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c r="AA182" s="138"/>
      <c r="AB182" s="138"/>
    </row>
    <row r="183" spans="1:28"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c r="AA183" s="138"/>
      <c r="AB183" s="138"/>
    </row>
    <row r="184" spans="1:28"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c r="AA184" s="138"/>
      <c r="AB184" s="138"/>
    </row>
    <row r="185" spans="1:28"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c r="AA185" s="138"/>
      <c r="AB185" s="138"/>
    </row>
    <row r="186" spans="1:28"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c r="AA186" s="138"/>
      <c r="AB186" s="138"/>
    </row>
    <row r="187" spans="1:28"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c r="AA187" s="138"/>
      <c r="AB187" s="138"/>
    </row>
    <row r="188" spans="1:28"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c r="AA188" s="138"/>
      <c r="AB188" s="138"/>
    </row>
    <row r="189" spans="1:28"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c r="AA189" s="138"/>
      <c r="AB189" s="138"/>
    </row>
    <row r="190" spans="1:28"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c r="AA190" s="138"/>
      <c r="AB190" s="138"/>
    </row>
    <row r="191" spans="1:28"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c r="AA191" s="138"/>
      <c r="AB191" s="138"/>
    </row>
    <row r="192" spans="1:28"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c r="AA192" s="138"/>
      <c r="AB192" s="138"/>
    </row>
    <row r="193" spans="1:28"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c r="AA193" s="138"/>
      <c r="AB193" s="138"/>
    </row>
    <row r="194" spans="1:28"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c r="AA194" s="138"/>
      <c r="AB194" s="138"/>
    </row>
    <row r="195" spans="1:28"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c r="AA195" s="138"/>
      <c r="AB195" s="138"/>
    </row>
    <row r="196" spans="1:28"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c r="AA196" s="138"/>
      <c r="AB196" s="138"/>
    </row>
    <row r="197" spans="1:28"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c r="AA197" s="138"/>
      <c r="AB197" s="138"/>
    </row>
    <row r="198" spans="1:28"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c r="AA198" s="138"/>
      <c r="AB198" s="138"/>
    </row>
    <row r="199" spans="1:28"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c r="AA199" s="138"/>
      <c r="AB199" s="138"/>
    </row>
    <row r="200" spans="1:28"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c r="AA200" s="138"/>
      <c r="AB200" s="138"/>
    </row>
    <row r="201" spans="1:28"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c r="AA201" s="138"/>
      <c r="AB201" s="138"/>
    </row>
    <row r="202" spans="1:28"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c r="AA202" s="138"/>
      <c r="AB202" s="138"/>
    </row>
    <row r="203" spans="1:28"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c r="AA203" s="138"/>
      <c r="AB203" s="138"/>
    </row>
    <row r="204" spans="1:28"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c r="AA204" s="138"/>
      <c r="AB204" s="138"/>
    </row>
    <row r="205" spans="1:28"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c r="AA205" s="138"/>
      <c r="AB205" s="138"/>
    </row>
    <row r="206" spans="1:28"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c r="AA206" s="138"/>
      <c r="AB206" s="138"/>
    </row>
    <row r="207" spans="1:28"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c r="AA207" s="138"/>
      <c r="AB207" s="138"/>
    </row>
    <row r="208" spans="1:28"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c r="AA208" s="138"/>
      <c r="AB208" s="138"/>
    </row>
    <row r="209" spans="1:28"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c r="AA209" s="138"/>
      <c r="AB209" s="138"/>
    </row>
    <row r="210" spans="1:28"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c r="AA210" s="138"/>
      <c r="AB210" s="138"/>
    </row>
    <row r="211" spans="1:28"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c r="AA211" s="138"/>
      <c r="AB211" s="138"/>
    </row>
    <row r="212" spans="1:28"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c r="AA212" s="138"/>
      <c r="AB212" s="138"/>
    </row>
    <row r="213" spans="1:28"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c r="AA213" s="138"/>
      <c r="AB213" s="138"/>
    </row>
    <row r="214" spans="1:28"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c r="AA214" s="138"/>
      <c r="AB214" s="138"/>
    </row>
    <row r="215" spans="1:28"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c r="AA215" s="138"/>
      <c r="AB215" s="138"/>
    </row>
    <row r="216" spans="1:28"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c r="AA216" s="138"/>
      <c r="AB216" s="138"/>
    </row>
    <row r="217" spans="1:28"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c r="AA217" s="138"/>
      <c r="AB217" s="138"/>
    </row>
    <row r="218" spans="1:28"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c r="AA218" s="138"/>
      <c r="AB218" s="138"/>
    </row>
    <row r="219" spans="1:28"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c r="AA219" s="138"/>
      <c r="AB219" s="138"/>
    </row>
    <row r="220" spans="1:28"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c r="AA220" s="138"/>
      <c r="AB220" s="138"/>
    </row>
    <row r="221" spans="1:28"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c r="AA221" s="138"/>
      <c r="AB221" s="138"/>
    </row>
    <row r="222" spans="1:28"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c r="AA222" s="138"/>
      <c r="AB222" s="138"/>
    </row>
    <row r="223" spans="1:28"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c r="AA223" s="138"/>
      <c r="AB223" s="138"/>
    </row>
    <row r="224" spans="1:28"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c r="AA224" s="138"/>
      <c r="AB224" s="138"/>
    </row>
    <row r="225" spans="1:28"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c r="AA225" s="138"/>
      <c r="AB225" s="138"/>
    </row>
    <row r="226" spans="1:28"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c r="AA226" s="138"/>
      <c r="AB226" s="138"/>
    </row>
    <row r="227" spans="1:28"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c r="AA227" s="138"/>
      <c r="AB227" s="138"/>
    </row>
    <row r="228" spans="1:28"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c r="AA228" s="138"/>
      <c r="AB228" s="138"/>
    </row>
    <row r="229" spans="1:28"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c r="AA229" s="138"/>
      <c r="AB229" s="138"/>
    </row>
    <row r="230" spans="1:28"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c r="AA230" s="138"/>
      <c r="AB230" s="138"/>
    </row>
    <row r="231" spans="1:28"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c r="AA231" s="138"/>
      <c r="AB231" s="138"/>
    </row>
    <row r="232" spans="1:28"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c r="AA232" s="138"/>
      <c r="AB232" s="138"/>
    </row>
    <row r="233" spans="1:28"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c r="AA233" s="138"/>
      <c r="AB233" s="138"/>
    </row>
    <row r="234" spans="1:28"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c r="AA234" s="138"/>
      <c r="AB234" s="138"/>
    </row>
    <row r="235" spans="1:28"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c r="AA235" s="138"/>
      <c r="AB235" s="138"/>
    </row>
    <row r="236" spans="1:28"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c r="AA236" s="138"/>
      <c r="AB236" s="138"/>
    </row>
    <row r="237" spans="1:28"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c r="AA237" s="138"/>
      <c r="AB237" s="138"/>
    </row>
    <row r="238" spans="1:28"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c r="AA238" s="138"/>
      <c r="AB238" s="138"/>
    </row>
    <row r="239" spans="1:28"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c r="AA239" s="138"/>
      <c r="AB239" s="138"/>
    </row>
    <row r="240" spans="1:28"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c r="AA240" s="138"/>
      <c r="AB240" s="138"/>
    </row>
    <row r="241" spans="1:28"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c r="AA241" s="138"/>
      <c r="AB241" s="138"/>
    </row>
    <row r="242" spans="1:28"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c r="AA242" s="138"/>
      <c r="AB242" s="138"/>
    </row>
    <row r="243" spans="1:28"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c r="AA243" s="138"/>
      <c r="AB243" s="138"/>
    </row>
    <row r="244" spans="1:28"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c r="AA244" s="138"/>
      <c r="AB244" s="138"/>
    </row>
    <row r="245" spans="1:28"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c r="AA245" s="138"/>
      <c r="AB245" s="138"/>
    </row>
    <row r="246" spans="1:28"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c r="AA246" s="138"/>
      <c r="AB246" s="138"/>
    </row>
    <row r="247" spans="1:28"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c r="AA247" s="138"/>
      <c r="AB247" s="138"/>
    </row>
    <row r="248" spans="1:28"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c r="AA248" s="138"/>
      <c r="AB248" s="138"/>
    </row>
    <row r="249" spans="1:28"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c r="AA249" s="138"/>
      <c r="AB249" s="138"/>
    </row>
    <row r="250" spans="1:28"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c r="AA250" s="138"/>
      <c r="AB250" s="138"/>
    </row>
    <row r="251" spans="1:28"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c r="AA251" s="138"/>
      <c r="AB251" s="138"/>
    </row>
    <row r="252" spans="1:28"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c r="AA252" s="138"/>
      <c r="AB252" s="138"/>
    </row>
    <row r="253" spans="1:28"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c r="AA253" s="138"/>
      <c r="AB253" s="138"/>
    </row>
    <row r="254" spans="1:28"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c r="AA254" s="138"/>
      <c r="AB254" s="138"/>
    </row>
    <row r="255" spans="1:28"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c r="AA255" s="138"/>
      <c r="AB255" s="138"/>
    </row>
    <row r="256" spans="1:28"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c r="AA256" s="138"/>
      <c r="AB256" s="138"/>
    </row>
    <row r="257" spans="1:28"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c r="AA257" s="138"/>
      <c r="AB257" s="138"/>
    </row>
    <row r="258" spans="1:28"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c r="AA258" s="138"/>
      <c r="AB258" s="138"/>
    </row>
    <row r="259" spans="1:28"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c r="AA259" s="138"/>
      <c r="AB259" s="138"/>
    </row>
    <row r="260" spans="1:28"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c r="AA260" s="138"/>
      <c r="AB260" s="138"/>
    </row>
    <row r="261" spans="1:28"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c r="AA261" s="138"/>
      <c r="AB261" s="138"/>
    </row>
    <row r="262" spans="1:28"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c r="AA262" s="138"/>
      <c r="AB262" s="138"/>
    </row>
    <row r="263" spans="1:28"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c r="AA263" s="138"/>
      <c r="AB263" s="138"/>
    </row>
    <row r="264" spans="1:28"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c r="AA264" s="138"/>
      <c r="AB264" s="138"/>
    </row>
    <row r="265" spans="1:28"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c r="AA265" s="138"/>
      <c r="AB265" s="138"/>
    </row>
    <row r="266" spans="1:28"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c r="AA266" s="138"/>
      <c r="AB266" s="138"/>
    </row>
    <row r="267" spans="1:28"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c r="AA267" s="138"/>
      <c r="AB267" s="138"/>
    </row>
    <row r="268" spans="1:28"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c r="AA268" s="138"/>
      <c r="AB268" s="138"/>
    </row>
    <row r="269" spans="1:28"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c r="AA269" s="138"/>
      <c r="AB269" s="138"/>
    </row>
    <row r="270" spans="1:28"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c r="AA270" s="138"/>
      <c r="AB270" s="138"/>
    </row>
    <row r="271" spans="1:28"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c r="AA271" s="138"/>
      <c r="AB271" s="138"/>
    </row>
    <row r="272" spans="1:28"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c r="AA272" s="138"/>
      <c r="AB272" s="138"/>
    </row>
    <row r="273" spans="1:28"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c r="AA273" s="138"/>
      <c r="AB273" s="138"/>
    </row>
    <row r="274" spans="1:28"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c r="AA274" s="138"/>
      <c r="AB274" s="138"/>
    </row>
    <row r="275" spans="1:28"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c r="AA275" s="138"/>
      <c r="AB275" s="138"/>
    </row>
    <row r="276" spans="1:28"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c r="AA276" s="138"/>
      <c r="AB276" s="138"/>
    </row>
    <row r="277" spans="1:28"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c r="AA277" s="138"/>
      <c r="AB277" s="138"/>
    </row>
    <row r="278" spans="1:28"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c r="AA278" s="138"/>
      <c r="AB278" s="138"/>
    </row>
    <row r="279" spans="1:28"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c r="AA279" s="138"/>
      <c r="AB279" s="138"/>
    </row>
    <row r="280" spans="1:28"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c r="AA280" s="138"/>
      <c r="AB280" s="138"/>
    </row>
    <row r="281" spans="1:28"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c r="AA281" s="138"/>
      <c r="AB281" s="138"/>
    </row>
    <row r="282" spans="1:28"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c r="AA282" s="138"/>
      <c r="AB282" s="138"/>
    </row>
    <row r="283" spans="1:28"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c r="AA283" s="138"/>
      <c r="AB283" s="138"/>
    </row>
    <row r="284" spans="1:28"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c r="AA284" s="138"/>
      <c r="AB284" s="138"/>
    </row>
    <row r="285" spans="1:28"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c r="AA285" s="138"/>
      <c r="AB285" s="138"/>
    </row>
    <row r="286" spans="1:28"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c r="AA286" s="138"/>
      <c r="AB286" s="138"/>
    </row>
    <row r="287" spans="1:28"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c r="AA287" s="138"/>
      <c r="AB287" s="138"/>
    </row>
    <row r="288" spans="1:28"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c r="AA288" s="138"/>
      <c r="AB288" s="138"/>
    </row>
    <row r="289" spans="1:28"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c r="AA289" s="138"/>
      <c r="AB289" s="138"/>
    </row>
    <row r="290" spans="1:28"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c r="AA290" s="138"/>
      <c r="AB290" s="138"/>
    </row>
    <row r="291" spans="1:28"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c r="AA291" s="138"/>
      <c r="AB291" s="138"/>
    </row>
    <row r="292" spans="1:28"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c r="AA292" s="138"/>
      <c r="AB292" s="138"/>
    </row>
    <row r="293" spans="1:28"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c r="AA293" s="138"/>
      <c r="AB293" s="138"/>
    </row>
    <row r="294" spans="1:28"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c r="AA294" s="138"/>
      <c r="AB294" s="138"/>
    </row>
    <row r="295" spans="1:28"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c r="AA295" s="138"/>
      <c r="AB295" s="138"/>
    </row>
    <row r="296" spans="1:28"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c r="AA296" s="138"/>
      <c r="AB296" s="138"/>
    </row>
    <row r="297" spans="1:28"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c r="AA297" s="138"/>
      <c r="AB297" s="138"/>
    </row>
    <row r="298" spans="1:28"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c r="AA298" s="138"/>
      <c r="AB298" s="138"/>
    </row>
    <row r="299" spans="1:28"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c r="AA299" s="138"/>
      <c r="AB299" s="138"/>
    </row>
    <row r="300" spans="1:28"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c r="AA300" s="138"/>
      <c r="AB300" s="138"/>
    </row>
    <row r="301" spans="1:28"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c r="AA301" s="138"/>
      <c r="AB301" s="138"/>
    </row>
    <row r="302" spans="1:28"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c r="AA302" s="138"/>
      <c r="AB302" s="138"/>
    </row>
    <row r="303" spans="1:28"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c r="AA303" s="138"/>
      <c r="AB303" s="138"/>
    </row>
    <row r="304" spans="1:28"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c r="AA304" s="138"/>
      <c r="AB304" s="138"/>
    </row>
    <row r="305" spans="1:28"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c r="AA305" s="138"/>
      <c r="AB305" s="138"/>
    </row>
    <row r="306" spans="1:28"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c r="AA306" s="138"/>
      <c r="AB306" s="138"/>
    </row>
    <row r="307" spans="1:28"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c r="AA307" s="138"/>
      <c r="AB307" s="138"/>
    </row>
    <row r="308" spans="1:28"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c r="AA308" s="138"/>
      <c r="AB308" s="138"/>
    </row>
    <row r="309" spans="1:28"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c r="AA309" s="138"/>
      <c r="AB309" s="138"/>
    </row>
    <row r="310" spans="1:28"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c r="AA310" s="138"/>
      <c r="AB310" s="138"/>
    </row>
    <row r="311" spans="1:28"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c r="AA311" s="138"/>
      <c r="AB311" s="138"/>
    </row>
    <row r="312" spans="1:28"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c r="AA312" s="138"/>
      <c r="AB312" s="138"/>
    </row>
    <row r="313" spans="1:28"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c r="AA313" s="138"/>
      <c r="AB313" s="138"/>
    </row>
    <row r="314" spans="1:28"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c r="AA314" s="138"/>
      <c r="AB314" s="138"/>
    </row>
    <row r="315" spans="1:28"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c r="AA315" s="138"/>
      <c r="AB315" s="138"/>
    </row>
    <row r="316" spans="1:28"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c r="AA316" s="138"/>
      <c r="AB316" s="138"/>
    </row>
    <row r="317" spans="1:28"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c r="AA317" s="138"/>
      <c r="AB317" s="138"/>
    </row>
    <row r="318" spans="1:28"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c r="AA318" s="138"/>
      <c r="AB318" s="138"/>
    </row>
    <row r="319" spans="1:28"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c r="AA319" s="138"/>
      <c r="AB319" s="138"/>
    </row>
    <row r="320" spans="1:28"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c r="AA320" s="138"/>
      <c r="AB320" s="138"/>
    </row>
    <row r="321" spans="1:28"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c r="AA321" s="138"/>
      <c r="AB321" s="138"/>
    </row>
    <row r="322" spans="1:28"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c r="AA322" s="138"/>
      <c r="AB322" s="138"/>
    </row>
    <row r="323" spans="1:28"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c r="AA323" s="138"/>
      <c r="AB323" s="138"/>
    </row>
    <row r="324" spans="1:28"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c r="AA324" s="138"/>
      <c r="AB324" s="138"/>
    </row>
    <row r="325" spans="1:28"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c r="AA325" s="138"/>
      <c r="AB325" s="138"/>
    </row>
    <row r="326" spans="1:28"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c r="AA326" s="138"/>
      <c r="AB326" s="138"/>
    </row>
    <row r="327" spans="1:28"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c r="AA327" s="138"/>
      <c r="AB327" s="138"/>
    </row>
    <row r="328" spans="1:28"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c r="AA328" s="138"/>
      <c r="AB328" s="138"/>
    </row>
    <row r="329" spans="1:28"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c r="AA329" s="138"/>
      <c r="AB329" s="138"/>
    </row>
    <row r="330" spans="1:28"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c r="AA330" s="138"/>
      <c r="AB330" s="138"/>
    </row>
    <row r="331" spans="1:28"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c r="AA331" s="138"/>
      <c r="AB331" s="138"/>
    </row>
    <row r="332" spans="1:28"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c r="AA332" s="138"/>
      <c r="AB332" s="138"/>
    </row>
    <row r="333" spans="1:28"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c r="AA333" s="138"/>
      <c r="AB333" s="138"/>
    </row>
    <row r="334" spans="1:28"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c r="AA334" s="138"/>
      <c r="AB334" s="138"/>
    </row>
    <row r="335" spans="1:28"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c r="AA335" s="138"/>
      <c r="AB335" s="138"/>
    </row>
    <row r="336" spans="1:28"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c r="AA336" s="138"/>
      <c r="AB336" s="138"/>
    </row>
    <row r="337" spans="1:28"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c r="AA337" s="138"/>
      <c r="AB337" s="138"/>
    </row>
    <row r="338" spans="1:28"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c r="AA338" s="138"/>
      <c r="AB338" s="138"/>
    </row>
    <row r="339" spans="1:28"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c r="AA339" s="138"/>
      <c r="AB339" s="138"/>
    </row>
    <row r="340" spans="1:28"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c r="AA340" s="138"/>
      <c r="AB340" s="138"/>
    </row>
    <row r="341" spans="1:28"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c r="AA341" s="138"/>
      <c r="AB341" s="138"/>
    </row>
    <row r="342" spans="1:28"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c r="AA342" s="138"/>
      <c r="AB342" s="138"/>
    </row>
    <row r="343" spans="1:28"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c r="AA343" s="138"/>
      <c r="AB343" s="138"/>
    </row>
    <row r="344" spans="1:28"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c r="AA344" s="138"/>
      <c r="AB344" s="138"/>
    </row>
    <row r="345" spans="1:28"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c r="AA345" s="138"/>
      <c r="AB345" s="138"/>
    </row>
    <row r="346" spans="1:28"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c r="AA346" s="138"/>
      <c r="AB346" s="138"/>
    </row>
    <row r="347" spans="1:28"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c r="AA347" s="138"/>
      <c r="AB347" s="138"/>
    </row>
    <row r="348" spans="1:28"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c r="AA348" s="138"/>
      <c r="AB348" s="138"/>
    </row>
    <row r="349" spans="1:28"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c r="AA349" s="138"/>
      <c r="AB349" s="138"/>
    </row>
    <row r="350" spans="1:28"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c r="AA350" s="138"/>
      <c r="AB350" s="138"/>
    </row>
    <row r="351" spans="1:28"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c r="AA351" s="138"/>
      <c r="AB351" s="138"/>
    </row>
    <row r="352" spans="1:28"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c r="AA352" s="138"/>
      <c r="AB352" s="138"/>
    </row>
    <row r="353" spans="1:28"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c r="AA353" s="138"/>
      <c r="AB353" s="138"/>
    </row>
    <row r="354" spans="1:28"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c r="AA354" s="138"/>
      <c r="AB354" s="138"/>
    </row>
    <row r="355" spans="1:28"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c r="AA355" s="138"/>
      <c r="AB355" s="138"/>
    </row>
    <row r="356" spans="1:28"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c r="AA356" s="138"/>
      <c r="AB356" s="138"/>
    </row>
    <row r="357" spans="1:28"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c r="AA357" s="138"/>
      <c r="AB357" s="138"/>
    </row>
    <row r="358" spans="1:28"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c r="AA358" s="138"/>
      <c r="AB358" s="138"/>
    </row>
    <row r="359" spans="1:28"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c r="AA359" s="138"/>
      <c r="AB359" s="138"/>
    </row>
    <row r="360" spans="1:28"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c r="AA360" s="138"/>
      <c r="AB360" s="138"/>
    </row>
    <row r="361" spans="1:28"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c r="AA361" s="138"/>
      <c r="AB361" s="138"/>
    </row>
    <row r="362" spans="1:28"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c r="AA362" s="138"/>
      <c r="AB362" s="138"/>
    </row>
    <row r="363" spans="1:28"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c r="AA363" s="138"/>
      <c r="AB363" s="138"/>
    </row>
    <row r="364" spans="1:28"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c r="AA364" s="138"/>
      <c r="AB364" s="138"/>
    </row>
    <row r="365" spans="1:28"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c r="AA365" s="138"/>
      <c r="AB365" s="138"/>
    </row>
    <row r="366" spans="1:28"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c r="AA366" s="138"/>
      <c r="AB366" s="138"/>
    </row>
    <row r="367" spans="1:28"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c r="AA367" s="138"/>
      <c r="AB367" s="138"/>
    </row>
    <row r="368" spans="1:28"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c r="AA368" s="138"/>
      <c r="AB368" s="138"/>
    </row>
    <row r="369" spans="1:28"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c r="AA369" s="138"/>
      <c r="AB369" s="138"/>
    </row>
    <row r="370" spans="1:28"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c r="AA370" s="138"/>
      <c r="AB370" s="138"/>
    </row>
    <row r="371" spans="1:28"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c r="AA371" s="138"/>
      <c r="AB371" s="138"/>
    </row>
    <row r="372" spans="1:28"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c r="AA372" s="138"/>
      <c r="AB372" s="138"/>
    </row>
    <row r="373" spans="1:28"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c r="AA373" s="138"/>
      <c r="AB373" s="138"/>
    </row>
    <row r="374" spans="1:28"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c r="AA374" s="138"/>
      <c r="AB374" s="138"/>
    </row>
    <row r="375" spans="1:28"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c r="AA375" s="138"/>
      <c r="AB375" s="138"/>
    </row>
    <row r="376" spans="1:28"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c r="AA376" s="138"/>
      <c r="AB376" s="138"/>
    </row>
    <row r="377" spans="1:28"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c r="AA377" s="138"/>
      <c r="AB377" s="138"/>
    </row>
    <row r="378" spans="1:28"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c r="AA378" s="138"/>
      <c r="AB378" s="138"/>
    </row>
    <row r="379" spans="1:28"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c r="AA379" s="138"/>
      <c r="AB379" s="138"/>
    </row>
    <row r="380" spans="1:28"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c r="AA380" s="138"/>
      <c r="AB380" s="138"/>
    </row>
    <row r="381" spans="1:28"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c r="AA381" s="138"/>
      <c r="AB381" s="138"/>
    </row>
    <row r="382" spans="1:28"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c r="AA382" s="138"/>
      <c r="AB382" s="138"/>
    </row>
    <row r="383" spans="1:28"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c r="AA383" s="138"/>
      <c r="AB383" s="138"/>
    </row>
    <row r="384" spans="1:28"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c r="AA384" s="138"/>
      <c r="AB384" s="138"/>
    </row>
    <row r="385" spans="1:28"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c r="AA385" s="138"/>
      <c r="AB385" s="138"/>
    </row>
    <row r="386" spans="1:28"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c r="AA386" s="138"/>
      <c r="AB386" s="138"/>
    </row>
    <row r="387" spans="1:28"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c r="AA387" s="138"/>
      <c r="AB387" s="138"/>
    </row>
    <row r="388" spans="1:28"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c r="AA388" s="138"/>
      <c r="AB388" s="138"/>
    </row>
    <row r="389" spans="1:28"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c r="AA389" s="138"/>
      <c r="AB389" s="138"/>
    </row>
    <row r="390" spans="1:28"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c r="AA390" s="138"/>
      <c r="AB390" s="138"/>
    </row>
    <row r="391" spans="1:28"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c r="AA391" s="138"/>
      <c r="AB391" s="138"/>
    </row>
    <row r="392" spans="1:28"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c r="AA392" s="138"/>
      <c r="AB392" s="138"/>
    </row>
    <row r="393" spans="1:28"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c r="AA393" s="138"/>
      <c r="AB393" s="138"/>
    </row>
    <row r="394" spans="1:28"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c r="AA394" s="138"/>
      <c r="AB394" s="138"/>
    </row>
    <row r="395" spans="1:28"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c r="AA395" s="138"/>
      <c r="AB395" s="138"/>
    </row>
    <row r="396" spans="1:28"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c r="AA396" s="138"/>
      <c r="AB396" s="138"/>
    </row>
    <row r="397" spans="1:28"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c r="AA397" s="138"/>
      <c r="AB397" s="138"/>
    </row>
    <row r="398" spans="1:28"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c r="AA398" s="138"/>
      <c r="AB398" s="138"/>
    </row>
    <row r="399" spans="1:28"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c r="AA399" s="138"/>
      <c r="AB399" s="138"/>
    </row>
    <row r="400" spans="1:28"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c r="AA400" s="138"/>
      <c r="AB400" s="138"/>
    </row>
    <row r="401" spans="1:28"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c r="AA401" s="138"/>
      <c r="AB401" s="138"/>
    </row>
    <row r="402" spans="1:28"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c r="AA402" s="138"/>
      <c r="AB402" s="138"/>
    </row>
    <row r="403" spans="1:28"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c r="AA403" s="138"/>
      <c r="AB403" s="138"/>
    </row>
    <row r="404" spans="1:28"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c r="AA404" s="138"/>
      <c r="AB404" s="138"/>
    </row>
    <row r="405" spans="1:28"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c r="AA405" s="138"/>
      <c r="AB405" s="138"/>
    </row>
    <row r="406" spans="1:28"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c r="AA406" s="138"/>
      <c r="AB406" s="138"/>
    </row>
    <row r="407" spans="1:28"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c r="AA407" s="138"/>
      <c r="AB407" s="138"/>
    </row>
    <row r="408" spans="1:28"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c r="AA408" s="138"/>
      <c r="AB408" s="138"/>
    </row>
    <row r="409" spans="1:28"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c r="AA409" s="138"/>
      <c r="AB409" s="138"/>
    </row>
    <row r="410" spans="1:28"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c r="AA410" s="138"/>
      <c r="AB410" s="138"/>
    </row>
    <row r="411" spans="1:28"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c r="AA411" s="138"/>
      <c r="AB411" s="138"/>
    </row>
    <row r="412" spans="1:28"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c r="AA412" s="138"/>
      <c r="AB412" s="138"/>
    </row>
    <row r="413" spans="1:28"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c r="AA413" s="138"/>
      <c r="AB413" s="138"/>
    </row>
    <row r="414" spans="1:28"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c r="AA414" s="138"/>
      <c r="AB414" s="138"/>
    </row>
    <row r="415" spans="1:28"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c r="AA415" s="138"/>
      <c r="AB415" s="138"/>
    </row>
    <row r="416" spans="1:28"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c r="AA416" s="138"/>
      <c r="AB416" s="138"/>
    </row>
    <row r="417" spans="1:28"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c r="AA417" s="138"/>
      <c r="AB417" s="138"/>
    </row>
    <row r="418" spans="1:28"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c r="AA418" s="138"/>
      <c r="AB418" s="138"/>
    </row>
    <row r="419" spans="1:28"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c r="AA419" s="138"/>
      <c r="AB419" s="138"/>
    </row>
    <row r="420" spans="1:28"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c r="AA420" s="138"/>
      <c r="AB420" s="138"/>
    </row>
    <row r="421" spans="1:28"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c r="AA421" s="138"/>
      <c r="AB421" s="138"/>
    </row>
    <row r="422" spans="1:28"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c r="AA422" s="138"/>
      <c r="AB422" s="138"/>
    </row>
    <row r="423" spans="1:28"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c r="AA423" s="138"/>
      <c r="AB423" s="138"/>
    </row>
    <row r="424" spans="1:28"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c r="AA424" s="138"/>
      <c r="AB424" s="138"/>
    </row>
    <row r="425" spans="1:28"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c r="AA425" s="138"/>
      <c r="AB425" s="138"/>
    </row>
    <row r="426" spans="1:28"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c r="AA426" s="138"/>
      <c r="AB426" s="138"/>
    </row>
    <row r="427" spans="1:28"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c r="AA427" s="138"/>
      <c r="AB427" s="138"/>
    </row>
    <row r="428" spans="1:28"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c r="AA428" s="138"/>
      <c r="AB428" s="138"/>
    </row>
    <row r="429" spans="1:28"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c r="AA429" s="138"/>
      <c r="AB429" s="138"/>
    </row>
    <row r="430" spans="1:28"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c r="AA430" s="138"/>
      <c r="AB430" s="138"/>
    </row>
    <row r="431" spans="1:28"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c r="AA431" s="138"/>
      <c r="AB431" s="138"/>
    </row>
    <row r="432" spans="1:28"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c r="AA432" s="138"/>
      <c r="AB432" s="138"/>
    </row>
    <row r="433" spans="1:28"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c r="AA433" s="138"/>
      <c r="AB433" s="138"/>
    </row>
    <row r="434" spans="1:28"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c r="AA434" s="138"/>
      <c r="AB434" s="138"/>
    </row>
    <row r="435" spans="1:28"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c r="AA435" s="138"/>
      <c r="AB435" s="138"/>
    </row>
    <row r="436" spans="1:28"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c r="AA436" s="138"/>
      <c r="AB436" s="138"/>
    </row>
    <row r="437" spans="1:28"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c r="AA437" s="138"/>
      <c r="AB437" s="138"/>
    </row>
    <row r="438" spans="1:28"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c r="AA438" s="138"/>
      <c r="AB438" s="138"/>
    </row>
    <row r="439" spans="1:28"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c r="AA439" s="138"/>
      <c r="AB439" s="138"/>
    </row>
    <row r="440" spans="1:28"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c r="AA440" s="138"/>
      <c r="AB440" s="138"/>
    </row>
    <row r="441" spans="1:28"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c r="AA441" s="138"/>
      <c r="AB441" s="138"/>
    </row>
    <row r="442" spans="1:28"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c r="AA442" s="138"/>
      <c r="AB442" s="138"/>
    </row>
    <row r="443" spans="1:28"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c r="AA443" s="138"/>
      <c r="AB443" s="138"/>
    </row>
    <row r="444" spans="1:28"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c r="AA444" s="138"/>
      <c r="AB444" s="138"/>
    </row>
    <row r="445" spans="1:28"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c r="AA445" s="138"/>
      <c r="AB445" s="138"/>
    </row>
    <row r="446" spans="1:28"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c r="AA446" s="138"/>
      <c r="AB446" s="138"/>
    </row>
    <row r="447" spans="1:28"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c r="AA447" s="138"/>
      <c r="AB447" s="138"/>
    </row>
    <row r="448" spans="1:28"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c r="AA448" s="138"/>
      <c r="AB448" s="138"/>
    </row>
    <row r="449" spans="1:28"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c r="AA449" s="138"/>
      <c r="AB449" s="138"/>
    </row>
    <row r="450" spans="1:28"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c r="AA450" s="138"/>
      <c r="AB450" s="138"/>
    </row>
    <row r="451" spans="1:28"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c r="AA451" s="138"/>
      <c r="AB451" s="138"/>
    </row>
    <row r="452" spans="1:28"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c r="AA452" s="138"/>
      <c r="AB452" s="138"/>
    </row>
    <row r="453" spans="1:28"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c r="AA453" s="138"/>
      <c r="AB453" s="138"/>
    </row>
    <row r="454" spans="1:28"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c r="AA454" s="138"/>
      <c r="AB454" s="138"/>
    </row>
    <row r="455" spans="1:28"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c r="AA455" s="138"/>
      <c r="AB455" s="138"/>
    </row>
    <row r="456" spans="1:28"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c r="AA456" s="138"/>
      <c r="AB456" s="138"/>
    </row>
    <row r="457" spans="1:28"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c r="AA457" s="138"/>
      <c r="AB457" s="138"/>
    </row>
    <row r="458" spans="1:28"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c r="AA458" s="138"/>
      <c r="AB458" s="138"/>
    </row>
    <row r="459" spans="1:28"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c r="AA459" s="138"/>
      <c r="AB459" s="138"/>
    </row>
    <row r="460" spans="1:28"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c r="AA460" s="138"/>
      <c r="AB460" s="138"/>
    </row>
    <row r="461" spans="1:28"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c r="AA461" s="138"/>
      <c r="AB461" s="138"/>
    </row>
    <row r="462" spans="1:28"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c r="AA462" s="138"/>
      <c r="AB462" s="138"/>
    </row>
    <row r="463" spans="1:28"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c r="AA463" s="138"/>
      <c r="AB463" s="138"/>
    </row>
    <row r="464" spans="1:28"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c r="AA464" s="138"/>
      <c r="AB464" s="138"/>
    </row>
    <row r="465" spans="1:28"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c r="AA465" s="138"/>
      <c r="AB465" s="138"/>
    </row>
    <row r="466" spans="1:28"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c r="AA466" s="138"/>
      <c r="AB466" s="138"/>
    </row>
    <row r="467" spans="1:28"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c r="AA467" s="138"/>
      <c r="AB467" s="138"/>
    </row>
    <row r="468" spans="1:28"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c r="AA468" s="138"/>
      <c r="AB468" s="138"/>
    </row>
    <row r="469" spans="1:28"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c r="AA469" s="138"/>
      <c r="AB469" s="138"/>
    </row>
    <row r="470" spans="1:28"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c r="AA470" s="138"/>
      <c r="AB470" s="138"/>
    </row>
    <row r="471" spans="1:28"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c r="AA471" s="138"/>
      <c r="AB471" s="138"/>
    </row>
    <row r="472" spans="1:28"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c r="AA472" s="138"/>
      <c r="AB472" s="138"/>
    </row>
    <row r="473" spans="1:28"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c r="AA473" s="138"/>
      <c r="AB473" s="138"/>
    </row>
    <row r="474" spans="1:28"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c r="AA474" s="138"/>
      <c r="AB474" s="138"/>
    </row>
    <row r="475" spans="1:28"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c r="AA475" s="138"/>
      <c r="AB475" s="138"/>
    </row>
    <row r="476" spans="1:28"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c r="AA476" s="138"/>
      <c r="AB476" s="138"/>
    </row>
    <row r="477" spans="1:28"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c r="AA477" s="138"/>
      <c r="AB477" s="138"/>
    </row>
    <row r="478" spans="1:28"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c r="AA478" s="138"/>
      <c r="AB478" s="138"/>
    </row>
    <row r="479" spans="1:28"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c r="AA479" s="138"/>
      <c r="AB479" s="138"/>
    </row>
    <row r="480" spans="1:28"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c r="AA480" s="138"/>
      <c r="AB480" s="138"/>
    </row>
    <row r="481" spans="1:28"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c r="AA481" s="138"/>
      <c r="AB481" s="138"/>
    </row>
    <row r="482" spans="1:28"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c r="AA482" s="138"/>
      <c r="AB482" s="138"/>
    </row>
    <row r="483" spans="1:28"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c r="AA483" s="138"/>
      <c r="AB483" s="138"/>
    </row>
    <row r="484" spans="1:28"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c r="AA484" s="138"/>
      <c r="AB484" s="138"/>
    </row>
    <row r="485" spans="1:28"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c r="AA485" s="138"/>
      <c r="AB485" s="138"/>
    </row>
    <row r="486" spans="1:28"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c r="AA486" s="138"/>
      <c r="AB486" s="138"/>
    </row>
    <row r="487" spans="1:28"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c r="AA487" s="138"/>
      <c r="AB487" s="138"/>
    </row>
    <row r="488" spans="1:28"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c r="AA488" s="138"/>
      <c r="AB488" s="138"/>
    </row>
    <row r="489" spans="1:28"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c r="AA489" s="138"/>
      <c r="AB489" s="138"/>
    </row>
    <row r="490" spans="1:28"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c r="AA490" s="138"/>
      <c r="AB490" s="138"/>
    </row>
    <row r="491" spans="1:28"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c r="AA491" s="138"/>
      <c r="AB491" s="138"/>
    </row>
    <row r="492" spans="1:28"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c r="AA492" s="138"/>
      <c r="AB492" s="138"/>
    </row>
    <row r="493" spans="1:28"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c r="AA493" s="138"/>
      <c r="AB493" s="138"/>
    </row>
    <row r="494" spans="1:28"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c r="AA494" s="138"/>
      <c r="AB494" s="138"/>
    </row>
    <row r="495" spans="1:28"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c r="AA495" s="138"/>
      <c r="AB495" s="138"/>
    </row>
    <row r="496" spans="1:28"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c r="AA496" s="138"/>
      <c r="AB496" s="138"/>
    </row>
    <row r="497" spans="1:28"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c r="AA497" s="138"/>
      <c r="AB497" s="138"/>
    </row>
    <row r="498" spans="1:28"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c r="AA498" s="138"/>
      <c r="AB498" s="138"/>
    </row>
    <row r="499" spans="1:28"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c r="AA499" s="138"/>
      <c r="AB499" s="138"/>
    </row>
    <row r="500" spans="1:28"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c r="AA500" s="138"/>
      <c r="AB500" s="138"/>
    </row>
    <row r="501" spans="1:28"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c r="AA501" s="138"/>
      <c r="AB501" s="138"/>
    </row>
    <row r="502" spans="1:28"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c r="AA502" s="138"/>
      <c r="AB502" s="138"/>
    </row>
    <row r="503" spans="1:28"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c r="AA503" s="138"/>
      <c r="AB503" s="138"/>
    </row>
    <row r="504" spans="1:28"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c r="AA504" s="138"/>
      <c r="AB504" s="138"/>
    </row>
    <row r="505" spans="1:28"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c r="AA505" s="138"/>
      <c r="AB505" s="138"/>
    </row>
    <row r="506" spans="1:28"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c r="AA506" s="138"/>
      <c r="AB506" s="138"/>
    </row>
    <row r="507" spans="1:28"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c r="AA507" s="138"/>
      <c r="AB507" s="138"/>
    </row>
    <row r="508" spans="1:28"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c r="AA508" s="138"/>
      <c r="AB508" s="138"/>
    </row>
    <row r="509" spans="1:28"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c r="AA509" s="138"/>
      <c r="AB509" s="138"/>
    </row>
    <row r="510" spans="1:28"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c r="AA510" s="138"/>
      <c r="AB510" s="138"/>
    </row>
    <row r="511" spans="1:28"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c r="AA511" s="138"/>
      <c r="AB511" s="138"/>
    </row>
    <row r="512" spans="1:28"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c r="AA512" s="138"/>
      <c r="AB512" s="138"/>
    </row>
    <row r="513" spans="1:28"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c r="AA513" s="138"/>
      <c r="AB513" s="138"/>
    </row>
    <row r="514" spans="1:28"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c r="AA514" s="138"/>
      <c r="AB514" s="138"/>
    </row>
    <row r="515" spans="1:28"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c r="AA515" s="138"/>
      <c r="AB515" s="138"/>
    </row>
    <row r="516" spans="1:28"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c r="AA516" s="138"/>
      <c r="AB516" s="138"/>
    </row>
    <row r="517" spans="1:28"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c r="AA517" s="138"/>
      <c r="AB517" s="138"/>
    </row>
    <row r="518" spans="1:28"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c r="AA518" s="138"/>
      <c r="AB518" s="138"/>
    </row>
    <row r="519" spans="1:28"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c r="AA519" s="138"/>
      <c r="AB519" s="138"/>
    </row>
    <row r="520" spans="1:28"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c r="AA520" s="138"/>
      <c r="AB520" s="138"/>
    </row>
    <row r="521" spans="1:28"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c r="AA521" s="138"/>
      <c r="AB521" s="138"/>
    </row>
    <row r="522" spans="1:28"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c r="AA522" s="138"/>
      <c r="AB522" s="138"/>
    </row>
    <row r="523" spans="1:28"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c r="AA523" s="138"/>
      <c r="AB523" s="138"/>
    </row>
    <row r="524" spans="1:28"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c r="AA524" s="138"/>
      <c r="AB524" s="138"/>
    </row>
    <row r="525" spans="1:28"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c r="AA525" s="138"/>
      <c r="AB525" s="138"/>
    </row>
    <row r="526" spans="1:28"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c r="AA526" s="138"/>
      <c r="AB526" s="138"/>
    </row>
    <row r="527" spans="1:28"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c r="AA527" s="138"/>
      <c r="AB527" s="138"/>
    </row>
    <row r="528" spans="1:28"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c r="AA528" s="138"/>
      <c r="AB528" s="138"/>
    </row>
    <row r="529" spans="1:28"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c r="AA529" s="138"/>
      <c r="AB529" s="138"/>
    </row>
    <row r="530" spans="1:28"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c r="AA530" s="138"/>
      <c r="AB530" s="138"/>
    </row>
    <row r="531" spans="1:28"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c r="AA531" s="138"/>
      <c r="AB531" s="138"/>
    </row>
    <row r="532" spans="1:28"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c r="AA532" s="138"/>
      <c r="AB532" s="138"/>
    </row>
    <row r="533" spans="1:28"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c r="AA533" s="138"/>
      <c r="AB533" s="138"/>
    </row>
    <row r="534" spans="1:28"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c r="AA534" s="138"/>
      <c r="AB534" s="138"/>
    </row>
    <row r="535" spans="1:28"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c r="AA535" s="138"/>
      <c r="AB535" s="138"/>
    </row>
    <row r="536" spans="1:28"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c r="AA536" s="138"/>
      <c r="AB536" s="138"/>
    </row>
    <row r="537" spans="1:28"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c r="AA537" s="138"/>
      <c r="AB537" s="138"/>
    </row>
    <row r="538" spans="1:28"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c r="AA538" s="138"/>
      <c r="AB538" s="138"/>
    </row>
    <row r="539" spans="1:28"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c r="AA539" s="138"/>
      <c r="AB539" s="138"/>
    </row>
    <row r="540" spans="1:28"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c r="AA540" s="138"/>
      <c r="AB540" s="138"/>
    </row>
    <row r="541" spans="1:28"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c r="AA541" s="138"/>
      <c r="AB541" s="138"/>
    </row>
    <row r="542" spans="1:28"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c r="AA542" s="138"/>
      <c r="AB542" s="138"/>
    </row>
    <row r="543" spans="1:28"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c r="AA543" s="138"/>
      <c r="AB543" s="138"/>
    </row>
    <row r="544" spans="1:28"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c r="AA544" s="138"/>
      <c r="AB544" s="138"/>
    </row>
    <row r="545" spans="1:28"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c r="AA545" s="138"/>
      <c r="AB545" s="138"/>
    </row>
    <row r="546" spans="1:28"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c r="AA546" s="138"/>
      <c r="AB546" s="138"/>
    </row>
    <row r="547" spans="1:28"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c r="AA547" s="138"/>
      <c r="AB547" s="138"/>
    </row>
    <row r="548" spans="1:28"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c r="AA548" s="138"/>
      <c r="AB548" s="138"/>
    </row>
    <row r="549" spans="1:28"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c r="AA549" s="138"/>
      <c r="AB549" s="138"/>
    </row>
    <row r="550" spans="1:28"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c r="AA550" s="138"/>
      <c r="AB550" s="138"/>
    </row>
    <row r="551" spans="1:28"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c r="AA551" s="138"/>
      <c r="AB551" s="138"/>
    </row>
    <row r="552" spans="1:28"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c r="AA552" s="138"/>
      <c r="AB552" s="138"/>
    </row>
    <row r="553" spans="1:28"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c r="AA553" s="138"/>
      <c r="AB553" s="138"/>
    </row>
    <row r="554" spans="1:28"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c r="AA554" s="138"/>
      <c r="AB554" s="138"/>
    </row>
    <row r="555" spans="1:28"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c r="AA555" s="138"/>
      <c r="AB555" s="138"/>
    </row>
    <row r="556" spans="1:28"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c r="AA556" s="138"/>
      <c r="AB556" s="138"/>
    </row>
    <row r="557" spans="1:28"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c r="AA557" s="138"/>
      <c r="AB557" s="138"/>
    </row>
    <row r="558" spans="1:28"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c r="AA558" s="138"/>
      <c r="AB558" s="138"/>
    </row>
    <row r="559" spans="1:28"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c r="AA559" s="138"/>
      <c r="AB559" s="138"/>
    </row>
    <row r="560" spans="1:28"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c r="AA560" s="138"/>
      <c r="AB560" s="138"/>
    </row>
    <row r="561" spans="1:28"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c r="AA561" s="138"/>
      <c r="AB561" s="138"/>
    </row>
    <row r="562" spans="1:28"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c r="AA562" s="138"/>
      <c r="AB562" s="138"/>
    </row>
    <row r="563" spans="1:28"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c r="AA563" s="138"/>
      <c r="AB563" s="138"/>
    </row>
    <row r="564" spans="1:28"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c r="AA564" s="138"/>
      <c r="AB564" s="138"/>
    </row>
    <row r="565" spans="1:28"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c r="AA565" s="138"/>
      <c r="AB565" s="138"/>
    </row>
    <row r="566" spans="1:28"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c r="AA566" s="138"/>
      <c r="AB566" s="138"/>
    </row>
    <row r="567" spans="1:28"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c r="AA567" s="138"/>
      <c r="AB567" s="138"/>
    </row>
    <row r="568" spans="1:28"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c r="AA568" s="138"/>
      <c r="AB568" s="138"/>
    </row>
    <row r="569" spans="1:28"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c r="AA569" s="138"/>
      <c r="AB569" s="138"/>
    </row>
    <row r="570" spans="1:28"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c r="AA570" s="138"/>
      <c r="AB570" s="138"/>
    </row>
    <row r="571" spans="1:28"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c r="AA571" s="138"/>
      <c r="AB571" s="138"/>
    </row>
    <row r="572" spans="1:28"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c r="AA572" s="138"/>
      <c r="AB572" s="138"/>
    </row>
    <row r="573" spans="1:28"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c r="AA573" s="138"/>
      <c r="AB573" s="138"/>
    </row>
    <row r="574" spans="1:28"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c r="AA574" s="138"/>
      <c r="AB574" s="138"/>
    </row>
    <row r="575" spans="1:28"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c r="AA575" s="138"/>
      <c r="AB575" s="138"/>
    </row>
    <row r="576" spans="1:28"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c r="AA576" s="138"/>
      <c r="AB576" s="138"/>
    </row>
    <row r="577" spans="1:28"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c r="AA577" s="138"/>
      <c r="AB577" s="138"/>
    </row>
    <row r="578" spans="1:28"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c r="AA578" s="138"/>
      <c r="AB578" s="138"/>
    </row>
    <row r="579" spans="1:28"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c r="AA579" s="138"/>
      <c r="AB579" s="138"/>
    </row>
    <row r="580" spans="1:28"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c r="AA580" s="138"/>
      <c r="AB580" s="138"/>
    </row>
    <row r="581" spans="1:28"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c r="AA581" s="138"/>
      <c r="AB581" s="138"/>
    </row>
    <row r="582" spans="1:28"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c r="AA582" s="138"/>
      <c r="AB582" s="138"/>
    </row>
    <row r="583" spans="1:28"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c r="AA583" s="138"/>
      <c r="AB583" s="138"/>
    </row>
    <row r="584" spans="1:28"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c r="AA584" s="138"/>
      <c r="AB584" s="138"/>
    </row>
    <row r="585" spans="1:28"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c r="AA585" s="138"/>
      <c r="AB585" s="138"/>
    </row>
    <row r="586" spans="1:28"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c r="AA586" s="138"/>
      <c r="AB586" s="138"/>
    </row>
    <row r="587" spans="1:28"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c r="AA587" s="138"/>
      <c r="AB587" s="138"/>
    </row>
    <row r="588" spans="1:28"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c r="AA588" s="138"/>
      <c r="AB588" s="138"/>
    </row>
    <row r="589" spans="1:28"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c r="AA589" s="138"/>
      <c r="AB589" s="138"/>
    </row>
    <row r="590" spans="1:28"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c r="AA590" s="138"/>
      <c r="AB590" s="138"/>
    </row>
    <row r="591" spans="1:28"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c r="AA591" s="138"/>
      <c r="AB591" s="138"/>
    </row>
    <row r="592" spans="1:28"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c r="AA592" s="138"/>
      <c r="AB592" s="138"/>
    </row>
    <row r="593" spans="1:28"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c r="AA593" s="138"/>
      <c r="AB593" s="138"/>
    </row>
    <row r="594" spans="1:28"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c r="AA594" s="138"/>
      <c r="AB594" s="138"/>
    </row>
    <row r="595" spans="1:28"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c r="AA595" s="138"/>
      <c r="AB595" s="138"/>
    </row>
    <row r="596" spans="1:28"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c r="AA596" s="138"/>
      <c r="AB596" s="138"/>
    </row>
    <row r="597" spans="1:28"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c r="AA597" s="138"/>
      <c r="AB597" s="138"/>
    </row>
    <row r="598" spans="1:28"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c r="AA598" s="138"/>
      <c r="AB598" s="138"/>
    </row>
    <row r="599" spans="1:28"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c r="AA599" s="138"/>
      <c r="AB599" s="138"/>
    </row>
    <row r="600" spans="1:28"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c r="AA600" s="138"/>
      <c r="AB600" s="138"/>
    </row>
    <row r="601" spans="1:28"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c r="AA601" s="138"/>
      <c r="AB601" s="138"/>
    </row>
    <row r="602" spans="1:28"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c r="AA602" s="138"/>
      <c r="AB602" s="138"/>
    </row>
    <row r="603" spans="1:28"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c r="AA603" s="138"/>
      <c r="AB603" s="138"/>
    </row>
    <row r="604" spans="1:28"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c r="AA604" s="138"/>
      <c r="AB604" s="138"/>
    </row>
    <row r="605" spans="1:28"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c r="AA605" s="138"/>
      <c r="AB605" s="138"/>
    </row>
    <row r="606" spans="1:28"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c r="AA606" s="138"/>
      <c r="AB606" s="138"/>
    </row>
    <row r="607" spans="1:28"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c r="AA607" s="138"/>
      <c r="AB607" s="138"/>
    </row>
    <row r="608" spans="1:28"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c r="AA608" s="138"/>
      <c r="AB608" s="138"/>
    </row>
    <row r="609" spans="1:28"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c r="AA609" s="138"/>
      <c r="AB609" s="138"/>
    </row>
    <row r="610" spans="1:28"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c r="AA610" s="138"/>
      <c r="AB610" s="138"/>
    </row>
    <row r="611" spans="1:28"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c r="AA611" s="138"/>
      <c r="AB611" s="138"/>
    </row>
    <row r="612" spans="1:28"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c r="AA612" s="138"/>
      <c r="AB612" s="138"/>
    </row>
    <row r="613" spans="1:28"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c r="AA613" s="138"/>
      <c r="AB613" s="138"/>
    </row>
    <row r="614" spans="1:28"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c r="AA614" s="138"/>
      <c r="AB614" s="138"/>
    </row>
    <row r="615" spans="1:28"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c r="AA615" s="138"/>
      <c r="AB615" s="138"/>
    </row>
    <row r="616" spans="1:28"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c r="AA616" s="138"/>
      <c r="AB616" s="138"/>
    </row>
    <row r="617" spans="1:28"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c r="AA617" s="138"/>
      <c r="AB617" s="138"/>
    </row>
    <row r="618" spans="1:28"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c r="AA618" s="138"/>
      <c r="AB618" s="138"/>
    </row>
    <row r="619" spans="1:28"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c r="AA619" s="138"/>
      <c r="AB619" s="138"/>
    </row>
    <row r="620" spans="1:28"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c r="AA620" s="138"/>
      <c r="AB620" s="138"/>
    </row>
    <row r="621" spans="1:28"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c r="AA621" s="138"/>
      <c r="AB621" s="138"/>
    </row>
    <row r="622" spans="1:28"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c r="AA622" s="138"/>
      <c r="AB622" s="138"/>
    </row>
    <row r="623" spans="1:28"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c r="AA623" s="138"/>
      <c r="AB623" s="138"/>
    </row>
    <row r="624" spans="1:28"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c r="AA624" s="138"/>
      <c r="AB624" s="138"/>
    </row>
    <row r="625" spans="1:28"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c r="AA625" s="138"/>
      <c r="AB625" s="138"/>
    </row>
    <row r="626" spans="1:28"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c r="AA626" s="138"/>
      <c r="AB626" s="138"/>
    </row>
    <row r="627" spans="1:28"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c r="AA627" s="138"/>
      <c r="AB627" s="138"/>
    </row>
    <row r="628" spans="1:28"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c r="AA628" s="138"/>
      <c r="AB628" s="138"/>
    </row>
    <row r="629" spans="1:28"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c r="AA629" s="138"/>
      <c r="AB629" s="138"/>
    </row>
    <row r="630" spans="1:28"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c r="AA630" s="138"/>
      <c r="AB630" s="138"/>
    </row>
    <row r="631" spans="1:28"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c r="AA631" s="138"/>
      <c r="AB631" s="138"/>
    </row>
    <row r="632" spans="1:28"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c r="AA632" s="138"/>
      <c r="AB632" s="138"/>
    </row>
    <row r="633" spans="1:28"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c r="AA633" s="138"/>
      <c r="AB633" s="138"/>
    </row>
    <row r="634" spans="1:28"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c r="AA634" s="138"/>
      <c r="AB634" s="138"/>
    </row>
    <row r="635" spans="1:28"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c r="AA635" s="138"/>
      <c r="AB635" s="138"/>
    </row>
    <row r="636" spans="1:28"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c r="AA636" s="138"/>
      <c r="AB636" s="138"/>
    </row>
    <row r="637" spans="1:28"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c r="AA637" s="138"/>
      <c r="AB637" s="138"/>
    </row>
    <row r="638" spans="1:28"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c r="AA638" s="138"/>
      <c r="AB638" s="138"/>
    </row>
    <row r="639" spans="1:28"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c r="AA639" s="138"/>
      <c r="AB639" s="138"/>
    </row>
    <row r="640" spans="1:28"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c r="AA640" s="138"/>
      <c r="AB640" s="138"/>
    </row>
    <row r="641" spans="1:28"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c r="AA641" s="138"/>
      <c r="AB641" s="138"/>
    </row>
    <row r="642" spans="1:28"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c r="AA642" s="138"/>
      <c r="AB642" s="138"/>
    </row>
    <row r="643" spans="1:28"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c r="AA643" s="138"/>
      <c r="AB643" s="138"/>
    </row>
    <row r="644" spans="1:28"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c r="AA644" s="138"/>
      <c r="AB644" s="138"/>
    </row>
    <row r="645" spans="1:28"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c r="AA645" s="138"/>
      <c r="AB645" s="138"/>
    </row>
    <row r="646" spans="1:28"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c r="AA646" s="138"/>
      <c r="AB646" s="138"/>
    </row>
    <row r="647" spans="1:28"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c r="AA647" s="138"/>
      <c r="AB647" s="138"/>
    </row>
    <row r="648" spans="1:28"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c r="AA648" s="138"/>
      <c r="AB648" s="138"/>
    </row>
    <row r="649" spans="1:28"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c r="AA649" s="138"/>
      <c r="AB649" s="138"/>
    </row>
    <row r="650" spans="1:28"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c r="AA650" s="138"/>
      <c r="AB650" s="138"/>
    </row>
    <row r="651" spans="1:28"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c r="AA651" s="138"/>
      <c r="AB651" s="138"/>
    </row>
    <row r="652" spans="1:28"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c r="AA652" s="138"/>
      <c r="AB652" s="138"/>
    </row>
    <row r="653" spans="1:28"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c r="AA653" s="138"/>
      <c r="AB653" s="138"/>
    </row>
    <row r="654" spans="1:28"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c r="AA654" s="138"/>
      <c r="AB654" s="138"/>
    </row>
    <row r="655" spans="1:28"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c r="AA655" s="138"/>
      <c r="AB655" s="138"/>
    </row>
    <row r="656" spans="1:28"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c r="AA656" s="138"/>
      <c r="AB656" s="138"/>
    </row>
    <row r="657" spans="1:28"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c r="AA657" s="138"/>
      <c r="AB657" s="138"/>
    </row>
    <row r="658" spans="1:28"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c r="AA658" s="138"/>
      <c r="AB658" s="138"/>
    </row>
    <row r="659" spans="1:28"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c r="AA659" s="138"/>
      <c r="AB659" s="138"/>
    </row>
    <row r="660" spans="1:28"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c r="AA660" s="138"/>
      <c r="AB660" s="138"/>
    </row>
    <row r="661" spans="1:28"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c r="AA661" s="138"/>
      <c r="AB661" s="138"/>
    </row>
    <row r="662" spans="1:28"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c r="AA662" s="138"/>
      <c r="AB662" s="138"/>
    </row>
    <row r="663" spans="1:28"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c r="AA663" s="138"/>
      <c r="AB663" s="138"/>
    </row>
    <row r="664" spans="1:28"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c r="AA664" s="138"/>
      <c r="AB664" s="138"/>
    </row>
    <row r="665" spans="1:28"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c r="AA665" s="138"/>
      <c r="AB665" s="138"/>
    </row>
    <row r="666" spans="1:28"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c r="AA666" s="138"/>
      <c r="AB666" s="138"/>
    </row>
    <row r="667" spans="1:28"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c r="AA667" s="138"/>
      <c r="AB667" s="138"/>
    </row>
    <row r="668" spans="1:28"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c r="AA668" s="138"/>
      <c r="AB668" s="138"/>
    </row>
    <row r="669" spans="1:28"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c r="AA669" s="138"/>
      <c r="AB669" s="138"/>
    </row>
    <row r="670" spans="1:28"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c r="AA670" s="138"/>
      <c r="AB670" s="138"/>
    </row>
    <row r="671" spans="1:28"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c r="AA671" s="138"/>
      <c r="AB671" s="138"/>
    </row>
    <row r="672" spans="1:28"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c r="AA672" s="138"/>
      <c r="AB672" s="138"/>
    </row>
    <row r="673" spans="1:28"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c r="AA673" s="138"/>
      <c r="AB673" s="138"/>
    </row>
    <row r="674" spans="1:28"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c r="AA674" s="138"/>
      <c r="AB674" s="138"/>
    </row>
    <row r="675" spans="1:28"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c r="AA675" s="138"/>
      <c r="AB675" s="138"/>
    </row>
    <row r="676" spans="1:28"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c r="AA676" s="138"/>
      <c r="AB676" s="138"/>
    </row>
    <row r="677" spans="1:28"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c r="AA677" s="138"/>
      <c r="AB677" s="138"/>
    </row>
    <row r="678" spans="1:28"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c r="AA678" s="138"/>
      <c r="AB678" s="138"/>
    </row>
    <row r="679" spans="1:28"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c r="AA679" s="138"/>
      <c r="AB679" s="138"/>
    </row>
    <row r="680" spans="1:28"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c r="AA680" s="138"/>
      <c r="AB680" s="138"/>
    </row>
    <row r="681" spans="1:28"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c r="AA681" s="138"/>
      <c r="AB681" s="138"/>
    </row>
    <row r="682" spans="1:28"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c r="AA682" s="138"/>
      <c r="AB682" s="138"/>
    </row>
    <row r="683" spans="1:28"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c r="AA683" s="138"/>
      <c r="AB683" s="138"/>
    </row>
    <row r="684" spans="1:28"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c r="AA684" s="138"/>
      <c r="AB684" s="138"/>
    </row>
    <row r="685" spans="1:28"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c r="AA685" s="138"/>
      <c r="AB685" s="138"/>
    </row>
    <row r="686" spans="1:28"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c r="AA686" s="138"/>
      <c r="AB686" s="138"/>
    </row>
    <row r="687" spans="1:28"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c r="AA687" s="138"/>
      <c r="AB687" s="138"/>
    </row>
    <row r="688" spans="1:28"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c r="AA688" s="138"/>
      <c r="AB688" s="138"/>
    </row>
    <row r="689" spans="1:28"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c r="AA689" s="138"/>
      <c r="AB689" s="138"/>
    </row>
    <row r="690" spans="1:28"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c r="AA690" s="138"/>
      <c r="AB690" s="138"/>
    </row>
    <row r="691" spans="1:28"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c r="AA691" s="138"/>
      <c r="AB691" s="138"/>
    </row>
    <row r="692" spans="1:28"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c r="AA692" s="138"/>
      <c r="AB692" s="138"/>
    </row>
    <row r="693" spans="1:28"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c r="AA693" s="138"/>
      <c r="AB693" s="138"/>
    </row>
    <row r="694" spans="1:28"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c r="AA694" s="138"/>
      <c r="AB694" s="138"/>
    </row>
    <row r="695" spans="1:28"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c r="AA695" s="138"/>
      <c r="AB695" s="138"/>
    </row>
    <row r="696" spans="1:28"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c r="AA696" s="138"/>
      <c r="AB696" s="138"/>
    </row>
    <row r="697" spans="1:28"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c r="AA697" s="138"/>
      <c r="AB697" s="138"/>
    </row>
    <row r="698" spans="1:28"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c r="AA698" s="138"/>
      <c r="AB698" s="138"/>
    </row>
    <row r="699" spans="1:28"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c r="AA699" s="138"/>
      <c r="AB699" s="138"/>
    </row>
    <row r="700" spans="1:28"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c r="AA700" s="138"/>
      <c r="AB700" s="138"/>
    </row>
    <row r="701" spans="1:28"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c r="AA701" s="138"/>
      <c r="AB701" s="138"/>
    </row>
    <row r="702" spans="1:28"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c r="AA702" s="138"/>
      <c r="AB702" s="138"/>
    </row>
    <row r="703" spans="1:28"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c r="AA703" s="138"/>
      <c r="AB703" s="138"/>
    </row>
    <row r="704" spans="1:28"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c r="AA704" s="138"/>
      <c r="AB704" s="138"/>
    </row>
    <row r="705" spans="1:28"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c r="AA705" s="138"/>
      <c r="AB705" s="138"/>
    </row>
    <row r="706" spans="1:28"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c r="AA706" s="138"/>
      <c r="AB706" s="138"/>
    </row>
    <row r="707" spans="1:28"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c r="AA707" s="138"/>
      <c r="AB707" s="138"/>
    </row>
    <row r="708" spans="1:28"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c r="AA708" s="138"/>
      <c r="AB708" s="138"/>
    </row>
    <row r="709" spans="1:28"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c r="AA709" s="138"/>
      <c r="AB709" s="138"/>
    </row>
    <row r="710" spans="1:28"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c r="AA710" s="138"/>
      <c r="AB710" s="138"/>
    </row>
    <row r="711" spans="1:28"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c r="AA711" s="138"/>
      <c r="AB711" s="138"/>
    </row>
    <row r="712" spans="1:28"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c r="AA712" s="138"/>
      <c r="AB712" s="138"/>
    </row>
    <row r="713" spans="1:28"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c r="AA713" s="138"/>
      <c r="AB713" s="138"/>
    </row>
    <row r="714" spans="1:28"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c r="AA714" s="138"/>
      <c r="AB714" s="138"/>
    </row>
    <row r="715" spans="1:28"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c r="AA715" s="138"/>
      <c r="AB715" s="138"/>
    </row>
    <row r="716" spans="1:28"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c r="AA716" s="138"/>
      <c r="AB716" s="138"/>
    </row>
    <row r="717" spans="1:28"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c r="AA717" s="138"/>
      <c r="AB717" s="138"/>
    </row>
    <row r="718" spans="1:28"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c r="AA718" s="138"/>
      <c r="AB718" s="138"/>
    </row>
    <row r="719" spans="1:28"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c r="AA719" s="138"/>
      <c r="AB719" s="138"/>
    </row>
    <row r="720" spans="1:28"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c r="AA720" s="138"/>
      <c r="AB720" s="138"/>
    </row>
    <row r="721" spans="1:28"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c r="AA721" s="138"/>
      <c r="AB721" s="138"/>
    </row>
    <row r="722" spans="1:28"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c r="AA722" s="138"/>
      <c r="AB722" s="138"/>
    </row>
    <row r="723" spans="1:28"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c r="AA723" s="138"/>
      <c r="AB723" s="138"/>
    </row>
    <row r="724" spans="1:28"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c r="AA724" s="138"/>
      <c r="AB724" s="138"/>
    </row>
    <row r="725" spans="1:28"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c r="AA725" s="138"/>
      <c r="AB725" s="138"/>
    </row>
    <row r="726" spans="1:28"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c r="AA726" s="138"/>
      <c r="AB726" s="138"/>
    </row>
    <row r="727" spans="1:28"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c r="AA727" s="138"/>
      <c r="AB727" s="138"/>
    </row>
    <row r="728" spans="1:28"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c r="AA728" s="138"/>
      <c r="AB728" s="138"/>
    </row>
    <row r="729" spans="1:28"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c r="AA729" s="138"/>
      <c r="AB729" s="138"/>
    </row>
    <row r="730" spans="1:28"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c r="AA730" s="138"/>
      <c r="AB730" s="138"/>
    </row>
    <row r="731" spans="1:28"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c r="AA731" s="138"/>
      <c r="AB731" s="138"/>
    </row>
    <row r="732" spans="1:28"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c r="AA732" s="138"/>
      <c r="AB732" s="138"/>
    </row>
    <row r="733" spans="1:28"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c r="AA733" s="138"/>
      <c r="AB733" s="138"/>
    </row>
    <row r="734" spans="1:28"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c r="AA734" s="138"/>
      <c r="AB734" s="138"/>
    </row>
    <row r="735" spans="1:28"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c r="AA735" s="138"/>
      <c r="AB735" s="138"/>
    </row>
    <row r="736" spans="1:28"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c r="AA736" s="138"/>
      <c r="AB736" s="138"/>
    </row>
    <row r="737" spans="1:28"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c r="AA737" s="138"/>
      <c r="AB737" s="138"/>
    </row>
    <row r="738" spans="1:28"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c r="AA738" s="138"/>
      <c r="AB738" s="138"/>
    </row>
    <row r="739" spans="1:28"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c r="AA739" s="138"/>
      <c r="AB739" s="138"/>
    </row>
    <row r="740" spans="1:28"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c r="AA740" s="138"/>
      <c r="AB740" s="138"/>
    </row>
    <row r="741" spans="1:28"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c r="AA741" s="138"/>
      <c r="AB741" s="138"/>
    </row>
    <row r="742" spans="1:28"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c r="AA742" s="138"/>
      <c r="AB742" s="138"/>
    </row>
    <row r="743" spans="1:28"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c r="AA743" s="138"/>
      <c r="AB743" s="138"/>
    </row>
    <row r="744" spans="1:28"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c r="AA744" s="138"/>
      <c r="AB744" s="138"/>
    </row>
    <row r="745" spans="1:28"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c r="AA745" s="138"/>
      <c r="AB745" s="138"/>
    </row>
    <row r="746" spans="1:28"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c r="AA746" s="138"/>
      <c r="AB746" s="138"/>
    </row>
    <row r="747" spans="1:28"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c r="AA747" s="138"/>
      <c r="AB747" s="138"/>
    </row>
    <row r="748" spans="1:28"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c r="AA748" s="138"/>
      <c r="AB748" s="138"/>
    </row>
    <row r="749" spans="1:28"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c r="AA749" s="138"/>
      <c r="AB749" s="138"/>
    </row>
    <row r="750" spans="1:28"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c r="AA750" s="138"/>
      <c r="AB750" s="138"/>
    </row>
    <row r="751" spans="1:28"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c r="AA751" s="138"/>
      <c r="AB751" s="138"/>
    </row>
    <row r="752" spans="1:28"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c r="AA752" s="138"/>
      <c r="AB752" s="138"/>
    </row>
    <row r="753" spans="1:28"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c r="AA753" s="138"/>
      <c r="AB753" s="138"/>
    </row>
    <row r="754" spans="1:28"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c r="AA754" s="138"/>
      <c r="AB754" s="138"/>
    </row>
    <row r="755" spans="1:28"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c r="AA755" s="138"/>
      <c r="AB755" s="138"/>
    </row>
    <row r="756" spans="1:28"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c r="AA756" s="138"/>
      <c r="AB756" s="138"/>
    </row>
    <row r="757" spans="1:28"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c r="AA757" s="138"/>
      <c r="AB757" s="138"/>
    </row>
    <row r="758" spans="1:28"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c r="AA758" s="138"/>
      <c r="AB758" s="138"/>
    </row>
    <row r="759" spans="1:28"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c r="AA759" s="138"/>
      <c r="AB759" s="138"/>
    </row>
    <row r="760" spans="1:28"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c r="AA760" s="138"/>
      <c r="AB760" s="138"/>
    </row>
    <row r="761" spans="1:28"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c r="AA761" s="138"/>
      <c r="AB761" s="138"/>
    </row>
    <row r="762" spans="1:28"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c r="AA762" s="138"/>
      <c r="AB762" s="138"/>
    </row>
    <row r="763" spans="1:28"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c r="AA763" s="138"/>
      <c r="AB763" s="138"/>
    </row>
    <row r="764" spans="1:28"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c r="AA764" s="138"/>
      <c r="AB764" s="138"/>
    </row>
    <row r="765" spans="1:28"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c r="AA765" s="138"/>
      <c r="AB765" s="138"/>
    </row>
    <row r="766" spans="1:28"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c r="AA766" s="138"/>
      <c r="AB766" s="138"/>
    </row>
    <row r="767" spans="1:28"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c r="AA767" s="138"/>
      <c r="AB767" s="138"/>
    </row>
    <row r="768" spans="1:28"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c r="AA768" s="138"/>
      <c r="AB768" s="138"/>
    </row>
    <row r="769" spans="1:28"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c r="AA769" s="138"/>
      <c r="AB769" s="138"/>
    </row>
    <row r="770" spans="1:28"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c r="AA770" s="138"/>
      <c r="AB770" s="138"/>
    </row>
    <row r="771" spans="1:28"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c r="AA771" s="138"/>
      <c r="AB771" s="138"/>
    </row>
    <row r="772" spans="1:28"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c r="AA772" s="138"/>
      <c r="AB772" s="138"/>
    </row>
    <row r="773" spans="1:28"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c r="AA773" s="138"/>
      <c r="AB773" s="138"/>
    </row>
    <row r="774" spans="1:28"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c r="AA774" s="138"/>
      <c r="AB774" s="138"/>
    </row>
    <row r="775" spans="1:28"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c r="AA775" s="138"/>
      <c r="AB775" s="138"/>
    </row>
    <row r="776" spans="1:28"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c r="AA776" s="138"/>
      <c r="AB776" s="138"/>
    </row>
    <row r="777" spans="1:28"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c r="AA777" s="138"/>
      <c r="AB777" s="138"/>
    </row>
    <row r="778" spans="1:28"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c r="AA778" s="138"/>
      <c r="AB778" s="138"/>
    </row>
    <row r="779" spans="1:28"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c r="AA779" s="138"/>
      <c r="AB779" s="138"/>
    </row>
    <row r="780" spans="1:28"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c r="AA780" s="138"/>
      <c r="AB780" s="138"/>
    </row>
    <row r="781" spans="1:28"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c r="AA781" s="138"/>
      <c r="AB781" s="138"/>
    </row>
    <row r="782" spans="1:28"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c r="AA782" s="138"/>
      <c r="AB782" s="138"/>
    </row>
    <row r="783" spans="1:28"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c r="AA783" s="138"/>
      <c r="AB783" s="138"/>
    </row>
    <row r="784" spans="1:28"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c r="AA784" s="138"/>
      <c r="AB784" s="138"/>
    </row>
    <row r="785" spans="1:28"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c r="AA785" s="138"/>
      <c r="AB785" s="138"/>
    </row>
    <row r="786" spans="1:28"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c r="AA786" s="138"/>
      <c r="AB786" s="138"/>
    </row>
    <row r="787" spans="1:28"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c r="AA787" s="138"/>
      <c r="AB787" s="138"/>
    </row>
    <row r="788" spans="1:28"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c r="AA788" s="138"/>
      <c r="AB788" s="138"/>
    </row>
    <row r="789" spans="1:28"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c r="AA789" s="138"/>
      <c r="AB789" s="138"/>
    </row>
    <row r="790" spans="1:28"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c r="AA790" s="138"/>
      <c r="AB790" s="138"/>
    </row>
    <row r="791" spans="1:28"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c r="AA791" s="138"/>
      <c r="AB791" s="138"/>
    </row>
    <row r="792" spans="1:28"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c r="AA792" s="138"/>
      <c r="AB792" s="138"/>
    </row>
    <row r="793" spans="1:28"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c r="AA793" s="138"/>
      <c r="AB793" s="138"/>
    </row>
    <row r="794" spans="1:28"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c r="AA794" s="138"/>
      <c r="AB794" s="138"/>
    </row>
    <row r="795" spans="1:28"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c r="AA795" s="138"/>
      <c r="AB795" s="138"/>
    </row>
    <row r="796" spans="1:28"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c r="AA796" s="138"/>
      <c r="AB796" s="138"/>
    </row>
    <row r="797" spans="1:28"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c r="AA797" s="138"/>
      <c r="AB797" s="138"/>
    </row>
    <row r="798" spans="1:28"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c r="AA798" s="138"/>
      <c r="AB798" s="138"/>
    </row>
    <row r="799" spans="1:28"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c r="AA799" s="138"/>
      <c r="AB799" s="138"/>
    </row>
    <row r="800" spans="1:28"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c r="AA800" s="138"/>
      <c r="AB800" s="138"/>
    </row>
    <row r="801" spans="1:28"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c r="AA801" s="138"/>
      <c r="AB801" s="138"/>
    </row>
    <row r="802" spans="1:28"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c r="AA802" s="138"/>
      <c r="AB802" s="138"/>
    </row>
    <row r="803" spans="1:28"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c r="AA803" s="138"/>
      <c r="AB803" s="138"/>
    </row>
    <row r="804" spans="1:28"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c r="AA804" s="138"/>
      <c r="AB804" s="138"/>
    </row>
    <row r="805" spans="1:28"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c r="AA805" s="138"/>
      <c r="AB805" s="138"/>
    </row>
    <row r="806" spans="1:28"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c r="AA806" s="138"/>
      <c r="AB806" s="138"/>
    </row>
    <row r="807" spans="1:28"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c r="AA807" s="138"/>
      <c r="AB807" s="138"/>
    </row>
    <row r="808" spans="1:28"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c r="AA808" s="138"/>
      <c r="AB808" s="138"/>
    </row>
    <row r="809" spans="1:28"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c r="AA809" s="138"/>
      <c r="AB809" s="138"/>
    </row>
    <row r="810" spans="1:28"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c r="AA810" s="138"/>
      <c r="AB810" s="138"/>
    </row>
    <row r="811" spans="1:28"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c r="AA811" s="138"/>
      <c r="AB811" s="138"/>
    </row>
    <row r="812" spans="1:28"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c r="AA812" s="138"/>
      <c r="AB812" s="138"/>
    </row>
    <row r="813" spans="1:28"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c r="AA813" s="138"/>
      <c r="AB813" s="138"/>
    </row>
    <row r="814" spans="1:28"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c r="AA814" s="138"/>
      <c r="AB814" s="138"/>
    </row>
    <row r="815" spans="1:28"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c r="AA815" s="138"/>
      <c r="AB815" s="138"/>
    </row>
    <row r="816" spans="1:28"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c r="AA816" s="138"/>
      <c r="AB816" s="138"/>
    </row>
    <row r="817" spans="1:28"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c r="AA817" s="138"/>
      <c r="AB817" s="138"/>
    </row>
    <row r="818" spans="1:28"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c r="AA818" s="138"/>
      <c r="AB818" s="138"/>
    </row>
    <row r="819" spans="1:28"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c r="AA819" s="138"/>
      <c r="AB819" s="138"/>
    </row>
    <row r="820" spans="1:28"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c r="AA820" s="138"/>
      <c r="AB820" s="138"/>
    </row>
    <row r="821" spans="1:28"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c r="AA821" s="138"/>
      <c r="AB821" s="138"/>
    </row>
    <row r="822" spans="1:28"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c r="AA822" s="138"/>
      <c r="AB822" s="138"/>
    </row>
    <row r="823" spans="1:28"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c r="AA823" s="138"/>
      <c r="AB823" s="138"/>
    </row>
    <row r="824" spans="1:28"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c r="AA824" s="138"/>
      <c r="AB824" s="138"/>
    </row>
    <row r="825" spans="1:28"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c r="AA825" s="138"/>
      <c r="AB825" s="138"/>
    </row>
    <row r="826" spans="1:28"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c r="AA826" s="138"/>
      <c r="AB826" s="138"/>
    </row>
    <row r="827" spans="1:28"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c r="AA827" s="138"/>
      <c r="AB827" s="138"/>
    </row>
    <row r="828" spans="1:28"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c r="AA828" s="138"/>
      <c r="AB828" s="138"/>
    </row>
    <row r="829" spans="1:28"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c r="AA829" s="138"/>
      <c r="AB829" s="138"/>
    </row>
    <row r="830" spans="1:28"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c r="AA830" s="138"/>
      <c r="AB830" s="138"/>
    </row>
    <row r="831" spans="1:28"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c r="AA831" s="138"/>
      <c r="AB831" s="138"/>
    </row>
    <row r="832" spans="1:28"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c r="AA832" s="138"/>
      <c r="AB832" s="138"/>
    </row>
    <row r="833" spans="1:28"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c r="AA833" s="138"/>
      <c r="AB833" s="138"/>
    </row>
    <row r="834" spans="1:28"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c r="AA834" s="138"/>
      <c r="AB834" s="138"/>
    </row>
    <row r="835" spans="1:28"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c r="AA835" s="138"/>
      <c r="AB835" s="138"/>
    </row>
    <row r="836" spans="1:28"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c r="AA836" s="138"/>
      <c r="AB836" s="138"/>
    </row>
    <row r="837" spans="1:28"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c r="AA837" s="138"/>
      <c r="AB837" s="138"/>
    </row>
    <row r="838" spans="1:28"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c r="AA838" s="138"/>
      <c r="AB838" s="138"/>
    </row>
    <row r="839" spans="1:28"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c r="AA839" s="138"/>
      <c r="AB839" s="138"/>
    </row>
    <row r="840" spans="1:28"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c r="AA840" s="138"/>
      <c r="AB840" s="138"/>
    </row>
    <row r="841" spans="1:28"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c r="AA841" s="138"/>
      <c r="AB841" s="138"/>
    </row>
    <row r="842" spans="1:28"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c r="AA842" s="138"/>
      <c r="AB842" s="138"/>
    </row>
    <row r="843" spans="1:28"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c r="AA843" s="138"/>
      <c r="AB843" s="138"/>
    </row>
    <row r="844" spans="1:28"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c r="AA844" s="138"/>
      <c r="AB844" s="138"/>
    </row>
    <row r="845" spans="1:28"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c r="AA845" s="138"/>
      <c r="AB845" s="138"/>
    </row>
    <row r="846" spans="1:28"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c r="AA846" s="138"/>
      <c r="AB846" s="138"/>
    </row>
    <row r="847" spans="1:28"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c r="AA847" s="138"/>
      <c r="AB847" s="138"/>
    </row>
    <row r="848" spans="1:28"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c r="AA848" s="138"/>
      <c r="AB848" s="138"/>
    </row>
    <row r="849" spans="1:28"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c r="AA849" s="138"/>
      <c r="AB849" s="138"/>
    </row>
    <row r="850" spans="1:28"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c r="AA850" s="138"/>
      <c r="AB850" s="138"/>
    </row>
    <row r="851" spans="1:28"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c r="AA851" s="138"/>
      <c r="AB851" s="138"/>
    </row>
    <row r="852" spans="1:28"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c r="AA852" s="138"/>
      <c r="AB852" s="138"/>
    </row>
    <row r="853" spans="1:28"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c r="AA853" s="138"/>
      <c r="AB853" s="138"/>
    </row>
    <row r="854" spans="1:28"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c r="AA854" s="138"/>
      <c r="AB854" s="138"/>
    </row>
    <row r="855" spans="1:28"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c r="AA855" s="138"/>
      <c r="AB855" s="138"/>
    </row>
    <row r="856" spans="1:28"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c r="AA856" s="138"/>
      <c r="AB856" s="138"/>
    </row>
    <row r="857" spans="1:28"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c r="AA857" s="138"/>
      <c r="AB857" s="138"/>
    </row>
    <row r="858" spans="1:28"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c r="AA858" s="138"/>
      <c r="AB858" s="138"/>
    </row>
    <row r="859" spans="1:28"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c r="AA859" s="138"/>
      <c r="AB859" s="138"/>
    </row>
    <row r="860" spans="1:28"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c r="AA860" s="138"/>
      <c r="AB860" s="138"/>
    </row>
    <row r="861" spans="1:28"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c r="AA861" s="138"/>
      <c r="AB861" s="138"/>
    </row>
    <row r="862" spans="1:28"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c r="AA862" s="138"/>
      <c r="AB862" s="138"/>
    </row>
    <row r="863" spans="1:28"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c r="AA863" s="138"/>
      <c r="AB863" s="138"/>
    </row>
    <row r="864" spans="1:28"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c r="AA864" s="138"/>
      <c r="AB864" s="138"/>
    </row>
    <row r="865" spans="1:28"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c r="AA865" s="138"/>
      <c r="AB865" s="138"/>
    </row>
    <row r="866" spans="1:28"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c r="AA866" s="138"/>
      <c r="AB866" s="138"/>
    </row>
    <row r="867" spans="1:28"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c r="AA867" s="138"/>
      <c r="AB867" s="138"/>
    </row>
    <row r="868" spans="1:28"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c r="AA868" s="138"/>
      <c r="AB868" s="138"/>
    </row>
    <row r="869" spans="1:28"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c r="AA869" s="138"/>
      <c r="AB869" s="138"/>
    </row>
    <row r="870" spans="1:28"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c r="AA870" s="138"/>
      <c r="AB870" s="138"/>
    </row>
    <row r="871" spans="1:28"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c r="AA871" s="138"/>
      <c r="AB871" s="138"/>
    </row>
    <row r="872" spans="1:28"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c r="AA872" s="138"/>
      <c r="AB872" s="138"/>
    </row>
    <row r="873" spans="1:28"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c r="AA873" s="138"/>
      <c r="AB873" s="138"/>
    </row>
    <row r="874" spans="1:28"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c r="AA874" s="138"/>
      <c r="AB874" s="138"/>
    </row>
    <row r="875" spans="1:28"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c r="AA875" s="138"/>
      <c r="AB875" s="138"/>
    </row>
    <row r="876" spans="1:28"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c r="AA876" s="138"/>
      <c r="AB876" s="138"/>
    </row>
    <row r="877" spans="1:28"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c r="AA877" s="138"/>
      <c r="AB877" s="138"/>
    </row>
    <row r="878" spans="1:28"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c r="AA878" s="138"/>
      <c r="AB878" s="138"/>
    </row>
    <row r="879" spans="1:28"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c r="AA879" s="138"/>
      <c r="AB879" s="138"/>
    </row>
    <row r="880" spans="1:28"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c r="AA880" s="138"/>
      <c r="AB880" s="138"/>
    </row>
    <row r="881" spans="1:28"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c r="AA881" s="138"/>
      <c r="AB881" s="138"/>
    </row>
    <row r="882" spans="1:28"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c r="AA882" s="138"/>
      <c r="AB882" s="138"/>
    </row>
    <row r="883" spans="1:28"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c r="AA883" s="138"/>
      <c r="AB883" s="138"/>
    </row>
    <row r="884" spans="1:28"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c r="AA884" s="138"/>
      <c r="AB884" s="138"/>
    </row>
    <row r="885" spans="1:28"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c r="AA885" s="138"/>
      <c r="AB885" s="138"/>
    </row>
    <row r="886" spans="1:28"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c r="AA886" s="138"/>
      <c r="AB886" s="138"/>
    </row>
    <row r="887" spans="1:28"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c r="AA887" s="138"/>
      <c r="AB887" s="138"/>
    </row>
    <row r="888" spans="1:28"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c r="AA888" s="138"/>
      <c r="AB888" s="138"/>
    </row>
    <row r="889" spans="1:28"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c r="AA889" s="138"/>
      <c r="AB889" s="138"/>
    </row>
    <row r="890" spans="1:28"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c r="AA890" s="138"/>
      <c r="AB890" s="138"/>
    </row>
    <row r="891" spans="1:28"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c r="AA891" s="138"/>
      <c r="AB891" s="138"/>
    </row>
    <row r="892" spans="1:28"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c r="AA892" s="138"/>
      <c r="AB892" s="138"/>
    </row>
    <row r="893" spans="1:28"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c r="AA893" s="138"/>
      <c r="AB893" s="138"/>
    </row>
    <row r="894" spans="1:28"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c r="AA894" s="138"/>
      <c r="AB894" s="138"/>
    </row>
    <row r="895" spans="1:28"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c r="AA895" s="138"/>
      <c r="AB895" s="138"/>
    </row>
    <row r="896" spans="1:28"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c r="AA896" s="138"/>
      <c r="AB896" s="138"/>
    </row>
    <row r="897" spans="1:28"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c r="AA897" s="138"/>
      <c r="AB897" s="138"/>
    </row>
    <row r="898" spans="1:28"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c r="AA898" s="138"/>
      <c r="AB898" s="138"/>
    </row>
    <row r="899" spans="1:28"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c r="AA899" s="138"/>
      <c r="AB899" s="138"/>
    </row>
    <row r="900" spans="1:28"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c r="AA900" s="138"/>
      <c r="AB900" s="138"/>
    </row>
    <row r="901" spans="1:28"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c r="AA901" s="138"/>
      <c r="AB901" s="138"/>
    </row>
    <row r="902" spans="1:28"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c r="AA902" s="138"/>
      <c r="AB902" s="138"/>
    </row>
    <row r="903" spans="1:28"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c r="AA903" s="138"/>
      <c r="AB903" s="138"/>
    </row>
    <row r="904" spans="1:28"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c r="AA904" s="138"/>
      <c r="AB904" s="138"/>
    </row>
    <row r="905" spans="1:28"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c r="AA905" s="138"/>
      <c r="AB905" s="138"/>
    </row>
    <row r="906" spans="1:28"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c r="AA906" s="138"/>
      <c r="AB906" s="138"/>
    </row>
    <row r="907" spans="1:28"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c r="AA907" s="138"/>
      <c r="AB907" s="138"/>
    </row>
    <row r="908" spans="1:28"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c r="AA908" s="138"/>
      <c r="AB908" s="138"/>
    </row>
    <row r="909" spans="1:28"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c r="AA909" s="138"/>
      <c r="AB909" s="138"/>
    </row>
    <row r="910" spans="1:28"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c r="AA910" s="138"/>
      <c r="AB910" s="138"/>
    </row>
    <row r="911" spans="1:28"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c r="AA911" s="138"/>
      <c r="AB911" s="138"/>
    </row>
    <row r="912" spans="1:28"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c r="AA912" s="138"/>
      <c r="AB912" s="138"/>
    </row>
    <row r="913" spans="1:28"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c r="AA913" s="138"/>
      <c r="AB913" s="138"/>
    </row>
    <row r="914" spans="1:28"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c r="AA914" s="138"/>
      <c r="AB914" s="138"/>
    </row>
    <row r="915" spans="1:28"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c r="AA915" s="138"/>
      <c r="AB915" s="138"/>
    </row>
    <row r="916" spans="1:28"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c r="AA916" s="138"/>
      <c r="AB916" s="138"/>
    </row>
    <row r="917" spans="1:28"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c r="AA917" s="138"/>
      <c r="AB917" s="138"/>
    </row>
    <row r="918" spans="1:28"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c r="AA918" s="138"/>
      <c r="AB918" s="138"/>
    </row>
    <row r="919" spans="1:28"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c r="AA919" s="138"/>
      <c r="AB919" s="138"/>
    </row>
    <row r="920" spans="1:28"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c r="AA920" s="138"/>
      <c r="AB920" s="138"/>
    </row>
    <row r="921" spans="1:28"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c r="AA921" s="138"/>
      <c r="AB921" s="138"/>
    </row>
    <row r="922" spans="1:28"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c r="AA922" s="138"/>
      <c r="AB922" s="138"/>
    </row>
    <row r="923" spans="1:28"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c r="AA923" s="138"/>
      <c r="AB923" s="138"/>
    </row>
    <row r="924" spans="1:28"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c r="AA924" s="138"/>
      <c r="AB924" s="138"/>
    </row>
    <row r="925" spans="1:28"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c r="AA925" s="138"/>
      <c r="AB925" s="138"/>
    </row>
    <row r="926" spans="1:28"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c r="AA926" s="138"/>
      <c r="AB926" s="138"/>
    </row>
    <row r="927" spans="1:28"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c r="AA927" s="138"/>
      <c r="AB927" s="138"/>
    </row>
    <row r="928" spans="1:28"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c r="AA928" s="138"/>
      <c r="AB928" s="138"/>
    </row>
    <row r="929" spans="1:28"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c r="AA929" s="138"/>
      <c r="AB929" s="138"/>
    </row>
    <row r="930" spans="1:28"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c r="AA930" s="138"/>
      <c r="AB930" s="138"/>
    </row>
    <row r="931" spans="1:28"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c r="AA931" s="138"/>
      <c r="AB931" s="138"/>
    </row>
    <row r="932" spans="1:28"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c r="AA932" s="138"/>
      <c r="AB932" s="138"/>
    </row>
    <row r="933" spans="1:28"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c r="AA933" s="138"/>
      <c r="AB933" s="138"/>
    </row>
    <row r="934" spans="1:28"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c r="AA934" s="138"/>
      <c r="AB934" s="138"/>
    </row>
    <row r="935" spans="1:28"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c r="AA935" s="138"/>
      <c r="AB935" s="138"/>
    </row>
    <row r="936" spans="1:28"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c r="AA936" s="138"/>
      <c r="AB936" s="138"/>
    </row>
    <row r="937" spans="1:28"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c r="AA937" s="138"/>
      <c r="AB937" s="138"/>
    </row>
    <row r="938" spans="1:28"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c r="AA938" s="138"/>
      <c r="AB938" s="138"/>
    </row>
    <row r="939" spans="1:28"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c r="AA939" s="138"/>
      <c r="AB939" s="138"/>
    </row>
    <row r="940" spans="1:28"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c r="AA940" s="138"/>
      <c r="AB940" s="138"/>
    </row>
    <row r="941" spans="1:28"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c r="AA941" s="138"/>
      <c r="AB941" s="138"/>
    </row>
    <row r="942" spans="1:28"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c r="AA942" s="138"/>
      <c r="AB942" s="138"/>
    </row>
    <row r="943" spans="1:28"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c r="AA943" s="138"/>
      <c r="AB943" s="138"/>
    </row>
    <row r="944" spans="1:28"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c r="AA944" s="138"/>
      <c r="AB944" s="138"/>
    </row>
    <row r="945" spans="1:28"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c r="AA945" s="138"/>
      <c r="AB945" s="138"/>
    </row>
    <row r="946" spans="1:28"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c r="AA946" s="138"/>
      <c r="AB946" s="138"/>
    </row>
    <row r="947" spans="1:28"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c r="AA947" s="138"/>
      <c r="AB947" s="138"/>
    </row>
    <row r="948" spans="1:28"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c r="AA948" s="138"/>
      <c r="AB948" s="138"/>
    </row>
    <row r="949" spans="1:28"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c r="AA949" s="138"/>
      <c r="AB949" s="138"/>
    </row>
    <row r="950" spans="1:28"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c r="AA950" s="138"/>
      <c r="AB950" s="138"/>
    </row>
    <row r="951" spans="1:28"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c r="AA951" s="138"/>
      <c r="AB951" s="138"/>
    </row>
    <row r="952" spans="1:28"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c r="AA952" s="138"/>
      <c r="AB952" s="138"/>
    </row>
    <row r="953" spans="1:28"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c r="AA953" s="138"/>
      <c r="AB953" s="138"/>
    </row>
    <row r="954" spans="1:28"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c r="AA954" s="138"/>
      <c r="AB954" s="138"/>
    </row>
    <row r="955" spans="1:28"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c r="AA955" s="138"/>
      <c r="AB955" s="138"/>
    </row>
    <row r="956" spans="1:28"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c r="AA956" s="138"/>
      <c r="AB956" s="138"/>
    </row>
    <row r="957" spans="1:28"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c r="AA957" s="138"/>
      <c r="AB957" s="138"/>
    </row>
    <row r="958" spans="1:28"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c r="AA958" s="138"/>
      <c r="AB958" s="138"/>
    </row>
    <row r="959" spans="1:28"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c r="AA959" s="138"/>
      <c r="AB959" s="138"/>
    </row>
    <row r="960" spans="1:28"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c r="AA960" s="138"/>
      <c r="AB960" s="138"/>
    </row>
    <row r="961" spans="1:28"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c r="AA961" s="138"/>
      <c r="AB961" s="138"/>
    </row>
    <row r="962" spans="1:28"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c r="AA962" s="138"/>
      <c r="AB962" s="138"/>
    </row>
    <row r="963" spans="1:28"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c r="AA963" s="138"/>
      <c r="AB963" s="138"/>
    </row>
    <row r="964" spans="1:28"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c r="AA964" s="138"/>
      <c r="AB964" s="138"/>
    </row>
    <row r="965" spans="1:28"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c r="AA965" s="138"/>
      <c r="AB965" s="138"/>
    </row>
    <row r="966" spans="1:28"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c r="AA966" s="138"/>
      <c r="AB966" s="138"/>
    </row>
    <row r="967" spans="1:28"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c r="AA967" s="138"/>
      <c r="AB967" s="138"/>
    </row>
    <row r="968" spans="1:28" ht="14.25" customHeight="1">
      <c r="I968" s="138"/>
      <c r="J968" s="138"/>
      <c r="K968" s="138"/>
      <c r="L968" s="138"/>
      <c r="M968" s="138"/>
      <c r="N968" s="138"/>
      <c r="O968" s="138"/>
      <c r="P968" s="138"/>
      <c r="Q968" s="138"/>
      <c r="R968" s="138"/>
      <c r="S968" s="138"/>
      <c r="T968" s="138"/>
      <c r="U968" s="138"/>
      <c r="V968" s="138"/>
      <c r="W968" s="138"/>
      <c r="X968" s="138"/>
      <c r="Y968" s="138"/>
      <c r="Z968" s="138"/>
      <c r="AA968" s="138"/>
      <c r="AB968" s="138"/>
    </row>
  </sheetData>
  <autoFilter ref="A1:H75">
    <sortState ref="A2:H75">
      <sortCondition descending="1" ref="H1:H75"/>
    </sortState>
  </autoFilter>
  <pageMargins left="0.7" right="0.7" top="0.75" bottom="0.75" header="0" footer="0"/>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2D69B"/>
  </sheetPr>
  <dimension ref="A1:Z976"/>
  <sheetViews>
    <sheetView workbookViewId="0"/>
  </sheetViews>
  <sheetFormatPr baseColWidth="10" defaultColWidth="12.58203125" defaultRowHeight="15" customHeight="1"/>
  <cols>
    <col min="1" max="2" width="11" customWidth="1"/>
    <col min="3" max="3" width="13.9140625" customWidth="1"/>
    <col min="4" max="4" width="23.58203125" customWidth="1"/>
    <col min="5" max="5" width="11.1640625" customWidth="1"/>
    <col min="6" max="6" width="13.4140625" customWidth="1"/>
    <col min="7" max="7" width="23.58203125" customWidth="1"/>
    <col min="8" max="8" width="11.58203125" customWidth="1"/>
    <col min="9" max="10" width="11" customWidth="1"/>
    <col min="11" max="11" width="13" bestFit="1" customWidth="1"/>
    <col min="12" max="12" width="13.1640625" customWidth="1"/>
    <col min="13" max="13" width="13.6640625" customWidth="1"/>
    <col min="14" max="26" width="11" customWidth="1"/>
  </cols>
  <sheetData>
    <row r="1" spans="1:26" ht="14.25" customHeight="1">
      <c r="A1" s="1057" t="s">
        <v>252</v>
      </c>
      <c r="B1" s="1063" t="s">
        <v>9</v>
      </c>
      <c r="C1" s="1063" t="s">
        <v>253</v>
      </c>
      <c r="D1" s="1063" t="s">
        <v>254</v>
      </c>
      <c r="E1" s="1059" t="s">
        <v>841</v>
      </c>
      <c r="F1" s="1059" t="s">
        <v>903</v>
      </c>
      <c r="G1" s="1057" t="s">
        <v>257</v>
      </c>
      <c r="H1" s="1061" t="s">
        <v>258</v>
      </c>
      <c r="I1" s="138"/>
      <c r="J1" s="138"/>
      <c r="K1" s="988">
        <v>45230</v>
      </c>
      <c r="L1" s="140" t="s">
        <v>255</v>
      </c>
      <c r="M1" s="140" t="s">
        <v>256</v>
      </c>
      <c r="N1" s="138"/>
      <c r="O1" s="138"/>
      <c r="P1" s="138"/>
      <c r="Q1" s="138"/>
      <c r="R1" s="138"/>
      <c r="S1" s="138"/>
      <c r="T1" s="138"/>
      <c r="U1" s="138"/>
      <c r="V1" s="138"/>
      <c r="W1" s="138"/>
      <c r="X1" s="138"/>
      <c r="Y1" s="138"/>
      <c r="Z1" s="138"/>
    </row>
    <row r="2" spans="1:26" ht="14.25" customHeight="1">
      <c r="A2" s="1058" t="s">
        <v>3437</v>
      </c>
      <c r="B2" s="1058" t="s">
        <v>264</v>
      </c>
      <c r="C2" s="1058" t="s">
        <v>267</v>
      </c>
      <c r="D2" s="1058" t="s">
        <v>265</v>
      </c>
      <c r="E2" s="1060">
        <v>33666.97</v>
      </c>
      <c r="F2" s="1060">
        <v>-31504.85</v>
      </c>
      <c r="G2" s="1058" t="s">
        <v>3438</v>
      </c>
      <c r="H2" s="1055">
        <v>142</v>
      </c>
      <c r="I2" s="138"/>
      <c r="J2" s="138"/>
      <c r="K2" s="140" t="s">
        <v>261</v>
      </c>
      <c r="L2" s="1005">
        <f t="shared" ref="L2:M2" si="0">+SUM(E2:E9963)</f>
        <v>3059537.15</v>
      </c>
      <c r="M2" s="1006">
        <f t="shared" si="0"/>
        <v>-2668371.9500000002</v>
      </c>
      <c r="N2" s="138"/>
      <c r="O2" s="138"/>
      <c r="P2" s="138"/>
      <c r="Q2" s="138"/>
      <c r="R2" s="138"/>
      <c r="S2" s="138"/>
      <c r="T2" s="138"/>
      <c r="U2" s="138"/>
      <c r="V2" s="138"/>
      <c r="W2" s="138"/>
      <c r="X2" s="138"/>
      <c r="Y2" s="138"/>
      <c r="Z2" s="138"/>
    </row>
    <row r="3" spans="1:26" ht="14.25" customHeight="1">
      <c r="A3" s="1058" t="s">
        <v>3435</v>
      </c>
      <c r="B3" s="1058" t="s">
        <v>3439</v>
      </c>
      <c r="C3" s="1058" t="s">
        <v>267</v>
      </c>
      <c r="D3" s="1058" t="s">
        <v>262</v>
      </c>
      <c r="E3" s="1060">
        <v>56706.1</v>
      </c>
      <c r="F3" s="1060">
        <v>-57628.2</v>
      </c>
      <c r="G3" s="1058" t="s">
        <v>3436</v>
      </c>
      <c r="H3" s="1055">
        <v>142</v>
      </c>
      <c r="I3" s="138"/>
      <c r="J3" s="138"/>
      <c r="K3" s="138" t="s">
        <v>263</v>
      </c>
      <c r="L3" s="4">
        <f>COUNT(E:E)</f>
        <v>71</v>
      </c>
      <c r="M3" s="144">
        <f>-M2/L2</f>
        <v>0.87214889677021912</v>
      </c>
      <c r="N3" s="138"/>
      <c r="O3" s="138"/>
      <c r="P3" s="138"/>
      <c r="Q3" s="138"/>
      <c r="R3" s="138"/>
      <c r="S3" s="138"/>
      <c r="T3" s="138"/>
      <c r="U3" s="138"/>
      <c r="V3" s="138"/>
      <c r="W3" s="138"/>
      <c r="X3" s="138"/>
      <c r="Y3" s="138"/>
      <c r="Z3" s="138"/>
    </row>
    <row r="4" spans="1:26" ht="14.25" customHeight="1">
      <c r="A4" s="1058" t="s">
        <v>3456</v>
      </c>
      <c r="B4" s="1058" t="s">
        <v>264</v>
      </c>
      <c r="C4" s="1058" t="s">
        <v>267</v>
      </c>
      <c r="D4" s="1058" t="s">
        <v>265</v>
      </c>
      <c r="E4" s="1060">
        <v>31163.98</v>
      </c>
      <c r="F4" s="1060">
        <v>-32628.75</v>
      </c>
      <c r="G4" s="1058" t="s">
        <v>3457</v>
      </c>
      <c r="H4" s="1055">
        <v>116</v>
      </c>
      <c r="I4" s="138"/>
      <c r="J4" s="138"/>
      <c r="K4" s="138"/>
      <c r="L4" s="138"/>
      <c r="M4" s="138"/>
      <c r="N4" s="138"/>
      <c r="O4" s="138"/>
      <c r="P4" s="138"/>
      <c r="Q4" s="138"/>
      <c r="R4" s="138"/>
      <c r="S4" s="138"/>
      <c r="T4" s="138"/>
      <c r="U4" s="138"/>
      <c r="V4" s="138"/>
      <c r="W4" s="138"/>
      <c r="X4" s="138"/>
      <c r="Y4" s="138"/>
      <c r="Z4" s="138"/>
    </row>
    <row r="5" spans="1:26" ht="14.25" customHeight="1">
      <c r="A5" s="1058" t="s">
        <v>3454</v>
      </c>
      <c r="B5" s="1058" t="s">
        <v>264</v>
      </c>
      <c r="C5" s="1058" t="s">
        <v>267</v>
      </c>
      <c r="D5" s="1058" t="s">
        <v>976</v>
      </c>
      <c r="E5" s="1060">
        <v>38081.07</v>
      </c>
      <c r="F5" s="1060">
        <v>-39936.75</v>
      </c>
      <c r="G5" s="1058" t="s">
        <v>3455</v>
      </c>
      <c r="H5" s="1055">
        <v>111</v>
      </c>
      <c r="I5" s="138"/>
      <c r="J5" s="138"/>
      <c r="K5" s="138"/>
      <c r="L5" s="138"/>
      <c r="M5" s="138"/>
      <c r="N5" s="138"/>
      <c r="O5" s="138"/>
      <c r="P5" s="138"/>
      <c r="Q5" s="138"/>
      <c r="R5" s="138"/>
      <c r="S5" s="138"/>
      <c r="T5" s="138"/>
      <c r="U5" s="138"/>
      <c r="V5" s="138"/>
      <c r="W5" s="138"/>
      <c r="X5" s="138"/>
      <c r="Y5" s="138"/>
      <c r="Z5" s="138"/>
    </row>
    <row r="6" spans="1:26" ht="14.25" customHeight="1">
      <c r="A6" s="1058" t="s">
        <v>3450</v>
      </c>
      <c r="B6" s="1058" t="s">
        <v>3439</v>
      </c>
      <c r="C6" s="1058" t="s">
        <v>267</v>
      </c>
      <c r="D6" s="1058" t="s">
        <v>262</v>
      </c>
      <c r="E6" s="1060">
        <v>50511.98</v>
      </c>
      <c r="F6" s="1060">
        <v>-51427.95</v>
      </c>
      <c r="G6" s="1058" t="s">
        <v>3451</v>
      </c>
      <c r="H6" s="1055">
        <v>108</v>
      </c>
      <c r="I6" s="138"/>
      <c r="J6" s="138"/>
      <c r="K6" s="139" t="s">
        <v>3319</v>
      </c>
      <c r="L6" s="1004">
        <f>SUM(E2:E12)</f>
        <v>532950.78999999992</v>
      </c>
      <c r="M6" s="1004">
        <f>SUM(F2:F12)</f>
        <v>-378366.05</v>
      </c>
      <c r="N6" s="138"/>
      <c r="O6" s="138"/>
      <c r="P6" s="138"/>
      <c r="Q6" s="138"/>
      <c r="R6" s="138"/>
      <c r="S6" s="138"/>
      <c r="T6" s="138"/>
      <c r="U6" s="138"/>
      <c r="V6" s="138"/>
      <c r="W6" s="138"/>
      <c r="X6" s="138"/>
      <c r="Y6" s="138"/>
      <c r="Z6" s="138"/>
    </row>
    <row r="7" spans="1:26" ht="14.25" customHeight="1">
      <c r="A7" s="1058" t="s">
        <v>3448</v>
      </c>
      <c r="B7" s="1058" t="s">
        <v>3439</v>
      </c>
      <c r="C7" s="1058" t="s">
        <v>267</v>
      </c>
      <c r="D7" s="1058" t="s">
        <v>3458</v>
      </c>
      <c r="E7" s="1060">
        <v>54659.17</v>
      </c>
      <c r="F7" s="1060">
        <v>-57051.75</v>
      </c>
      <c r="G7" s="1058" t="s">
        <v>3449</v>
      </c>
      <c r="H7" s="1055">
        <v>104</v>
      </c>
      <c r="I7" s="138"/>
      <c r="J7" s="138"/>
      <c r="K7" s="138"/>
      <c r="L7" s="1010">
        <v>2</v>
      </c>
      <c r="M7" s="145"/>
      <c r="N7" s="138"/>
      <c r="O7" s="138"/>
      <c r="P7" s="138"/>
      <c r="Q7" s="138"/>
      <c r="R7" s="138"/>
      <c r="S7" s="138"/>
      <c r="T7" s="138"/>
      <c r="U7" s="138"/>
      <c r="V7" s="138"/>
      <c r="W7" s="138"/>
      <c r="X7" s="138"/>
      <c r="Y7" s="138"/>
      <c r="Z7" s="138"/>
    </row>
    <row r="8" spans="1:26" ht="14.25" customHeight="1">
      <c r="A8" s="1058" t="s">
        <v>3452</v>
      </c>
      <c r="B8" s="1058" t="s">
        <v>3439</v>
      </c>
      <c r="C8" s="1058" t="s">
        <v>267</v>
      </c>
      <c r="D8" s="1058" t="s">
        <v>3458</v>
      </c>
      <c r="E8" s="1060">
        <v>48328.17</v>
      </c>
      <c r="F8" s="1060">
        <v>-51136.05</v>
      </c>
      <c r="G8" s="1058" t="s">
        <v>3453</v>
      </c>
      <c r="H8" s="1055">
        <v>97</v>
      </c>
      <c r="I8" s="138"/>
      <c r="J8" s="138"/>
      <c r="K8" s="138"/>
      <c r="L8" s="4"/>
      <c r="M8" s="144"/>
      <c r="N8" s="138"/>
      <c r="O8" s="138"/>
      <c r="P8" s="138"/>
      <c r="Q8" s="138"/>
      <c r="R8" s="138"/>
      <c r="S8" s="138"/>
      <c r="T8" s="138"/>
      <c r="U8" s="138"/>
      <c r="V8" s="138"/>
      <c r="W8" s="138"/>
      <c r="X8" s="138"/>
      <c r="Y8" s="138"/>
      <c r="Z8" s="138"/>
    </row>
    <row r="9" spans="1:26" ht="14.25" customHeight="1">
      <c r="A9" s="1058" t="s">
        <v>3446</v>
      </c>
      <c r="B9" s="1058" t="s">
        <v>3439</v>
      </c>
      <c r="C9" s="1058" t="s">
        <v>267</v>
      </c>
      <c r="D9" s="1058" t="s">
        <v>3458</v>
      </c>
      <c r="E9" s="1060">
        <v>57229.1</v>
      </c>
      <c r="F9" s="1056"/>
      <c r="G9" s="1058" t="s">
        <v>3447</v>
      </c>
      <c r="H9" s="1055">
        <v>93</v>
      </c>
      <c r="I9" s="138"/>
      <c r="J9" s="138"/>
      <c r="K9" s="139" t="s">
        <v>3343</v>
      </c>
      <c r="L9" s="1004">
        <v>0</v>
      </c>
      <c r="M9" s="1004">
        <v>0</v>
      </c>
      <c r="N9" s="138"/>
      <c r="O9" s="138"/>
      <c r="P9" s="138"/>
      <c r="Q9" s="138"/>
      <c r="R9" s="138"/>
      <c r="S9" s="138"/>
      <c r="T9" s="138"/>
      <c r="U9" s="138"/>
      <c r="V9" s="138"/>
      <c r="W9" s="138"/>
      <c r="X9" s="138"/>
      <c r="Y9" s="138"/>
      <c r="Z9" s="138"/>
    </row>
    <row r="10" spans="1:26" ht="14.25" customHeight="1">
      <c r="A10" s="1058" t="s">
        <v>3481</v>
      </c>
      <c r="B10" s="1058" t="s">
        <v>3439</v>
      </c>
      <c r="C10" s="1058" t="s">
        <v>267</v>
      </c>
      <c r="D10" s="1058" t="s">
        <v>262</v>
      </c>
      <c r="E10" s="1060">
        <v>58141.01</v>
      </c>
      <c r="F10" s="1056"/>
      <c r="G10" s="1058" t="s">
        <v>3482</v>
      </c>
      <c r="H10" s="1055">
        <v>90</v>
      </c>
      <c r="I10" s="138"/>
      <c r="J10" s="138"/>
      <c r="K10" s="138"/>
      <c r="L10" s="1011">
        <v>0</v>
      </c>
      <c r="M10" s="145"/>
      <c r="N10" s="138"/>
      <c r="O10" s="138"/>
      <c r="P10" s="138"/>
      <c r="Q10" s="138"/>
      <c r="R10" s="138"/>
      <c r="S10" s="138"/>
      <c r="T10" s="138"/>
      <c r="U10" s="138"/>
      <c r="V10" s="138"/>
      <c r="W10" s="138"/>
      <c r="X10" s="138"/>
      <c r="Y10" s="138"/>
      <c r="Z10" s="138"/>
    </row>
    <row r="11" spans="1:26" ht="14.25" customHeight="1">
      <c r="A11" s="1058" t="s">
        <v>3485</v>
      </c>
      <c r="B11" s="1058" t="s">
        <v>3439</v>
      </c>
      <c r="C11" s="1058" t="s">
        <v>267</v>
      </c>
      <c r="D11" s="1058" t="s">
        <v>262</v>
      </c>
      <c r="E11" s="1060">
        <v>48171.23</v>
      </c>
      <c r="F11" s="1056"/>
      <c r="G11" s="1058" t="s">
        <v>3486</v>
      </c>
      <c r="H11" s="1055">
        <v>90</v>
      </c>
      <c r="I11" s="138"/>
      <c r="J11" s="138"/>
      <c r="K11" s="138"/>
      <c r="L11" s="138"/>
      <c r="M11" s="138"/>
      <c r="N11" s="138"/>
      <c r="O11" s="138"/>
      <c r="P11" s="138"/>
      <c r="Q11" s="138"/>
      <c r="R11" s="138"/>
      <c r="S11" s="138"/>
      <c r="T11" s="138"/>
      <c r="U11" s="138"/>
      <c r="V11" s="138"/>
      <c r="W11" s="138"/>
      <c r="X11" s="138"/>
      <c r="Y11" s="138"/>
      <c r="Z11" s="138"/>
    </row>
    <row r="12" spans="1:26" ht="14.25" customHeight="1">
      <c r="A12" s="1058" t="s">
        <v>3495</v>
      </c>
      <c r="B12" s="1058" t="s">
        <v>3439</v>
      </c>
      <c r="C12" s="1058" t="s">
        <v>267</v>
      </c>
      <c r="D12" s="1058" t="s">
        <v>3458</v>
      </c>
      <c r="E12" s="1060">
        <v>56292.01</v>
      </c>
      <c r="F12" s="1060">
        <v>-57051.75</v>
      </c>
      <c r="G12" s="1058" t="s">
        <v>3496</v>
      </c>
      <c r="H12" s="1055">
        <v>90</v>
      </c>
      <c r="I12" s="138"/>
      <c r="J12" s="138"/>
      <c r="K12" s="138"/>
      <c r="L12" s="138"/>
      <c r="M12" s="138"/>
      <c r="N12" s="138"/>
      <c r="O12" s="138"/>
      <c r="P12" s="138"/>
      <c r="Q12" s="138"/>
      <c r="R12" s="138"/>
      <c r="S12" s="138"/>
      <c r="T12" s="138"/>
      <c r="U12" s="138"/>
      <c r="V12" s="138"/>
      <c r="W12" s="138"/>
      <c r="X12" s="138"/>
      <c r="Y12" s="138"/>
      <c r="Z12" s="138"/>
    </row>
    <row r="13" spans="1:26" ht="14.25" customHeight="1">
      <c r="A13" s="1058" t="s">
        <v>3483</v>
      </c>
      <c r="B13" s="1058" t="s">
        <v>3439</v>
      </c>
      <c r="C13" s="1058" t="s">
        <v>267</v>
      </c>
      <c r="D13" s="1058" t="s">
        <v>262</v>
      </c>
      <c r="E13" s="1060">
        <v>56073.919999999998</v>
      </c>
      <c r="F13" s="1060">
        <v>-58869.3</v>
      </c>
      <c r="G13" s="1058" t="s">
        <v>3484</v>
      </c>
      <c r="H13" s="1062">
        <v>86</v>
      </c>
      <c r="I13" s="138"/>
      <c r="J13" s="138"/>
      <c r="K13" s="138"/>
      <c r="L13" s="138"/>
      <c r="M13" s="138"/>
      <c r="N13" s="138"/>
      <c r="O13" s="138"/>
      <c r="P13" s="138"/>
      <c r="Q13" s="138"/>
      <c r="R13" s="138"/>
      <c r="S13" s="138"/>
      <c r="T13" s="138"/>
      <c r="U13" s="138"/>
      <c r="V13" s="138"/>
      <c r="W13" s="138"/>
      <c r="X13" s="138"/>
      <c r="Y13" s="138"/>
      <c r="Z13" s="138"/>
    </row>
    <row r="14" spans="1:26" ht="14.25" customHeight="1">
      <c r="A14" s="1058" t="s">
        <v>3499</v>
      </c>
      <c r="B14" s="1058" t="s">
        <v>3439</v>
      </c>
      <c r="C14" s="1058" t="s">
        <v>267</v>
      </c>
      <c r="D14" s="1058" t="s">
        <v>279</v>
      </c>
      <c r="E14" s="1060">
        <v>37397</v>
      </c>
      <c r="F14" s="1060">
        <v>-39440.1</v>
      </c>
      <c r="G14" s="1058" t="s">
        <v>3500</v>
      </c>
      <c r="H14" s="1062">
        <v>86</v>
      </c>
      <c r="I14" s="138"/>
      <c r="J14" s="138"/>
      <c r="K14" s="138"/>
      <c r="L14" s="138"/>
      <c r="M14" s="138"/>
      <c r="N14" s="138"/>
      <c r="O14" s="138"/>
      <c r="P14" s="138"/>
      <c r="Q14" s="138"/>
      <c r="R14" s="138"/>
      <c r="S14" s="138"/>
      <c r="T14" s="138"/>
      <c r="U14" s="138"/>
      <c r="V14" s="138"/>
      <c r="W14" s="138"/>
      <c r="X14" s="138"/>
      <c r="Y14" s="138"/>
      <c r="Z14" s="138"/>
    </row>
    <row r="15" spans="1:26" ht="14.25" customHeight="1">
      <c r="A15" s="1058" t="s">
        <v>3487</v>
      </c>
      <c r="B15" s="1058" t="s">
        <v>3439</v>
      </c>
      <c r="C15" s="1058" t="s">
        <v>267</v>
      </c>
      <c r="D15" s="1058" t="s">
        <v>3458</v>
      </c>
      <c r="E15" s="1060">
        <v>56197.99</v>
      </c>
      <c r="F15" s="1060">
        <v>-58834.65</v>
      </c>
      <c r="G15" s="1058" t="s">
        <v>3488</v>
      </c>
      <c r="H15" s="1062">
        <v>82</v>
      </c>
      <c r="I15" s="138"/>
      <c r="J15" s="138"/>
      <c r="K15" s="138"/>
      <c r="L15" s="138"/>
      <c r="M15" s="138"/>
      <c r="N15" s="138"/>
      <c r="O15" s="138"/>
      <c r="P15" s="138"/>
      <c r="Q15" s="138"/>
      <c r="R15" s="138"/>
      <c r="S15" s="138"/>
      <c r="T15" s="138"/>
      <c r="U15" s="138"/>
      <c r="V15" s="138"/>
      <c r="W15" s="138"/>
      <c r="X15" s="138"/>
      <c r="Y15" s="138"/>
      <c r="Z15" s="138"/>
    </row>
    <row r="16" spans="1:26" ht="14.25" customHeight="1">
      <c r="A16" s="1058" t="s">
        <v>3477</v>
      </c>
      <c r="B16" s="1058" t="s">
        <v>264</v>
      </c>
      <c r="C16" s="1058" t="s">
        <v>267</v>
      </c>
      <c r="D16" s="1058" t="s">
        <v>976</v>
      </c>
      <c r="E16" s="1060">
        <v>32135.51</v>
      </c>
      <c r="F16" s="1060">
        <v>-34034.699999999997</v>
      </c>
      <c r="G16" s="1058" t="s">
        <v>3478</v>
      </c>
      <c r="H16" s="1062">
        <v>80</v>
      </c>
      <c r="I16" s="138"/>
      <c r="J16" s="138"/>
      <c r="K16" s="138"/>
      <c r="L16" s="138"/>
      <c r="M16" s="138"/>
      <c r="N16" s="138"/>
      <c r="O16" s="138"/>
      <c r="P16" s="138"/>
      <c r="Q16" s="138"/>
      <c r="R16" s="138"/>
      <c r="S16" s="138"/>
      <c r="T16" s="138"/>
      <c r="U16" s="138"/>
      <c r="V16" s="138"/>
      <c r="W16" s="138"/>
      <c r="X16" s="138"/>
      <c r="Y16" s="138"/>
      <c r="Z16" s="138"/>
    </row>
    <row r="17" spans="1:26" ht="14.25" customHeight="1">
      <c r="A17" s="1058" t="s">
        <v>3489</v>
      </c>
      <c r="B17" s="1058" t="s">
        <v>3439</v>
      </c>
      <c r="C17" s="1058" t="s">
        <v>267</v>
      </c>
      <c r="D17" s="1058" t="s">
        <v>3458</v>
      </c>
      <c r="E17" s="1060">
        <v>55950.97</v>
      </c>
      <c r="F17" s="1060">
        <v>-58834.65</v>
      </c>
      <c r="G17" s="1058" t="s">
        <v>3490</v>
      </c>
      <c r="H17" s="1062">
        <v>74</v>
      </c>
      <c r="I17" s="138"/>
      <c r="J17" s="138"/>
      <c r="K17" s="138"/>
      <c r="L17" s="138"/>
      <c r="M17" s="138"/>
      <c r="N17" s="138"/>
      <c r="O17" s="138"/>
      <c r="P17" s="138"/>
      <c r="Q17" s="138"/>
      <c r="R17" s="138"/>
      <c r="S17" s="138"/>
      <c r="T17" s="138"/>
      <c r="U17" s="138"/>
      <c r="V17" s="138"/>
      <c r="W17" s="138"/>
      <c r="X17" s="138"/>
      <c r="Y17" s="138"/>
      <c r="Z17" s="138"/>
    </row>
    <row r="18" spans="1:26" ht="14.25" customHeight="1">
      <c r="A18" s="1058" t="s">
        <v>3491</v>
      </c>
      <c r="B18" s="1058" t="s">
        <v>3439</v>
      </c>
      <c r="C18" s="1058" t="s">
        <v>267</v>
      </c>
      <c r="D18" s="1058" t="s">
        <v>3458</v>
      </c>
      <c r="E18" s="1060">
        <v>55950.97</v>
      </c>
      <c r="F18" s="1060">
        <v>-58834.65</v>
      </c>
      <c r="G18" s="1058" t="s">
        <v>3492</v>
      </c>
      <c r="H18" s="1062">
        <v>74</v>
      </c>
      <c r="I18" s="138"/>
      <c r="J18" s="138"/>
      <c r="K18" s="138"/>
      <c r="L18" s="138"/>
      <c r="M18" s="138"/>
      <c r="N18" s="138"/>
      <c r="O18" s="138"/>
      <c r="P18" s="138"/>
      <c r="Q18" s="138"/>
      <c r="R18" s="138"/>
      <c r="S18" s="138"/>
      <c r="T18" s="138"/>
      <c r="U18" s="138"/>
      <c r="V18" s="138"/>
      <c r="W18" s="138"/>
      <c r="X18" s="138"/>
      <c r="Y18" s="138"/>
      <c r="Z18" s="138"/>
    </row>
    <row r="19" spans="1:26" ht="14.25" customHeight="1">
      <c r="A19" s="1058" t="s">
        <v>3509</v>
      </c>
      <c r="B19" s="1058" t="s">
        <v>3439</v>
      </c>
      <c r="C19" s="1058" t="s">
        <v>267</v>
      </c>
      <c r="D19" s="1058" t="s">
        <v>265</v>
      </c>
      <c r="E19" s="1060">
        <v>26927</v>
      </c>
      <c r="F19" s="1060">
        <v>-28367.85</v>
      </c>
      <c r="G19" s="1058" t="s">
        <v>3510</v>
      </c>
      <c r="H19" s="1062">
        <v>74</v>
      </c>
      <c r="I19" s="138"/>
      <c r="J19" s="138"/>
      <c r="K19" s="138"/>
      <c r="L19" s="138"/>
      <c r="M19" s="138"/>
      <c r="N19" s="138"/>
      <c r="O19" s="138"/>
      <c r="P19" s="138"/>
      <c r="Q19" s="138"/>
      <c r="R19" s="138"/>
      <c r="S19" s="138"/>
      <c r="T19" s="138"/>
      <c r="U19" s="138"/>
      <c r="V19" s="138"/>
      <c r="W19" s="138"/>
      <c r="X19" s="138"/>
      <c r="Y19" s="138"/>
      <c r="Z19" s="138"/>
    </row>
    <row r="20" spans="1:26" ht="14.25" customHeight="1">
      <c r="A20" s="1058" t="s">
        <v>3475</v>
      </c>
      <c r="B20" s="1058" t="s">
        <v>264</v>
      </c>
      <c r="C20" s="1058" t="s">
        <v>267</v>
      </c>
      <c r="D20" s="1058" t="s">
        <v>976</v>
      </c>
      <c r="E20" s="1060">
        <v>37610</v>
      </c>
      <c r="F20" s="1060">
        <v>-39461.1</v>
      </c>
      <c r="G20" s="1058" t="s">
        <v>3476</v>
      </c>
      <c r="H20" s="1062">
        <v>73</v>
      </c>
      <c r="I20" s="138"/>
      <c r="J20" s="138"/>
      <c r="K20" s="138"/>
      <c r="L20" s="138"/>
      <c r="M20" s="138"/>
      <c r="N20" s="138"/>
      <c r="O20" s="138"/>
      <c r="P20" s="138"/>
      <c r="Q20" s="138"/>
      <c r="R20" s="138"/>
      <c r="S20" s="138"/>
      <c r="T20" s="138"/>
      <c r="U20" s="138"/>
      <c r="V20" s="138"/>
      <c r="W20" s="138"/>
      <c r="X20" s="138"/>
      <c r="Y20" s="138"/>
      <c r="Z20" s="138"/>
    </row>
    <row r="21" spans="1:26" ht="14.25" customHeight="1">
      <c r="A21" s="1058" t="s">
        <v>3493</v>
      </c>
      <c r="B21" s="1058" t="s">
        <v>3439</v>
      </c>
      <c r="C21" s="1058" t="s">
        <v>267</v>
      </c>
      <c r="D21" s="1058" t="s">
        <v>3458</v>
      </c>
      <c r="E21" s="1060">
        <v>55950.97</v>
      </c>
      <c r="F21" s="1060">
        <v>-58834.65</v>
      </c>
      <c r="G21" s="1058" t="s">
        <v>3494</v>
      </c>
      <c r="H21" s="1062">
        <v>73</v>
      </c>
      <c r="I21" s="138"/>
      <c r="J21" s="138"/>
      <c r="K21" s="138"/>
      <c r="L21" s="138"/>
      <c r="M21" s="138"/>
      <c r="N21" s="138"/>
      <c r="O21" s="138"/>
      <c r="P21" s="138"/>
      <c r="Q21" s="138"/>
      <c r="R21" s="138"/>
      <c r="S21" s="138"/>
      <c r="T21" s="138"/>
      <c r="U21" s="138"/>
      <c r="V21" s="138"/>
      <c r="W21" s="138"/>
      <c r="X21" s="138"/>
      <c r="Y21" s="138"/>
      <c r="Z21" s="138"/>
    </row>
    <row r="22" spans="1:26" ht="14.25" customHeight="1">
      <c r="A22" s="1058" t="s">
        <v>3507</v>
      </c>
      <c r="B22" s="1058" t="s">
        <v>3439</v>
      </c>
      <c r="C22" s="1058" t="s">
        <v>267</v>
      </c>
      <c r="D22" s="1058" t="s">
        <v>265</v>
      </c>
      <c r="E22" s="1060">
        <v>29531</v>
      </c>
      <c r="F22" s="1060">
        <v>-31102.05</v>
      </c>
      <c r="G22" s="1058" t="s">
        <v>3508</v>
      </c>
      <c r="H22" s="1062">
        <v>73</v>
      </c>
      <c r="I22" s="138"/>
      <c r="J22" s="138"/>
      <c r="K22" s="138"/>
      <c r="L22" s="138"/>
      <c r="M22" s="138"/>
      <c r="N22" s="138"/>
      <c r="O22" s="138"/>
      <c r="P22" s="138"/>
      <c r="Q22" s="138"/>
      <c r="R22" s="138"/>
      <c r="S22" s="138"/>
      <c r="T22" s="138"/>
      <c r="U22" s="138"/>
      <c r="V22" s="138"/>
      <c r="W22" s="138"/>
      <c r="X22" s="138"/>
      <c r="Y22" s="138"/>
      <c r="Z22" s="138"/>
    </row>
    <row r="23" spans="1:26" ht="14.25" customHeight="1">
      <c r="A23" s="1058" t="s">
        <v>3497</v>
      </c>
      <c r="B23" s="1058" t="s">
        <v>3439</v>
      </c>
      <c r="C23" s="1058" t="s">
        <v>267</v>
      </c>
      <c r="D23" s="1058" t="s">
        <v>3458</v>
      </c>
      <c r="E23" s="1060">
        <v>54250</v>
      </c>
      <c r="F23" s="1060">
        <v>-57051.75</v>
      </c>
      <c r="G23" s="1058" t="s">
        <v>3498</v>
      </c>
      <c r="H23" s="1062">
        <v>68</v>
      </c>
      <c r="I23" s="138"/>
      <c r="J23" s="138"/>
      <c r="K23" s="138"/>
      <c r="L23" s="138"/>
      <c r="M23" s="138"/>
      <c r="N23" s="138"/>
      <c r="O23" s="138"/>
      <c r="P23" s="138"/>
      <c r="Q23" s="138"/>
      <c r="R23" s="138"/>
      <c r="S23" s="138"/>
      <c r="T23" s="138"/>
      <c r="U23" s="138"/>
      <c r="V23" s="138"/>
      <c r="W23" s="138"/>
      <c r="X23" s="138"/>
      <c r="Y23" s="138"/>
      <c r="Z23" s="138"/>
    </row>
    <row r="24" spans="1:26" ht="14.25" customHeight="1">
      <c r="A24" s="1058" t="s">
        <v>3501</v>
      </c>
      <c r="B24" s="1058" t="s">
        <v>3439</v>
      </c>
      <c r="C24" s="1058" t="s">
        <v>267</v>
      </c>
      <c r="D24" s="1058" t="s">
        <v>279</v>
      </c>
      <c r="E24" s="1060">
        <v>37506.9</v>
      </c>
      <c r="F24" s="1060">
        <v>-39440.1</v>
      </c>
      <c r="G24" s="1058" t="s">
        <v>3502</v>
      </c>
      <c r="H24" s="1062">
        <v>68</v>
      </c>
      <c r="I24" s="138"/>
      <c r="J24" s="138"/>
      <c r="K24" s="138"/>
      <c r="L24" s="138"/>
      <c r="M24" s="138"/>
      <c r="N24" s="138"/>
      <c r="O24" s="138"/>
      <c r="P24" s="138"/>
      <c r="Q24" s="138"/>
      <c r="R24" s="138"/>
      <c r="S24" s="138"/>
      <c r="T24" s="138"/>
      <c r="U24" s="138"/>
      <c r="V24" s="138"/>
      <c r="W24" s="138"/>
      <c r="X24" s="138"/>
      <c r="Y24" s="138"/>
      <c r="Z24" s="138"/>
    </row>
    <row r="25" spans="1:26" ht="14.25" customHeight="1">
      <c r="A25" s="1058" t="s">
        <v>3503</v>
      </c>
      <c r="B25" s="1058" t="s">
        <v>3439</v>
      </c>
      <c r="C25" s="1058" t="s">
        <v>267</v>
      </c>
      <c r="D25" s="1058" t="s">
        <v>3440</v>
      </c>
      <c r="E25" s="1060">
        <v>32637</v>
      </c>
      <c r="F25" s="1060">
        <v>-34363.35</v>
      </c>
      <c r="G25" s="1058" t="s">
        <v>3504</v>
      </c>
      <c r="H25" s="1062">
        <v>68</v>
      </c>
      <c r="I25" s="138"/>
      <c r="J25" s="138"/>
      <c r="K25" s="138"/>
      <c r="L25" s="138"/>
      <c r="M25" s="138"/>
      <c r="N25" s="138"/>
      <c r="O25" s="138"/>
      <c r="P25" s="138"/>
      <c r="Q25" s="138"/>
      <c r="R25" s="138"/>
      <c r="S25" s="138"/>
      <c r="T25" s="138"/>
      <c r="U25" s="138"/>
      <c r="V25" s="138"/>
      <c r="W25" s="138"/>
      <c r="X25" s="138"/>
      <c r="Y25" s="138"/>
      <c r="Z25" s="138"/>
    </row>
    <row r="26" spans="1:26" ht="14.25" customHeight="1">
      <c r="A26" s="1058" t="s">
        <v>3479</v>
      </c>
      <c r="B26" s="1058" t="s">
        <v>264</v>
      </c>
      <c r="C26" s="1058" t="s">
        <v>267</v>
      </c>
      <c r="D26" s="1058" t="s">
        <v>976</v>
      </c>
      <c r="E26" s="1060">
        <v>28066.02</v>
      </c>
      <c r="F26" s="1060">
        <v>-28951.65</v>
      </c>
      <c r="G26" s="1058" t="s">
        <v>3480</v>
      </c>
      <c r="H26" s="1062">
        <v>62</v>
      </c>
      <c r="I26" s="138"/>
      <c r="J26" s="138"/>
      <c r="K26" s="138"/>
      <c r="L26" s="138"/>
      <c r="M26" s="138"/>
      <c r="N26" s="138"/>
      <c r="O26" s="138"/>
      <c r="P26" s="138"/>
      <c r="Q26" s="138"/>
      <c r="R26" s="138"/>
      <c r="S26" s="138"/>
      <c r="T26" s="138"/>
      <c r="U26" s="138"/>
      <c r="V26" s="138"/>
      <c r="W26" s="138"/>
      <c r="X26" s="138"/>
      <c r="Y26" s="138"/>
      <c r="Z26" s="138"/>
    </row>
    <row r="27" spans="1:26" ht="14.25" customHeight="1">
      <c r="A27" s="1058" t="s">
        <v>3505</v>
      </c>
      <c r="B27" s="1058" t="s">
        <v>3439</v>
      </c>
      <c r="C27" s="1058" t="s">
        <v>267</v>
      </c>
      <c r="D27" s="1058" t="s">
        <v>265</v>
      </c>
      <c r="E27" s="1060">
        <v>32017.87</v>
      </c>
      <c r="F27" s="1060">
        <v>-33204.15</v>
      </c>
      <c r="G27" s="1058" t="s">
        <v>3506</v>
      </c>
      <c r="H27" s="1062">
        <v>62</v>
      </c>
      <c r="I27" s="138"/>
      <c r="J27" s="138"/>
      <c r="K27" s="138"/>
      <c r="L27" s="138"/>
      <c r="M27" s="138"/>
      <c r="N27" s="138"/>
      <c r="O27" s="138"/>
      <c r="P27" s="138"/>
      <c r="Q27" s="138"/>
      <c r="R27" s="138"/>
      <c r="S27" s="138"/>
      <c r="T27" s="138"/>
      <c r="U27" s="138"/>
      <c r="V27" s="138"/>
      <c r="W27" s="138"/>
      <c r="X27" s="138"/>
      <c r="Y27" s="138"/>
      <c r="Z27" s="138"/>
    </row>
    <row r="28" spans="1:26" ht="14.25" customHeight="1">
      <c r="A28" s="1058" t="s">
        <v>3556</v>
      </c>
      <c r="B28" s="1058" t="s">
        <v>3439</v>
      </c>
      <c r="C28" s="1058" t="s">
        <v>267</v>
      </c>
      <c r="D28" s="1058" t="s">
        <v>3440</v>
      </c>
      <c r="E28" s="1060">
        <v>31816.52</v>
      </c>
      <c r="F28" s="1056"/>
      <c r="G28" s="1058" t="s">
        <v>3563</v>
      </c>
      <c r="H28" s="1062">
        <v>52</v>
      </c>
      <c r="I28" s="138"/>
      <c r="J28" s="138"/>
      <c r="K28" s="138"/>
      <c r="L28" s="138"/>
      <c r="M28" s="138"/>
      <c r="N28" s="138"/>
      <c r="O28" s="138"/>
      <c r="P28" s="138"/>
      <c r="Q28" s="138"/>
      <c r="R28" s="138"/>
      <c r="S28" s="138"/>
      <c r="T28" s="138"/>
      <c r="U28" s="138"/>
      <c r="V28" s="138"/>
      <c r="W28" s="138"/>
      <c r="X28" s="138"/>
      <c r="Y28" s="138"/>
      <c r="Z28" s="138"/>
    </row>
    <row r="29" spans="1:26" ht="14.25" customHeight="1">
      <c r="A29" s="1058" t="s">
        <v>3687</v>
      </c>
      <c r="B29" s="1058" t="s">
        <v>3439</v>
      </c>
      <c r="C29" s="1058" t="s">
        <v>267</v>
      </c>
      <c r="D29" s="1058" t="s">
        <v>3440</v>
      </c>
      <c r="E29" s="1060">
        <v>31513</v>
      </c>
      <c r="F29" s="1056"/>
      <c r="G29" s="1058" t="s">
        <v>3688</v>
      </c>
      <c r="H29" s="1062">
        <v>51</v>
      </c>
      <c r="I29" s="138"/>
      <c r="J29" s="138"/>
      <c r="K29" s="138"/>
      <c r="L29" s="138"/>
      <c r="M29" s="138"/>
      <c r="N29" s="138"/>
      <c r="O29" s="138"/>
      <c r="P29" s="138"/>
      <c r="Q29" s="138"/>
      <c r="R29" s="138"/>
      <c r="S29" s="138"/>
      <c r="T29" s="138"/>
      <c r="U29" s="138"/>
      <c r="V29" s="138"/>
      <c r="W29" s="138"/>
      <c r="X29" s="138"/>
      <c r="Y29" s="138"/>
      <c r="Z29" s="138"/>
    </row>
    <row r="30" spans="1:26" ht="14.25" customHeight="1">
      <c r="A30" s="1058" t="s">
        <v>3560</v>
      </c>
      <c r="B30" s="1058" t="s">
        <v>3439</v>
      </c>
      <c r="C30" s="1058" t="s">
        <v>267</v>
      </c>
      <c r="D30" s="1058" t="s">
        <v>262</v>
      </c>
      <c r="E30" s="1060">
        <v>48894</v>
      </c>
      <c r="F30" s="1060">
        <v>-51427.95</v>
      </c>
      <c r="G30" s="1058" t="s">
        <v>3566</v>
      </c>
      <c r="H30" s="1062">
        <v>48</v>
      </c>
      <c r="I30" s="138"/>
      <c r="J30" s="138"/>
      <c r="K30" s="138"/>
      <c r="L30" s="138"/>
      <c r="M30" s="138"/>
      <c r="N30" s="138"/>
      <c r="O30" s="138"/>
      <c r="P30" s="138"/>
      <c r="Q30" s="138"/>
      <c r="R30" s="138"/>
      <c r="S30" s="138"/>
      <c r="T30" s="138"/>
      <c r="U30" s="138"/>
      <c r="V30" s="138"/>
      <c r="W30" s="138"/>
      <c r="X30" s="138"/>
      <c r="Y30" s="138"/>
      <c r="Z30" s="138"/>
    </row>
    <row r="31" spans="1:26" ht="14.25" customHeight="1">
      <c r="A31" s="1058" t="s">
        <v>3575</v>
      </c>
      <c r="B31" s="1058" t="s">
        <v>3439</v>
      </c>
      <c r="C31" s="1058" t="s">
        <v>267</v>
      </c>
      <c r="D31" s="1058" t="s">
        <v>3458</v>
      </c>
      <c r="E31" s="1060">
        <v>55948</v>
      </c>
      <c r="F31" s="1060">
        <v>-58834.65</v>
      </c>
      <c r="G31" s="1058" t="s">
        <v>3565</v>
      </c>
      <c r="H31" s="1062">
        <v>48</v>
      </c>
      <c r="I31" s="138"/>
      <c r="J31" s="138"/>
      <c r="K31" s="138"/>
      <c r="L31" s="138"/>
      <c r="M31" s="138"/>
      <c r="N31" s="138"/>
      <c r="O31" s="138"/>
      <c r="P31" s="138"/>
      <c r="Q31" s="138"/>
      <c r="R31" s="138"/>
      <c r="S31" s="138"/>
      <c r="T31" s="138"/>
      <c r="U31" s="138"/>
      <c r="V31" s="138"/>
      <c r="W31" s="138"/>
      <c r="X31" s="138"/>
      <c r="Y31" s="138"/>
      <c r="Z31" s="138"/>
    </row>
    <row r="32" spans="1:26" ht="14.25" customHeight="1">
      <c r="A32" s="1058" t="s">
        <v>3689</v>
      </c>
      <c r="B32" s="1058" t="s">
        <v>3439</v>
      </c>
      <c r="C32" s="1058" t="s">
        <v>267</v>
      </c>
      <c r="D32" s="1058" t="s">
        <v>3458</v>
      </c>
      <c r="E32" s="1060">
        <v>54236.5</v>
      </c>
      <c r="F32" s="1056"/>
      <c r="G32" s="1058" t="s">
        <v>3690</v>
      </c>
      <c r="H32" s="1062">
        <v>48</v>
      </c>
      <c r="I32" s="138"/>
      <c r="J32" s="138"/>
      <c r="K32" s="138"/>
      <c r="L32" s="138"/>
      <c r="M32" s="138"/>
      <c r="N32" s="138"/>
      <c r="O32" s="138"/>
      <c r="P32" s="138"/>
      <c r="Q32" s="138"/>
      <c r="R32" s="138"/>
      <c r="S32" s="138"/>
      <c r="T32" s="138"/>
      <c r="U32" s="138"/>
      <c r="V32" s="138"/>
      <c r="W32" s="138"/>
      <c r="X32" s="138"/>
      <c r="Y32" s="138"/>
      <c r="Z32" s="138"/>
    </row>
    <row r="33" spans="1:26" ht="14.25" customHeight="1">
      <c r="A33" s="1058" t="s">
        <v>3579</v>
      </c>
      <c r="B33" s="1058" t="s">
        <v>3439</v>
      </c>
      <c r="C33" s="1058" t="s">
        <v>267</v>
      </c>
      <c r="D33" s="1058" t="s">
        <v>976</v>
      </c>
      <c r="E33" s="1060">
        <v>32864</v>
      </c>
      <c r="F33" s="1060">
        <v>-34706.699999999997</v>
      </c>
      <c r="G33" s="1058" t="s">
        <v>3564</v>
      </c>
      <c r="H33" s="1062">
        <v>48</v>
      </c>
      <c r="I33" s="138"/>
      <c r="J33" s="138"/>
      <c r="K33" s="138"/>
      <c r="L33" s="138"/>
      <c r="M33" s="138"/>
      <c r="N33" s="138"/>
      <c r="O33" s="138"/>
      <c r="P33" s="138"/>
      <c r="Q33" s="138"/>
      <c r="R33" s="138"/>
      <c r="S33" s="138"/>
      <c r="T33" s="138"/>
      <c r="U33" s="138"/>
      <c r="V33" s="138"/>
      <c r="W33" s="138"/>
      <c r="X33" s="138"/>
      <c r="Y33" s="138"/>
      <c r="Z33" s="138"/>
    </row>
    <row r="34" spans="1:26" ht="14.25" customHeight="1">
      <c r="A34" s="1058" t="s">
        <v>3567</v>
      </c>
      <c r="B34" s="1058" t="s">
        <v>3439</v>
      </c>
      <c r="C34" s="1058" t="s">
        <v>267</v>
      </c>
      <c r="D34" s="1058" t="s">
        <v>262</v>
      </c>
      <c r="E34" s="1060">
        <v>55259.97</v>
      </c>
      <c r="F34" s="1060">
        <v>-58109.1</v>
      </c>
      <c r="G34" s="1058" t="s">
        <v>3568</v>
      </c>
      <c r="H34" s="1062">
        <v>47</v>
      </c>
      <c r="I34" s="138"/>
      <c r="J34" s="138"/>
      <c r="K34" s="138"/>
      <c r="L34" s="138"/>
      <c r="M34" s="138"/>
      <c r="N34" s="138"/>
      <c r="O34" s="138"/>
      <c r="P34" s="138"/>
      <c r="Q34" s="138"/>
      <c r="R34" s="138"/>
      <c r="S34" s="138"/>
      <c r="T34" s="138"/>
      <c r="U34" s="138"/>
      <c r="V34" s="138"/>
      <c r="W34" s="138"/>
      <c r="X34" s="138"/>
      <c r="Y34" s="138"/>
      <c r="Z34" s="138"/>
    </row>
    <row r="35" spans="1:26" ht="14.25" customHeight="1">
      <c r="A35" s="1058" t="s">
        <v>3559</v>
      </c>
      <c r="B35" s="1058" t="s">
        <v>3439</v>
      </c>
      <c r="C35" s="1058" t="s">
        <v>267</v>
      </c>
      <c r="D35" s="1058" t="s">
        <v>3458</v>
      </c>
      <c r="E35" s="1060">
        <v>53794.97</v>
      </c>
      <c r="F35" s="1060">
        <v>-56570.85</v>
      </c>
      <c r="G35" s="1058" t="s">
        <v>3569</v>
      </c>
      <c r="H35" s="1062">
        <v>45</v>
      </c>
      <c r="I35" s="138"/>
      <c r="J35" s="138"/>
      <c r="K35" s="138"/>
      <c r="L35" s="138"/>
      <c r="M35" s="138"/>
      <c r="N35" s="138"/>
      <c r="O35" s="138"/>
      <c r="P35" s="138"/>
      <c r="Q35" s="138"/>
      <c r="R35" s="138"/>
      <c r="S35" s="138"/>
      <c r="T35" s="138"/>
      <c r="U35" s="138"/>
      <c r="V35" s="138"/>
      <c r="W35" s="138"/>
      <c r="X35" s="138"/>
      <c r="Y35" s="138"/>
      <c r="Z35" s="138"/>
    </row>
    <row r="36" spans="1:26" ht="14.25" customHeight="1">
      <c r="A36" s="1058" t="s">
        <v>3562</v>
      </c>
      <c r="B36" s="1058" t="s">
        <v>3439</v>
      </c>
      <c r="C36" s="1058" t="s">
        <v>267</v>
      </c>
      <c r="D36" s="1058" t="s">
        <v>265</v>
      </c>
      <c r="E36" s="1060">
        <v>28629</v>
      </c>
      <c r="F36" s="1056"/>
      <c r="G36" s="1058" t="s">
        <v>3571</v>
      </c>
      <c r="H36" s="1062">
        <v>44</v>
      </c>
      <c r="I36" s="138"/>
      <c r="J36" s="138"/>
      <c r="K36" s="138"/>
      <c r="L36" s="138"/>
      <c r="M36" s="138"/>
      <c r="N36" s="138"/>
      <c r="O36" s="138"/>
      <c r="P36" s="138"/>
      <c r="Q36" s="138"/>
      <c r="R36" s="138"/>
      <c r="S36" s="138"/>
      <c r="T36" s="138"/>
      <c r="U36" s="138"/>
      <c r="V36" s="138"/>
      <c r="W36" s="138"/>
      <c r="X36" s="138"/>
      <c r="Y36" s="138"/>
      <c r="Z36" s="138"/>
    </row>
    <row r="37" spans="1:26" ht="14.25" customHeight="1">
      <c r="A37" s="1058" t="s">
        <v>3558</v>
      </c>
      <c r="B37" s="1058" t="s">
        <v>3439</v>
      </c>
      <c r="C37" s="1058" t="s">
        <v>267</v>
      </c>
      <c r="D37" s="1058" t="s">
        <v>262</v>
      </c>
      <c r="E37" s="1060">
        <v>54801.97</v>
      </c>
      <c r="F37" s="1060">
        <v>-57628.2</v>
      </c>
      <c r="G37" s="1058" t="s">
        <v>3574</v>
      </c>
      <c r="H37" s="1062">
        <v>41</v>
      </c>
      <c r="I37" s="138"/>
      <c r="J37" s="138"/>
      <c r="K37" s="138"/>
      <c r="L37" s="138"/>
      <c r="M37" s="138"/>
      <c r="N37" s="138"/>
      <c r="O37" s="138"/>
      <c r="P37" s="138"/>
      <c r="Q37" s="138"/>
      <c r="R37" s="138"/>
      <c r="S37" s="138"/>
      <c r="T37" s="138"/>
      <c r="U37" s="138"/>
      <c r="V37" s="138"/>
      <c r="W37" s="138"/>
      <c r="X37" s="138"/>
      <c r="Y37" s="138"/>
      <c r="Z37" s="138"/>
    </row>
    <row r="38" spans="1:26" ht="14.25" customHeight="1">
      <c r="A38" s="1058" t="s">
        <v>3572</v>
      </c>
      <c r="B38" s="1058" t="s">
        <v>3439</v>
      </c>
      <c r="C38" s="1058" t="s">
        <v>267</v>
      </c>
      <c r="D38" s="1058" t="s">
        <v>262</v>
      </c>
      <c r="E38" s="1060">
        <v>58249.97</v>
      </c>
      <c r="F38" s="1056"/>
      <c r="G38" s="1058" t="s">
        <v>3576</v>
      </c>
      <c r="H38" s="1062">
        <v>38</v>
      </c>
      <c r="I38" s="138"/>
      <c r="J38" s="138"/>
      <c r="K38" s="138"/>
      <c r="L38" s="138"/>
      <c r="M38" s="138"/>
      <c r="N38" s="138"/>
      <c r="O38" s="138"/>
      <c r="P38" s="138"/>
      <c r="Q38" s="138"/>
      <c r="R38" s="138"/>
      <c r="S38" s="138"/>
      <c r="T38" s="138"/>
      <c r="U38" s="138"/>
      <c r="V38" s="138"/>
      <c r="W38" s="138"/>
      <c r="X38" s="138"/>
      <c r="Y38" s="138"/>
      <c r="Z38" s="138"/>
    </row>
    <row r="39" spans="1:26" ht="14.25" customHeight="1">
      <c r="A39" s="1058" t="s">
        <v>3555</v>
      </c>
      <c r="B39" s="1058" t="s">
        <v>3439</v>
      </c>
      <c r="C39" s="1058" t="s">
        <v>267</v>
      </c>
      <c r="D39" s="1058" t="s">
        <v>260</v>
      </c>
      <c r="E39" s="1060">
        <v>45175.95</v>
      </c>
      <c r="F39" s="1060">
        <v>-47526.15</v>
      </c>
      <c r="G39" s="1058" t="s">
        <v>3577</v>
      </c>
      <c r="H39" s="1062">
        <v>37</v>
      </c>
      <c r="I39" s="138"/>
      <c r="J39" s="138"/>
      <c r="K39" s="138"/>
      <c r="L39" s="138"/>
      <c r="M39" s="138"/>
      <c r="N39" s="138"/>
      <c r="O39" s="138"/>
      <c r="P39" s="138"/>
      <c r="Q39" s="138"/>
      <c r="R39" s="138"/>
      <c r="S39" s="138"/>
      <c r="T39" s="138"/>
      <c r="U39" s="138"/>
      <c r="V39" s="138"/>
      <c r="W39" s="138"/>
      <c r="X39" s="138"/>
      <c r="Y39" s="138"/>
      <c r="Z39" s="138"/>
    </row>
    <row r="40" spans="1:26" ht="14.25" customHeight="1">
      <c r="A40" s="1058" t="s">
        <v>3557</v>
      </c>
      <c r="B40" s="1058" t="s">
        <v>3439</v>
      </c>
      <c r="C40" s="1058" t="s">
        <v>267</v>
      </c>
      <c r="D40" s="1058" t="s">
        <v>260</v>
      </c>
      <c r="E40" s="1060">
        <v>44101</v>
      </c>
      <c r="F40" s="1060">
        <v>-46474.05</v>
      </c>
      <c r="G40" s="1058" t="s">
        <v>3578</v>
      </c>
      <c r="H40" s="1062">
        <v>34</v>
      </c>
      <c r="I40" s="138"/>
      <c r="J40" s="138"/>
      <c r="K40" s="138"/>
      <c r="L40" s="138"/>
      <c r="M40" s="138"/>
      <c r="N40" s="138"/>
      <c r="O40" s="138"/>
      <c r="P40" s="138"/>
      <c r="Q40" s="138"/>
      <c r="R40" s="138"/>
      <c r="S40" s="138"/>
      <c r="T40" s="138"/>
      <c r="U40" s="138"/>
      <c r="V40" s="138"/>
      <c r="W40" s="138"/>
      <c r="X40" s="138"/>
      <c r="Y40" s="138"/>
      <c r="Z40" s="138"/>
    </row>
    <row r="41" spans="1:26" ht="14.25" customHeight="1">
      <c r="A41" s="1058" t="s">
        <v>3570</v>
      </c>
      <c r="B41" s="1058" t="s">
        <v>3439</v>
      </c>
      <c r="C41" s="1058" t="s">
        <v>267</v>
      </c>
      <c r="D41" s="1058" t="s">
        <v>262</v>
      </c>
      <c r="E41" s="1060">
        <v>54806.97</v>
      </c>
      <c r="F41" s="1060">
        <v>-57628.2</v>
      </c>
      <c r="G41" s="1058" t="s">
        <v>3581</v>
      </c>
      <c r="H41" s="1062">
        <v>33</v>
      </c>
      <c r="I41" s="138"/>
      <c r="J41" s="138"/>
      <c r="K41" s="138"/>
      <c r="L41" s="138"/>
      <c r="M41" s="138"/>
      <c r="N41" s="138"/>
      <c r="O41" s="138"/>
      <c r="P41" s="138"/>
      <c r="Q41" s="138"/>
      <c r="R41" s="138"/>
      <c r="S41" s="138"/>
      <c r="T41" s="138"/>
      <c r="U41" s="138"/>
      <c r="V41" s="138"/>
      <c r="W41" s="138"/>
      <c r="X41" s="138"/>
      <c r="Y41" s="138"/>
      <c r="Z41" s="138"/>
    </row>
    <row r="42" spans="1:26" ht="14.25" customHeight="1">
      <c r="A42" s="1058" t="s">
        <v>3561</v>
      </c>
      <c r="B42" s="1058" t="s">
        <v>3439</v>
      </c>
      <c r="C42" s="1058" t="s">
        <v>267</v>
      </c>
      <c r="D42" s="1058" t="s">
        <v>976</v>
      </c>
      <c r="E42" s="1060">
        <v>38195</v>
      </c>
      <c r="F42" s="1060">
        <v>-40225.5</v>
      </c>
      <c r="G42" s="1058" t="s">
        <v>3580</v>
      </c>
      <c r="H42" s="1062">
        <v>33</v>
      </c>
      <c r="I42" s="138"/>
      <c r="J42" s="138"/>
      <c r="K42" s="138"/>
      <c r="L42" s="138"/>
      <c r="M42" s="138"/>
      <c r="N42" s="138"/>
      <c r="O42" s="138"/>
      <c r="P42" s="138"/>
      <c r="Q42" s="138"/>
      <c r="R42" s="138"/>
      <c r="S42" s="138"/>
      <c r="T42" s="138"/>
      <c r="U42" s="138"/>
      <c r="V42" s="138"/>
      <c r="W42" s="138"/>
      <c r="X42" s="138"/>
      <c r="Y42" s="138"/>
      <c r="Z42" s="138"/>
    </row>
    <row r="43" spans="1:26" ht="14.25" customHeight="1">
      <c r="A43" s="1058" t="s">
        <v>3691</v>
      </c>
      <c r="B43" s="1058" t="s">
        <v>3439</v>
      </c>
      <c r="C43" s="1058" t="s">
        <v>267</v>
      </c>
      <c r="D43" s="1058" t="s">
        <v>3458</v>
      </c>
      <c r="E43" s="1060">
        <v>56348.1</v>
      </c>
      <c r="F43" s="1060">
        <v>-58834.65</v>
      </c>
      <c r="G43" s="1058" t="s">
        <v>3692</v>
      </c>
      <c r="H43" s="1062">
        <v>30</v>
      </c>
      <c r="I43" s="138"/>
      <c r="J43" s="138"/>
      <c r="K43" s="138"/>
      <c r="L43" s="138"/>
      <c r="M43" s="138"/>
      <c r="N43" s="138"/>
      <c r="O43" s="138"/>
      <c r="P43" s="138"/>
      <c r="Q43" s="138"/>
      <c r="R43" s="138"/>
      <c r="S43" s="138"/>
      <c r="T43" s="138"/>
      <c r="U43" s="138"/>
      <c r="V43" s="138"/>
      <c r="W43" s="138"/>
      <c r="X43" s="138"/>
      <c r="Y43" s="138"/>
      <c r="Z43" s="138"/>
    </row>
    <row r="44" spans="1:26" ht="14.25" customHeight="1">
      <c r="A44" s="1058" t="s">
        <v>3693</v>
      </c>
      <c r="B44" s="1058" t="s">
        <v>3439</v>
      </c>
      <c r="C44" s="1058" t="s">
        <v>267</v>
      </c>
      <c r="D44" s="1058" t="s">
        <v>260</v>
      </c>
      <c r="E44" s="1060">
        <v>45762.95</v>
      </c>
      <c r="F44" s="1056"/>
      <c r="G44" s="1058" t="s">
        <v>3694</v>
      </c>
      <c r="H44" s="1062">
        <v>30</v>
      </c>
      <c r="I44" s="138"/>
      <c r="J44" s="138"/>
      <c r="K44" s="138"/>
      <c r="L44" s="138"/>
      <c r="M44" s="138"/>
      <c r="N44" s="138"/>
      <c r="O44" s="138"/>
      <c r="P44" s="138"/>
      <c r="Q44" s="138"/>
      <c r="R44" s="138"/>
      <c r="S44" s="138"/>
      <c r="T44" s="138"/>
      <c r="U44" s="138"/>
      <c r="V44" s="138"/>
      <c r="W44" s="138"/>
      <c r="X44" s="138"/>
      <c r="Y44" s="138"/>
      <c r="Z44" s="138"/>
    </row>
    <row r="45" spans="1:26" ht="14.25" customHeight="1">
      <c r="A45" s="1058" t="s">
        <v>3695</v>
      </c>
      <c r="B45" s="1058" t="s">
        <v>3439</v>
      </c>
      <c r="C45" s="1058" t="s">
        <v>267</v>
      </c>
      <c r="D45" s="1058" t="s">
        <v>976</v>
      </c>
      <c r="E45" s="1060">
        <v>37908</v>
      </c>
      <c r="F45" s="1060">
        <v>-39749.85</v>
      </c>
      <c r="G45" s="1058" t="s">
        <v>3696</v>
      </c>
      <c r="H45" s="1062">
        <v>25</v>
      </c>
      <c r="I45" s="138"/>
      <c r="J45" s="138"/>
      <c r="K45" s="138"/>
      <c r="L45" s="138"/>
      <c r="M45" s="138"/>
      <c r="N45" s="138"/>
      <c r="O45" s="138"/>
      <c r="P45" s="138"/>
      <c r="Q45" s="138"/>
      <c r="R45" s="138"/>
      <c r="S45" s="138"/>
      <c r="T45" s="138"/>
      <c r="U45" s="138"/>
      <c r="V45" s="138"/>
      <c r="W45" s="138"/>
      <c r="X45" s="138"/>
      <c r="Y45" s="138"/>
      <c r="Z45" s="138"/>
    </row>
    <row r="46" spans="1:26" ht="14.25" customHeight="1">
      <c r="A46" s="1058" t="s">
        <v>3697</v>
      </c>
      <c r="B46" s="1058" t="s">
        <v>3439</v>
      </c>
      <c r="C46" s="1058" t="s">
        <v>267</v>
      </c>
      <c r="D46" s="1058" t="s">
        <v>976</v>
      </c>
      <c r="E46" s="1060">
        <v>32705</v>
      </c>
      <c r="F46" s="1060">
        <v>-34423.199999999997</v>
      </c>
      <c r="G46" s="1058" t="s">
        <v>3698</v>
      </c>
      <c r="H46" s="1062">
        <v>25</v>
      </c>
      <c r="I46" s="138"/>
      <c r="J46" s="138"/>
      <c r="K46" s="138"/>
      <c r="L46" s="138"/>
      <c r="M46" s="138"/>
      <c r="N46" s="138"/>
      <c r="O46" s="138"/>
      <c r="P46" s="138"/>
      <c r="Q46" s="138"/>
      <c r="R46" s="138"/>
      <c r="S46" s="138"/>
      <c r="T46" s="138"/>
      <c r="U46" s="138"/>
      <c r="V46" s="138"/>
      <c r="W46" s="138"/>
      <c r="X46" s="138"/>
      <c r="Y46" s="138"/>
      <c r="Z46" s="138"/>
    </row>
    <row r="47" spans="1:26" ht="14.25" customHeight="1">
      <c r="A47" s="1058" t="s">
        <v>3699</v>
      </c>
      <c r="B47" s="1058" t="s">
        <v>3439</v>
      </c>
      <c r="C47" s="1058" t="s">
        <v>267</v>
      </c>
      <c r="D47" s="1058" t="s">
        <v>976</v>
      </c>
      <c r="E47" s="1060">
        <v>32705</v>
      </c>
      <c r="F47" s="1060">
        <v>-34423.199999999997</v>
      </c>
      <c r="G47" s="1058" t="s">
        <v>3700</v>
      </c>
      <c r="H47" s="1062">
        <v>25</v>
      </c>
      <c r="I47" s="138"/>
      <c r="J47" s="138"/>
      <c r="K47" s="138"/>
      <c r="L47" s="138"/>
      <c r="M47" s="138"/>
      <c r="N47" s="138"/>
      <c r="O47" s="138"/>
      <c r="P47" s="138"/>
      <c r="Q47" s="138"/>
      <c r="R47" s="138"/>
      <c r="S47" s="138"/>
      <c r="T47" s="138"/>
      <c r="U47" s="138"/>
      <c r="V47" s="138"/>
      <c r="W47" s="138"/>
      <c r="X47" s="138"/>
      <c r="Y47" s="138"/>
      <c r="Z47" s="138"/>
    </row>
    <row r="48" spans="1:26" ht="14.25" customHeight="1">
      <c r="A48" s="1058" t="s">
        <v>3701</v>
      </c>
      <c r="B48" s="1058" t="s">
        <v>3439</v>
      </c>
      <c r="C48" s="1058" t="s">
        <v>267</v>
      </c>
      <c r="D48" s="1058" t="s">
        <v>976</v>
      </c>
      <c r="E48" s="1060">
        <v>32700</v>
      </c>
      <c r="F48" s="1060">
        <v>-34423.199999999997</v>
      </c>
      <c r="G48" s="1058" t="s">
        <v>3702</v>
      </c>
      <c r="H48" s="1062">
        <v>25</v>
      </c>
      <c r="I48" s="138"/>
      <c r="J48" s="138"/>
      <c r="K48" s="138"/>
      <c r="L48" s="138"/>
      <c r="M48" s="138"/>
      <c r="N48" s="138"/>
      <c r="O48" s="138"/>
      <c r="P48" s="138"/>
      <c r="Q48" s="138"/>
      <c r="R48" s="138"/>
      <c r="S48" s="138"/>
      <c r="T48" s="138"/>
      <c r="U48" s="138"/>
      <c r="V48" s="138"/>
      <c r="W48" s="138"/>
      <c r="X48" s="138"/>
      <c r="Y48" s="138"/>
      <c r="Z48" s="138"/>
    </row>
    <row r="49" spans="1:26" ht="14.25" customHeight="1">
      <c r="A49" s="1058" t="s">
        <v>3703</v>
      </c>
      <c r="B49" s="1058" t="s">
        <v>3439</v>
      </c>
      <c r="C49" s="1058" t="s">
        <v>267</v>
      </c>
      <c r="D49" s="1058" t="s">
        <v>976</v>
      </c>
      <c r="E49" s="1060">
        <v>35661.949999999997</v>
      </c>
      <c r="F49" s="1056"/>
      <c r="G49" s="1058" t="s">
        <v>3704</v>
      </c>
      <c r="H49" s="1062">
        <v>20</v>
      </c>
      <c r="I49" s="138"/>
      <c r="J49" s="138"/>
      <c r="K49" s="138"/>
      <c r="L49" s="138"/>
      <c r="M49" s="138"/>
      <c r="N49" s="138"/>
      <c r="O49" s="138"/>
      <c r="P49" s="138"/>
      <c r="Q49" s="138"/>
      <c r="R49" s="138"/>
      <c r="S49" s="138"/>
      <c r="T49" s="138"/>
      <c r="U49" s="138"/>
      <c r="V49" s="138"/>
      <c r="W49" s="138"/>
      <c r="X49" s="138"/>
      <c r="Y49" s="138"/>
      <c r="Z49" s="138"/>
    </row>
    <row r="50" spans="1:26" ht="14.25" customHeight="1">
      <c r="A50" s="1058" t="s">
        <v>3705</v>
      </c>
      <c r="B50" s="1058" t="s">
        <v>3439</v>
      </c>
      <c r="C50" s="1058" t="s">
        <v>267</v>
      </c>
      <c r="D50" s="1058" t="s">
        <v>260</v>
      </c>
      <c r="E50" s="1060">
        <v>44107</v>
      </c>
      <c r="F50" s="1060">
        <v>-46474.05</v>
      </c>
      <c r="G50" s="1058" t="s">
        <v>3706</v>
      </c>
      <c r="H50" s="1062">
        <v>20</v>
      </c>
      <c r="I50" s="138"/>
      <c r="J50" s="138"/>
      <c r="K50" s="138"/>
      <c r="L50" s="138"/>
      <c r="M50" s="138"/>
      <c r="N50" s="138"/>
      <c r="O50" s="138"/>
      <c r="P50" s="138"/>
      <c r="Q50" s="138"/>
      <c r="R50" s="138"/>
      <c r="S50" s="138"/>
      <c r="T50" s="138"/>
      <c r="U50" s="138"/>
      <c r="V50" s="138"/>
      <c r="W50" s="138"/>
      <c r="X50" s="138"/>
      <c r="Y50" s="138"/>
      <c r="Z50" s="138"/>
    </row>
    <row r="51" spans="1:26" ht="14.25" customHeight="1">
      <c r="A51" s="1058" t="s">
        <v>3707</v>
      </c>
      <c r="B51" s="1058" t="s">
        <v>3439</v>
      </c>
      <c r="C51" s="1058" t="s">
        <v>267</v>
      </c>
      <c r="D51" s="1058" t="s">
        <v>976</v>
      </c>
      <c r="E51" s="1060">
        <v>37441.5</v>
      </c>
      <c r="F51" s="1056"/>
      <c r="G51" s="1058" t="s">
        <v>3708</v>
      </c>
      <c r="H51" s="1062">
        <v>16</v>
      </c>
      <c r="I51" s="138"/>
      <c r="J51" s="138"/>
      <c r="K51" s="138"/>
      <c r="L51" s="138"/>
      <c r="M51" s="138"/>
      <c r="N51" s="138"/>
      <c r="O51" s="138"/>
      <c r="P51" s="138"/>
      <c r="Q51" s="138"/>
      <c r="R51" s="138"/>
      <c r="S51" s="138"/>
      <c r="T51" s="138"/>
      <c r="U51" s="138"/>
      <c r="V51" s="138"/>
      <c r="W51" s="138"/>
      <c r="X51" s="138"/>
      <c r="Y51" s="138"/>
      <c r="Z51" s="138"/>
    </row>
    <row r="52" spans="1:26" ht="14.25" customHeight="1">
      <c r="A52" s="1058" t="s">
        <v>3709</v>
      </c>
      <c r="B52" s="1058" t="s">
        <v>3439</v>
      </c>
      <c r="C52" s="1058" t="s">
        <v>267</v>
      </c>
      <c r="D52" s="1058" t="s">
        <v>279</v>
      </c>
      <c r="E52" s="1060">
        <v>38207</v>
      </c>
      <c r="F52" s="1060">
        <v>-40179.300000000003</v>
      </c>
      <c r="G52" s="1058" t="s">
        <v>3710</v>
      </c>
      <c r="H52" s="1062">
        <v>13</v>
      </c>
      <c r="I52" s="138"/>
      <c r="J52" s="138"/>
      <c r="K52" s="138"/>
      <c r="L52" s="138"/>
      <c r="M52" s="138"/>
      <c r="N52" s="138"/>
      <c r="O52" s="138"/>
      <c r="P52" s="138"/>
      <c r="Q52" s="138"/>
      <c r="R52" s="138"/>
      <c r="S52" s="138"/>
      <c r="T52" s="138"/>
      <c r="U52" s="138"/>
      <c r="V52" s="138"/>
      <c r="W52" s="138"/>
      <c r="X52" s="138"/>
      <c r="Y52" s="138"/>
      <c r="Z52" s="138"/>
    </row>
    <row r="53" spans="1:26" ht="14.25" customHeight="1">
      <c r="A53" s="1058" t="s">
        <v>3711</v>
      </c>
      <c r="B53" s="1058" t="s">
        <v>3439</v>
      </c>
      <c r="C53" s="1058" t="s">
        <v>267</v>
      </c>
      <c r="D53" s="1058" t="s">
        <v>976</v>
      </c>
      <c r="E53" s="1060">
        <v>37773</v>
      </c>
      <c r="F53" s="1060">
        <v>-39749.85</v>
      </c>
      <c r="G53" s="1058" t="s">
        <v>3712</v>
      </c>
      <c r="H53" s="1062">
        <v>13</v>
      </c>
      <c r="I53" s="138"/>
      <c r="J53" s="138"/>
      <c r="K53" s="138"/>
      <c r="L53" s="138"/>
      <c r="M53" s="138"/>
      <c r="N53" s="138"/>
      <c r="O53" s="138"/>
      <c r="P53" s="138"/>
      <c r="Q53" s="138"/>
      <c r="R53" s="138"/>
      <c r="S53" s="138"/>
      <c r="T53" s="138"/>
      <c r="U53" s="138"/>
      <c r="V53" s="138"/>
      <c r="W53" s="138"/>
      <c r="X53" s="138"/>
      <c r="Y53" s="138"/>
      <c r="Z53" s="138"/>
    </row>
    <row r="54" spans="1:26" ht="14.25" customHeight="1">
      <c r="A54" s="1058" t="s">
        <v>3713</v>
      </c>
      <c r="B54" s="1058" t="s">
        <v>3439</v>
      </c>
      <c r="C54" s="1058" t="s">
        <v>267</v>
      </c>
      <c r="D54" s="1058" t="s">
        <v>976</v>
      </c>
      <c r="E54" s="1060">
        <v>37109</v>
      </c>
      <c r="F54" s="1060">
        <v>-39552.449999999997</v>
      </c>
      <c r="G54" s="1058" t="s">
        <v>3714</v>
      </c>
      <c r="H54" s="1062">
        <v>13</v>
      </c>
      <c r="I54" s="138"/>
      <c r="J54" s="138"/>
      <c r="K54" s="138"/>
      <c r="L54" s="138"/>
      <c r="M54" s="138"/>
      <c r="N54" s="138"/>
      <c r="O54" s="138"/>
      <c r="P54" s="138"/>
      <c r="Q54" s="138"/>
      <c r="R54" s="138"/>
      <c r="S54" s="138"/>
      <c r="T54" s="138"/>
      <c r="U54" s="138"/>
      <c r="V54" s="138"/>
      <c r="W54" s="138"/>
      <c r="X54" s="138"/>
      <c r="Y54" s="138"/>
      <c r="Z54" s="138"/>
    </row>
    <row r="55" spans="1:26" ht="14.25" customHeight="1">
      <c r="A55" s="1058" t="s">
        <v>3715</v>
      </c>
      <c r="B55" s="1058" t="s">
        <v>3439</v>
      </c>
      <c r="C55" s="1058" t="s">
        <v>267</v>
      </c>
      <c r="D55" s="1058" t="s">
        <v>976</v>
      </c>
      <c r="E55" s="1060">
        <v>34270</v>
      </c>
      <c r="F55" s="1060">
        <v>-36066.449999999997</v>
      </c>
      <c r="G55" s="1058" t="s">
        <v>3716</v>
      </c>
      <c r="H55" s="1062">
        <v>13</v>
      </c>
      <c r="I55" s="138"/>
      <c r="J55" s="138"/>
      <c r="K55" s="138"/>
      <c r="L55" s="138"/>
      <c r="M55" s="138"/>
      <c r="N55" s="138"/>
      <c r="O55" s="138"/>
      <c r="P55" s="138"/>
      <c r="Q55" s="138"/>
      <c r="R55" s="138"/>
      <c r="S55" s="138"/>
      <c r="T55" s="138"/>
      <c r="U55" s="138"/>
      <c r="V55" s="138"/>
      <c r="W55" s="138"/>
      <c r="X55" s="138"/>
      <c r="Y55" s="138"/>
      <c r="Z55" s="138"/>
    </row>
    <row r="56" spans="1:26" ht="14.25" customHeight="1">
      <c r="A56" s="1058" t="s">
        <v>3717</v>
      </c>
      <c r="B56" s="1058" t="s">
        <v>3439</v>
      </c>
      <c r="C56" s="1058" t="s">
        <v>267</v>
      </c>
      <c r="D56" s="1058" t="s">
        <v>279</v>
      </c>
      <c r="E56" s="1060">
        <v>39384</v>
      </c>
      <c r="F56" s="1060">
        <v>-41836.199999999997</v>
      </c>
      <c r="G56" s="1058" t="s">
        <v>3718</v>
      </c>
      <c r="H56" s="1062">
        <v>12</v>
      </c>
      <c r="I56" s="138"/>
      <c r="J56" s="138"/>
      <c r="K56" s="138"/>
      <c r="L56" s="138"/>
      <c r="M56" s="138"/>
      <c r="N56" s="138"/>
      <c r="O56" s="138"/>
      <c r="P56" s="138"/>
      <c r="Q56" s="138"/>
      <c r="R56" s="138"/>
      <c r="S56" s="138"/>
      <c r="T56" s="138"/>
      <c r="U56" s="138"/>
      <c r="V56" s="138"/>
      <c r="W56" s="138"/>
      <c r="X56" s="138"/>
      <c r="Y56" s="138"/>
      <c r="Z56" s="138"/>
    </row>
    <row r="57" spans="1:26" ht="14.25" customHeight="1">
      <c r="A57" s="1058" t="s">
        <v>3719</v>
      </c>
      <c r="B57" s="1058" t="s">
        <v>3439</v>
      </c>
      <c r="C57" s="1058" t="s">
        <v>267</v>
      </c>
      <c r="D57" s="1058" t="s">
        <v>3573</v>
      </c>
      <c r="E57" s="1060">
        <v>49697</v>
      </c>
      <c r="F57" s="1060">
        <v>-52243.8</v>
      </c>
      <c r="G57" s="1058" t="s">
        <v>3720</v>
      </c>
      <c r="H57" s="1062">
        <v>12</v>
      </c>
      <c r="I57" s="138"/>
      <c r="J57" s="138"/>
      <c r="K57" s="138"/>
      <c r="L57" s="138"/>
      <c r="M57" s="138"/>
      <c r="N57" s="138"/>
      <c r="O57" s="138"/>
      <c r="P57" s="138"/>
      <c r="Q57" s="138"/>
      <c r="R57" s="138"/>
      <c r="S57" s="138"/>
      <c r="T57" s="138"/>
      <c r="U57" s="138"/>
      <c r="V57" s="138"/>
      <c r="W57" s="138"/>
      <c r="X57" s="138"/>
      <c r="Y57" s="138"/>
      <c r="Z57" s="138"/>
    </row>
    <row r="58" spans="1:26" ht="14.25" customHeight="1">
      <c r="A58" s="1058" t="s">
        <v>3721</v>
      </c>
      <c r="B58" s="1058" t="s">
        <v>3439</v>
      </c>
      <c r="C58" s="1058" t="s">
        <v>267</v>
      </c>
      <c r="D58" s="1058" t="s">
        <v>3573</v>
      </c>
      <c r="E58" s="1060">
        <v>49697</v>
      </c>
      <c r="F58" s="1060">
        <v>-52243.8</v>
      </c>
      <c r="G58" s="1058" t="s">
        <v>3722</v>
      </c>
      <c r="H58" s="1062">
        <v>12</v>
      </c>
      <c r="I58" s="138"/>
      <c r="J58" s="138"/>
      <c r="K58" s="138"/>
      <c r="L58" s="138"/>
      <c r="M58" s="138"/>
      <c r="N58" s="138"/>
      <c r="O58" s="138"/>
      <c r="P58" s="138"/>
      <c r="Q58" s="138"/>
      <c r="R58" s="138"/>
      <c r="S58" s="138"/>
      <c r="T58" s="138"/>
      <c r="U58" s="138"/>
      <c r="V58" s="138"/>
      <c r="W58" s="138"/>
      <c r="X58" s="138"/>
      <c r="Y58" s="138"/>
      <c r="Z58" s="138"/>
    </row>
    <row r="59" spans="1:26" ht="14.25" customHeight="1">
      <c r="A59" s="1058" t="s">
        <v>3723</v>
      </c>
      <c r="B59" s="1058" t="s">
        <v>3439</v>
      </c>
      <c r="C59" s="1058" t="s">
        <v>267</v>
      </c>
      <c r="D59" s="1058" t="s">
        <v>976</v>
      </c>
      <c r="E59" s="1060">
        <v>35568</v>
      </c>
      <c r="F59" s="1060">
        <v>-37434.6</v>
      </c>
      <c r="G59" s="1058" t="s">
        <v>3724</v>
      </c>
      <c r="H59" s="1062">
        <v>12</v>
      </c>
      <c r="I59" s="138"/>
      <c r="J59" s="138"/>
      <c r="K59" s="138"/>
      <c r="L59" s="138"/>
      <c r="M59" s="138"/>
      <c r="N59" s="138"/>
      <c r="O59" s="138"/>
      <c r="P59" s="138"/>
      <c r="Q59" s="138"/>
      <c r="R59" s="138"/>
      <c r="S59" s="138"/>
      <c r="T59" s="138"/>
      <c r="U59" s="138"/>
      <c r="V59" s="138"/>
      <c r="W59" s="138"/>
      <c r="X59" s="138"/>
      <c r="Y59" s="138"/>
      <c r="Z59" s="138"/>
    </row>
    <row r="60" spans="1:26" ht="14.25" customHeight="1">
      <c r="A60" s="1058" t="s">
        <v>3725</v>
      </c>
      <c r="B60" s="1058" t="s">
        <v>3439</v>
      </c>
      <c r="C60" s="1058" t="s">
        <v>267</v>
      </c>
      <c r="D60" s="1058" t="s">
        <v>976</v>
      </c>
      <c r="E60" s="1060">
        <v>34265</v>
      </c>
      <c r="F60" s="1060">
        <v>-36066.449999999997</v>
      </c>
      <c r="G60" s="1058" t="s">
        <v>3726</v>
      </c>
      <c r="H60" s="1062">
        <v>12</v>
      </c>
      <c r="I60" s="138"/>
      <c r="J60" s="138"/>
      <c r="K60" s="138"/>
      <c r="L60" s="138"/>
      <c r="M60" s="138"/>
      <c r="N60" s="138"/>
      <c r="O60" s="138"/>
      <c r="P60" s="138"/>
      <c r="Q60" s="138"/>
      <c r="R60" s="138"/>
      <c r="S60" s="138"/>
      <c r="T60" s="138"/>
      <c r="U60" s="138"/>
      <c r="V60" s="138"/>
      <c r="W60" s="138"/>
      <c r="X60" s="138"/>
      <c r="Y60" s="138"/>
      <c r="Z60" s="138"/>
    </row>
    <row r="61" spans="1:26" ht="14.25" customHeight="1">
      <c r="A61" s="1058" t="s">
        <v>3727</v>
      </c>
      <c r="B61" s="1058" t="s">
        <v>3439</v>
      </c>
      <c r="C61" s="1058" t="s">
        <v>267</v>
      </c>
      <c r="D61" s="1058" t="s">
        <v>976</v>
      </c>
      <c r="E61" s="1060">
        <v>28211</v>
      </c>
      <c r="F61" s="1056"/>
      <c r="G61" s="1058" t="s">
        <v>3728</v>
      </c>
      <c r="H61" s="1062">
        <v>12</v>
      </c>
      <c r="I61" s="138"/>
      <c r="J61" s="138"/>
      <c r="K61" s="138"/>
      <c r="L61" s="138"/>
      <c r="M61" s="138"/>
      <c r="N61" s="138"/>
      <c r="O61" s="138"/>
      <c r="P61" s="138"/>
      <c r="Q61" s="138"/>
      <c r="R61" s="138"/>
      <c r="S61" s="138"/>
      <c r="T61" s="138"/>
      <c r="U61" s="138"/>
      <c r="V61" s="138"/>
      <c r="W61" s="138"/>
      <c r="X61" s="138"/>
      <c r="Y61" s="138"/>
      <c r="Z61" s="138"/>
    </row>
    <row r="62" spans="1:26" ht="14.25" customHeight="1">
      <c r="A62" s="1058" t="s">
        <v>3729</v>
      </c>
      <c r="B62" s="1058" t="s">
        <v>3439</v>
      </c>
      <c r="C62" s="1058" t="s">
        <v>267</v>
      </c>
      <c r="D62" s="1058" t="s">
        <v>260</v>
      </c>
      <c r="E62" s="1060">
        <v>47482.92</v>
      </c>
      <c r="F62" s="1060">
        <v>-47526.15</v>
      </c>
      <c r="G62" s="1058" t="s">
        <v>3730</v>
      </c>
      <c r="H62" s="1062">
        <v>12</v>
      </c>
      <c r="I62" s="138"/>
      <c r="J62" s="138"/>
      <c r="K62" s="138"/>
      <c r="L62" s="138"/>
      <c r="M62" s="138"/>
      <c r="N62" s="138"/>
      <c r="O62" s="138"/>
      <c r="P62" s="138"/>
      <c r="Q62" s="138"/>
      <c r="R62" s="138"/>
      <c r="S62" s="138"/>
      <c r="T62" s="138"/>
      <c r="U62" s="138"/>
      <c r="V62" s="138"/>
      <c r="W62" s="138"/>
      <c r="X62" s="138"/>
      <c r="Y62" s="138"/>
      <c r="Z62" s="138"/>
    </row>
    <row r="63" spans="1:26" ht="14.25" customHeight="1">
      <c r="A63" s="1058" t="s">
        <v>3731</v>
      </c>
      <c r="B63" s="1058" t="s">
        <v>3439</v>
      </c>
      <c r="C63" s="1058" t="s">
        <v>267</v>
      </c>
      <c r="D63" s="1058" t="s">
        <v>260</v>
      </c>
      <c r="E63" s="1060">
        <v>40734</v>
      </c>
      <c r="F63" s="1060">
        <v>-43358.7</v>
      </c>
      <c r="G63" s="1058" t="s">
        <v>3732</v>
      </c>
      <c r="H63" s="1062">
        <v>9</v>
      </c>
      <c r="I63" s="138"/>
      <c r="J63" s="138"/>
      <c r="K63" s="138"/>
      <c r="L63" s="138"/>
      <c r="M63" s="138"/>
      <c r="N63" s="138"/>
      <c r="O63" s="138"/>
      <c r="P63" s="138"/>
      <c r="Q63" s="138"/>
      <c r="R63" s="138"/>
      <c r="S63" s="138"/>
      <c r="T63" s="138"/>
      <c r="U63" s="138"/>
      <c r="V63" s="138"/>
      <c r="W63" s="138"/>
      <c r="X63" s="138"/>
      <c r="Y63" s="138"/>
      <c r="Z63" s="138"/>
    </row>
    <row r="64" spans="1:26" ht="14.25" customHeight="1">
      <c r="A64" s="1058" t="s">
        <v>3733</v>
      </c>
      <c r="B64" s="1058" t="s">
        <v>3439</v>
      </c>
      <c r="C64" s="1058" t="s">
        <v>267</v>
      </c>
      <c r="D64" s="1058" t="s">
        <v>279</v>
      </c>
      <c r="E64" s="1060">
        <v>37806</v>
      </c>
      <c r="F64" s="1060">
        <v>-40179.300000000003</v>
      </c>
      <c r="G64" s="1058" t="s">
        <v>3734</v>
      </c>
      <c r="H64" s="1062">
        <v>3</v>
      </c>
      <c r="I64" s="138"/>
      <c r="J64" s="138"/>
      <c r="K64" s="138"/>
      <c r="L64" s="138"/>
      <c r="M64" s="138"/>
      <c r="N64" s="138"/>
      <c r="O64" s="138"/>
      <c r="P64" s="138"/>
      <c r="Q64" s="138"/>
      <c r="R64" s="138"/>
      <c r="S64" s="138"/>
      <c r="T64" s="138"/>
      <c r="U64" s="138"/>
      <c r="V64" s="138"/>
      <c r="W64" s="138"/>
      <c r="X64" s="138"/>
      <c r="Y64" s="138"/>
      <c r="Z64" s="138"/>
    </row>
    <row r="65" spans="1:26" ht="14.25" customHeight="1">
      <c r="A65" s="1058" t="s">
        <v>3735</v>
      </c>
      <c r="B65" s="1058" t="s">
        <v>3439</v>
      </c>
      <c r="C65" s="1058" t="s">
        <v>267</v>
      </c>
      <c r="D65" s="1058" t="s">
        <v>260</v>
      </c>
      <c r="E65" s="1060">
        <v>44886</v>
      </c>
      <c r="F65" s="1060">
        <v>-47718.3</v>
      </c>
      <c r="G65" s="1058" t="s">
        <v>3736</v>
      </c>
      <c r="H65" s="1062">
        <v>3</v>
      </c>
      <c r="I65" s="138"/>
      <c r="J65" s="138"/>
      <c r="K65" s="138"/>
      <c r="L65" s="138"/>
      <c r="M65" s="138"/>
      <c r="N65" s="138"/>
      <c r="O65" s="138"/>
      <c r="P65" s="138"/>
      <c r="Q65" s="138"/>
      <c r="R65" s="138"/>
      <c r="S65" s="138"/>
      <c r="T65" s="138"/>
      <c r="U65" s="138"/>
      <c r="V65" s="138"/>
      <c r="W65" s="138"/>
      <c r="X65" s="138"/>
      <c r="Y65" s="138"/>
      <c r="Z65" s="138"/>
    </row>
    <row r="66" spans="1:26" ht="14.25" customHeight="1">
      <c r="A66" s="1058" t="s">
        <v>3737</v>
      </c>
      <c r="B66" s="1058" t="s">
        <v>3439</v>
      </c>
      <c r="C66" s="1058" t="s">
        <v>267</v>
      </c>
      <c r="D66" s="1058" t="s">
        <v>260</v>
      </c>
      <c r="E66" s="1060">
        <v>44154</v>
      </c>
      <c r="F66" s="1060">
        <v>-46949.7</v>
      </c>
      <c r="G66" s="1058" t="s">
        <v>3738</v>
      </c>
      <c r="H66" s="1062">
        <v>3</v>
      </c>
      <c r="I66" s="138"/>
      <c r="J66" s="138"/>
      <c r="K66" s="138"/>
      <c r="L66" s="138"/>
      <c r="M66" s="138"/>
      <c r="N66" s="138"/>
      <c r="O66" s="138"/>
      <c r="P66" s="138"/>
      <c r="Q66" s="138"/>
      <c r="R66" s="138"/>
      <c r="S66" s="138"/>
      <c r="T66" s="138"/>
      <c r="U66" s="138"/>
      <c r="V66" s="138"/>
      <c r="W66" s="138"/>
      <c r="X66" s="138"/>
      <c r="Y66" s="138"/>
      <c r="Z66" s="138"/>
    </row>
    <row r="67" spans="1:26" ht="14.25" customHeight="1">
      <c r="A67" s="1058" t="s">
        <v>3739</v>
      </c>
      <c r="B67" s="1058" t="s">
        <v>3439</v>
      </c>
      <c r="C67" s="1058" t="s">
        <v>267</v>
      </c>
      <c r="D67" s="1058" t="s">
        <v>260</v>
      </c>
      <c r="E67" s="1060">
        <v>44154</v>
      </c>
      <c r="F67" s="1060">
        <v>-46949.7</v>
      </c>
      <c r="G67" s="1058" t="s">
        <v>3740</v>
      </c>
      <c r="H67" s="1062">
        <v>3</v>
      </c>
      <c r="I67" s="138"/>
      <c r="J67" s="138"/>
      <c r="K67" s="138"/>
      <c r="L67" s="138"/>
      <c r="M67" s="138"/>
      <c r="N67" s="138"/>
      <c r="O67" s="138"/>
      <c r="P67" s="138"/>
      <c r="Q67" s="138"/>
      <c r="R67" s="138"/>
      <c r="S67" s="138"/>
      <c r="T67" s="138"/>
      <c r="U67" s="138"/>
      <c r="V67" s="138"/>
      <c r="W67" s="138"/>
      <c r="X67" s="138"/>
      <c r="Y67" s="138"/>
      <c r="Z67" s="138"/>
    </row>
    <row r="68" spans="1:26" ht="14.25" customHeight="1">
      <c r="A68" s="1058" t="s">
        <v>3741</v>
      </c>
      <c r="B68" s="1058" t="s">
        <v>3439</v>
      </c>
      <c r="C68" s="1058" t="s">
        <v>267</v>
      </c>
      <c r="D68" s="1058" t="s">
        <v>260</v>
      </c>
      <c r="E68" s="1060">
        <v>43701</v>
      </c>
      <c r="F68" s="1060">
        <v>-46474.05</v>
      </c>
      <c r="G68" s="1058" t="s">
        <v>3742</v>
      </c>
      <c r="H68" s="1062">
        <v>3</v>
      </c>
      <c r="I68" s="138"/>
      <c r="J68" s="138"/>
      <c r="K68" s="138"/>
      <c r="L68" s="138"/>
      <c r="M68" s="138"/>
      <c r="N68" s="138"/>
      <c r="O68" s="138"/>
      <c r="P68" s="138"/>
      <c r="Q68" s="138"/>
      <c r="R68" s="138"/>
      <c r="S68" s="138"/>
      <c r="T68" s="138"/>
      <c r="U68" s="138"/>
      <c r="V68" s="138"/>
      <c r="W68" s="138"/>
      <c r="X68" s="138"/>
      <c r="Y68" s="138"/>
      <c r="Z68" s="138"/>
    </row>
    <row r="69" spans="1:26" ht="14.25" customHeight="1">
      <c r="A69" s="1058" t="s">
        <v>3743</v>
      </c>
      <c r="B69" s="1058" t="s">
        <v>3439</v>
      </c>
      <c r="C69" s="1058" t="s">
        <v>267</v>
      </c>
      <c r="D69" s="1058" t="s">
        <v>260</v>
      </c>
      <c r="E69" s="1060">
        <v>43701</v>
      </c>
      <c r="F69" s="1060">
        <v>-46474.05</v>
      </c>
      <c r="G69" s="1058" t="s">
        <v>3744</v>
      </c>
      <c r="H69" s="1062">
        <v>3</v>
      </c>
      <c r="I69" s="138"/>
      <c r="J69" s="138"/>
      <c r="K69" s="138"/>
      <c r="L69" s="138"/>
      <c r="M69" s="138"/>
      <c r="N69" s="138"/>
      <c r="O69" s="138"/>
      <c r="P69" s="138"/>
      <c r="Q69" s="138"/>
      <c r="R69" s="138"/>
      <c r="S69" s="138"/>
      <c r="T69" s="138"/>
      <c r="U69" s="138"/>
      <c r="V69" s="138"/>
      <c r="W69" s="138"/>
      <c r="X69" s="138"/>
      <c r="Y69" s="138"/>
      <c r="Z69" s="138"/>
    </row>
    <row r="70" spans="1:26" ht="14.25" customHeight="1">
      <c r="A70" s="1058" t="s">
        <v>3745</v>
      </c>
      <c r="B70" s="1058" t="s">
        <v>3439</v>
      </c>
      <c r="C70" s="1058" t="s">
        <v>267</v>
      </c>
      <c r="D70" s="1058" t="s">
        <v>260</v>
      </c>
      <c r="E70" s="1060">
        <v>40734</v>
      </c>
      <c r="F70" s="1060">
        <v>-43358.7</v>
      </c>
      <c r="G70" s="1058" t="s">
        <v>3746</v>
      </c>
      <c r="H70" s="1062">
        <v>3</v>
      </c>
      <c r="I70" s="138"/>
      <c r="J70" s="138"/>
      <c r="K70" s="138"/>
      <c r="L70" s="138"/>
      <c r="M70" s="138"/>
      <c r="N70" s="138"/>
      <c r="O70" s="138"/>
      <c r="P70" s="138"/>
      <c r="Q70" s="138"/>
      <c r="R70" s="138"/>
      <c r="S70" s="138"/>
      <c r="T70" s="138"/>
      <c r="U70" s="138"/>
      <c r="V70" s="138"/>
      <c r="W70" s="138"/>
      <c r="X70" s="138"/>
      <c r="Y70" s="138"/>
      <c r="Z70" s="138"/>
    </row>
    <row r="71" spans="1:26" ht="14.25" customHeight="1">
      <c r="A71" s="1058" t="s">
        <v>3747</v>
      </c>
      <c r="B71" s="1058" t="s">
        <v>3439</v>
      </c>
      <c r="C71" s="1058" t="s">
        <v>267</v>
      </c>
      <c r="D71" s="1058" t="s">
        <v>260</v>
      </c>
      <c r="E71" s="1060">
        <v>39069</v>
      </c>
      <c r="F71" s="1060">
        <v>-41610.449999999997</v>
      </c>
      <c r="G71" s="1058" t="s">
        <v>3748</v>
      </c>
      <c r="H71" s="1062">
        <v>3</v>
      </c>
      <c r="I71" s="138"/>
      <c r="J71" s="138"/>
      <c r="K71" s="138"/>
      <c r="L71" s="138"/>
      <c r="M71" s="138"/>
      <c r="N71" s="138"/>
      <c r="O71" s="138"/>
      <c r="P71" s="138"/>
      <c r="Q71" s="138"/>
      <c r="R71" s="138"/>
      <c r="S71" s="138"/>
      <c r="T71" s="138"/>
      <c r="U71" s="138"/>
      <c r="V71" s="138"/>
      <c r="W71" s="138"/>
      <c r="X71" s="138"/>
      <c r="Y71" s="138"/>
      <c r="Z71" s="138"/>
    </row>
    <row r="72" spans="1:26" ht="14.25" customHeight="1">
      <c r="A72" s="1058" t="s">
        <v>3749</v>
      </c>
      <c r="B72" s="1058" t="s">
        <v>3439</v>
      </c>
      <c r="C72" s="1058" t="s">
        <v>267</v>
      </c>
      <c r="D72" s="1058" t="s">
        <v>260</v>
      </c>
      <c r="E72" s="1060">
        <v>44154</v>
      </c>
      <c r="F72" s="1060">
        <v>-46949.7</v>
      </c>
      <c r="G72" s="1058" t="s">
        <v>3750</v>
      </c>
      <c r="H72" s="1062">
        <v>2</v>
      </c>
      <c r="I72" s="138"/>
      <c r="J72" s="138"/>
      <c r="K72" s="138"/>
      <c r="L72" s="138"/>
      <c r="M72" s="138"/>
      <c r="N72" s="138"/>
      <c r="O72" s="138"/>
      <c r="P72" s="138"/>
      <c r="Q72" s="138"/>
      <c r="R72" s="138"/>
      <c r="S72" s="138"/>
      <c r="T72" s="138"/>
      <c r="U72" s="138"/>
      <c r="V72" s="138"/>
      <c r="W72" s="138"/>
      <c r="X72" s="138"/>
      <c r="Y72" s="138"/>
      <c r="Z72" s="138"/>
    </row>
    <row r="73" spans="1:26" ht="14.25" customHeight="1">
      <c r="A73" s="4"/>
      <c r="B73" s="141"/>
      <c r="C73" s="141"/>
      <c r="D73" s="4"/>
      <c r="E73" s="146"/>
      <c r="F73" s="146"/>
      <c r="G73" s="4"/>
      <c r="H73" s="4"/>
      <c r="I73" s="138"/>
      <c r="J73" s="138"/>
      <c r="K73" s="138"/>
      <c r="L73" s="138"/>
      <c r="M73" s="138"/>
      <c r="N73" s="138"/>
      <c r="O73" s="138"/>
      <c r="P73" s="138"/>
      <c r="Q73" s="138"/>
      <c r="R73" s="138"/>
      <c r="S73" s="138"/>
      <c r="T73" s="138"/>
      <c r="U73" s="138"/>
      <c r="V73" s="138"/>
      <c r="W73" s="138"/>
      <c r="X73" s="138"/>
      <c r="Y73" s="138"/>
      <c r="Z73" s="138"/>
    </row>
    <row r="74" spans="1:26" ht="14.25" customHeight="1">
      <c r="A74" s="4"/>
      <c r="B74" s="141"/>
      <c r="C74" s="141"/>
      <c r="D74" s="4"/>
      <c r="E74" s="146"/>
      <c r="F74" s="146"/>
      <c r="G74" s="4"/>
      <c r="H74" s="4"/>
      <c r="I74" s="138"/>
      <c r="J74" s="138"/>
      <c r="K74" s="138"/>
      <c r="L74" s="138"/>
      <c r="M74" s="138"/>
      <c r="N74" s="138"/>
      <c r="O74" s="138"/>
      <c r="P74" s="138"/>
      <c r="Q74" s="138"/>
      <c r="R74" s="138"/>
      <c r="S74" s="138"/>
      <c r="T74" s="138"/>
      <c r="U74" s="138"/>
      <c r="V74" s="138"/>
      <c r="W74" s="138"/>
      <c r="X74" s="138"/>
      <c r="Y74" s="138"/>
      <c r="Z74" s="138"/>
    </row>
    <row r="75" spans="1:26" ht="14.25" customHeight="1">
      <c r="A75" s="4"/>
      <c r="B75" s="4"/>
      <c r="C75" s="4"/>
      <c r="D75" s="4"/>
      <c r="E75" s="146"/>
      <c r="F75" s="146"/>
      <c r="G75" s="4"/>
      <c r="H75" s="4"/>
      <c r="I75" s="138"/>
      <c r="J75" s="138"/>
      <c r="K75" s="138"/>
      <c r="L75" s="138"/>
      <c r="M75" s="138"/>
      <c r="N75" s="138"/>
      <c r="O75" s="138"/>
      <c r="P75" s="138"/>
      <c r="Q75" s="138"/>
      <c r="R75" s="138"/>
      <c r="S75" s="138"/>
      <c r="T75" s="138"/>
      <c r="U75" s="138"/>
      <c r="V75" s="138"/>
      <c r="W75" s="138"/>
      <c r="X75" s="138"/>
      <c r="Y75" s="138"/>
      <c r="Z75" s="138"/>
    </row>
    <row r="76" spans="1:26" ht="14.25" customHeight="1">
      <c r="A76" s="4"/>
      <c r="B76" s="4"/>
      <c r="C76" s="4"/>
      <c r="D76" s="4"/>
      <c r="E76" s="146"/>
      <c r="F76" s="146"/>
      <c r="G76" s="4"/>
      <c r="H76" s="4"/>
      <c r="I76" s="138"/>
      <c r="J76" s="138"/>
      <c r="K76" s="138"/>
      <c r="L76" s="138"/>
      <c r="M76" s="138"/>
      <c r="N76" s="138"/>
      <c r="O76" s="138"/>
      <c r="P76" s="138"/>
      <c r="Q76" s="138"/>
      <c r="R76" s="138"/>
      <c r="S76" s="138"/>
      <c r="T76" s="138"/>
      <c r="U76" s="138"/>
      <c r="V76" s="138"/>
      <c r="W76" s="138"/>
      <c r="X76" s="138"/>
      <c r="Y76" s="138"/>
      <c r="Z76" s="138"/>
    </row>
    <row r="77" spans="1:26" ht="14.25" customHeight="1">
      <c r="A77" s="4"/>
      <c r="B77" s="4"/>
      <c r="C77" s="4"/>
      <c r="D77" s="4"/>
      <c r="E77" s="146"/>
      <c r="F77" s="146"/>
      <c r="G77" s="4"/>
      <c r="H77" s="4"/>
      <c r="I77" s="138"/>
      <c r="J77" s="138"/>
      <c r="K77" s="138"/>
      <c r="L77" s="138"/>
      <c r="M77" s="138"/>
      <c r="N77" s="138"/>
      <c r="O77" s="138"/>
      <c r="P77" s="138"/>
      <c r="Q77" s="138"/>
      <c r="R77" s="138"/>
      <c r="S77" s="138"/>
      <c r="T77" s="138"/>
      <c r="U77" s="138"/>
      <c r="V77" s="138"/>
      <c r="W77" s="138"/>
      <c r="X77" s="138"/>
      <c r="Y77" s="138"/>
      <c r="Z77" s="138"/>
    </row>
    <row r="78" spans="1:26" ht="14.25" customHeight="1">
      <c r="A78" s="4"/>
      <c r="B78" s="4"/>
      <c r="C78" s="4"/>
      <c r="D78" s="4"/>
      <c r="E78" s="146"/>
      <c r="F78" s="146"/>
      <c r="G78" s="4"/>
      <c r="H78" s="4"/>
      <c r="I78" s="138"/>
      <c r="J78" s="138"/>
      <c r="K78" s="138"/>
      <c r="L78" s="138"/>
      <c r="M78" s="138"/>
      <c r="N78" s="138"/>
      <c r="O78" s="138"/>
      <c r="P78" s="138"/>
      <c r="Q78" s="138"/>
      <c r="R78" s="138"/>
      <c r="S78" s="138"/>
      <c r="T78" s="138"/>
      <c r="U78" s="138"/>
      <c r="V78" s="138"/>
      <c r="W78" s="138"/>
      <c r="X78" s="138"/>
      <c r="Y78" s="138"/>
      <c r="Z78" s="138"/>
    </row>
    <row r="79" spans="1:26" ht="14.25" customHeight="1">
      <c r="A79" s="4"/>
      <c r="B79" s="4"/>
      <c r="C79" s="4"/>
      <c r="D79" s="4"/>
      <c r="E79" s="146"/>
      <c r="F79" s="146"/>
      <c r="G79" s="4"/>
      <c r="H79" s="4"/>
      <c r="I79" s="138"/>
      <c r="J79" s="138"/>
      <c r="K79" s="138"/>
      <c r="L79" s="138"/>
      <c r="M79" s="138"/>
      <c r="N79" s="138"/>
      <c r="O79" s="138"/>
      <c r="P79" s="138"/>
      <c r="Q79" s="138"/>
      <c r="R79" s="138"/>
      <c r="S79" s="138"/>
      <c r="T79" s="138"/>
      <c r="U79" s="138"/>
      <c r="V79" s="138"/>
      <c r="W79" s="138"/>
      <c r="X79" s="138"/>
      <c r="Y79" s="138"/>
      <c r="Z79" s="138"/>
    </row>
    <row r="80" spans="1:26" ht="14.25" customHeight="1">
      <c r="A80" s="4"/>
      <c r="B80" s="4"/>
      <c r="C80" s="4"/>
      <c r="D80" s="4"/>
      <c r="E80" s="146"/>
      <c r="F80" s="146"/>
      <c r="G80" s="4"/>
      <c r="H80" s="4"/>
      <c r="I80" s="138"/>
      <c r="J80" s="138"/>
      <c r="K80" s="138"/>
      <c r="L80" s="138"/>
      <c r="M80" s="138"/>
      <c r="N80" s="138"/>
      <c r="O80" s="138"/>
      <c r="P80" s="138"/>
      <c r="Q80" s="138"/>
      <c r="R80" s="138"/>
      <c r="S80" s="138"/>
      <c r="T80" s="138"/>
      <c r="U80" s="138"/>
      <c r="V80" s="138"/>
      <c r="W80" s="138"/>
      <c r="X80" s="138"/>
      <c r="Y80" s="138"/>
      <c r="Z80" s="138"/>
    </row>
    <row r="81" spans="1:26" ht="14.25" customHeight="1">
      <c r="A81" s="4"/>
      <c r="B81" s="4"/>
      <c r="C81" s="4"/>
      <c r="D81" s="4"/>
      <c r="E81" s="146"/>
      <c r="F81" s="146"/>
      <c r="G81" s="4"/>
      <c r="H81" s="4"/>
      <c r="I81" s="138"/>
      <c r="J81" s="138"/>
      <c r="K81" s="138"/>
      <c r="L81" s="138"/>
      <c r="M81" s="138"/>
      <c r="N81" s="138"/>
      <c r="O81" s="138"/>
      <c r="P81" s="138"/>
      <c r="Q81" s="138"/>
      <c r="R81" s="138"/>
      <c r="S81" s="138"/>
      <c r="T81" s="138"/>
      <c r="U81" s="138"/>
      <c r="V81" s="138"/>
      <c r="W81" s="138"/>
      <c r="X81" s="138"/>
      <c r="Y81" s="138"/>
      <c r="Z81" s="138"/>
    </row>
    <row r="82" spans="1:26" ht="14.25" customHeight="1">
      <c r="A82" s="4"/>
      <c r="B82" s="4"/>
      <c r="C82" s="4"/>
      <c r="D82" s="4"/>
      <c r="E82" s="146"/>
      <c r="F82" s="146"/>
      <c r="G82" s="4"/>
      <c r="H82" s="4"/>
      <c r="I82" s="138"/>
      <c r="J82" s="138"/>
      <c r="K82" s="138"/>
      <c r="L82" s="138"/>
      <c r="M82" s="138"/>
      <c r="N82" s="138"/>
      <c r="O82" s="138"/>
      <c r="P82" s="138"/>
      <c r="Q82" s="138"/>
      <c r="R82" s="138"/>
      <c r="S82" s="138"/>
      <c r="T82" s="138"/>
      <c r="U82" s="138"/>
      <c r="V82" s="138"/>
      <c r="W82" s="138"/>
      <c r="X82" s="138"/>
      <c r="Y82" s="138"/>
      <c r="Z82" s="138"/>
    </row>
    <row r="83" spans="1:26" ht="14.25" customHeight="1">
      <c r="A83" s="4"/>
      <c r="B83" s="4"/>
      <c r="C83" s="4"/>
      <c r="D83" s="4"/>
      <c r="E83" s="146"/>
      <c r="F83" s="146"/>
      <c r="G83" s="4"/>
      <c r="H83" s="4"/>
      <c r="I83" s="138"/>
      <c r="J83" s="138"/>
      <c r="K83" s="138"/>
      <c r="L83" s="138"/>
      <c r="M83" s="138"/>
      <c r="N83" s="138"/>
      <c r="O83" s="138"/>
      <c r="P83" s="138"/>
      <c r="Q83" s="138"/>
      <c r="R83" s="138"/>
      <c r="S83" s="138"/>
      <c r="T83" s="138"/>
      <c r="U83" s="138"/>
      <c r="V83" s="138"/>
      <c r="W83" s="138"/>
      <c r="X83" s="138"/>
      <c r="Y83" s="138"/>
      <c r="Z83" s="138"/>
    </row>
    <row r="84" spans="1:26" ht="14.25" customHeight="1">
      <c r="A84" s="4"/>
      <c r="B84" s="4"/>
      <c r="C84" s="4"/>
      <c r="D84" s="4"/>
      <c r="E84" s="146"/>
      <c r="F84" s="146"/>
      <c r="G84" s="4"/>
      <c r="H84" s="4"/>
      <c r="I84" s="138"/>
      <c r="J84" s="138"/>
      <c r="K84" s="138"/>
      <c r="L84" s="138"/>
      <c r="M84" s="138"/>
      <c r="N84" s="138"/>
      <c r="O84" s="138"/>
      <c r="P84" s="138"/>
      <c r="Q84" s="138"/>
      <c r="R84" s="138"/>
      <c r="S84" s="138"/>
      <c r="T84" s="138"/>
      <c r="U84" s="138"/>
      <c r="V84" s="138"/>
      <c r="W84" s="138"/>
      <c r="X84" s="138"/>
      <c r="Y84" s="138"/>
      <c r="Z84" s="138"/>
    </row>
    <row r="85" spans="1:26" ht="14.25" customHeight="1">
      <c r="A85" s="4"/>
      <c r="B85" s="4"/>
      <c r="C85" s="4"/>
      <c r="D85" s="4"/>
      <c r="E85" s="146"/>
      <c r="F85" s="146"/>
      <c r="G85" s="4"/>
      <c r="H85" s="4"/>
      <c r="I85" s="138"/>
      <c r="J85" s="138"/>
      <c r="K85" s="138"/>
      <c r="L85" s="138"/>
      <c r="M85" s="138"/>
      <c r="N85" s="138"/>
      <c r="O85" s="138"/>
      <c r="P85" s="138"/>
      <c r="Q85" s="138"/>
      <c r="R85" s="138"/>
      <c r="S85" s="138"/>
      <c r="T85" s="138"/>
      <c r="U85" s="138"/>
      <c r="V85" s="138"/>
      <c r="W85" s="138"/>
      <c r="X85" s="138"/>
      <c r="Y85" s="138"/>
      <c r="Z85" s="138"/>
    </row>
    <row r="86" spans="1:26" ht="14.25" customHeight="1">
      <c r="A86" s="4"/>
      <c r="B86" s="4"/>
      <c r="C86" s="4"/>
      <c r="D86" s="4"/>
      <c r="E86" s="146"/>
      <c r="F86" s="146"/>
      <c r="G86" s="4"/>
      <c r="H86" s="4"/>
      <c r="I86" s="138"/>
      <c r="J86" s="138"/>
      <c r="K86" s="138"/>
      <c r="L86" s="138"/>
      <c r="M86" s="138"/>
      <c r="N86" s="138"/>
      <c r="O86" s="138"/>
      <c r="P86" s="138"/>
      <c r="Q86" s="138"/>
      <c r="R86" s="138"/>
      <c r="S86" s="138"/>
      <c r="T86" s="138"/>
      <c r="U86" s="138"/>
      <c r="V86" s="138"/>
      <c r="W86" s="138"/>
      <c r="X86" s="138"/>
      <c r="Y86" s="138"/>
      <c r="Z86" s="138"/>
    </row>
    <row r="87" spans="1:26" ht="14.25" customHeight="1">
      <c r="A87" s="4"/>
      <c r="B87" s="4"/>
      <c r="C87" s="4"/>
      <c r="D87" s="4"/>
      <c r="E87" s="146"/>
      <c r="F87" s="146"/>
      <c r="G87" s="4"/>
      <c r="H87" s="4"/>
      <c r="I87" s="138"/>
      <c r="J87" s="138"/>
      <c r="K87" s="138"/>
      <c r="L87" s="138"/>
      <c r="M87" s="138"/>
      <c r="N87" s="138"/>
      <c r="O87" s="138"/>
      <c r="P87" s="138"/>
      <c r="Q87" s="138"/>
      <c r="R87" s="138"/>
      <c r="S87" s="138"/>
      <c r="T87" s="138"/>
      <c r="U87" s="138"/>
      <c r="V87" s="138"/>
      <c r="W87" s="138"/>
      <c r="X87" s="138"/>
      <c r="Y87" s="138"/>
      <c r="Z87" s="138"/>
    </row>
    <row r="88" spans="1:26" ht="14.25" customHeight="1">
      <c r="A88" s="4"/>
      <c r="B88" s="4"/>
      <c r="C88" s="4"/>
      <c r="D88" s="4"/>
      <c r="E88" s="146"/>
      <c r="F88" s="146"/>
      <c r="G88" s="4"/>
      <c r="H88" s="4"/>
      <c r="I88" s="138"/>
      <c r="J88" s="138"/>
      <c r="K88" s="138"/>
      <c r="L88" s="138"/>
      <c r="M88" s="138"/>
      <c r="N88" s="138"/>
      <c r="O88" s="138"/>
      <c r="P88" s="138"/>
      <c r="Q88" s="138"/>
      <c r="R88" s="138"/>
      <c r="S88" s="138"/>
      <c r="T88" s="138"/>
      <c r="U88" s="138"/>
      <c r="V88" s="138"/>
      <c r="W88" s="138"/>
      <c r="X88" s="138"/>
      <c r="Y88" s="138"/>
      <c r="Z88" s="138"/>
    </row>
    <row r="89" spans="1:26" ht="14.25" customHeight="1">
      <c r="A89" s="4"/>
      <c r="B89" s="4"/>
      <c r="C89" s="4"/>
      <c r="D89" s="4"/>
      <c r="E89" s="146"/>
      <c r="F89" s="146"/>
      <c r="G89" s="4"/>
      <c r="H89" s="4"/>
      <c r="I89" s="138"/>
      <c r="J89" s="138"/>
      <c r="K89" s="138"/>
      <c r="L89" s="138"/>
      <c r="M89" s="138"/>
      <c r="N89" s="138"/>
      <c r="O89" s="138"/>
      <c r="P89" s="138"/>
      <c r="Q89" s="138"/>
      <c r="R89" s="138"/>
      <c r="S89" s="138"/>
      <c r="T89" s="138"/>
      <c r="U89" s="138"/>
      <c r="V89" s="138"/>
      <c r="W89" s="138"/>
      <c r="X89" s="138"/>
      <c r="Y89" s="138"/>
      <c r="Z89" s="138"/>
    </row>
    <row r="90" spans="1:26" ht="14.25" customHeight="1">
      <c r="A90" s="4"/>
      <c r="B90" s="4"/>
      <c r="C90" s="4"/>
      <c r="D90" s="4"/>
      <c r="E90" s="146"/>
      <c r="F90" s="146"/>
      <c r="G90" s="4"/>
      <c r="H90" s="4"/>
      <c r="I90" s="138"/>
      <c r="J90" s="138"/>
      <c r="K90" s="138"/>
      <c r="L90" s="138"/>
      <c r="M90" s="138"/>
      <c r="N90" s="138"/>
      <c r="O90" s="138"/>
      <c r="P90" s="138"/>
      <c r="Q90" s="138"/>
      <c r="R90" s="138"/>
      <c r="S90" s="138"/>
      <c r="T90" s="138"/>
      <c r="U90" s="138"/>
      <c r="V90" s="138"/>
      <c r="W90" s="138"/>
      <c r="X90" s="138"/>
      <c r="Y90" s="138"/>
      <c r="Z90" s="138"/>
    </row>
    <row r="91" spans="1:26" ht="14.25" customHeight="1">
      <c r="A91" s="4"/>
      <c r="B91" s="4"/>
      <c r="C91" s="4"/>
      <c r="D91" s="4"/>
      <c r="E91" s="146"/>
      <c r="F91" s="146"/>
      <c r="G91" s="4"/>
      <c r="H91" s="4"/>
      <c r="I91" s="138"/>
      <c r="J91" s="138"/>
      <c r="K91" s="138"/>
      <c r="L91" s="138"/>
      <c r="M91" s="138"/>
      <c r="N91" s="138"/>
      <c r="O91" s="138"/>
      <c r="P91" s="138"/>
      <c r="Q91" s="138"/>
      <c r="R91" s="138"/>
      <c r="S91" s="138"/>
      <c r="T91" s="138"/>
      <c r="U91" s="138"/>
      <c r="V91" s="138"/>
      <c r="W91" s="138"/>
      <c r="X91" s="138"/>
      <c r="Y91" s="138"/>
      <c r="Z91" s="138"/>
    </row>
    <row r="92" spans="1:26" ht="14.25" customHeight="1">
      <c r="A92" s="4"/>
      <c r="B92" s="4"/>
      <c r="C92" s="4"/>
      <c r="D92" s="4"/>
      <c r="E92" s="146"/>
      <c r="F92" s="146"/>
      <c r="G92" s="4"/>
      <c r="H92" s="4"/>
      <c r="I92" s="138"/>
      <c r="J92" s="138"/>
      <c r="K92" s="138"/>
      <c r="L92" s="138"/>
      <c r="M92" s="138"/>
      <c r="N92" s="138"/>
      <c r="O92" s="138"/>
      <c r="P92" s="138"/>
      <c r="Q92" s="138"/>
      <c r="R92" s="138"/>
      <c r="S92" s="138"/>
      <c r="T92" s="138"/>
      <c r="U92" s="138"/>
      <c r="V92" s="138"/>
      <c r="W92" s="138"/>
      <c r="X92" s="138"/>
      <c r="Y92" s="138"/>
      <c r="Z92" s="138"/>
    </row>
    <row r="93" spans="1:26" ht="14.25" customHeight="1">
      <c r="A93" s="4"/>
      <c r="B93" s="4"/>
      <c r="C93" s="4"/>
      <c r="D93" s="4"/>
      <c r="E93" s="146"/>
      <c r="F93" s="146"/>
      <c r="G93" s="4"/>
      <c r="H93" s="4"/>
      <c r="I93" s="138"/>
      <c r="J93" s="138"/>
      <c r="K93" s="138"/>
      <c r="L93" s="138"/>
      <c r="M93" s="138"/>
      <c r="N93" s="138"/>
      <c r="O93" s="138"/>
      <c r="P93" s="138"/>
      <c r="Q93" s="138"/>
      <c r="R93" s="138"/>
      <c r="S93" s="138"/>
      <c r="T93" s="138"/>
      <c r="U93" s="138"/>
      <c r="V93" s="138"/>
      <c r="W93" s="138"/>
      <c r="X93" s="138"/>
      <c r="Y93" s="138"/>
      <c r="Z93" s="138"/>
    </row>
    <row r="94" spans="1:26" ht="14.25" customHeight="1">
      <c r="A94" s="4"/>
      <c r="B94" s="4"/>
      <c r="C94" s="4"/>
      <c r="D94" s="4"/>
      <c r="E94" s="146"/>
      <c r="F94" s="146"/>
      <c r="G94" s="4"/>
      <c r="H94" s="4"/>
      <c r="I94" s="138"/>
      <c r="J94" s="138"/>
      <c r="K94" s="138"/>
      <c r="L94" s="138"/>
      <c r="M94" s="138"/>
      <c r="N94" s="138"/>
      <c r="O94" s="138"/>
      <c r="P94" s="138"/>
      <c r="Q94" s="138"/>
      <c r="R94" s="138"/>
      <c r="S94" s="138"/>
      <c r="T94" s="138"/>
      <c r="U94" s="138"/>
      <c r="V94" s="138"/>
      <c r="W94" s="138"/>
      <c r="X94" s="138"/>
      <c r="Y94" s="138"/>
      <c r="Z94" s="138"/>
    </row>
    <row r="95" spans="1:26" ht="14.25" customHeight="1">
      <c r="A95" s="4"/>
      <c r="B95" s="4"/>
      <c r="C95" s="4"/>
      <c r="D95" s="4"/>
      <c r="E95" s="146"/>
      <c r="F95" s="146"/>
      <c r="G95" s="4"/>
      <c r="H95" s="4"/>
      <c r="I95" s="138"/>
      <c r="J95" s="138"/>
      <c r="K95" s="138"/>
      <c r="L95" s="138"/>
      <c r="M95" s="138"/>
      <c r="N95" s="138"/>
      <c r="O95" s="138"/>
      <c r="P95" s="138"/>
      <c r="Q95" s="138"/>
      <c r="R95" s="138"/>
      <c r="S95" s="138"/>
      <c r="T95" s="138"/>
      <c r="U95" s="138"/>
      <c r="V95" s="138"/>
      <c r="W95" s="138"/>
      <c r="X95" s="138"/>
      <c r="Y95" s="138"/>
      <c r="Z95" s="138"/>
    </row>
    <row r="96" spans="1:26" ht="14.25" customHeight="1">
      <c r="A96" s="4"/>
      <c r="B96" s="4"/>
      <c r="C96" s="4"/>
      <c r="D96" s="4"/>
      <c r="E96" s="146"/>
      <c r="F96" s="146"/>
      <c r="G96" s="4"/>
      <c r="H96" s="4"/>
      <c r="I96" s="138"/>
      <c r="J96" s="138"/>
      <c r="K96" s="138"/>
      <c r="L96" s="138"/>
      <c r="M96" s="138"/>
      <c r="N96" s="138"/>
      <c r="O96" s="138"/>
      <c r="P96" s="138"/>
      <c r="Q96" s="138"/>
      <c r="R96" s="138"/>
      <c r="S96" s="138"/>
      <c r="T96" s="138"/>
      <c r="U96" s="138"/>
      <c r="V96" s="138"/>
      <c r="W96" s="138"/>
      <c r="X96" s="138"/>
      <c r="Y96" s="138"/>
      <c r="Z96" s="138"/>
    </row>
    <row r="97" spans="1:26" ht="14.25" customHeight="1">
      <c r="A97" s="4"/>
      <c r="B97" s="4"/>
      <c r="C97" s="4"/>
      <c r="D97" s="4"/>
      <c r="E97" s="146"/>
      <c r="F97" s="146"/>
      <c r="G97" s="4"/>
      <c r="H97" s="4"/>
      <c r="I97" s="138"/>
      <c r="J97" s="138"/>
      <c r="K97" s="138"/>
      <c r="L97" s="138"/>
      <c r="M97" s="138"/>
      <c r="N97" s="138"/>
      <c r="O97" s="138"/>
      <c r="P97" s="138"/>
      <c r="Q97" s="138"/>
      <c r="R97" s="138"/>
      <c r="S97" s="138"/>
      <c r="T97" s="138"/>
      <c r="U97" s="138"/>
      <c r="V97" s="138"/>
      <c r="W97" s="138"/>
      <c r="X97" s="138"/>
      <c r="Y97" s="138"/>
      <c r="Z97" s="138"/>
    </row>
    <row r="98" spans="1:26" ht="14.25" customHeight="1">
      <c r="A98" s="4"/>
      <c r="B98" s="4"/>
      <c r="C98" s="4"/>
      <c r="D98" s="4"/>
      <c r="E98" s="146"/>
      <c r="F98" s="146"/>
      <c r="G98" s="4"/>
      <c r="H98" s="4"/>
      <c r="I98" s="138"/>
      <c r="J98" s="138"/>
      <c r="K98" s="138"/>
      <c r="L98" s="138"/>
      <c r="M98" s="138"/>
      <c r="N98" s="138"/>
      <c r="O98" s="138"/>
      <c r="P98" s="138"/>
      <c r="Q98" s="138"/>
      <c r="R98" s="138"/>
      <c r="S98" s="138"/>
      <c r="T98" s="138"/>
      <c r="U98" s="138"/>
      <c r="V98" s="138"/>
      <c r="W98" s="138"/>
      <c r="X98" s="138"/>
      <c r="Y98" s="138"/>
      <c r="Z98" s="138"/>
    </row>
    <row r="99" spans="1:26" ht="14.25" customHeight="1">
      <c r="A99" s="4"/>
      <c r="B99" s="4"/>
      <c r="C99" s="4"/>
      <c r="D99" s="4"/>
      <c r="E99" s="146"/>
      <c r="F99" s="146"/>
      <c r="G99" s="4"/>
      <c r="H99" s="4"/>
      <c r="I99" s="138"/>
      <c r="J99" s="138"/>
      <c r="K99" s="138"/>
      <c r="L99" s="138"/>
      <c r="M99" s="138"/>
      <c r="N99" s="138"/>
      <c r="O99" s="138"/>
      <c r="P99" s="138"/>
      <c r="Q99" s="138"/>
      <c r="R99" s="138"/>
      <c r="S99" s="138"/>
      <c r="T99" s="138"/>
      <c r="U99" s="138"/>
      <c r="V99" s="138"/>
      <c r="W99" s="138"/>
      <c r="X99" s="138"/>
      <c r="Y99" s="138"/>
      <c r="Z99" s="138"/>
    </row>
    <row r="100" spans="1:26" ht="14.25" customHeight="1">
      <c r="A100" s="4"/>
      <c r="B100" s="4"/>
      <c r="C100" s="4"/>
      <c r="D100" s="4"/>
      <c r="E100" s="146"/>
      <c r="F100" s="146"/>
      <c r="G100" s="4"/>
      <c r="H100" s="4"/>
      <c r="I100" s="138"/>
      <c r="J100" s="138"/>
      <c r="K100" s="138"/>
      <c r="L100" s="138"/>
      <c r="M100" s="138"/>
      <c r="N100" s="138"/>
      <c r="O100" s="138"/>
      <c r="P100" s="138"/>
      <c r="Q100" s="138"/>
      <c r="R100" s="138"/>
      <c r="S100" s="138"/>
      <c r="T100" s="138"/>
      <c r="U100" s="138"/>
      <c r="V100" s="138"/>
      <c r="W100" s="138"/>
      <c r="X100" s="138"/>
      <c r="Y100" s="138"/>
      <c r="Z100" s="138"/>
    </row>
    <row r="101" spans="1:26" ht="14.25" customHeight="1">
      <c r="A101" s="4"/>
      <c r="B101" s="4"/>
      <c r="C101" s="4"/>
      <c r="D101" s="4"/>
      <c r="E101" s="146"/>
      <c r="F101" s="146"/>
      <c r="G101" s="4"/>
      <c r="H101" s="4"/>
      <c r="I101" s="138"/>
      <c r="J101" s="138"/>
      <c r="K101" s="138"/>
      <c r="L101" s="138"/>
      <c r="M101" s="138"/>
      <c r="N101" s="138"/>
      <c r="O101" s="138"/>
      <c r="P101" s="138"/>
      <c r="Q101" s="138"/>
      <c r="R101" s="138"/>
      <c r="S101" s="138"/>
      <c r="T101" s="138"/>
      <c r="U101" s="138"/>
      <c r="V101" s="138"/>
      <c r="W101" s="138"/>
      <c r="X101" s="138"/>
      <c r="Y101" s="138"/>
      <c r="Z101" s="138"/>
    </row>
    <row r="102" spans="1:26" ht="14.25" customHeight="1">
      <c r="A102" s="4"/>
      <c r="B102" s="4"/>
      <c r="C102" s="4"/>
      <c r="D102" s="4"/>
      <c r="E102" s="146"/>
      <c r="F102" s="146"/>
      <c r="G102" s="4"/>
      <c r="H102" s="4"/>
      <c r="I102" s="138"/>
      <c r="J102" s="138"/>
      <c r="K102" s="138"/>
      <c r="L102" s="138"/>
      <c r="M102" s="138"/>
      <c r="N102" s="138"/>
      <c r="O102" s="138"/>
      <c r="P102" s="138"/>
      <c r="Q102" s="138"/>
      <c r="R102" s="138"/>
      <c r="S102" s="138"/>
      <c r="T102" s="138"/>
      <c r="U102" s="138"/>
      <c r="V102" s="138"/>
      <c r="W102" s="138"/>
      <c r="X102" s="138"/>
      <c r="Y102" s="138"/>
      <c r="Z102" s="138"/>
    </row>
    <row r="103" spans="1:26" ht="14.25" customHeight="1">
      <c r="A103" s="4"/>
      <c r="B103" s="4"/>
      <c r="C103" s="4"/>
      <c r="D103" s="4"/>
      <c r="E103" s="146"/>
      <c r="F103" s="146"/>
      <c r="G103" s="4"/>
      <c r="H103" s="4"/>
      <c r="I103" s="138"/>
      <c r="J103" s="138"/>
      <c r="K103" s="138"/>
      <c r="L103" s="138"/>
      <c r="M103" s="138"/>
      <c r="N103" s="138"/>
      <c r="O103" s="138"/>
      <c r="P103" s="138"/>
      <c r="Q103" s="138"/>
      <c r="R103" s="138"/>
      <c r="S103" s="138"/>
      <c r="T103" s="138"/>
      <c r="U103" s="138"/>
      <c r="V103" s="138"/>
      <c r="W103" s="138"/>
      <c r="X103" s="138"/>
      <c r="Y103" s="138"/>
      <c r="Z103" s="138"/>
    </row>
    <row r="104" spans="1:26" ht="14.25" customHeight="1">
      <c r="A104" s="4"/>
      <c r="B104" s="4"/>
      <c r="C104" s="4"/>
      <c r="D104" s="4"/>
      <c r="E104" s="146"/>
      <c r="F104" s="146"/>
      <c r="G104" s="4"/>
      <c r="H104" s="4"/>
      <c r="I104" s="138"/>
      <c r="J104" s="138"/>
      <c r="K104" s="138"/>
      <c r="L104" s="138"/>
      <c r="M104" s="138"/>
      <c r="N104" s="138"/>
      <c r="O104" s="138"/>
      <c r="P104" s="138"/>
      <c r="Q104" s="138"/>
      <c r="R104" s="138"/>
      <c r="S104" s="138"/>
      <c r="T104" s="138"/>
      <c r="U104" s="138"/>
      <c r="V104" s="138"/>
      <c r="W104" s="138"/>
      <c r="X104" s="138"/>
      <c r="Y104" s="138"/>
      <c r="Z104" s="138"/>
    </row>
    <row r="105" spans="1:26" ht="14.25" customHeight="1">
      <c r="A105" s="4"/>
      <c r="B105" s="4"/>
      <c r="C105" s="4"/>
      <c r="D105" s="4"/>
      <c r="E105" s="146"/>
      <c r="F105" s="146"/>
      <c r="G105" s="4"/>
      <c r="H105" s="4"/>
      <c r="I105" s="138"/>
      <c r="J105" s="138"/>
      <c r="K105" s="138"/>
      <c r="L105" s="138"/>
      <c r="M105" s="138"/>
      <c r="N105" s="138"/>
      <c r="O105" s="138"/>
      <c r="P105" s="138"/>
      <c r="Q105" s="138"/>
      <c r="R105" s="138"/>
      <c r="S105" s="138"/>
      <c r="T105" s="138"/>
      <c r="U105" s="138"/>
      <c r="V105" s="138"/>
      <c r="W105" s="138"/>
      <c r="X105" s="138"/>
      <c r="Y105" s="138"/>
      <c r="Z105" s="138"/>
    </row>
    <row r="106" spans="1:26" ht="14.25" customHeight="1">
      <c r="A106" s="4"/>
      <c r="B106" s="4"/>
      <c r="C106" s="4"/>
      <c r="D106" s="4"/>
      <c r="E106" s="146"/>
      <c r="F106" s="146"/>
      <c r="G106" s="4"/>
      <c r="H106" s="4"/>
      <c r="I106" s="138"/>
      <c r="J106" s="138"/>
      <c r="K106" s="138"/>
      <c r="L106" s="138"/>
      <c r="M106" s="138"/>
      <c r="N106" s="138"/>
      <c r="O106" s="138"/>
      <c r="P106" s="138"/>
      <c r="Q106" s="138"/>
      <c r="R106" s="138"/>
      <c r="S106" s="138"/>
      <c r="T106" s="138"/>
      <c r="U106" s="138"/>
      <c r="V106" s="138"/>
      <c r="W106" s="138"/>
      <c r="X106" s="138"/>
      <c r="Y106" s="138"/>
      <c r="Z106" s="138"/>
    </row>
    <row r="107" spans="1:26" ht="14.25" customHeight="1">
      <c r="A107" s="4"/>
      <c r="B107" s="4"/>
      <c r="C107" s="4"/>
      <c r="D107" s="4"/>
      <c r="E107" s="146"/>
      <c r="F107" s="146"/>
      <c r="G107" s="4"/>
      <c r="H107" s="4"/>
      <c r="I107" s="138"/>
      <c r="J107" s="138"/>
      <c r="K107" s="138"/>
      <c r="L107" s="138"/>
      <c r="M107" s="138"/>
      <c r="N107" s="138"/>
      <c r="O107" s="138"/>
      <c r="P107" s="138"/>
      <c r="Q107" s="138"/>
      <c r="R107" s="138"/>
      <c r="S107" s="138"/>
      <c r="T107" s="138"/>
      <c r="U107" s="138"/>
      <c r="V107" s="138"/>
      <c r="W107" s="138"/>
      <c r="X107" s="138"/>
      <c r="Y107" s="138"/>
      <c r="Z107" s="138"/>
    </row>
    <row r="108" spans="1:26" ht="14.25" customHeight="1">
      <c r="A108" s="4"/>
      <c r="B108" s="4"/>
      <c r="C108" s="4"/>
      <c r="D108" s="4"/>
      <c r="E108" s="146"/>
      <c r="F108" s="146"/>
      <c r="G108" s="4"/>
      <c r="H108" s="4"/>
      <c r="I108" s="138"/>
      <c r="J108" s="138"/>
      <c r="K108" s="138"/>
      <c r="L108" s="138"/>
      <c r="M108" s="138"/>
      <c r="N108" s="138"/>
      <c r="O108" s="138"/>
      <c r="P108" s="138"/>
      <c r="Q108" s="138"/>
      <c r="R108" s="138"/>
      <c r="S108" s="138"/>
      <c r="T108" s="138"/>
      <c r="U108" s="138"/>
      <c r="V108" s="138"/>
      <c r="W108" s="138"/>
      <c r="X108" s="138"/>
      <c r="Y108" s="138"/>
      <c r="Z108" s="138"/>
    </row>
    <row r="109" spans="1:26" ht="14.25" customHeight="1">
      <c r="A109" s="4"/>
      <c r="B109" s="4"/>
      <c r="C109" s="4"/>
      <c r="D109" s="4"/>
      <c r="E109" s="146"/>
      <c r="F109" s="146"/>
      <c r="G109" s="4"/>
      <c r="H109" s="4"/>
      <c r="I109" s="138"/>
      <c r="J109" s="138"/>
      <c r="K109" s="138"/>
      <c r="L109" s="138"/>
      <c r="M109" s="138"/>
      <c r="N109" s="138"/>
      <c r="O109" s="138"/>
      <c r="P109" s="138"/>
      <c r="Q109" s="138"/>
      <c r="R109" s="138"/>
      <c r="S109" s="138"/>
      <c r="T109" s="138"/>
      <c r="U109" s="138"/>
      <c r="V109" s="138"/>
      <c r="W109" s="138"/>
      <c r="X109" s="138"/>
      <c r="Y109" s="138"/>
      <c r="Z109" s="138"/>
    </row>
    <row r="110" spans="1:26"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row>
    <row r="111" spans="1:26"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row>
    <row r="112" spans="1:26" ht="14.25" customHeight="1">
      <c r="A112" s="4"/>
      <c r="B112" s="4"/>
      <c r="C112" s="4"/>
      <c r="D112" s="4"/>
      <c r="E112" s="146"/>
      <c r="F112" s="146"/>
      <c r="G112" s="4"/>
      <c r="H112" s="4"/>
      <c r="I112" s="138"/>
      <c r="J112" s="138"/>
      <c r="K112" s="138"/>
      <c r="L112" s="138"/>
      <c r="M112" s="138"/>
      <c r="N112" s="138"/>
      <c r="O112" s="138"/>
      <c r="P112" s="138"/>
      <c r="Q112" s="138"/>
      <c r="R112" s="138"/>
      <c r="S112" s="138"/>
      <c r="T112" s="138"/>
      <c r="U112" s="138"/>
      <c r="V112" s="138"/>
      <c r="W112" s="138"/>
      <c r="X112" s="138"/>
      <c r="Y112" s="138"/>
      <c r="Z112" s="138"/>
    </row>
    <row r="113" spans="1:26" ht="14.25" customHeight="1">
      <c r="A113" s="4"/>
      <c r="B113" s="4"/>
      <c r="C113" s="4"/>
      <c r="D113" s="4"/>
      <c r="E113" s="146"/>
      <c r="F113" s="146"/>
      <c r="G113" s="4"/>
      <c r="H113" s="4"/>
      <c r="I113" s="138"/>
      <c r="J113" s="138"/>
      <c r="K113" s="138"/>
      <c r="L113" s="138"/>
      <c r="M113" s="138"/>
      <c r="N113" s="138"/>
      <c r="O113" s="138"/>
      <c r="P113" s="138"/>
      <c r="Q113" s="138"/>
      <c r="R113" s="138"/>
      <c r="S113" s="138"/>
      <c r="T113" s="138"/>
      <c r="U113" s="138"/>
      <c r="V113" s="138"/>
      <c r="W113" s="138"/>
      <c r="X113" s="138"/>
      <c r="Y113" s="138"/>
      <c r="Z113" s="138"/>
    </row>
    <row r="114" spans="1:26" ht="14.25" customHeight="1">
      <c r="A114" s="4"/>
      <c r="B114" s="4"/>
      <c r="C114" s="4"/>
      <c r="D114" s="4"/>
      <c r="E114" s="146"/>
      <c r="F114" s="146"/>
      <c r="G114" s="4"/>
      <c r="H114" s="4"/>
      <c r="I114" s="138"/>
      <c r="J114" s="138"/>
      <c r="K114" s="138"/>
      <c r="L114" s="138"/>
      <c r="M114" s="138"/>
      <c r="N114" s="138"/>
      <c r="O114" s="138"/>
      <c r="P114" s="138"/>
      <c r="Q114" s="138"/>
      <c r="R114" s="138"/>
      <c r="S114" s="138"/>
      <c r="T114" s="138"/>
      <c r="U114" s="138"/>
      <c r="V114" s="138"/>
      <c r="W114" s="138"/>
      <c r="X114" s="138"/>
      <c r="Y114" s="138"/>
      <c r="Z114" s="138"/>
    </row>
    <row r="115" spans="1:26"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row>
    <row r="116" spans="1:26"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row>
    <row r="117" spans="1:26"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row>
    <row r="118" spans="1:26"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row>
    <row r="119" spans="1:26"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row>
    <row r="120" spans="1:26"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row>
    <row r="121" spans="1:26"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row>
    <row r="122" spans="1:26"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row>
    <row r="123" spans="1:26"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row>
    <row r="124" spans="1:26"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row>
    <row r="125" spans="1:26"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row>
    <row r="126" spans="1:26"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row>
    <row r="127" spans="1:26"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row>
    <row r="128" spans="1:26"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row>
    <row r="129" spans="1:26"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row>
    <row r="130" spans="1:26"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row>
    <row r="131" spans="1:26"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row>
    <row r="132" spans="1:26"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row>
    <row r="133" spans="1:26"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row>
    <row r="134" spans="1:26"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row>
    <row r="135" spans="1:26"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row>
    <row r="136" spans="1:26"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row>
    <row r="137" spans="1:26"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row>
    <row r="138" spans="1:26"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row>
    <row r="139" spans="1:26"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row>
    <row r="140" spans="1:26"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row>
    <row r="141" spans="1:26"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row>
    <row r="142" spans="1:26"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row>
    <row r="143" spans="1:26"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row>
    <row r="144" spans="1:26"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row>
    <row r="145" spans="1:26"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row>
    <row r="146" spans="1:26"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row>
    <row r="147" spans="1:26"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row>
    <row r="148" spans="1:26"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row>
    <row r="149" spans="1:26"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row>
    <row r="150" spans="1:26"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row>
    <row r="151" spans="1:26"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row>
    <row r="152" spans="1:26"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row>
    <row r="153" spans="1:26"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row>
    <row r="154" spans="1:26"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row>
    <row r="155" spans="1:26"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row>
    <row r="156" spans="1:26"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row>
    <row r="157" spans="1:26"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row>
    <row r="158" spans="1:26"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row>
    <row r="159" spans="1:26"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row>
    <row r="160" spans="1:26"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row>
    <row r="161" spans="1:26"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row>
    <row r="162" spans="1:26"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row>
    <row r="163" spans="1:26"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row>
    <row r="164" spans="1:26"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row>
    <row r="165" spans="1:26"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row>
    <row r="166" spans="1:26"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row>
    <row r="167" spans="1:26"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row>
    <row r="168" spans="1:26"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row>
    <row r="169" spans="1:26"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row>
    <row r="170" spans="1:26"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row>
    <row r="171" spans="1:26"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row>
    <row r="172" spans="1:26"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row>
    <row r="173" spans="1:26"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row>
    <row r="174" spans="1:26"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row>
    <row r="175" spans="1:26"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row>
    <row r="176" spans="1:26"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row>
    <row r="177" spans="1:26"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row>
    <row r="178" spans="1:26"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row>
    <row r="179" spans="1:26"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row>
    <row r="180" spans="1:26"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row>
    <row r="181" spans="1:26"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row>
    <row r="182" spans="1:26"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row>
    <row r="183" spans="1:26"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row>
    <row r="184" spans="1:26"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row>
    <row r="185" spans="1:26"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row>
    <row r="186" spans="1:26"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row>
    <row r="187" spans="1:26"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row>
    <row r="188" spans="1:26"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row>
    <row r="189" spans="1:26"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row>
    <row r="190" spans="1:26"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row>
    <row r="191" spans="1:26"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row>
    <row r="192" spans="1:26"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row>
    <row r="193" spans="1:26"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row>
    <row r="194" spans="1:26"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row>
    <row r="195" spans="1:26"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row>
    <row r="196" spans="1:26"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row>
    <row r="197" spans="1:26"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row>
    <row r="198" spans="1:26"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row>
    <row r="199" spans="1:26"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row>
    <row r="200" spans="1:26"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row>
    <row r="201" spans="1:26"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row>
    <row r="202" spans="1:26"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row>
    <row r="203" spans="1:26"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row>
    <row r="204" spans="1:26"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row>
    <row r="205" spans="1:26"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row>
    <row r="206" spans="1:26"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row>
    <row r="207" spans="1:26"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row>
    <row r="208" spans="1:26"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row>
    <row r="209" spans="1:26"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row>
    <row r="210" spans="1:26"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row>
    <row r="211" spans="1:26"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row>
    <row r="212" spans="1:26"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row>
    <row r="213" spans="1:26"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row>
    <row r="214" spans="1:26"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row>
    <row r="215" spans="1:26"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row>
    <row r="216" spans="1:26"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row>
    <row r="217" spans="1:26"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row>
    <row r="218" spans="1:26"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row>
    <row r="219" spans="1:26"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row>
    <row r="220" spans="1:26"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row>
    <row r="221" spans="1:26"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row>
    <row r="222" spans="1:26"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row>
    <row r="223" spans="1:26"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row>
    <row r="224" spans="1:26"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row>
    <row r="225" spans="1:26"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row>
    <row r="226" spans="1:26"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row>
    <row r="227" spans="1:26"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row>
    <row r="228" spans="1:26"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row>
    <row r="229" spans="1:26"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row>
    <row r="230" spans="1:26"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row>
    <row r="231" spans="1:26"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row>
    <row r="232" spans="1:26"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row>
    <row r="233" spans="1:26"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row>
    <row r="234" spans="1:26"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row>
    <row r="235" spans="1:26"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row>
    <row r="236" spans="1:26"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row>
    <row r="237" spans="1:26"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row>
    <row r="238" spans="1:26"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row>
    <row r="239" spans="1:26"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row>
    <row r="240" spans="1:26"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row>
    <row r="241" spans="1:26"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row>
    <row r="242" spans="1:26"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row>
    <row r="243" spans="1:26"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row>
    <row r="244" spans="1:26"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row>
    <row r="245" spans="1:26"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row>
    <row r="246" spans="1:26"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row>
    <row r="247" spans="1:26"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row>
    <row r="248" spans="1:26"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row>
    <row r="249" spans="1:26"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row>
    <row r="250" spans="1:26"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row>
    <row r="251" spans="1:26"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row>
    <row r="252" spans="1:26"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row>
    <row r="253" spans="1:26"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row>
    <row r="254" spans="1:26"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row>
    <row r="255" spans="1:26"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row>
    <row r="256" spans="1:26"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row>
    <row r="257" spans="1:26"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row>
    <row r="258" spans="1:26"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row>
    <row r="259" spans="1:26"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row>
    <row r="260" spans="1:26"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row>
    <row r="261" spans="1:26"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row>
    <row r="262" spans="1:26"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row>
    <row r="263" spans="1:26"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row>
    <row r="264" spans="1:26"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row>
    <row r="265" spans="1:26"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row>
    <row r="266" spans="1:26"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row>
    <row r="267" spans="1:26"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row>
    <row r="268" spans="1:26"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row>
    <row r="269" spans="1:26"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row>
    <row r="270" spans="1:26"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row>
    <row r="271" spans="1:26"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row>
    <row r="272" spans="1:26"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row>
    <row r="273" spans="1:26"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row>
    <row r="274" spans="1:26"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row>
    <row r="275" spans="1:26"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row>
    <row r="276" spans="1:26"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row>
    <row r="277" spans="1:26"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row>
    <row r="278" spans="1:26"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row>
    <row r="279" spans="1:26"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row>
    <row r="280" spans="1:26"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row>
    <row r="281" spans="1:26"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row>
    <row r="282" spans="1:26"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row>
    <row r="283" spans="1:26"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row>
    <row r="284" spans="1:26"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row>
    <row r="285" spans="1:26"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row>
    <row r="286" spans="1:26"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row>
    <row r="287" spans="1:26"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row>
    <row r="288" spans="1:26"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row>
    <row r="289" spans="1:26"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row>
    <row r="290" spans="1:26"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row>
    <row r="291" spans="1:26"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row>
    <row r="292" spans="1:26"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row>
    <row r="293" spans="1:26"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row>
    <row r="294" spans="1:26"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row>
    <row r="295" spans="1:26"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row>
    <row r="296" spans="1:26"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row>
    <row r="297" spans="1:26"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row>
    <row r="298" spans="1:26"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row>
    <row r="299" spans="1:26"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row>
    <row r="300" spans="1:26"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row>
    <row r="301" spans="1:26"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row>
    <row r="302" spans="1:26"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row>
    <row r="303" spans="1:26"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row>
    <row r="304" spans="1:26"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row>
    <row r="305" spans="1:26"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row>
    <row r="306" spans="1:26"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row>
    <row r="307" spans="1:26"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row>
    <row r="308" spans="1:26"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row>
    <row r="309" spans="1:26"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row>
    <row r="310" spans="1:26"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row>
    <row r="311" spans="1:26"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row>
    <row r="312" spans="1:26"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row>
    <row r="313" spans="1:26"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row>
    <row r="314" spans="1:26"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row>
    <row r="315" spans="1:26"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row>
    <row r="316" spans="1:26"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row>
    <row r="317" spans="1:26"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row>
    <row r="318" spans="1:26"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row>
    <row r="319" spans="1:26"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row>
    <row r="320" spans="1:26"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row>
    <row r="321" spans="1:26"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row>
    <row r="322" spans="1:26"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row>
    <row r="323" spans="1:26"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row>
    <row r="324" spans="1:26"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row>
    <row r="325" spans="1:26"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row>
    <row r="326" spans="1:26"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row>
    <row r="327" spans="1:26"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row>
    <row r="328" spans="1:26"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row>
    <row r="329" spans="1:26"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row>
    <row r="330" spans="1:26"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row>
    <row r="331" spans="1:26"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row>
    <row r="332" spans="1:26"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row>
    <row r="333" spans="1:26"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row>
    <row r="334" spans="1:26"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row>
    <row r="335" spans="1:26"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row>
    <row r="336" spans="1:26"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row>
    <row r="337" spans="1:26"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row>
    <row r="338" spans="1:26"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row>
    <row r="339" spans="1:26"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row>
    <row r="340" spans="1:26"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row>
    <row r="341" spans="1:26"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row>
    <row r="342" spans="1:26"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row>
    <row r="343" spans="1:26"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row>
    <row r="344" spans="1:26"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row>
    <row r="345" spans="1:26"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row>
    <row r="346" spans="1:26"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row>
    <row r="347" spans="1:26"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row>
    <row r="348" spans="1:26"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row>
    <row r="349" spans="1:26"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row>
    <row r="350" spans="1:26"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row>
    <row r="351" spans="1:26"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row>
    <row r="352" spans="1:26"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row>
    <row r="353" spans="1:26"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row>
    <row r="354" spans="1:26"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row>
    <row r="355" spans="1:26"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row>
    <row r="356" spans="1:26"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row>
    <row r="357" spans="1:26"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row>
    <row r="358" spans="1:26"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row>
    <row r="359" spans="1:26"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row>
    <row r="360" spans="1:26"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row>
    <row r="361" spans="1:26"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row>
    <row r="362" spans="1:26"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row>
    <row r="363" spans="1:26"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row>
    <row r="364" spans="1:26"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row>
    <row r="365" spans="1:26"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row>
    <row r="366" spans="1:26"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row>
    <row r="367" spans="1:26"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row>
    <row r="368" spans="1:26"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row>
    <row r="369" spans="1:26"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row>
    <row r="370" spans="1:26"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row>
    <row r="371" spans="1:26"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row>
    <row r="372" spans="1:26"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row>
    <row r="373" spans="1:26"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row>
    <row r="374" spans="1:26"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row>
    <row r="375" spans="1:26"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row>
    <row r="376" spans="1:26"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row>
    <row r="377" spans="1:26"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row>
    <row r="378" spans="1:26"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row>
    <row r="379" spans="1:26"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row>
    <row r="380" spans="1:26"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row>
    <row r="381" spans="1:26"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row>
    <row r="382" spans="1:26"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row>
    <row r="383" spans="1:26"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row>
    <row r="384" spans="1:26"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row>
    <row r="385" spans="1:26"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row>
    <row r="386" spans="1:26"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row>
    <row r="387" spans="1:26"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row>
    <row r="388" spans="1:26"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row>
    <row r="389" spans="1:26"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row>
    <row r="390" spans="1:26"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row>
    <row r="391" spans="1:26"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row>
    <row r="392" spans="1:26"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row>
    <row r="393" spans="1:26"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row>
    <row r="394" spans="1:26"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row>
    <row r="395" spans="1:26"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row>
    <row r="396" spans="1:26"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row>
    <row r="397" spans="1:26"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row>
    <row r="398" spans="1:26"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row>
    <row r="399" spans="1:26"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row>
    <row r="400" spans="1:26"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row>
    <row r="401" spans="1:26"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row>
    <row r="402" spans="1:26"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row>
    <row r="403" spans="1:26"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row>
    <row r="404" spans="1:26"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row>
    <row r="405" spans="1:26"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row>
    <row r="406" spans="1:26"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row>
    <row r="407" spans="1:26"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row>
    <row r="408" spans="1:26"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row>
    <row r="409" spans="1:26"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row>
    <row r="410" spans="1:26"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row>
    <row r="411" spans="1:26"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row>
    <row r="412" spans="1:26"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row>
    <row r="413" spans="1:26"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row>
    <row r="414" spans="1:26"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row>
    <row r="415" spans="1:26"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row>
    <row r="416" spans="1:26"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row>
    <row r="417" spans="1:26"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row>
    <row r="418" spans="1:26"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row>
    <row r="419" spans="1:26"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row>
    <row r="420" spans="1:26"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row>
    <row r="421" spans="1:26"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row>
    <row r="422" spans="1:26"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row>
    <row r="423" spans="1:26"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row>
    <row r="424" spans="1:26"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row>
    <row r="425" spans="1:26"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row>
    <row r="426" spans="1:26"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row>
    <row r="427" spans="1:26"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row>
    <row r="428" spans="1:26"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row>
    <row r="429" spans="1:26"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row>
    <row r="430" spans="1:26"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row>
    <row r="431" spans="1:26"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row>
    <row r="432" spans="1:26"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row>
    <row r="433" spans="1:26"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row>
    <row r="434" spans="1:26"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row>
    <row r="435" spans="1:26"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row>
    <row r="436" spans="1:26"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row>
    <row r="437" spans="1:26"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row>
    <row r="438" spans="1:26"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row>
    <row r="439" spans="1:26"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row>
    <row r="440" spans="1:26"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row>
    <row r="441" spans="1:26"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row>
    <row r="442" spans="1:26"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row>
    <row r="443" spans="1:26"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row>
    <row r="444" spans="1:26"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row>
    <row r="445" spans="1:26"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row>
    <row r="446" spans="1:26"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row>
    <row r="447" spans="1:26"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row>
    <row r="448" spans="1:26"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row>
    <row r="449" spans="1:26"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row>
    <row r="450" spans="1:26"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row>
    <row r="451" spans="1:26"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row>
    <row r="452" spans="1:26"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row>
    <row r="453" spans="1:26"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row>
    <row r="454" spans="1:26"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row>
    <row r="455" spans="1:26"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row>
    <row r="456" spans="1:26"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row>
    <row r="457" spans="1:26"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row>
    <row r="458" spans="1:26"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row>
    <row r="459" spans="1:26"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row>
    <row r="460" spans="1:26"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row>
    <row r="461" spans="1:26"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row>
    <row r="462" spans="1:26"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row>
    <row r="463" spans="1:26"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row>
    <row r="464" spans="1:26"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row>
    <row r="465" spans="1:26"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row>
    <row r="466" spans="1:26"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row>
    <row r="467" spans="1:26"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row>
    <row r="468" spans="1:26"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row>
    <row r="469" spans="1:26"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row>
    <row r="470" spans="1:26"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row>
    <row r="471" spans="1:26"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row>
    <row r="472" spans="1:26"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row>
    <row r="473" spans="1:26"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row>
    <row r="474" spans="1:26"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row>
    <row r="475" spans="1:26"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row>
    <row r="476" spans="1:26"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row>
    <row r="477" spans="1:26"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row>
    <row r="478" spans="1:26"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row>
    <row r="479" spans="1:26"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row>
    <row r="480" spans="1:26"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row>
    <row r="481" spans="1:26"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row>
    <row r="482" spans="1:26"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row>
    <row r="483" spans="1:26"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row>
    <row r="484" spans="1:26"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row>
    <row r="485" spans="1:26"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row>
    <row r="486" spans="1:26"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row>
    <row r="487" spans="1:26"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row>
    <row r="488" spans="1:26"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row>
    <row r="489" spans="1:26"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row>
    <row r="490" spans="1:26"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row>
    <row r="491" spans="1:26"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row>
    <row r="492" spans="1:26"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row>
    <row r="493" spans="1:26"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row>
    <row r="494" spans="1:26"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row>
    <row r="495" spans="1:26"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row>
    <row r="496" spans="1:26"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row>
    <row r="497" spans="1:26"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row>
    <row r="498" spans="1:26"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row>
    <row r="499" spans="1:26"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row>
    <row r="500" spans="1:26"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row>
    <row r="501" spans="1:26"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row>
    <row r="502" spans="1:26"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row>
    <row r="503" spans="1:26"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row>
    <row r="504" spans="1:26"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row>
    <row r="505" spans="1:26"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row>
    <row r="506" spans="1:26"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row>
    <row r="507" spans="1:26"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row>
    <row r="508" spans="1:26"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row>
    <row r="509" spans="1:26"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row>
    <row r="510" spans="1:26"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row>
    <row r="511" spans="1:26"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row>
    <row r="512" spans="1:26"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row>
    <row r="513" spans="1:26"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row>
    <row r="514" spans="1:26"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row>
    <row r="515" spans="1:26"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row>
    <row r="516" spans="1:26"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row>
    <row r="517" spans="1:26"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row>
    <row r="518" spans="1:26"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row>
    <row r="519" spans="1:26"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row>
    <row r="520" spans="1:26"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row>
    <row r="521" spans="1:26"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row>
    <row r="522" spans="1:26"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row>
    <row r="523" spans="1:26"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row>
    <row r="524" spans="1:26"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row>
    <row r="525" spans="1:26"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row>
    <row r="526" spans="1:26"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row>
    <row r="527" spans="1:26"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row>
    <row r="528" spans="1:26"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row>
    <row r="529" spans="1:26"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row>
    <row r="530" spans="1:26"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row>
    <row r="531" spans="1:26"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row>
    <row r="532" spans="1:26"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row>
    <row r="533" spans="1:26"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row>
    <row r="534" spans="1:26"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row>
    <row r="535" spans="1:26"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row>
    <row r="536" spans="1:26"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row>
    <row r="537" spans="1:26"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row>
    <row r="538" spans="1:26"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row>
    <row r="539" spans="1:26"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row>
    <row r="540" spans="1:26"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row>
    <row r="541" spans="1:26"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row>
    <row r="542" spans="1:26"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row>
    <row r="543" spans="1:26"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row>
    <row r="544" spans="1:26"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row>
    <row r="545" spans="1:26"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row>
    <row r="546" spans="1:26"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row>
    <row r="547" spans="1:26"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row>
    <row r="548" spans="1:26"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row>
    <row r="549" spans="1:26"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row>
    <row r="550" spans="1:26"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row>
    <row r="551" spans="1:26"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row>
    <row r="552" spans="1:26"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row>
    <row r="553" spans="1:26"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row>
    <row r="554" spans="1:26"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row>
    <row r="555" spans="1:26"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row>
    <row r="556" spans="1:26"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row>
    <row r="557" spans="1:26"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row>
    <row r="558" spans="1:26"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row>
    <row r="559" spans="1:26"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row>
    <row r="560" spans="1:26"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row>
    <row r="561" spans="1:26"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row>
    <row r="562" spans="1:26"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row>
    <row r="563" spans="1:26"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row>
    <row r="564" spans="1:26"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row>
    <row r="565" spans="1:26"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row>
    <row r="566" spans="1:26"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row>
    <row r="567" spans="1:26"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row>
    <row r="568" spans="1:26"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row>
    <row r="569" spans="1:26"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row>
    <row r="570" spans="1:26"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row>
    <row r="571" spans="1:26"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row>
    <row r="572" spans="1:26"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row>
    <row r="573" spans="1:26"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row>
    <row r="574" spans="1:26"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row>
    <row r="575" spans="1:26"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row>
    <row r="576" spans="1:26"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row>
    <row r="577" spans="1:26"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row>
    <row r="578" spans="1:26"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row>
    <row r="579" spans="1:26"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row>
    <row r="580" spans="1:26"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row>
    <row r="581" spans="1:26"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row>
    <row r="582" spans="1:26"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row>
    <row r="583" spans="1:26"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row>
    <row r="584" spans="1:26"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row>
    <row r="585" spans="1:26"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row>
    <row r="586" spans="1:26"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row>
    <row r="587" spans="1:26"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row>
    <row r="588" spans="1:26"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row>
    <row r="589" spans="1:26"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row>
    <row r="590" spans="1:26"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row>
    <row r="591" spans="1:26"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row>
    <row r="592" spans="1:26"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row>
    <row r="593" spans="1:26"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row>
    <row r="594" spans="1:26"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row>
    <row r="595" spans="1:26"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row>
    <row r="596" spans="1:26"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row>
    <row r="597" spans="1:26"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row>
    <row r="598" spans="1:26"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row>
    <row r="599" spans="1:26"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row>
    <row r="600" spans="1:26"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row>
    <row r="601" spans="1:26"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row>
    <row r="602" spans="1:26"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row>
    <row r="603" spans="1:26"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row>
    <row r="604" spans="1:26"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row>
    <row r="605" spans="1:26"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row>
    <row r="606" spans="1:26"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row>
    <row r="607" spans="1:26"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row>
    <row r="608" spans="1:26"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row>
    <row r="609" spans="1:26"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row>
    <row r="610" spans="1:26"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row>
    <row r="611" spans="1:26"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row>
    <row r="612" spans="1:26"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row>
    <row r="613" spans="1:26"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row>
    <row r="614" spans="1:26"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row>
    <row r="615" spans="1:26"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row>
    <row r="616" spans="1:26"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row>
    <row r="617" spans="1:26"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row>
    <row r="618" spans="1:26"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row>
    <row r="619" spans="1:26"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row>
    <row r="620" spans="1:26"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row>
    <row r="621" spans="1:26"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row>
    <row r="622" spans="1:26"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row>
    <row r="623" spans="1:26"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row>
    <row r="624" spans="1:26"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row>
    <row r="625" spans="1:26"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row>
    <row r="626" spans="1:26"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row>
    <row r="627" spans="1:26"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row>
    <row r="628" spans="1:26"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row>
    <row r="629" spans="1:26"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row>
    <row r="630" spans="1:26"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row>
    <row r="631" spans="1:26"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row>
    <row r="632" spans="1:26"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row>
    <row r="633" spans="1:26"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row>
    <row r="634" spans="1:26"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row>
    <row r="635" spans="1:26"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row>
    <row r="636" spans="1:26"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row>
    <row r="637" spans="1:26"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row>
    <row r="638" spans="1:26"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row>
    <row r="639" spans="1:26"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row>
    <row r="640" spans="1:26"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row>
    <row r="641" spans="1:26"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row>
    <row r="642" spans="1:26"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row>
    <row r="643" spans="1:26"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row>
    <row r="644" spans="1:26"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row>
    <row r="645" spans="1:26"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row>
    <row r="646" spans="1:26"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row>
    <row r="647" spans="1:26"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row>
    <row r="648" spans="1:26"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row>
    <row r="649" spans="1:26"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row>
    <row r="650" spans="1:26"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row>
    <row r="651" spans="1:26"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row>
    <row r="652" spans="1:26"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row>
    <row r="653" spans="1:26"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row>
    <row r="654" spans="1:26"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row>
    <row r="655" spans="1:26"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row>
    <row r="656" spans="1:26"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row>
    <row r="657" spans="1:26"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row>
    <row r="658" spans="1:26"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row>
    <row r="659" spans="1:26"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row>
    <row r="660" spans="1:26"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row>
    <row r="661" spans="1:26"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row>
    <row r="662" spans="1:26"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row>
    <row r="663" spans="1:26"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row>
    <row r="664" spans="1:26"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row>
    <row r="665" spans="1:26"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row>
    <row r="666" spans="1:26"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row>
    <row r="667" spans="1:26"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row>
    <row r="668" spans="1:26"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row>
    <row r="669" spans="1:26"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row>
    <row r="670" spans="1:26"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row>
    <row r="671" spans="1:26"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row>
    <row r="672" spans="1:26"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row>
    <row r="673" spans="1:26"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row>
    <row r="674" spans="1:26"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row>
    <row r="675" spans="1:26"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row>
    <row r="676" spans="1:26"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row>
    <row r="677" spans="1:26"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row>
    <row r="678" spans="1:26"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row>
    <row r="679" spans="1:26"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row>
    <row r="680" spans="1:26"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row>
    <row r="681" spans="1:26"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row>
    <row r="682" spans="1:26"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row>
    <row r="683" spans="1:26"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row>
    <row r="684" spans="1:26"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row>
    <row r="685" spans="1:26"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row>
    <row r="686" spans="1:26"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row>
    <row r="687" spans="1:26"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row>
    <row r="688" spans="1:26"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row>
    <row r="689" spans="1:26"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row>
    <row r="690" spans="1:26"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row>
    <row r="691" spans="1:26"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row>
    <row r="692" spans="1:26"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row>
    <row r="693" spans="1:26"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row>
    <row r="694" spans="1:26"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row>
    <row r="695" spans="1:26"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row>
    <row r="696" spans="1:26"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row>
    <row r="697" spans="1:26"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row>
    <row r="698" spans="1:26"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row>
    <row r="699" spans="1:26"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row>
    <row r="700" spans="1:26"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row>
    <row r="701" spans="1:26"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row>
    <row r="702" spans="1:26"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row>
    <row r="703" spans="1:26"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row>
    <row r="704" spans="1:26"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row>
    <row r="705" spans="1:26"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row>
    <row r="706" spans="1:26"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row>
    <row r="707" spans="1:26"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row>
    <row r="708" spans="1:26"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row>
    <row r="709" spans="1:26"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row>
    <row r="710" spans="1:26"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row>
    <row r="711" spans="1:26"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row>
    <row r="712" spans="1:26"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row>
    <row r="713" spans="1:26"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row>
    <row r="714" spans="1:26"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row>
    <row r="715" spans="1:26"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row>
    <row r="716" spans="1:26"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row>
    <row r="717" spans="1:26"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row>
    <row r="718" spans="1:26"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row>
    <row r="719" spans="1:26"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row>
    <row r="720" spans="1:26"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row>
    <row r="721" spans="1:26"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row>
    <row r="722" spans="1:26"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row>
    <row r="723" spans="1:26"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row>
    <row r="724" spans="1:26"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row>
    <row r="725" spans="1:26"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row>
    <row r="726" spans="1:26"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row>
    <row r="727" spans="1:26"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row>
    <row r="728" spans="1:26"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row>
    <row r="729" spans="1:26"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row>
    <row r="730" spans="1:26"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row>
    <row r="731" spans="1:26"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row>
    <row r="732" spans="1:26"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row>
    <row r="733" spans="1:26"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row>
    <row r="734" spans="1:26"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row>
    <row r="735" spans="1:26"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row>
    <row r="736" spans="1:26"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row>
    <row r="737" spans="1:26"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row>
    <row r="738" spans="1:26"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row>
    <row r="739" spans="1:26"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row>
    <row r="740" spans="1:26"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row>
    <row r="741" spans="1:26"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row>
    <row r="742" spans="1:26"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row>
    <row r="743" spans="1:26"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row>
    <row r="744" spans="1:26"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row>
    <row r="745" spans="1:26"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row>
    <row r="746" spans="1:26"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row>
    <row r="747" spans="1:26"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row>
    <row r="748" spans="1:26"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row>
    <row r="749" spans="1:26"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row>
    <row r="750" spans="1:26"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row>
    <row r="751" spans="1:26"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row>
    <row r="752" spans="1:26"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row>
    <row r="753" spans="1:26"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row>
    <row r="754" spans="1:26"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row>
    <row r="755" spans="1:26"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row>
    <row r="756" spans="1:26"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row>
    <row r="757" spans="1:26"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row>
    <row r="758" spans="1:26"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row>
    <row r="759" spans="1:26"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row>
    <row r="760" spans="1:26"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row>
    <row r="761" spans="1:26"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row>
    <row r="762" spans="1:26"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row>
    <row r="763" spans="1:26"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row>
    <row r="764" spans="1:26"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row>
    <row r="765" spans="1:26"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row>
    <row r="766" spans="1:26"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row>
    <row r="767" spans="1:26"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row>
    <row r="768" spans="1:26"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row>
    <row r="769" spans="1:26"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row>
    <row r="770" spans="1:26"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row>
    <row r="771" spans="1:26"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row>
    <row r="772" spans="1:26"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row>
    <row r="773" spans="1:26"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row>
    <row r="774" spans="1:26"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row>
    <row r="775" spans="1:26"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row>
    <row r="776" spans="1:26"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row>
    <row r="777" spans="1:26"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row>
    <row r="778" spans="1:26"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row>
    <row r="779" spans="1:26"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row>
    <row r="780" spans="1:26"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row>
    <row r="781" spans="1:26"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row>
    <row r="782" spans="1:26"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row>
    <row r="783" spans="1:26"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row>
    <row r="784" spans="1:26"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row>
    <row r="785" spans="1:26"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row>
    <row r="786" spans="1:26"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row>
    <row r="787" spans="1:26"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row>
    <row r="788" spans="1:26"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row>
    <row r="789" spans="1:26"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row>
    <row r="790" spans="1:26"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row>
    <row r="791" spans="1:26"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row>
    <row r="792" spans="1:26"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row>
    <row r="793" spans="1:26"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row>
    <row r="794" spans="1:26"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row>
    <row r="795" spans="1:26"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row>
    <row r="796" spans="1:26"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row>
    <row r="797" spans="1:26"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row>
    <row r="798" spans="1:26"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row>
    <row r="799" spans="1:26"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row>
    <row r="800" spans="1:26"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row>
    <row r="801" spans="1:26"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row>
    <row r="802" spans="1:26"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row>
    <row r="803" spans="1:26"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row>
    <row r="804" spans="1:26"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row>
    <row r="805" spans="1:26"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row>
    <row r="806" spans="1:26"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row>
    <row r="807" spans="1:26"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row>
    <row r="808" spans="1:26"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row>
    <row r="809" spans="1:26"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row>
    <row r="810" spans="1:26"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row>
    <row r="811" spans="1:26"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row>
    <row r="812" spans="1:26"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row>
    <row r="813" spans="1:26"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row>
    <row r="814" spans="1:26"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row>
    <row r="815" spans="1:26"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row>
    <row r="816" spans="1:26"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row>
    <row r="817" spans="1:26"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row>
    <row r="818" spans="1:26"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row>
    <row r="819" spans="1:26"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row>
    <row r="820" spans="1:26"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row>
    <row r="821" spans="1:26"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row>
    <row r="822" spans="1:26"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row>
    <row r="823" spans="1:26"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row>
    <row r="824" spans="1:26"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row>
    <row r="825" spans="1:26"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row>
    <row r="826" spans="1:26"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row>
    <row r="827" spans="1:26"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row>
    <row r="828" spans="1:26"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row>
    <row r="829" spans="1:26"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row>
    <row r="830" spans="1:26"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row>
    <row r="831" spans="1:26"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row>
    <row r="832" spans="1:26"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row>
    <row r="833" spans="1:26"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row>
    <row r="834" spans="1:26"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row>
    <row r="835" spans="1:26"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row>
    <row r="836" spans="1:26"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row>
    <row r="837" spans="1:26"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row>
    <row r="838" spans="1:26"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row>
    <row r="839" spans="1:26"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row>
    <row r="840" spans="1:26"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row>
    <row r="841" spans="1:26"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row>
    <row r="842" spans="1:26"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row>
    <row r="843" spans="1:26"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row>
    <row r="844" spans="1:26"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row>
    <row r="845" spans="1:26"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row>
    <row r="846" spans="1:26"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row>
    <row r="847" spans="1:26"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row>
    <row r="848" spans="1:26"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row>
    <row r="849" spans="1:26"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row>
    <row r="850" spans="1:26"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row>
    <row r="851" spans="1:26"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row>
    <row r="852" spans="1:26"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row>
    <row r="853" spans="1:26"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row>
    <row r="854" spans="1:26"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row>
    <row r="855" spans="1:26"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row>
    <row r="856" spans="1:26"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row>
    <row r="857" spans="1:26"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row>
    <row r="858" spans="1:26"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row>
    <row r="859" spans="1:26"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row>
    <row r="860" spans="1:26"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row>
    <row r="861" spans="1:26"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row>
    <row r="862" spans="1:26"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row>
    <row r="863" spans="1:26"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row>
    <row r="864" spans="1:26"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row>
    <row r="865" spans="1:26"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row>
    <row r="866" spans="1:26"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row>
    <row r="867" spans="1:26"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row>
    <row r="868" spans="1:26"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row>
    <row r="869" spans="1:26"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row>
    <row r="870" spans="1:26"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row>
    <row r="871" spans="1:26"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row>
    <row r="872" spans="1:26"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row>
    <row r="873" spans="1:26"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row>
    <row r="874" spans="1:26"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row>
    <row r="875" spans="1:26"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row>
    <row r="876" spans="1:26"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row>
    <row r="877" spans="1:26"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row>
    <row r="878" spans="1:26"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row>
    <row r="879" spans="1:26"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row>
    <row r="880" spans="1:26"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row>
    <row r="881" spans="1:26"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row>
    <row r="882" spans="1:26"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row>
    <row r="883" spans="1:26"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row>
    <row r="884" spans="1:26"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row>
    <row r="885" spans="1:26"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row>
    <row r="886" spans="1:26"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row>
    <row r="887" spans="1:26"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row>
    <row r="888" spans="1:26"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row>
    <row r="889" spans="1:26"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row>
    <row r="890" spans="1:26"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row>
    <row r="891" spans="1:26"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row>
    <row r="892" spans="1:26"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row>
    <row r="893" spans="1:26"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row>
    <row r="894" spans="1:26"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row>
    <row r="895" spans="1:26"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row>
    <row r="896" spans="1:26"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row>
    <row r="897" spans="1:26"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row>
    <row r="898" spans="1:26"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row>
    <row r="899" spans="1:26"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row>
    <row r="900" spans="1:26"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row>
    <row r="901" spans="1:26"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row>
    <row r="902" spans="1:26"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row>
    <row r="903" spans="1:26"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row>
    <row r="904" spans="1:26"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row>
    <row r="905" spans="1:26"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row>
    <row r="906" spans="1:26"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row>
    <row r="907" spans="1:26"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row>
    <row r="908" spans="1:26"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row>
    <row r="909" spans="1:26"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row>
    <row r="910" spans="1:26"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row>
    <row r="911" spans="1:26"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row>
    <row r="912" spans="1:26"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row>
    <row r="913" spans="1:26"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row>
    <row r="914" spans="1:26"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row>
    <row r="915" spans="1:26"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row>
    <row r="916" spans="1:26"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row>
    <row r="917" spans="1:26"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row>
    <row r="918" spans="1:26"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row>
    <row r="919" spans="1:26"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row>
    <row r="920" spans="1:26"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row>
    <row r="921" spans="1:26"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row>
    <row r="922" spans="1:26"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row>
    <row r="923" spans="1:26"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row>
    <row r="924" spans="1:26"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row>
    <row r="925" spans="1:26"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row>
    <row r="926" spans="1:26"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row>
    <row r="927" spans="1:26"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row>
    <row r="928" spans="1:26"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row>
    <row r="929" spans="1:26"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row>
    <row r="930" spans="1:26"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row>
    <row r="931" spans="1:26"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row>
    <row r="932" spans="1:26"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row>
    <row r="933" spans="1:26"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row>
    <row r="934" spans="1:26"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row>
    <row r="935" spans="1:26"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row>
    <row r="936" spans="1:26"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row>
    <row r="937" spans="1:26"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row>
    <row r="938" spans="1:26"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row>
    <row r="939" spans="1:26"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row>
    <row r="940" spans="1:26"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row>
    <row r="941" spans="1:26"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row>
    <row r="942" spans="1:26"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row>
    <row r="943" spans="1:26"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row>
    <row r="944" spans="1:26"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row>
    <row r="945" spans="1:26"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row>
    <row r="946" spans="1:26"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row>
    <row r="947" spans="1:26"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row>
    <row r="948" spans="1:26"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row>
    <row r="949" spans="1:26"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row>
    <row r="950" spans="1:26"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row>
    <row r="951" spans="1:26"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row>
    <row r="952" spans="1:26"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row>
    <row r="953" spans="1:26"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row>
    <row r="954" spans="1:26"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row>
    <row r="955" spans="1:26"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row>
    <row r="956" spans="1:26"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row>
    <row r="957" spans="1:26"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row>
    <row r="958" spans="1:26"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row>
    <row r="959" spans="1:26"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row>
    <row r="960" spans="1:26"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row>
    <row r="961" spans="1:26"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row>
    <row r="962" spans="1:26"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row>
    <row r="963" spans="1:26"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row>
    <row r="964" spans="1:26"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row>
    <row r="965" spans="1:26"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row>
    <row r="966" spans="1:26"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row>
    <row r="967" spans="1:26"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row>
    <row r="968" spans="1:26" ht="14.25" customHeight="1">
      <c r="A968" s="4"/>
      <c r="B968" s="4"/>
      <c r="C968" s="4"/>
      <c r="D968" s="4"/>
      <c r="E968" s="146"/>
      <c r="F968" s="146"/>
      <c r="G968" s="4"/>
      <c r="H968" s="4"/>
      <c r="I968" s="138"/>
      <c r="J968" s="138"/>
      <c r="K968" s="138"/>
      <c r="L968" s="138"/>
      <c r="M968" s="138"/>
      <c r="N968" s="138"/>
      <c r="O968" s="138"/>
      <c r="P968" s="138"/>
      <c r="Q968" s="138"/>
      <c r="R968" s="138"/>
      <c r="S968" s="138"/>
      <c r="T968" s="138"/>
      <c r="U968" s="138"/>
      <c r="V968" s="138"/>
      <c r="W968" s="138"/>
      <c r="X968" s="138"/>
      <c r="Y968" s="138"/>
      <c r="Z968" s="138"/>
    </row>
    <row r="969" spans="1:26" ht="14.25" customHeight="1">
      <c r="A969" s="4"/>
      <c r="B969" s="4"/>
      <c r="C969" s="4"/>
      <c r="D969" s="4"/>
      <c r="E969" s="146"/>
      <c r="F969" s="146"/>
      <c r="G969" s="4"/>
      <c r="H969" s="4"/>
      <c r="I969" s="138"/>
      <c r="J969" s="138"/>
      <c r="K969" s="138"/>
      <c r="L969" s="138"/>
      <c r="M969" s="138"/>
      <c r="N969" s="138"/>
      <c r="O969" s="138"/>
      <c r="P969" s="138"/>
      <c r="Q969" s="138"/>
      <c r="R969" s="138"/>
      <c r="S969" s="138"/>
      <c r="T969" s="138"/>
      <c r="U969" s="138"/>
      <c r="V969" s="138"/>
      <c r="W969" s="138"/>
      <c r="X969" s="138"/>
      <c r="Y969" s="138"/>
      <c r="Z969" s="138"/>
    </row>
    <row r="970" spans="1:26" ht="14.25" customHeight="1">
      <c r="A970" s="4"/>
      <c r="B970" s="4"/>
      <c r="C970" s="4"/>
      <c r="D970" s="4"/>
      <c r="E970" s="146"/>
      <c r="F970" s="146"/>
      <c r="G970" s="4"/>
      <c r="H970" s="4"/>
      <c r="I970" s="138"/>
      <c r="J970" s="138"/>
      <c r="K970" s="138"/>
      <c r="L970" s="138"/>
      <c r="M970" s="138"/>
      <c r="N970" s="138"/>
      <c r="O970" s="138"/>
      <c r="P970" s="138"/>
      <c r="Q970" s="138"/>
      <c r="R970" s="138"/>
      <c r="S970" s="138"/>
      <c r="T970" s="138"/>
      <c r="U970" s="138"/>
      <c r="V970" s="138"/>
      <c r="W970" s="138"/>
      <c r="X970" s="138"/>
      <c r="Y970" s="138"/>
      <c r="Z970" s="138"/>
    </row>
    <row r="971" spans="1:26" ht="14.25" customHeight="1">
      <c r="A971" s="4"/>
      <c r="B971" s="4"/>
      <c r="C971" s="4"/>
      <c r="D971" s="4"/>
      <c r="E971" s="146"/>
      <c r="F971" s="146"/>
      <c r="G971" s="4"/>
      <c r="H971" s="4"/>
      <c r="I971" s="138"/>
      <c r="J971" s="138"/>
      <c r="K971" s="138"/>
      <c r="L971" s="138"/>
      <c r="M971" s="138"/>
      <c r="N971" s="138"/>
      <c r="O971" s="138"/>
      <c r="P971" s="138"/>
      <c r="Q971" s="138"/>
      <c r="R971" s="138"/>
      <c r="S971" s="138"/>
      <c r="T971" s="138"/>
      <c r="U971" s="138"/>
      <c r="V971" s="138"/>
      <c r="W971" s="138"/>
      <c r="X971" s="138"/>
      <c r="Y971" s="138"/>
      <c r="Z971" s="138"/>
    </row>
    <row r="972" spans="1:26" ht="14.25" customHeight="1">
      <c r="A972" s="4"/>
      <c r="B972" s="4"/>
      <c r="C972" s="4"/>
      <c r="D972" s="4"/>
      <c r="E972" s="146"/>
      <c r="F972" s="146"/>
      <c r="G972" s="4"/>
      <c r="H972" s="4"/>
      <c r="I972" s="138"/>
      <c r="J972" s="138"/>
      <c r="K972" s="138"/>
      <c r="L972" s="138"/>
      <c r="M972" s="138"/>
      <c r="N972" s="138"/>
      <c r="O972" s="138"/>
      <c r="P972" s="138"/>
      <c r="Q972" s="138"/>
      <c r="R972" s="138"/>
      <c r="S972" s="138"/>
      <c r="T972" s="138"/>
      <c r="U972" s="138"/>
      <c r="V972" s="138"/>
      <c r="W972" s="138"/>
      <c r="X972" s="138"/>
      <c r="Y972" s="138"/>
      <c r="Z972" s="138"/>
    </row>
    <row r="973" spans="1:26" ht="14.25" customHeight="1">
      <c r="A973" s="4"/>
      <c r="B973" s="4"/>
      <c r="C973" s="4"/>
      <c r="D973" s="4"/>
      <c r="E973" s="146"/>
      <c r="F973" s="146"/>
      <c r="G973" s="4"/>
      <c r="H973" s="4"/>
      <c r="I973" s="138"/>
      <c r="J973" s="138"/>
      <c r="K973" s="138"/>
      <c r="L973" s="138"/>
      <c r="M973" s="138"/>
      <c r="N973" s="138"/>
      <c r="O973" s="138"/>
      <c r="P973" s="138"/>
      <c r="Q973" s="138"/>
      <c r="R973" s="138"/>
      <c r="S973" s="138"/>
      <c r="T973" s="138"/>
      <c r="U973" s="138"/>
      <c r="V973" s="138"/>
      <c r="W973" s="138"/>
      <c r="X973" s="138"/>
      <c r="Y973" s="138"/>
      <c r="Z973" s="138"/>
    </row>
    <row r="974" spans="1:26" ht="14.25" customHeight="1">
      <c r="A974" s="4"/>
      <c r="B974" s="4"/>
      <c r="C974" s="4"/>
      <c r="D974" s="4"/>
      <c r="E974" s="146"/>
      <c r="F974" s="146"/>
      <c r="G974" s="4"/>
      <c r="H974" s="4"/>
      <c r="I974" s="138"/>
      <c r="J974" s="138"/>
      <c r="K974" s="138"/>
      <c r="L974" s="138"/>
      <c r="M974" s="138"/>
      <c r="N974" s="138"/>
      <c r="O974" s="138"/>
      <c r="P974" s="138"/>
      <c r="Q974" s="138"/>
      <c r="R974" s="138"/>
      <c r="S974" s="138"/>
      <c r="T974" s="138"/>
      <c r="U974" s="138"/>
      <c r="V974" s="138"/>
      <c r="W974" s="138"/>
      <c r="X974" s="138"/>
      <c r="Y974" s="138"/>
      <c r="Z974" s="138"/>
    </row>
    <row r="975" spans="1:26" ht="14.25" customHeight="1">
      <c r="A975" s="4"/>
      <c r="B975" s="4"/>
      <c r="C975" s="4"/>
      <c r="D975" s="4"/>
      <c r="E975" s="146"/>
      <c r="F975" s="146"/>
      <c r="G975" s="4"/>
      <c r="H975" s="4"/>
      <c r="I975" s="138"/>
      <c r="J975" s="138"/>
      <c r="K975" s="138"/>
      <c r="L975" s="138"/>
      <c r="M975" s="138"/>
      <c r="N975" s="138"/>
      <c r="O975" s="138"/>
      <c r="P975" s="138"/>
      <c r="Q975" s="138"/>
      <c r="R975" s="138"/>
      <c r="S975" s="138"/>
      <c r="T975" s="138"/>
      <c r="U975" s="138"/>
      <c r="V975" s="138"/>
      <c r="W975" s="138"/>
      <c r="X975" s="138"/>
      <c r="Y975" s="138"/>
      <c r="Z975" s="138"/>
    </row>
    <row r="976" spans="1:26" ht="14.25" customHeight="1">
      <c r="A976" s="4"/>
      <c r="B976" s="4"/>
      <c r="C976" s="4"/>
      <c r="D976" s="4"/>
      <c r="E976" s="146"/>
      <c r="F976" s="146"/>
      <c r="G976" s="4"/>
      <c r="H976" s="4"/>
      <c r="I976" s="138"/>
      <c r="J976" s="138"/>
      <c r="K976" s="138"/>
      <c r="L976" s="138"/>
      <c r="M976" s="138"/>
      <c r="N976" s="138"/>
      <c r="O976" s="138"/>
      <c r="P976" s="138"/>
      <c r="Q976" s="138"/>
      <c r="R976" s="138"/>
      <c r="S976" s="138"/>
      <c r="T976" s="138"/>
      <c r="U976" s="138"/>
      <c r="V976" s="138"/>
      <c r="W976" s="138"/>
      <c r="X976" s="138"/>
      <c r="Y976" s="138"/>
      <c r="Z976" s="138"/>
    </row>
  </sheetData>
  <autoFilter ref="A1:H25">
    <sortState ref="A2:H59">
      <sortCondition descending="1" ref="H1:H25"/>
    </sortState>
  </autoFilter>
  <pageMargins left="0.7" right="0.7" top="0.75" bottom="0.75" header="0" footer="0"/>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998"/>
  <sheetViews>
    <sheetView topLeftCell="A65" workbookViewId="0">
      <selection activeCell="I92" sqref="I92"/>
    </sheetView>
  </sheetViews>
  <sheetFormatPr baseColWidth="10" defaultColWidth="12.58203125" defaultRowHeight="15" customHeight="1"/>
  <cols>
    <col min="1" max="1" width="1.6640625" customWidth="1"/>
    <col min="2" max="2" width="23.1640625" customWidth="1"/>
    <col min="3" max="3" width="13.5" customWidth="1"/>
    <col min="4" max="4" width="11.4140625" customWidth="1"/>
    <col min="5" max="9" width="11.6640625" customWidth="1"/>
    <col min="10" max="10" width="58.58203125" customWidth="1"/>
    <col min="11" max="23" width="11" customWidth="1"/>
  </cols>
  <sheetData>
    <row r="1" spans="1:23" ht="15.5">
      <c r="A1" s="3"/>
      <c r="B1" s="1234" t="str">
        <f>Parametres!$B$1&amp;" "&amp;"2 pager"&amp;" "&amp;Parametres!$B$3&amp;" "&amp;Parametres!$B$4</f>
        <v>Volks 2 pager Février 2025</v>
      </c>
      <c r="C1" s="1235"/>
      <c r="D1" s="1235"/>
      <c r="E1" s="1235"/>
      <c r="F1" s="1235"/>
      <c r="G1" s="1235"/>
      <c r="H1" s="1235"/>
      <c r="I1" s="1235"/>
      <c r="J1" s="1235"/>
      <c r="K1" s="3"/>
      <c r="L1" s="3"/>
      <c r="M1" s="3"/>
      <c r="N1" s="3"/>
      <c r="O1" s="3"/>
      <c r="P1" s="3"/>
      <c r="Q1" s="3"/>
      <c r="R1" s="3"/>
      <c r="S1" s="3"/>
      <c r="T1" s="3"/>
      <c r="U1" s="3"/>
      <c r="V1" s="3"/>
      <c r="W1" s="3"/>
    </row>
    <row r="2" spans="1:23" ht="14.5">
      <c r="A2" s="3"/>
      <c r="B2" s="33"/>
      <c r="C2" s="3"/>
      <c r="D2" s="3"/>
      <c r="E2" s="3"/>
      <c r="F2" s="3"/>
      <c r="G2" s="3"/>
      <c r="H2" s="3"/>
      <c r="I2" s="3"/>
      <c r="J2" s="3"/>
      <c r="K2" s="3"/>
      <c r="L2" s="3"/>
      <c r="M2" s="3"/>
      <c r="N2" s="3"/>
      <c r="O2" s="3"/>
      <c r="P2" s="3"/>
      <c r="Q2" s="3"/>
      <c r="R2" s="3"/>
      <c r="S2" s="3"/>
      <c r="T2" s="3"/>
      <c r="U2" s="3"/>
      <c r="V2" s="3"/>
      <c r="W2" s="3"/>
    </row>
    <row r="3" spans="1:23" ht="14.5">
      <c r="A3" s="3"/>
      <c r="B3" s="154" t="s">
        <v>284</v>
      </c>
      <c r="C3" s="155" t="s">
        <v>285</v>
      </c>
      <c r="D3" s="156" t="s">
        <v>286</v>
      </c>
      <c r="E3" s="157">
        <v>2023</v>
      </c>
      <c r="F3" s="156" t="s">
        <v>287</v>
      </c>
      <c r="G3" s="158" t="s">
        <v>3862</v>
      </c>
      <c r="H3" s="156" t="s">
        <v>288</v>
      </c>
      <c r="I3" s="158" t="s">
        <v>3863</v>
      </c>
      <c r="J3" s="154" t="s">
        <v>289</v>
      </c>
      <c r="K3" s="3"/>
      <c r="L3" s="3"/>
      <c r="M3" s="3"/>
      <c r="N3" s="3"/>
      <c r="O3" s="3"/>
      <c r="P3" s="3"/>
      <c r="Q3" s="3"/>
      <c r="R3" s="3"/>
      <c r="S3" s="3"/>
      <c r="T3" s="3"/>
      <c r="U3" s="3"/>
      <c r="V3" s="3"/>
      <c r="W3" s="3"/>
    </row>
    <row r="4" spans="1:23" ht="14.4" customHeight="1">
      <c r="A4" s="3"/>
      <c r="B4" s="159" t="s">
        <v>290</v>
      </c>
      <c r="C4" s="160">
        <f>+Print_Mois!$J$13+Print_Mois!$J$15</f>
        <v>32</v>
      </c>
      <c r="D4" s="160">
        <f>+Print_Mois!$D$13+Print_Mois!$D$15</f>
        <v>55</v>
      </c>
      <c r="E4" s="160">
        <f>+Print_Mois!$O$13+Print_Mois!$O$15</f>
        <v>73</v>
      </c>
      <c r="F4" s="161">
        <f t="shared" ref="F4:F15" si="0">+IFERROR($C4-D4,"")</f>
        <v>-23</v>
      </c>
      <c r="G4" s="162">
        <f t="shared" ref="G4:G15" si="1">+IFERROR($C4-E4,"")</f>
        <v>-41</v>
      </c>
      <c r="H4" s="163">
        <f t="shared" ref="H4:H15" si="2">+IFERROR(F4/ABS($D4),"")</f>
        <v>-0.41818181818181815</v>
      </c>
      <c r="I4" s="164">
        <f t="shared" ref="I4:I15" si="3">+IFERROR(G4/ABS($E4),"")</f>
        <v>-0.56164383561643838</v>
      </c>
      <c r="J4" s="1231" t="s">
        <v>3921</v>
      </c>
      <c r="K4" s="3"/>
      <c r="L4" s="3"/>
      <c r="M4" s="3"/>
      <c r="N4" s="3"/>
      <c r="O4" s="3"/>
      <c r="P4" s="3"/>
      <c r="Q4" s="3"/>
      <c r="R4" s="3"/>
      <c r="S4" s="3"/>
      <c r="T4" s="3"/>
      <c r="U4" s="3"/>
      <c r="V4" s="3"/>
      <c r="W4" s="3"/>
    </row>
    <row r="5" spans="1:23" ht="14.5">
      <c r="A5" s="3"/>
      <c r="B5" s="165" t="s">
        <v>291</v>
      </c>
      <c r="C5" s="166">
        <f>+Print_Mois!$L$13+Print_Mois!$L$15</f>
        <v>69475.709999999977</v>
      </c>
      <c r="D5" s="166">
        <f>+Print_Mois!$F$13+Print_Mois!$F$15</f>
        <v>124519.72253601065</v>
      </c>
      <c r="E5" s="166">
        <f>+Print_Mois!$Q$13+Print_Mois!$Q$15</f>
        <v>171907.71999999988</v>
      </c>
      <c r="F5" s="167">
        <f t="shared" si="0"/>
        <v>-55044.012536010676</v>
      </c>
      <c r="G5" s="168">
        <f t="shared" si="1"/>
        <v>-102432.00999999991</v>
      </c>
      <c r="H5" s="170">
        <f t="shared" si="2"/>
        <v>-0.44205055564665385</v>
      </c>
      <c r="I5" s="171">
        <f t="shared" si="3"/>
        <v>-0.59585462479520979</v>
      </c>
      <c r="J5" s="1232"/>
      <c r="K5" s="3"/>
      <c r="L5" s="3"/>
      <c r="M5" s="3"/>
      <c r="N5" s="3"/>
      <c r="O5" s="3"/>
      <c r="P5" s="3"/>
      <c r="Q5" s="3"/>
      <c r="R5" s="3"/>
      <c r="S5" s="3"/>
      <c r="T5" s="3"/>
      <c r="U5" s="3"/>
      <c r="V5" s="3"/>
      <c r="W5" s="3"/>
    </row>
    <row r="6" spans="1:23" ht="14.5">
      <c r="A6" s="3"/>
      <c r="B6" s="165" t="s">
        <v>292</v>
      </c>
      <c r="C6" s="166">
        <f t="shared" ref="C6:E6" si="4">+C5/C4</f>
        <v>2171.1159374999993</v>
      </c>
      <c r="D6" s="166">
        <f t="shared" si="4"/>
        <v>2263.9949552001935</v>
      </c>
      <c r="E6" s="166">
        <f t="shared" si="4"/>
        <v>2354.9002739726011</v>
      </c>
      <c r="F6" s="167">
        <f t="shared" si="0"/>
        <v>-92.879017700194254</v>
      </c>
      <c r="G6" s="168">
        <f t="shared" si="1"/>
        <v>-183.78433647260181</v>
      </c>
      <c r="H6" s="170">
        <f t="shared" si="2"/>
        <v>-4.1024392517686255E-2</v>
      </c>
      <c r="I6" s="171">
        <f t="shared" si="3"/>
        <v>-7.8043362814072231E-2</v>
      </c>
      <c r="J6" s="1232"/>
      <c r="K6" s="3"/>
      <c r="L6" s="3"/>
      <c r="M6" s="3"/>
      <c r="N6" s="3"/>
      <c r="O6" s="3"/>
      <c r="P6" s="3"/>
      <c r="Q6" s="3"/>
      <c r="R6" s="3"/>
      <c r="S6" s="3"/>
      <c r="T6" s="3"/>
      <c r="U6" s="3"/>
      <c r="V6" s="3"/>
      <c r="W6" s="3"/>
    </row>
    <row r="7" spans="1:23" ht="14.5">
      <c r="A7" s="3"/>
      <c r="B7" s="165" t="s">
        <v>293</v>
      </c>
      <c r="C7" s="166">
        <f>+Print_Mois!$L$31</f>
        <v>27089.919999999998</v>
      </c>
      <c r="D7" s="166">
        <f>+Print_Mois!$F$31</f>
        <v>41537.374690453718</v>
      </c>
      <c r="E7" s="166">
        <f>+Print_Mois!$Q$31</f>
        <v>46438.8</v>
      </c>
      <c r="F7" s="167">
        <f t="shared" si="0"/>
        <v>-14447.45469045372</v>
      </c>
      <c r="G7" s="168">
        <f t="shared" si="1"/>
        <v>-19348.880000000005</v>
      </c>
      <c r="H7" s="170">
        <f t="shared" si="2"/>
        <v>-0.34781819501399763</v>
      </c>
      <c r="I7" s="171">
        <f t="shared" si="3"/>
        <v>-0.41665331576181991</v>
      </c>
      <c r="J7" s="1232"/>
      <c r="K7" s="3"/>
      <c r="L7" s="3"/>
      <c r="M7" s="3"/>
      <c r="N7" s="3"/>
      <c r="O7" s="3"/>
      <c r="P7" s="3"/>
      <c r="Q7" s="3"/>
      <c r="R7" s="3"/>
      <c r="S7" s="3"/>
      <c r="T7" s="3"/>
      <c r="U7" s="3"/>
      <c r="V7" s="3"/>
      <c r="W7" s="3"/>
    </row>
    <row r="8" spans="1:23" ht="14.5">
      <c r="A8" s="3"/>
      <c r="B8" s="165" t="s">
        <v>294</v>
      </c>
      <c r="C8" s="169">
        <f t="shared" ref="C8:E8" si="5">+C7/C5</f>
        <v>0.38991929697443906</v>
      </c>
      <c r="D8" s="169">
        <f t="shared" si="5"/>
        <v>0.3335806878178777</v>
      </c>
      <c r="E8" s="169">
        <f t="shared" si="5"/>
        <v>0.27013795541003066</v>
      </c>
      <c r="F8" s="172">
        <f t="shared" si="0"/>
        <v>5.6338609156561359E-2</v>
      </c>
      <c r="G8" s="173">
        <f t="shared" si="1"/>
        <v>0.11978134156440839</v>
      </c>
      <c r="H8" s="170">
        <f t="shared" si="2"/>
        <v>0.16889050000196679</v>
      </c>
      <c r="I8" s="171">
        <f t="shared" si="3"/>
        <v>0.44340804083823582</v>
      </c>
      <c r="J8" s="1232"/>
      <c r="K8" s="3"/>
      <c r="L8" s="3"/>
      <c r="M8" s="3"/>
      <c r="N8" s="3"/>
      <c r="O8" s="3"/>
      <c r="P8" s="3"/>
      <c r="Q8" s="3"/>
      <c r="R8" s="3"/>
      <c r="S8" s="3"/>
      <c r="T8" s="3"/>
      <c r="U8" s="3"/>
      <c r="V8" s="3"/>
      <c r="W8" s="3"/>
    </row>
    <row r="9" spans="1:23" ht="14.5">
      <c r="A9" s="3"/>
      <c r="B9" s="165" t="s">
        <v>295</v>
      </c>
      <c r="C9" s="166">
        <f>+Print_Mois!$L$24</f>
        <v>32554.999999999996</v>
      </c>
      <c r="D9" s="166">
        <f>+Print_Mois!$F$24</f>
        <v>55000</v>
      </c>
      <c r="E9" s="166">
        <f>+Print_Mois!$Q$24</f>
        <v>74080.25</v>
      </c>
      <c r="F9" s="167">
        <f t="shared" si="0"/>
        <v>-22445.000000000004</v>
      </c>
      <c r="G9" s="168">
        <f t="shared" si="1"/>
        <v>-41525.25</v>
      </c>
      <c r="H9" s="170">
        <f t="shared" si="2"/>
        <v>-0.40809090909090917</v>
      </c>
      <c r="I9" s="171">
        <f t="shared" si="3"/>
        <v>-0.56054413963235816</v>
      </c>
      <c r="J9" s="1232"/>
      <c r="K9" s="3"/>
      <c r="L9" s="3"/>
      <c r="M9" s="3"/>
      <c r="N9" s="3"/>
      <c r="O9" s="3"/>
      <c r="P9" s="3"/>
      <c r="Q9" s="3"/>
      <c r="R9" s="3"/>
      <c r="S9" s="3"/>
      <c r="T9" s="3"/>
      <c r="U9" s="3"/>
      <c r="V9" s="3"/>
      <c r="W9" s="3"/>
    </row>
    <row r="10" spans="1:23" ht="14.5">
      <c r="A10" s="3"/>
      <c r="B10" s="165" t="s">
        <v>296</v>
      </c>
      <c r="C10" s="166">
        <f t="shared" ref="C10:E10" si="6">+C9/C4</f>
        <v>1017.3437499999999</v>
      </c>
      <c r="D10" s="166">
        <f t="shared" si="6"/>
        <v>1000</v>
      </c>
      <c r="E10" s="166">
        <f t="shared" si="6"/>
        <v>1014.7979452054794</v>
      </c>
      <c r="F10" s="167">
        <f t="shared" si="0"/>
        <v>17.343749999999886</v>
      </c>
      <c r="G10" s="168">
        <f t="shared" si="1"/>
        <v>2.5458047945204498</v>
      </c>
      <c r="H10" s="170">
        <f t="shared" si="2"/>
        <v>1.7343749999999887E-2</v>
      </c>
      <c r="I10" s="171">
        <f t="shared" si="3"/>
        <v>2.5086814636828686E-3</v>
      </c>
      <c r="J10" s="1232"/>
      <c r="K10" s="3"/>
      <c r="L10" s="3"/>
      <c r="M10" s="3"/>
      <c r="N10" s="3"/>
      <c r="O10" s="3"/>
      <c r="P10" s="3"/>
      <c r="Q10" s="3"/>
      <c r="R10" s="3"/>
      <c r="S10" s="3"/>
      <c r="T10" s="3"/>
      <c r="U10" s="3"/>
      <c r="V10" s="3"/>
      <c r="W10" s="3"/>
    </row>
    <row r="11" spans="1:23" ht="14.5">
      <c r="A11" s="3"/>
      <c r="B11" s="165" t="s">
        <v>297</v>
      </c>
      <c r="C11" s="166">
        <f>+Print_Mois!$L$32</f>
        <v>8138.27</v>
      </c>
      <c r="D11" s="166">
        <f>+Print_Mois!$F$32</f>
        <v>15400.000000000002</v>
      </c>
      <c r="E11" s="166">
        <f>+Print_Mois!$Q$32</f>
        <v>22255.97</v>
      </c>
      <c r="F11" s="167">
        <f t="shared" si="0"/>
        <v>-7261.7300000000014</v>
      </c>
      <c r="G11" s="168">
        <f t="shared" si="1"/>
        <v>-14117.7</v>
      </c>
      <c r="H11" s="170">
        <f t="shared" si="2"/>
        <v>-0.47154090909090912</v>
      </c>
      <c r="I11" s="171">
        <f t="shared" si="3"/>
        <v>-0.63433316993148359</v>
      </c>
      <c r="J11" s="1232"/>
      <c r="K11" s="3"/>
      <c r="L11" s="3"/>
      <c r="M11" s="3"/>
      <c r="N11" s="3"/>
      <c r="O11" s="3"/>
      <c r="P11" s="3"/>
      <c r="Q11" s="3"/>
      <c r="R11" s="3"/>
      <c r="S11" s="3"/>
      <c r="T11" s="3"/>
      <c r="U11" s="3"/>
      <c r="V11" s="3"/>
      <c r="W11" s="3"/>
    </row>
    <row r="12" spans="1:23" ht="14.5">
      <c r="A12" s="3"/>
      <c r="B12" s="165" t="s">
        <v>298</v>
      </c>
      <c r="C12" s="169">
        <f t="shared" ref="C12:E12" si="7">+C11/C9</f>
        <v>0.24998525572108743</v>
      </c>
      <c r="D12" s="169">
        <f t="shared" si="7"/>
        <v>0.28000000000000003</v>
      </c>
      <c r="E12" s="169">
        <f t="shared" si="7"/>
        <v>0.30043054660317697</v>
      </c>
      <c r="F12" s="170">
        <f t="shared" si="0"/>
        <v>-3.0014744278912597E-2</v>
      </c>
      <c r="G12" s="174">
        <f t="shared" si="1"/>
        <v>-5.0445290882089544E-2</v>
      </c>
      <c r="H12" s="170">
        <f t="shared" si="2"/>
        <v>-0.10719551528183069</v>
      </c>
      <c r="I12" s="171">
        <f t="shared" si="3"/>
        <v>-0.16790999268366708</v>
      </c>
      <c r="J12" s="1232"/>
      <c r="K12" s="3"/>
      <c r="L12" s="3"/>
      <c r="M12" s="3"/>
      <c r="N12" s="3"/>
      <c r="O12" s="3"/>
      <c r="P12" s="3"/>
      <c r="Q12" s="3"/>
      <c r="R12" s="3"/>
      <c r="S12" s="3"/>
      <c r="T12" s="3"/>
      <c r="U12" s="3"/>
      <c r="V12" s="3"/>
      <c r="W12" s="3"/>
    </row>
    <row r="13" spans="1:23" ht="14.5">
      <c r="A13" s="3"/>
      <c r="B13" s="165" t="s">
        <v>299</v>
      </c>
      <c r="C13" s="166">
        <f>+Print_Mois!$L$41-C7-C11</f>
        <v>5811.7100000000028</v>
      </c>
      <c r="D13" s="166">
        <f>+Print_Mois!$F$41-D7-D11</f>
        <v>53754.416295391711</v>
      </c>
      <c r="E13" s="166">
        <f>+Print_Mois!$Q$41-E7-E11</f>
        <v>40953.619999999995</v>
      </c>
      <c r="F13" s="167">
        <f t="shared" si="0"/>
        <v>-47942.706295391705</v>
      </c>
      <c r="G13" s="168">
        <f t="shared" si="1"/>
        <v>-35141.909999999989</v>
      </c>
      <c r="H13" s="170">
        <f t="shared" si="2"/>
        <v>-0.89188404599050153</v>
      </c>
      <c r="I13" s="171">
        <f t="shared" si="3"/>
        <v>-0.85809044475189233</v>
      </c>
      <c r="J13" s="1232"/>
      <c r="K13" s="3"/>
      <c r="L13" s="3"/>
      <c r="M13" s="3"/>
      <c r="N13" s="3"/>
      <c r="O13" s="3"/>
      <c r="P13" s="3"/>
      <c r="Q13" s="3"/>
      <c r="R13" s="3"/>
      <c r="S13" s="3"/>
      <c r="T13" s="3"/>
      <c r="U13" s="3"/>
      <c r="V13" s="3"/>
      <c r="W13" s="3"/>
    </row>
    <row r="14" spans="1:23" ht="14.5">
      <c r="A14" s="3"/>
      <c r="B14" s="165" t="s">
        <v>300</v>
      </c>
      <c r="C14" s="166">
        <f t="shared" ref="C14:E14" si="8">+C13/C4</f>
        <v>181.61593750000009</v>
      </c>
      <c r="D14" s="166">
        <f t="shared" si="8"/>
        <v>977.35302355257659</v>
      </c>
      <c r="E14" s="166">
        <f t="shared" si="8"/>
        <v>561.0084931506849</v>
      </c>
      <c r="F14" s="167">
        <f t="shared" si="0"/>
        <v>-795.7370860525765</v>
      </c>
      <c r="G14" s="168">
        <f t="shared" si="1"/>
        <v>-379.39255565068481</v>
      </c>
      <c r="H14" s="170">
        <f t="shared" si="2"/>
        <v>-0.81417570404617456</v>
      </c>
      <c r="I14" s="171">
        <f t="shared" si="3"/>
        <v>-0.6762688270902546</v>
      </c>
      <c r="J14" s="1232"/>
      <c r="K14" s="3"/>
      <c r="L14" s="3"/>
      <c r="M14" s="3"/>
      <c r="N14" s="3"/>
      <c r="O14" s="3"/>
      <c r="P14" s="3"/>
      <c r="Q14" s="3"/>
      <c r="R14" s="3"/>
      <c r="S14" s="3"/>
      <c r="T14" s="3"/>
      <c r="U14" s="3"/>
      <c r="V14" s="3"/>
      <c r="W14" s="3"/>
    </row>
    <row r="15" spans="1:23" ht="14.5">
      <c r="A15" s="3"/>
      <c r="B15" s="165" t="s">
        <v>301</v>
      </c>
      <c r="C15" s="166">
        <f>+Print_Mois!$L$83</f>
        <v>63571</v>
      </c>
      <c r="D15" s="166">
        <f>+Print_Mois!$F$83</f>
        <v>102968.68750798477</v>
      </c>
      <c r="E15" s="166">
        <f>+Print_Mois!$Q$83</f>
        <v>122753.85</v>
      </c>
      <c r="F15" s="167">
        <f t="shared" si="0"/>
        <v>-39397.687507984767</v>
      </c>
      <c r="G15" s="168">
        <f t="shared" si="1"/>
        <v>-59182.850000000006</v>
      </c>
      <c r="H15" s="170">
        <f t="shared" si="2"/>
        <v>-0.38261813820759488</v>
      </c>
      <c r="I15" s="171">
        <f t="shared" si="3"/>
        <v>-0.48212622251766446</v>
      </c>
      <c r="J15" s="1232"/>
      <c r="K15" s="3"/>
      <c r="L15" s="3"/>
      <c r="M15" s="3"/>
      <c r="N15" s="3"/>
      <c r="O15" s="3"/>
      <c r="P15" s="3"/>
      <c r="Q15" s="3"/>
      <c r="R15" s="3"/>
      <c r="S15" s="3"/>
      <c r="T15" s="3"/>
      <c r="U15" s="3"/>
      <c r="V15" s="3"/>
      <c r="W15" s="3"/>
    </row>
    <row r="16" spans="1:23" ht="15" hidden="1" customHeight="1">
      <c r="A16" s="3"/>
      <c r="B16" s="175" t="s">
        <v>302</v>
      </c>
      <c r="C16" s="176"/>
      <c r="D16" s="176"/>
      <c r="E16" s="176"/>
      <c r="F16" s="177"/>
      <c r="G16" s="178"/>
      <c r="H16" s="179"/>
      <c r="I16" s="180"/>
      <c r="J16" s="1232"/>
      <c r="K16" s="3"/>
      <c r="L16" s="3"/>
      <c r="M16" s="3"/>
      <c r="N16" s="3"/>
      <c r="O16" s="3"/>
      <c r="P16" s="3"/>
      <c r="Q16" s="3"/>
      <c r="R16" s="3"/>
      <c r="S16" s="3"/>
      <c r="T16" s="3"/>
      <c r="U16" s="3"/>
      <c r="V16" s="3"/>
      <c r="W16" s="3"/>
    </row>
    <row r="17" spans="1:23" ht="15" hidden="1" customHeight="1">
      <c r="A17" s="3"/>
      <c r="B17" s="181" t="s">
        <v>290</v>
      </c>
      <c r="C17" s="182">
        <f>Inventaire_Neuf!L3</f>
        <v>71</v>
      </c>
      <c r="D17" s="182">
        <v>61</v>
      </c>
      <c r="E17" s="182">
        <v>164</v>
      </c>
      <c r="F17" s="167">
        <f>+IFERROR($C17-D17,"")</f>
        <v>10</v>
      </c>
      <c r="G17" s="168">
        <f>+IFERROR($C17-E17,"")</f>
        <v>-93</v>
      </c>
      <c r="H17" s="170">
        <f t="shared" ref="H17:H18" si="9">+IFERROR(F17/ABS($D17),"")</f>
        <v>0.16393442622950818</v>
      </c>
      <c r="I17" s="171">
        <f t="shared" ref="I17:I18" si="10">+IFERROR(G17/ABS($E17),"")</f>
        <v>-0.56707317073170727</v>
      </c>
      <c r="J17" s="1232"/>
      <c r="K17" s="3"/>
      <c r="L17" s="3"/>
      <c r="M17" s="3"/>
      <c r="N17" s="3"/>
      <c r="O17" s="3"/>
      <c r="P17" s="3"/>
      <c r="Q17" s="3"/>
      <c r="R17" s="3"/>
      <c r="S17" s="3"/>
      <c r="T17" s="3"/>
      <c r="U17" s="3"/>
      <c r="V17" s="3"/>
      <c r="W17" s="3"/>
    </row>
    <row r="18" spans="1:23" ht="14.5">
      <c r="A18" s="3"/>
      <c r="B18" s="183" t="s">
        <v>303</v>
      </c>
      <c r="C18" s="184">
        <f>Inventaire_Neuf!L2</f>
        <v>3059537.15</v>
      </c>
      <c r="D18" s="184">
        <v>2233570</v>
      </c>
      <c r="E18" s="184">
        <v>5689693.1799999997</v>
      </c>
      <c r="F18" s="185">
        <f>+IFERROR($C18-D18,"")</f>
        <v>825967.14999999991</v>
      </c>
      <c r="G18" s="186">
        <f>+IFERROR($C18-E18,"")</f>
        <v>-2630156.0299999998</v>
      </c>
      <c r="H18" s="187">
        <f t="shared" si="9"/>
        <v>0.36979684988605682</v>
      </c>
      <c r="I18" s="188">
        <f t="shared" si="10"/>
        <v>-0.46226675969898257</v>
      </c>
      <c r="J18" s="1233"/>
      <c r="K18" s="3"/>
      <c r="L18" s="3"/>
      <c r="M18" s="3"/>
      <c r="N18" s="3"/>
      <c r="O18" s="3"/>
      <c r="P18" s="3"/>
      <c r="Q18" s="3"/>
      <c r="R18" s="3"/>
      <c r="S18" s="3"/>
      <c r="T18" s="3"/>
      <c r="U18" s="3"/>
      <c r="V18" s="3"/>
      <c r="W18" s="3"/>
    </row>
    <row r="19" spans="1:23" ht="14.5">
      <c r="A19" s="3"/>
      <c r="B19" s="3"/>
      <c r="C19" s="189"/>
      <c r="D19" s="189"/>
      <c r="E19" s="189"/>
      <c r="F19" s="3"/>
      <c r="G19" s="3"/>
      <c r="H19" s="3"/>
      <c r="I19" s="3"/>
      <c r="J19" s="3"/>
      <c r="K19" s="3"/>
      <c r="L19" s="3"/>
      <c r="M19" s="3"/>
      <c r="N19" s="3"/>
      <c r="O19" s="3"/>
      <c r="P19" s="3"/>
      <c r="Q19" s="3"/>
      <c r="R19" s="3"/>
      <c r="S19" s="3"/>
      <c r="T19" s="3"/>
      <c r="U19" s="3"/>
      <c r="V19" s="3"/>
      <c r="W19" s="3"/>
    </row>
    <row r="20" spans="1:23" ht="14.5">
      <c r="A20" s="3"/>
      <c r="B20" s="190" t="s">
        <v>304</v>
      </c>
      <c r="C20" s="191" t="s">
        <v>285</v>
      </c>
      <c r="D20" s="191" t="s">
        <v>286</v>
      </c>
      <c r="E20" s="191">
        <f>$E$3</f>
        <v>2023</v>
      </c>
      <c r="F20" s="192" t="s">
        <v>287</v>
      </c>
      <c r="G20" s="193" t="str">
        <f>$G$3</f>
        <v>▲2023</v>
      </c>
      <c r="H20" s="192" t="s">
        <v>288</v>
      </c>
      <c r="I20" s="193" t="str">
        <f>$I$3</f>
        <v>% ▲ 2023</v>
      </c>
      <c r="J20" s="194" t="s">
        <v>289</v>
      </c>
      <c r="K20" s="3"/>
      <c r="L20" s="3"/>
      <c r="M20" s="3"/>
      <c r="N20" s="3"/>
      <c r="O20" s="3"/>
      <c r="P20" s="3"/>
      <c r="Q20" s="3"/>
      <c r="R20" s="3"/>
      <c r="S20" s="3"/>
      <c r="T20" s="3"/>
      <c r="U20" s="3"/>
      <c r="V20" s="3"/>
      <c r="W20" s="3"/>
    </row>
    <row r="21" spans="1:23" ht="15.75" customHeight="1">
      <c r="A21" s="3"/>
      <c r="B21" s="159" t="s">
        <v>290</v>
      </c>
      <c r="C21" s="160">
        <f>+Print_Mois!$J$97</f>
        <v>17</v>
      </c>
      <c r="D21" s="160">
        <f>+Print_Mois!$D$97</f>
        <v>25</v>
      </c>
      <c r="E21" s="160">
        <f>+Print_Mois!$O$97</f>
        <v>27</v>
      </c>
      <c r="F21" s="161">
        <f t="shared" ref="F21:F32" si="11">+IFERROR($C21-D21,"")</f>
        <v>-8</v>
      </c>
      <c r="G21" s="162">
        <f t="shared" ref="G21:G32" si="12">+IFERROR($C21-E21,"")</f>
        <v>-10</v>
      </c>
      <c r="H21" s="163">
        <f t="shared" ref="H21:H32" si="13">+IFERROR(F21/ABS($D21),"")</f>
        <v>-0.32</v>
      </c>
      <c r="I21" s="164">
        <f t="shared" ref="I21:I32" si="14">+IFERROR(G21/ABS($E21),"")</f>
        <v>-0.37037037037037035</v>
      </c>
      <c r="J21" s="1231" t="s">
        <v>3922</v>
      </c>
      <c r="K21" s="3"/>
      <c r="L21" s="3"/>
      <c r="M21" s="3"/>
      <c r="N21" s="3"/>
      <c r="O21" s="3"/>
      <c r="P21" s="3"/>
      <c r="Q21" s="3"/>
      <c r="R21" s="3"/>
      <c r="S21" s="3"/>
      <c r="T21" s="3"/>
      <c r="U21" s="3"/>
      <c r="V21" s="3"/>
      <c r="W21" s="3"/>
    </row>
    <row r="22" spans="1:23" ht="15.75" customHeight="1">
      <c r="A22" s="3"/>
      <c r="B22" s="165" t="s">
        <v>291</v>
      </c>
      <c r="C22" s="166">
        <f>+Print_Mois!$L$97</f>
        <v>16693.039999999972</v>
      </c>
      <c r="D22" s="166">
        <f>+Print_Mois!$F$97</f>
        <v>36100</v>
      </c>
      <c r="E22" s="166">
        <f>+Print_Mois!$Q$97</f>
        <v>-6008.9099999998998</v>
      </c>
      <c r="F22" s="167">
        <f t="shared" si="11"/>
        <v>-19406.960000000028</v>
      </c>
      <c r="G22" s="168">
        <f t="shared" si="12"/>
        <v>22701.949999999873</v>
      </c>
      <c r="H22" s="170">
        <f t="shared" si="13"/>
        <v>-0.53758891966759081</v>
      </c>
      <c r="I22" s="171">
        <f t="shared" si="14"/>
        <v>3.7780479321541263</v>
      </c>
      <c r="J22" s="1232"/>
      <c r="K22" s="3"/>
      <c r="L22" s="3"/>
      <c r="M22" s="3"/>
      <c r="N22" s="3"/>
      <c r="O22" s="3"/>
      <c r="P22" s="3"/>
      <c r="Q22" s="3"/>
      <c r="R22" s="3"/>
      <c r="S22" s="3"/>
      <c r="T22" s="3"/>
      <c r="U22" s="3"/>
      <c r="V22" s="3"/>
      <c r="W22" s="3"/>
    </row>
    <row r="23" spans="1:23" ht="15.75" customHeight="1">
      <c r="A23" s="3"/>
      <c r="B23" s="165" t="s">
        <v>292</v>
      </c>
      <c r="C23" s="166">
        <f t="shared" ref="C23:E23" si="15">+C22/C21</f>
        <v>981.94352941176305</v>
      </c>
      <c r="D23" s="166">
        <f t="shared" si="15"/>
        <v>1444</v>
      </c>
      <c r="E23" s="166">
        <f t="shared" si="15"/>
        <v>-222.55222222221852</v>
      </c>
      <c r="F23" s="167">
        <f t="shared" si="11"/>
        <v>-462.05647058823695</v>
      </c>
      <c r="G23" s="168">
        <f t="shared" si="12"/>
        <v>1204.4957516339816</v>
      </c>
      <c r="H23" s="170">
        <f t="shared" si="13"/>
        <v>-0.31998370539351589</v>
      </c>
      <c r="I23" s="171">
        <f t="shared" si="14"/>
        <v>5.4121937745977302</v>
      </c>
      <c r="J23" s="1232"/>
      <c r="K23" s="3"/>
      <c r="L23" s="3"/>
      <c r="M23" s="3"/>
      <c r="N23" s="3"/>
      <c r="O23" s="3"/>
      <c r="P23" s="3"/>
      <c r="Q23" s="3"/>
      <c r="R23" s="3"/>
      <c r="S23" s="3"/>
      <c r="T23" s="3"/>
      <c r="U23" s="3"/>
      <c r="V23" s="3"/>
      <c r="W23" s="3"/>
    </row>
    <row r="24" spans="1:23" ht="15.75" customHeight="1">
      <c r="A24" s="3"/>
      <c r="B24" s="165" t="s">
        <v>293</v>
      </c>
      <c r="C24" s="166">
        <f>+Print_Mois!$L$112</f>
        <v>8911.1</v>
      </c>
      <c r="D24" s="166">
        <f>+Print_Mois!$F$112</f>
        <v>13085.44474393531</v>
      </c>
      <c r="E24" s="166">
        <f>+Print_Mois!$Q$112</f>
        <v>12512.73</v>
      </c>
      <c r="F24" s="167">
        <f t="shared" si="11"/>
        <v>-4174.3447439353095</v>
      </c>
      <c r="G24" s="168">
        <f t="shared" si="12"/>
        <v>-3601.6299999999992</v>
      </c>
      <c r="H24" s="170">
        <f t="shared" si="13"/>
        <v>-0.31900671514202728</v>
      </c>
      <c r="I24" s="171">
        <f t="shared" si="14"/>
        <v>-0.28783726652776809</v>
      </c>
      <c r="J24" s="1232"/>
      <c r="K24" s="3"/>
      <c r="L24" s="3"/>
      <c r="M24" s="3"/>
      <c r="N24" s="3"/>
      <c r="O24" s="3"/>
      <c r="P24" s="3"/>
      <c r="Q24" s="3"/>
      <c r="R24" s="3"/>
      <c r="S24" s="3"/>
      <c r="T24" s="3"/>
      <c r="U24" s="3"/>
      <c r="V24" s="3"/>
      <c r="W24" s="3"/>
    </row>
    <row r="25" spans="1:23" ht="15.75" customHeight="1">
      <c r="A25" s="3"/>
      <c r="B25" s="165" t="s">
        <v>294</v>
      </c>
      <c r="C25" s="169">
        <f t="shared" ref="C25:E25" si="16">+C24/C22</f>
        <v>0.53382128120462269</v>
      </c>
      <c r="D25" s="169">
        <f t="shared" si="16"/>
        <v>0.36247769373782024</v>
      </c>
      <c r="E25" s="169">
        <f t="shared" si="16"/>
        <v>-2.0823626914033007</v>
      </c>
      <c r="F25" s="172">
        <f t="shared" si="11"/>
        <v>0.17134358746680245</v>
      </c>
      <c r="G25" s="173">
        <f t="shared" si="12"/>
        <v>2.6161839726079235</v>
      </c>
      <c r="H25" s="170">
        <f t="shared" si="13"/>
        <v>0.47270105285633135</v>
      </c>
      <c r="I25" s="171">
        <f t="shared" si="14"/>
        <v>1.2563536522280283</v>
      </c>
      <c r="J25" s="1232"/>
      <c r="K25" s="3"/>
      <c r="L25" s="3"/>
      <c r="M25" s="3"/>
      <c r="N25" s="3"/>
      <c r="O25" s="3"/>
      <c r="P25" s="3"/>
      <c r="Q25" s="3"/>
      <c r="R25" s="3"/>
      <c r="S25" s="3"/>
      <c r="T25" s="3"/>
      <c r="U25" s="3"/>
      <c r="V25" s="3"/>
      <c r="W25" s="3"/>
    </row>
    <row r="26" spans="1:23" ht="15.75" customHeight="1">
      <c r="A26" s="3"/>
      <c r="B26" s="165" t="s">
        <v>295</v>
      </c>
      <c r="C26" s="166">
        <f>+Print_Mois!$L$105</f>
        <v>26885.18</v>
      </c>
      <c r="D26" s="166">
        <f>+Print_Mois!$F$105</f>
        <v>47500</v>
      </c>
      <c r="E26" s="166">
        <f>+Print_Mois!$Q$105</f>
        <v>20613.5</v>
      </c>
      <c r="F26" s="167">
        <f t="shared" si="11"/>
        <v>-20614.82</v>
      </c>
      <c r="G26" s="168">
        <f t="shared" si="12"/>
        <v>6271.68</v>
      </c>
      <c r="H26" s="170">
        <f t="shared" si="13"/>
        <v>-0.43399621052631576</v>
      </c>
      <c r="I26" s="171">
        <f t="shared" si="14"/>
        <v>0.3042510975816819</v>
      </c>
      <c r="J26" s="1232"/>
      <c r="K26" s="3"/>
      <c r="L26" s="3"/>
      <c r="M26" s="3"/>
      <c r="N26" s="3"/>
      <c r="O26" s="3"/>
      <c r="P26" s="3"/>
      <c r="Q26" s="3"/>
      <c r="R26" s="3"/>
      <c r="S26" s="3"/>
      <c r="T26" s="3"/>
      <c r="U26" s="3"/>
      <c r="V26" s="3"/>
      <c r="W26" s="3"/>
    </row>
    <row r="27" spans="1:23" ht="15.75" customHeight="1">
      <c r="A27" s="3"/>
      <c r="B27" s="165" t="s">
        <v>296</v>
      </c>
      <c r="C27" s="166">
        <f t="shared" ref="C27:E27" si="17">+C26/C21</f>
        <v>1581.4811764705883</v>
      </c>
      <c r="D27" s="166">
        <f t="shared" si="17"/>
        <v>1900</v>
      </c>
      <c r="E27" s="166">
        <f t="shared" si="17"/>
        <v>763.46296296296293</v>
      </c>
      <c r="F27" s="167">
        <f t="shared" si="11"/>
        <v>-318.51882352941175</v>
      </c>
      <c r="G27" s="168">
        <f t="shared" si="12"/>
        <v>818.01821350762532</v>
      </c>
      <c r="H27" s="170">
        <f t="shared" si="13"/>
        <v>-0.16764148606811144</v>
      </c>
      <c r="I27" s="171">
        <f t="shared" si="14"/>
        <v>1.0714576255709067</v>
      </c>
      <c r="J27" s="1232"/>
      <c r="K27" s="3"/>
      <c r="L27" s="3"/>
      <c r="M27" s="3"/>
      <c r="N27" s="3"/>
      <c r="O27" s="3"/>
      <c r="P27" s="3"/>
      <c r="Q27" s="3"/>
      <c r="R27" s="3"/>
      <c r="S27" s="3"/>
      <c r="T27" s="3"/>
      <c r="U27" s="3"/>
      <c r="V27" s="3"/>
      <c r="W27" s="3"/>
    </row>
    <row r="28" spans="1:23" ht="15.75" customHeight="1">
      <c r="A28" s="3"/>
      <c r="B28" s="165" t="s">
        <v>297</v>
      </c>
      <c r="C28" s="166">
        <f>+Print_Mois!$L$113</f>
        <v>6721.09</v>
      </c>
      <c r="D28" s="166">
        <f>+Print_Mois!$F$113</f>
        <v>14250</v>
      </c>
      <c r="E28" s="166">
        <f>+Print_Mois!$Q$113</f>
        <v>7384.61</v>
      </c>
      <c r="F28" s="167">
        <f t="shared" si="11"/>
        <v>-7528.91</v>
      </c>
      <c r="G28" s="168">
        <f t="shared" si="12"/>
        <v>-663.51999999999953</v>
      </c>
      <c r="H28" s="170">
        <f t="shared" si="13"/>
        <v>-0.52834456140350872</v>
      </c>
      <c r="I28" s="171">
        <f t="shared" si="14"/>
        <v>-8.9851732183554661E-2</v>
      </c>
      <c r="J28" s="1232"/>
      <c r="K28" s="3"/>
      <c r="L28" s="3"/>
      <c r="M28" s="3"/>
      <c r="N28" s="3"/>
      <c r="O28" s="3"/>
      <c r="P28" s="3"/>
      <c r="Q28" s="3"/>
      <c r="R28" s="3"/>
      <c r="S28" s="3"/>
      <c r="T28" s="3"/>
      <c r="U28" s="3"/>
      <c r="V28" s="3"/>
      <c r="W28" s="3"/>
    </row>
    <row r="29" spans="1:23" ht="15.75" customHeight="1">
      <c r="A29" s="3"/>
      <c r="B29" s="165" t="s">
        <v>298</v>
      </c>
      <c r="C29" s="169">
        <f t="shared" ref="C29:E29" si="18">+C28/C26</f>
        <v>0.24999237498130941</v>
      </c>
      <c r="D29" s="169">
        <f t="shared" si="18"/>
        <v>0.3</v>
      </c>
      <c r="E29" s="169">
        <f t="shared" si="18"/>
        <v>0.35824144371407085</v>
      </c>
      <c r="F29" s="170">
        <f t="shared" si="11"/>
        <v>-5.0007625018690577E-2</v>
      </c>
      <c r="G29" s="174">
        <f t="shared" si="12"/>
        <v>-0.10824906873276144</v>
      </c>
      <c r="H29" s="170">
        <f t="shared" si="13"/>
        <v>-0.16669208339563527</v>
      </c>
      <c r="I29" s="171">
        <f t="shared" si="14"/>
        <v>-0.30216791114531139</v>
      </c>
      <c r="J29" s="1232"/>
      <c r="K29" s="3"/>
      <c r="L29" s="3"/>
      <c r="M29" s="3"/>
      <c r="N29" s="3"/>
      <c r="O29" s="3"/>
      <c r="P29" s="3"/>
      <c r="Q29" s="3"/>
      <c r="R29" s="3"/>
      <c r="S29" s="3"/>
      <c r="T29" s="3"/>
      <c r="U29" s="3"/>
      <c r="V29" s="3"/>
      <c r="W29" s="3"/>
    </row>
    <row r="30" spans="1:23" ht="15.75" customHeight="1">
      <c r="A30" s="3"/>
      <c r="B30" s="165" t="s">
        <v>299</v>
      </c>
      <c r="C30" s="166">
        <f>+Print_Mois!$L$122-C24-C28</f>
        <v>10696.180000000004</v>
      </c>
      <c r="D30" s="166">
        <f>+Print_Mois!$F$122-D24-D28</f>
        <v>24901.192919075147</v>
      </c>
      <c r="E30" s="166">
        <f>+Print_Mois!$Q$122-E24-E28</f>
        <v>26638.320000000007</v>
      </c>
      <c r="F30" s="167">
        <f t="shared" si="11"/>
        <v>-14205.012919075143</v>
      </c>
      <c r="G30" s="168">
        <f t="shared" si="12"/>
        <v>-15942.140000000003</v>
      </c>
      <c r="H30" s="170">
        <f t="shared" si="13"/>
        <v>-0.57045511695922113</v>
      </c>
      <c r="I30" s="171">
        <f t="shared" si="14"/>
        <v>-0.59846641980425186</v>
      </c>
      <c r="J30" s="1232"/>
      <c r="K30" s="3"/>
      <c r="L30" s="3"/>
      <c r="M30" s="3"/>
      <c r="N30" s="3"/>
      <c r="O30" s="3"/>
      <c r="P30" s="3"/>
      <c r="Q30" s="3"/>
      <c r="R30" s="3"/>
      <c r="S30" s="3"/>
      <c r="T30" s="3"/>
      <c r="U30" s="3"/>
      <c r="V30" s="3"/>
      <c r="W30" s="3"/>
    </row>
    <row r="31" spans="1:23" ht="15.75" customHeight="1">
      <c r="A31" s="3"/>
      <c r="B31" s="165" t="s">
        <v>300</v>
      </c>
      <c r="C31" s="166">
        <f t="shared" ref="C31:E31" si="19">+C30/C21</f>
        <v>629.1870588235297</v>
      </c>
      <c r="D31" s="166">
        <f t="shared" si="19"/>
        <v>996.04771676300584</v>
      </c>
      <c r="E31" s="166">
        <f t="shared" si="19"/>
        <v>986.60444444444465</v>
      </c>
      <c r="F31" s="167">
        <f t="shared" si="11"/>
        <v>-366.86065793947614</v>
      </c>
      <c r="G31" s="168">
        <f t="shared" si="12"/>
        <v>-357.41738562091496</v>
      </c>
      <c r="H31" s="170">
        <f t="shared" si="13"/>
        <v>-0.36831634846944283</v>
      </c>
      <c r="I31" s="171">
        <f t="shared" si="14"/>
        <v>-0.36227019615969408</v>
      </c>
      <c r="J31" s="1232"/>
      <c r="K31" s="3"/>
      <c r="L31" s="3"/>
      <c r="M31" s="3"/>
      <c r="N31" s="3"/>
      <c r="O31" s="3"/>
      <c r="P31" s="3"/>
      <c r="Q31" s="3"/>
      <c r="R31" s="3"/>
      <c r="S31" s="3"/>
      <c r="T31" s="3"/>
      <c r="U31" s="3"/>
      <c r="V31" s="3"/>
      <c r="W31" s="3"/>
    </row>
    <row r="32" spans="1:23" ht="15.75" customHeight="1">
      <c r="A32" s="3"/>
      <c r="B32" s="165" t="s">
        <v>301</v>
      </c>
      <c r="C32" s="166">
        <f>+Print_Mois!$L$163</f>
        <v>8208</v>
      </c>
      <c r="D32" s="166">
        <f>+Print_Mois!$F$163</f>
        <v>9476.25</v>
      </c>
      <c r="E32" s="166">
        <f>+Print_Mois!$Q$163</f>
        <v>7365</v>
      </c>
      <c r="F32" s="167">
        <f t="shared" si="11"/>
        <v>-1268.25</v>
      </c>
      <c r="G32" s="168">
        <f t="shared" si="12"/>
        <v>843</v>
      </c>
      <c r="H32" s="170">
        <f t="shared" si="13"/>
        <v>-0.13383458646616542</v>
      </c>
      <c r="I32" s="171">
        <f t="shared" si="14"/>
        <v>0.11446028513238289</v>
      </c>
      <c r="J32" s="1232"/>
      <c r="K32" s="3"/>
      <c r="L32" s="3"/>
      <c r="M32" s="3"/>
      <c r="N32" s="3"/>
      <c r="O32" s="3"/>
      <c r="P32" s="3"/>
      <c r="Q32" s="3"/>
      <c r="R32" s="3"/>
      <c r="S32" s="3"/>
      <c r="T32" s="3"/>
      <c r="U32" s="3"/>
      <c r="V32" s="3"/>
      <c r="W32" s="3"/>
    </row>
    <row r="33" spans="1:23" ht="15.75" hidden="1" customHeight="1">
      <c r="A33" s="3"/>
      <c r="B33" s="175" t="s">
        <v>302</v>
      </c>
      <c r="C33" s="176"/>
      <c r="D33" s="176"/>
      <c r="E33" s="176"/>
      <c r="F33" s="177"/>
      <c r="G33" s="178"/>
      <c r="H33" s="179"/>
      <c r="I33" s="180"/>
      <c r="J33" s="1232"/>
      <c r="K33" s="3"/>
      <c r="L33" s="3"/>
      <c r="M33" s="3"/>
      <c r="N33" s="3"/>
      <c r="O33" s="3"/>
      <c r="P33" s="3"/>
      <c r="Q33" s="3"/>
      <c r="R33" s="3"/>
      <c r="S33" s="3"/>
      <c r="T33" s="3"/>
      <c r="U33" s="3"/>
      <c r="V33" s="3"/>
      <c r="W33" s="3"/>
    </row>
    <row r="34" spans="1:23" ht="15.75" hidden="1" customHeight="1">
      <c r="A34" s="3"/>
      <c r="B34" s="181" t="s">
        <v>290</v>
      </c>
      <c r="C34" s="195">
        <f>Inventaire_Used!N3</f>
        <v>111</v>
      </c>
      <c r="D34" s="182">
        <v>68</v>
      </c>
      <c r="E34" s="182">
        <v>92</v>
      </c>
      <c r="F34" s="167">
        <f>+IFERROR($C34-D34,"")</f>
        <v>43</v>
      </c>
      <c r="G34" s="168">
        <f>+IFERROR($C34-E34,"")</f>
        <v>19</v>
      </c>
      <c r="H34" s="170">
        <f t="shared" ref="H34:H35" si="20">+IFERROR(F34/ABS($D34),"")</f>
        <v>0.63235294117647056</v>
      </c>
      <c r="I34" s="171">
        <f t="shared" ref="I34:I35" si="21">+IFERROR(G34/ABS($E34),"")</f>
        <v>0.20652173913043478</v>
      </c>
      <c r="J34" s="1232"/>
      <c r="K34" s="3"/>
      <c r="L34" s="3"/>
      <c r="M34" s="3"/>
      <c r="N34" s="3"/>
      <c r="O34" s="3"/>
      <c r="P34" s="3"/>
      <c r="Q34" s="3"/>
      <c r="R34" s="3"/>
      <c r="S34" s="3"/>
      <c r="T34" s="3"/>
      <c r="U34" s="3"/>
      <c r="V34" s="3"/>
      <c r="W34" s="3"/>
    </row>
    <row r="35" spans="1:23" ht="15.75" customHeight="1">
      <c r="A35" s="3"/>
      <c r="B35" s="183" t="s">
        <v>303</v>
      </c>
      <c r="C35" s="184">
        <f>Inventaire_Used!N2</f>
        <v>2779322.1000000006</v>
      </c>
      <c r="D35" s="184">
        <v>1072231</v>
      </c>
      <c r="E35" s="184">
        <v>1510979</v>
      </c>
      <c r="F35" s="185">
        <f>+IFERROR($C35-D35,"")</f>
        <v>1707091.1000000006</v>
      </c>
      <c r="G35" s="186">
        <f>+IFERROR($C35-E35,"")</f>
        <v>1268343.1000000006</v>
      </c>
      <c r="H35" s="187">
        <f t="shared" si="20"/>
        <v>1.5920926554072774</v>
      </c>
      <c r="I35" s="188">
        <f t="shared" si="21"/>
        <v>0.83941808589000944</v>
      </c>
      <c r="J35" s="1233"/>
      <c r="K35" s="3"/>
      <c r="L35" s="3"/>
      <c r="M35" s="3"/>
      <c r="N35" s="3"/>
      <c r="O35" s="3"/>
      <c r="P35" s="3"/>
      <c r="Q35" s="3"/>
      <c r="R35" s="3"/>
      <c r="S35" s="3"/>
      <c r="T35" s="3"/>
      <c r="U35" s="3"/>
      <c r="V35" s="3"/>
      <c r="W35" s="3"/>
    </row>
    <row r="36" spans="1:23" ht="15.75" customHeight="1">
      <c r="A36" s="3"/>
      <c r="B36" s="3"/>
      <c r="C36" s="189"/>
      <c r="D36" s="189"/>
      <c r="E36" s="189"/>
      <c r="F36" s="3"/>
      <c r="G36" s="3"/>
      <c r="H36" s="3"/>
      <c r="I36" s="3"/>
      <c r="J36" s="3"/>
      <c r="K36" s="3"/>
      <c r="L36" s="3"/>
      <c r="M36" s="3"/>
      <c r="N36" s="3"/>
      <c r="O36" s="3"/>
      <c r="P36" s="3"/>
      <c r="Q36" s="3"/>
      <c r="R36" s="3"/>
      <c r="S36" s="3"/>
      <c r="T36" s="3"/>
      <c r="U36" s="3"/>
      <c r="V36" s="3"/>
      <c r="W36" s="3"/>
    </row>
    <row r="37" spans="1:23" ht="15.75" customHeight="1">
      <c r="A37" s="3"/>
      <c r="B37" s="196" t="s">
        <v>161</v>
      </c>
      <c r="C37" s="197" t="s">
        <v>285</v>
      </c>
      <c r="D37" s="197" t="s">
        <v>286</v>
      </c>
      <c r="E37" s="197">
        <f>$E$3</f>
        <v>2023</v>
      </c>
      <c r="F37" s="198" t="s">
        <v>287</v>
      </c>
      <c r="G37" s="199" t="str">
        <f>$G$3</f>
        <v>▲2023</v>
      </c>
      <c r="H37" s="198" t="s">
        <v>288</v>
      </c>
      <c r="I37" s="199" t="str">
        <f>$I$3</f>
        <v>% ▲ 2023</v>
      </c>
      <c r="J37" s="196" t="s">
        <v>289</v>
      </c>
      <c r="K37" s="3"/>
      <c r="L37" s="3"/>
      <c r="M37" s="3"/>
      <c r="N37" s="3"/>
      <c r="O37" s="3"/>
      <c r="P37" s="3"/>
      <c r="Q37" s="3"/>
      <c r="R37" s="3"/>
      <c r="S37" s="3"/>
      <c r="T37" s="3"/>
      <c r="U37" s="3"/>
      <c r="V37" s="3"/>
      <c r="W37" s="3"/>
    </row>
    <row r="38" spans="1:23" ht="15.75" customHeight="1">
      <c r="A38" s="3"/>
      <c r="B38" s="159" t="s">
        <v>305</v>
      </c>
      <c r="C38" s="200">
        <f>+Print_Mois!$K$194</f>
        <v>256200.31999999998</v>
      </c>
      <c r="D38" s="200">
        <f>+Print_Mois!$E$194</f>
        <v>209670.04328000001</v>
      </c>
      <c r="E38" s="200">
        <f>+Print_Mois!$P$194</f>
        <v>205437.83999999982</v>
      </c>
      <c r="F38" s="201">
        <f t="shared" ref="F38:F47" si="22">+IFERROR($C38-D38,"")</f>
        <v>46530.276719999965</v>
      </c>
      <c r="G38" s="202">
        <f t="shared" ref="G38:G47" si="23">+IFERROR($C38-E38,"")</f>
        <v>50762.480000000156</v>
      </c>
      <c r="H38" s="163">
        <f t="shared" ref="H38:H47" si="24">+IFERROR(F38/ABS($D38),"")</f>
        <v>0.22192143423112648</v>
      </c>
      <c r="I38" s="164">
        <f t="shared" ref="I38:I47" si="25">+IFERROR(G38/ABS($E38),"")</f>
        <v>0.24709410885550687</v>
      </c>
      <c r="J38" s="1231" t="s">
        <v>3923</v>
      </c>
      <c r="K38" s="3"/>
      <c r="L38" s="3"/>
      <c r="M38" s="3"/>
      <c r="N38" s="3"/>
      <c r="O38" s="3"/>
      <c r="P38" s="3"/>
      <c r="Q38" s="3"/>
      <c r="R38" s="3"/>
      <c r="S38" s="3"/>
      <c r="T38" s="3"/>
      <c r="U38" s="3"/>
      <c r="V38" s="3"/>
      <c r="W38" s="3"/>
    </row>
    <row r="39" spans="1:23" ht="15.75" customHeight="1">
      <c r="A39" s="3"/>
      <c r="B39" s="159" t="s">
        <v>306</v>
      </c>
      <c r="C39" s="200">
        <f>+Print_Mois!$L$194</f>
        <v>178542.36000000002</v>
      </c>
      <c r="D39" s="200">
        <f>+Print_Mois!$F$194</f>
        <v>146480.89676655884</v>
      </c>
      <c r="E39" s="200">
        <f>+Print_Mois!$Q$194</f>
        <v>138129.5799999997</v>
      </c>
      <c r="F39" s="201">
        <f t="shared" si="22"/>
        <v>32061.463233441173</v>
      </c>
      <c r="G39" s="202">
        <f t="shared" si="23"/>
        <v>40412.780000000319</v>
      </c>
      <c r="H39" s="203">
        <f t="shared" si="24"/>
        <v>0.21887811954439584</v>
      </c>
      <c r="I39" s="204">
        <f t="shared" si="25"/>
        <v>0.29257151147495281</v>
      </c>
      <c r="J39" s="1232"/>
      <c r="K39" s="3"/>
      <c r="L39" s="3"/>
      <c r="M39" s="3"/>
      <c r="N39" s="3"/>
      <c r="O39" s="3"/>
      <c r="P39" s="3"/>
      <c r="Q39" s="3"/>
      <c r="R39" s="3"/>
      <c r="S39" s="3"/>
      <c r="T39" s="3"/>
      <c r="U39" s="3"/>
      <c r="V39" s="3"/>
      <c r="W39" s="3"/>
    </row>
    <row r="40" spans="1:23" ht="15.75" customHeight="1">
      <c r="A40" s="3"/>
      <c r="B40" s="165" t="s">
        <v>307</v>
      </c>
      <c r="C40" s="166">
        <f>+Print_Mois!$K$172/Print_Mois!$J$172</f>
        <v>378.59677419354841</v>
      </c>
      <c r="D40" s="166">
        <f>+IFERROR(Print_Mois!$E$172/Print_Mois!$D$172,"")</f>
        <v>339.99999999999994</v>
      </c>
      <c r="E40" s="166">
        <f>+Print_Mois!$P$172/Print_Mois!$O$172</f>
        <v>328.26257777777732</v>
      </c>
      <c r="F40" s="167">
        <f t="shared" si="22"/>
        <v>38.59677419354847</v>
      </c>
      <c r="G40" s="168">
        <f t="shared" si="23"/>
        <v>50.334196415771089</v>
      </c>
      <c r="H40" s="170">
        <f t="shared" si="24"/>
        <v>0.11351992409867198</v>
      </c>
      <c r="I40" s="171">
        <f t="shared" si="25"/>
        <v>0.15333516466152178</v>
      </c>
      <c r="J40" s="1232"/>
      <c r="K40" s="3"/>
      <c r="L40" s="3"/>
      <c r="M40" s="3"/>
      <c r="N40" s="3"/>
      <c r="O40" s="3"/>
      <c r="P40" s="3"/>
      <c r="Q40" s="3"/>
      <c r="R40" s="3"/>
      <c r="S40" s="3"/>
      <c r="T40" s="3"/>
      <c r="U40" s="3"/>
      <c r="V40" s="3"/>
      <c r="W40" s="3"/>
    </row>
    <row r="41" spans="1:23" ht="15.75" customHeight="1">
      <c r="A41" s="3"/>
      <c r="B41" s="165" t="s">
        <v>308</v>
      </c>
      <c r="C41" s="166">
        <f>+Print_Mois!$K$175/Print_Mois!$J$175</f>
        <v>261.43767441860467</v>
      </c>
      <c r="D41" s="166">
        <f>+IFERROR(Print_Mois!$E$175/Print_Mois!$D$175,"")</f>
        <v>270</v>
      </c>
      <c r="E41" s="166">
        <f>+Print_Mois!$P$175/Print_Mois!$O$175</f>
        <v>206.19794642857141</v>
      </c>
      <c r="F41" s="167">
        <f t="shared" si="22"/>
        <v>-8.5623255813953278</v>
      </c>
      <c r="G41" s="168">
        <f t="shared" si="23"/>
        <v>55.239727990033259</v>
      </c>
      <c r="H41" s="170">
        <f t="shared" si="24"/>
        <v>-3.1712316968130844E-2</v>
      </c>
      <c r="I41" s="171">
        <f t="shared" si="25"/>
        <v>0.26789659619218725</v>
      </c>
      <c r="J41" s="1232"/>
      <c r="K41" s="3"/>
      <c r="L41" s="3"/>
      <c r="M41" s="3"/>
      <c r="N41" s="3"/>
      <c r="O41" s="3"/>
      <c r="P41" s="3"/>
      <c r="Q41" s="3"/>
      <c r="R41" s="3"/>
      <c r="S41" s="3"/>
      <c r="T41" s="3"/>
      <c r="U41" s="3"/>
      <c r="V41" s="3"/>
      <c r="W41" s="3"/>
    </row>
    <row r="42" spans="1:23" ht="15.75" customHeight="1">
      <c r="A42" s="3"/>
      <c r="B42" s="165" t="s">
        <v>309</v>
      </c>
      <c r="C42" s="166">
        <f>+Print_Mois!$L$184</f>
        <v>-1540.85</v>
      </c>
      <c r="D42" s="166">
        <f>+Print_Mois!$F$184</f>
        <v>-2262.7911646411389</v>
      </c>
      <c r="E42" s="166">
        <f>+Print_Mois!$Q$184</f>
        <v>-1515.7</v>
      </c>
      <c r="F42" s="167">
        <f t="shared" si="22"/>
        <v>721.94116464113904</v>
      </c>
      <c r="G42" s="168">
        <f t="shared" si="23"/>
        <v>-25.149999999999864</v>
      </c>
      <c r="H42" s="170">
        <f t="shared" si="24"/>
        <v>0.31904895861462906</v>
      </c>
      <c r="I42" s="171">
        <f t="shared" si="25"/>
        <v>-1.6592993336412128E-2</v>
      </c>
      <c r="J42" s="1232"/>
      <c r="K42" s="3"/>
      <c r="L42" s="3"/>
      <c r="M42" s="3"/>
      <c r="N42" s="3"/>
      <c r="O42" s="3"/>
      <c r="P42" s="3"/>
      <c r="Q42" s="3"/>
      <c r="R42" s="3"/>
      <c r="S42" s="3"/>
      <c r="T42" s="3"/>
      <c r="U42" s="3"/>
      <c r="V42" s="3"/>
      <c r="W42" s="3"/>
    </row>
    <row r="43" spans="1:23" ht="15.75" customHeight="1">
      <c r="A43" s="3"/>
      <c r="B43" s="165" t="s">
        <v>310</v>
      </c>
      <c r="C43" s="166">
        <f>+Print_Mois!$L$210</f>
        <v>90636.340000000011</v>
      </c>
      <c r="D43" s="166">
        <f>+Print_Mois!$F$210</f>
        <v>103142.01003260708</v>
      </c>
      <c r="E43" s="166">
        <f>+Print_Mois!$Q$210</f>
        <v>104849.26</v>
      </c>
      <c r="F43" s="167">
        <f t="shared" si="22"/>
        <v>-12505.670032607071</v>
      </c>
      <c r="G43" s="168">
        <f t="shared" si="23"/>
        <v>-14212.919999999984</v>
      </c>
      <c r="H43" s="170">
        <f t="shared" si="24"/>
        <v>-0.12124710414944945</v>
      </c>
      <c r="I43" s="171">
        <f t="shared" si="25"/>
        <v>-0.13555574927281303</v>
      </c>
      <c r="J43" s="1232"/>
      <c r="K43" s="3"/>
      <c r="L43" s="3"/>
      <c r="M43" s="3"/>
      <c r="N43" s="3"/>
      <c r="O43" s="3"/>
      <c r="P43" s="3"/>
      <c r="Q43" s="3"/>
      <c r="R43" s="3"/>
      <c r="S43" s="3"/>
      <c r="T43" s="3"/>
      <c r="U43" s="3"/>
      <c r="V43" s="3"/>
      <c r="W43" s="3"/>
    </row>
    <row r="44" spans="1:23" ht="15.75" customHeight="1">
      <c r="A44" s="3"/>
      <c r="B44" s="181" t="s">
        <v>311</v>
      </c>
      <c r="C44" s="166">
        <f>+SUM(Print_Mois!$L$198:$L$204)</f>
        <v>49722.03</v>
      </c>
      <c r="D44" s="166">
        <f>+SUM(Print_Mois!$F$198:$F$204)</f>
        <v>62310.267404923085</v>
      </c>
      <c r="E44" s="166">
        <f>+SUM(Print_Mois!$Q$198:$Q$204)</f>
        <v>57811.100000000006</v>
      </c>
      <c r="F44" s="167">
        <f t="shared" si="22"/>
        <v>-12588.237404923086</v>
      </c>
      <c r="G44" s="168">
        <f t="shared" si="23"/>
        <v>-8089.070000000007</v>
      </c>
      <c r="H44" s="170">
        <f t="shared" si="24"/>
        <v>-0.2020250903935055</v>
      </c>
      <c r="I44" s="171">
        <f t="shared" si="25"/>
        <v>-0.13992243704063764</v>
      </c>
      <c r="J44" s="1232"/>
      <c r="K44" s="3"/>
      <c r="L44" s="3"/>
      <c r="M44" s="3"/>
      <c r="N44" s="3"/>
      <c r="O44" s="3"/>
      <c r="P44" s="3"/>
      <c r="Q44" s="3"/>
      <c r="R44" s="3"/>
      <c r="S44" s="3"/>
      <c r="T44" s="3"/>
      <c r="U44" s="3"/>
      <c r="V44" s="3"/>
      <c r="W44" s="3"/>
    </row>
    <row r="45" spans="1:23" ht="14.5">
      <c r="A45" s="3"/>
      <c r="B45" s="181" t="s">
        <v>312</v>
      </c>
      <c r="C45" s="166">
        <f>+SUM(Print_Mois!$L$205:$L$209)</f>
        <v>40914.31</v>
      </c>
      <c r="D45" s="166">
        <f>+SUM(Print_Mois!$F$205:$F$209)</f>
        <v>40831.742627683998</v>
      </c>
      <c r="E45" s="166">
        <f>+SUM(Print_Mois!$Q$205:$Q$209)</f>
        <v>47038.159999999996</v>
      </c>
      <c r="F45" s="167">
        <f t="shared" si="22"/>
        <v>82.567372315999819</v>
      </c>
      <c r="G45" s="168">
        <f t="shared" si="23"/>
        <v>-6123.8499999999985</v>
      </c>
      <c r="H45" s="170">
        <f t="shared" si="24"/>
        <v>2.0221368720133681E-3</v>
      </c>
      <c r="I45" s="171">
        <f t="shared" si="25"/>
        <v>-0.13018897848045075</v>
      </c>
      <c r="J45" s="1232"/>
      <c r="K45" s="3"/>
      <c r="L45" s="3"/>
      <c r="M45" s="3"/>
      <c r="N45" s="3"/>
      <c r="O45" s="3"/>
      <c r="P45" s="3"/>
      <c r="Q45" s="3"/>
      <c r="R45" s="3"/>
      <c r="S45" s="3"/>
      <c r="T45" s="3"/>
      <c r="U45" s="3"/>
      <c r="V45" s="3"/>
      <c r="W45" s="3"/>
    </row>
    <row r="46" spans="1:23" ht="14.5">
      <c r="A46" s="3"/>
      <c r="B46" s="165" t="s">
        <v>313</v>
      </c>
      <c r="C46" s="169">
        <f t="shared" ref="C46:E46" si="26">+C43/C38</f>
        <v>0.35377137702247996</v>
      </c>
      <c r="D46" s="169">
        <f t="shared" si="26"/>
        <v>0.49192535289778128</v>
      </c>
      <c r="E46" s="169">
        <f t="shared" si="26"/>
        <v>0.51036975466642409</v>
      </c>
      <c r="F46" s="172">
        <f t="shared" si="22"/>
        <v>-0.13815397587530132</v>
      </c>
      <c r="G46" s="173">
        <f t="shared" si="23"/>
        <v>-0.15659837764394413</v>
      </c>
      <c r="H46" s="170">
        <f t="shared" si="24"/>
        <v>-0.28084337402306803</v>
      </c>
      <c r="I46" s="171">
        <f t="shared" si="25"/>
        <v>-0.30683318557208838</v>
      </c>
      <c r="J46" s="1232"/>
      <c r="K46" s="3"/>
      <c r="L46" s="3"/>
      <c r="M46" s="3"/>
      <c r="N46" s="3"/>
      <c r="O46" s="3"/>
      <c r="P46" s="3"/>
      <c r="Q46" s="3"/>
      <c r="R46" s="3"/>
      <c r="S46" s="3"/>
      <c r="T46" s="3"/>
      <c r="U46" s="3"/>
      <c r="V46" s="3"/>
      <c r="W46" s="3"/>
    </row>
    <row r="47" spans="1:23" ht="14.5">
      <c r="A47" s="3"/>
      <c r="B47" s="205" t="s">
        <v>131</v>
      </c>
      <c r="C47" s="184">
        <f>+Print_Mois!$L$213</f>
        <v>9690.11</v>
      </c>
      <c r="D47" s="184">
        <f>+Print_Mois!$F$213</f>
        <v>11083.739355555555</v>
      </c>
      <c r="E47" s="184">
        <f>+Print_Mois!$Q$213</f>
        <v>8609.4599999999991</v>
      </c>
      <c r="F47" s="185">
        <f t="shared" si="22"/>
        <v>-1393.6293555555549</v>
      </c>
      <c r="G47" s="186">
        <f t="shared" si="23"/>
        <v>1080.6500000000015</v>
      </c>
      <c r="H47" s="187">
        <f t="shared" si="24"/>
        <v>-0.12573638831167744</v>
      </c>
      <c r="I47" s="188">
        <f t="shared" si="25"/>
        <v>0.12551890594764381</v>
      </c>
      <c r="J47" s="1233"/>
      <c r="K47" s="3"/>
      <c r="L47" s="3"/>
      <c r="M47" s="3"/>
      <c r="N47" s="3"/>
      <c r="O47" s="3"/>
      <c r="P47" s="3"/>
      <c r="Q47" s="3"/>
      <c r="R47" s="3"/>
      <c r="S47" s="3"/>
      <c r="T47" s="3"/>
      <c r="U47" s="3"/>
      <c r="V47" s="3"/>
      <c r="W47" s="3"/>
    </row>
    <row r="48" spans="1:23" ht="15.75" customHeight="1">
      <c r="A48" s="3"/>
      <c r="B48" s="3"/>
      <c r="C48" s="3"/>
      <c r="D48" s="3"/>
      <c r="E48" s="3"/>
      <c r="F48" s="3"/>
      <c r="G48" s="3"/>
      <c r="H48" s="3"/>
      <c r="I48" s="3"/>
      <c r="J48" s="3"/>
      <c r="K48" s="3"/>
      <c r="L48" s="3"/>
      <c r="M48" s="3"/>
      <c r="N48" s="3"/>
      <c r="O48" s="3"/>
      <c r="P48" s="3"/>
      <c r="Q48" s="3"/>
      <c r="R48" s="3"/>
      <c r="S48" s="3"/>
      <c r="T48" s="3"/>
      <c r="U48" s="3"/>
      <c r="V48" s="3"/>
      <c r="W48" s="3"/>
    </row>
    <row r="49" spans="1:23" ht="15.75" customHeight="1">
      <c r="A49" s="3"/>
      <c r="B49" s="206" t="s">
        <v>314</v>
      </c>
      <c r="C49" s="207" t="s">
        <v>285</v>
      </c>
      <c r="D49" s="207" t="s">
        <v>286</v>
      </c>
      <c r="E49" s="207">
        <f>$E$3</f>
        <v>2023</v>
      </c>
      <c r="F49" s="208" t="s">
        <v>287</v>
      </c>
      <c r="G49" s="209" t="str">
        <f>$G$3</f>
        <v>▲2023</v>
      </c>
      <c r="H49" s="208" t="s">
        <v>288</v>
      </c>
      <c r="I49" s="209" t="str">
        <f>$I$3</f>
        <v>% ▲ 2023</v>
      </c>
      <c r="J49" s="210" t="s">
        <v>289</v>
      </c>
      <c r="K49" s="3"/>
      <c r="L49" s="3"/>
      <c r="M49" s="3"/>
      <c r="N49" s="3"/>
      <c r="O49" s="3"/>
      <c r="P49" s="3"/>
      <c r="Q49" s="3"/>
      <c r="R49" s="3"/>
      <c r="S49" s="3"/>
      <c r="T49" s="3"/>
      <c r="U49" s="3"/>
      <c r="V49" s="3"/>
      <c r="W49" s="3"/>
    </row>
    <row r="50" spans="1:23" ht="15" customHeight="1">
      <c r="A50" s="3"/>
      <c r="B50" s="211" t="s">
        <v>305</v>
      </c>
      <c r="C50" s="200">
        <f>+Print_Mois!$J$314</f>
        <v>499700.52999999997</v>
      </c>
      <c r="D50" s="200">
        <f>+Print_Mois!$D$314</f>
        <v>401876.24637475517</v>
      </c>
      <c r="E50" s="200">
        <f>+Print_Mois!$O$314</f>
        <v>426310.93999999989</v>
      </c>
      <c r="F50" s="201">
        <f t="shared" ref="F50:F59" si="27">+IFERROR($C50-D50,"")</f>
        <v>97824.283625244803</v>
      </c>
      <c r="G50" s="202">
        <f t="shared" ref="G50:G59" si="28">+IFERROR($C50-E50,"")</f>
        <v>73389.590000000084</v>
      </c>
      <c r="H50" s="163">
        <f t="shared" ref="H50:H59" si="29">+IFERROR(F50/ABS($D50),"")</f>
        <v>0.24341892437708873</v>
      </c>
      <c r="I50" s="164">
        <f t="shared" ref="I50:I59" si="30">+IFERROR(G50/ABS($E50),"")</f>
        <v>0.17215037925135138</v>
      </c>
      <c r="J50" s="1231" t="s">
        <v>3924</v>
      </c>
      <c r="K50" s="3"/>
      <c r="L50" s="3"/>
      <c r="M50" s="3"/>
      <c r="N50" s="3"/>
      <c r="O50" s="3"/>
      <c r="P50" s="3"/>
      <c r="Q50" s="3"/>
      <c r="R50" s="3"/>
      <c r="S50" s="3"/>
      <c r="T50" s="3"/>
      <c r="U50" s="3"/>
      <c r="V50" s="3"/>
      <c r="W50" s="3"/>
    </row>
    <row r="51" spans="1:23" ht="15.75" customHeight="1">
      <c r="A51" s="3"/>
      <c r="B51" s="181" t="s">
        <v>315</v>
      </c>
      <c r="C51" s="166">
        <f>+Print_Mois!$J$295</f>
        <v>60578.83</v>
      </c>
      <c r="D51" s="166">
        <f>+Print_Mois!$D$295</f>
        <v>56769.396487999998</v>
      </c>
      <c r="E51" s="166">
        <f>+Print_Mois!$O$295</f>
        <v>51629.45</v>
      </c>
      <c r="F51" s="167">
        <f t="shared" si="27"/>
        <v>3809.4335120000032</v>
      </c>
      <c r="G51" s="168">
        <f t="shared" si="28"/>
        <v>8949.3800000000047</v>
      </c>
      <c r="H51" s="170">
        <f t="shared" si="29"/>
        <v>6.7103646465666536E-2</v>
      </c>
      <c r="I51" s="171">
        <f t="shared" si="30"/>
        <v>0.1733386662069808</v>
      </c>
      <c r="J51" s="1232"/>
      <c r="K51" s="3"/>
      <c r="L51" s="3"/>
      <c r="M51" s="3"/>
      <c r="N51" s="3"/>
      <c r="O51" s="3"/>
      <c r="P51" s="3"/>
      <c r="Q51" s="3"/>
      <c r="R51" s="3"/>
      <c r="S51" s="3"/>
      <c r="T51" s="3"/>
      <c r="U51" s="3"/>
      <c r="V51" s="3"/>
      <c r="W51" s="3"/>
    </row>
    <row r="52" spans="1:23" ht="15.75" customHeight="1">
      <c r="A52" s="3"/>
      <c r="B52" s="181" t="s">
        <v>316</v>
      </c>
      <c r="C52" s="166">
        <f>+Print_Mois!$J$297</f>
        <v>81364.36</v>
      </c>
      <c r="D52" s="166">
        <f>+Print_Mois!$D$297</f>
        <v>32377.485000000001</v>
      </c>
      <c r="E52" s="166">
        <f>+Print_Mois!$O$297</f>
        <v>28873.4</v>
      </c>
      <c r="F52" s="167">
        <f t="shared" si="27"/>
        <v>48986.875</v>
      </c>
      <c r="G52" s="168">
        <f t="shared" si="28"/>
        <v>52490.96</v>
      </c>
      <c r="H52" s="170">
        <f t="shared" si="29"/>
        <v>1.5129919757510504</v>
      </c>
      <c r="I52" s="171">
        <f t="shared" si="30"/>
        <v>1.8179694805599615</v>
      </c>
      <c r="J52" s="1232"/>
      <c r="K52" s="3"/>
      <c r="L52" s="3"/>
      <c r="M52" s="3"/>
      <c r="N52" s="3"/>
      <c r="O52" s="3"/>
      <c r="P52" s="3"/>
      <c r="Q52" s="3"/>
      <c r="R52" s="3"/>
      <c r="S52" s="3"/>
      <c r="T52" s="3"/>
      <c r="U52" s="3"/>
      <c r="V52" s="3"/>
      <c r="W52" s="3"/>
    </row>
    <row r="53" spans="1:23" ht="15.75" customHeight="1">
      <c r="A53" s="3"/>
      <c r="B53" s="181" t="s">
        <v>317</v>
      </c>
      <c r="C53" s="166">
        <f>+Print_Mois!$J$300</f>
        <v>198781.86</v>
      </c>
      <c r="D53" s="166">
        <f>+Print_Mois!$D$300</f>
        <v>149847.52499999999</v>
      </c>
      <c r="E53" s="166">
        <f>+Print_Mois!$O$300</f>
        <v>139767.99</v>
      </c>
      <c r="F53" s="167">
        <f t="shared" si="27"/>
        <v>48934.334999999992</v>
      </c>
      <c r="G53" s="168">
        <f t="shared" si="28"/>
        <v>59013.869999999995</v>
      </c>
      <c r="H53" s="170">
        <f t="shared" si="29"/>
        <v>0.32656084910311328</v>
      </c>
      <c r="I53" s="171">
        <f t="shared" si="30"/>
        <v>0.42222736407671024</v>
      </c>
      <c r="J53" s="1232"/>
      <c r="K53" s="3"/>
      <c r="L53" s="3"/>
      <c r="M53" s="3"/>
      <c r="N53" s="3"/>
      <c r="O53" s="3"/>
      <c r="P53" s="3"/>
      <c r="Q53" s="3"/>
      <c r="R53" s="3"/>
      <c r="S53" s="3"/>
      <c r="T53" s="3"/>
      <c r="U53" s="3"/>
      <c r="V53" s="3"/>
      <c r="W53" s="3"/>
    </row>
    <row r="54" spans="1:23" ht="15.75" customHeight="1">
      <c r="A54" s="3"/>
      <c r="B54" s="181" t="s">
        <v>318</v>
      </c>
      <c r="C54" s="166">
        <f>+Print_Mois!$J$307</f>
        <v>49338.75</v>
      </c>
      <c r="D54" s="166">
        <f>+Print_Mois!$D$307</f>
        <v>51783.39</v>
      </c>
      <c r="E54" s="166">
        <f>+Print_Mois!$O$307</f>
        <v>51997.67</v>
      </c>
      <c r="F54" s="167">
        <f t="shared" si="27"/>
        <v>-2444.6399999999994</v>
      </c>
      <c r="G54" s="168">
        <f t="shared" si="28"/>
        <v>-2658.9199999999983</v>
      </c>
      <c r="H54" s="170">
        <f t="shared" si="29"/>
        <v>-4.7208960247677866E-2</v>
      </c>
      <c r="I54" s="171">
        <f t="shared" si="30"/>
        <v>-5.1135368180920383E-2</v>
      </c>
      <c r="J54" s="1232"/>
      <c r="K54" s="3"/>
      <c r="L54" s="3"/>
      <c r="M54" s="3"/>
      <c r="N54" s="3"/>
      <c r="O54" s="3"/>
      <c r="P54" s="3"/>
      <c r="Q54" s="3"/>
      <c r="R54" s="3"/>
      <c r="S54" s="3"/>
      <c r="T54" s="3"/>
      <c r="U54" s="3"/>
      <c r="V54" s="3"/>
      <c r="W54" s="3"/>
    </row>
    <row r="55" spans="1:23" ht="15.75" customHeight="1">
      <c r="A55" s="3"/>
      <c r="B55" s="181" t="s">
        <v>319</v>
      </c>
      <c r="C55" s="166">
        <f t="shared" ref="C55:E55" si="31">+C50-SUM(C51:C54)</f>
        <v>109636.72999999998</v>
      </c>
      <c r="D55" s="166">
        <f t="shared" si="31"/>
        <v>111098.44988675514</v>
      </c>
      <c r="E55" s="166">
        <f t="shared" si="31"/>
        <v>154042.42999999988</v>
      </c>
      <c r="F55" s="167">
        <f t="shared" si="27"/>
        <v>-1461.7198867551633</v>
      </c>
      <c r="G55" s="168">
        <f t="shared" si="28"/>
        <v>-44405.699999999895</v>
      </c>
      <c r="H55" s="170">
        <f t="shared" si="29"/>
        <v>-1.3156978231875633E-2</v>
      </c>
      <c r="I55" s="171">
        <f t="shared" si="30"/>
        <v>-0.28826927749711512</v>
      </c>
      <c r="J55" s="1232"/>
      <c r="K55" s="3"/>
      <c r="L55" s="3"/>
      <c r="M55" s="3"/>
      <c r="N55" s="3"/>
      <c r="O55" s="3"/>
      <c r="P55" s="3"/>
      <c r="Q55" s="3"/>
      <c r="R55" s="3"/>
      <c r="S55" s="3"/>
      <c r="T55" s="3"/>
      <c r="U55" s="3"/>
      <c r="V55" s="3"/>
      <c r="W55" s="3"/>
    </row>
    <row r="56" spans="1:23" ht="15.75" customHeight="1">
      <c r="A56" s="3"/>
      <c r="B56" s="159" t="s">
        <v>306</v>
      </c>
      <c r="C56" s="200">
        <f>+Print_Mois!$L$314</f>
        <v>104068.62999999999</v>
      </c>
      <c r="D56" s="200">
        <f>+Print_Mois!$F$314</f>
        <v>95969.804283090416</v>
      </c>
      <c r="E56" s="200">
        <f>+Print_Mois!$Q$314</f>
        <v>96967.229999999778</v>
      </c>
      <c r="F56" s="201">
        <f t="shared" si="27"/>
        <v>8098.8257169095741</v>
      </c>
      <c r="G56" s="202">
        <f t="shared" si="28"/>
        <v>7101.4000000002125</v>
      </c>
      <c r="H56" s="203">
        <f t="shared" si="29"/>
        <v>8.4389311590339064E-2</v>
      </c>
      <c r="I56" s="204">
        <f t="shared" si="30"/>
        <v>7.3235050645462679E-2</v>
      </c>
      <c r="J56" s="1232"/>
      <c r="K56" s="3"/>
      <c r="L56" s="3"/>
      <c r="M56" s="3"/>
      <c r="N56" s="3"/>
      <c r="O56" s="3"/>
      <c r="P56" s="3"/>
      <c r="Q56" s="3"/>
      <c r="R56" s="3"/>
      <c r="S56" s="3"/>
      <c r="T56" s="3"/>
      <c r="U56" s="3"/>
      <c r="V56" s="3"/>
      <c r="W56" s="3"/>
    </row>
    <row r="57" spans="1:23" ht="15.75" customHeight="1">
      <c r="A57" s="3"/>
      <c r="B57" s="165" t="s">
        <v>307</v>
      </c>
      <c r="C57" s="166">
        <f>+Print_Mois!$J$295/Print_Mois!$J$172</f>
        <v>244.26947580645162</v>
      </c>
      <c r="D57" s="166">
        <f>+IFERROR(Print_Mois!$D$295/Print_Mois!$D$172,"")</f>
        <v>193.22199999999998</v>
      </c>
      <c r="E57" s="166">
        <f>+Print_Mois!$O$295/Print_Mois!$O$172</f>
        <v>229.46422222222222</v>
      </c>
      <c r="F57" s="167">
        <f t="shared" si="27"/>
        <v>51.047475806451644</v>
      </c>
      <c r="G57" s="168">
        <f t="shared" si="28"/>
        <v>14.805253584229405</v>
      </c>
      <c r="H57" s="170">
        <f t="shared" si="29"/>
        <v>0.26419080542822065</v>
      </c>
      <c r="I57" s="171">
        <f t="shared" si="30"/>
        <v>6.4520967324881745E-2</v>
      </c>
      <c r="J57" s="1232"/>
      <c r="K57" s="3"/>
      <c r="L57" s="3"/>
      <c r="M57" s="3"/>
      <c r="N57" s="3"/>
      <c r="O57" s="3"/>
      <c r="P57" s="3"/>
      <c r="Q57" s="3"/>
      <c r="R57" s="3"/>
      <c r="S57" s="3"/>
      <c r="T57" s="3"/>
      <c r="U57" s="3"/>
      <c r="V57" s="3"/>
      <c r="W57" s="3"/>
    </row>
    <row r="58" spans="1:23" ht="15.75" customHeight="1">
      <c r="A58" s="3"/>
      <c r="B58" s="165" t="s">
        <v>308</v>
      </c>
      <c r="C58" s="166">
        <f>+Print_Mois!$J$297/Print_Mois!$J$175</f>
        <v>315.36573643410856</v>
      </c>
      <c r="D58" s="166">
        <f>+IFERROR(Print_Mois!$D$297/Print_Mois!$D$175,"")</f>
        <v>407.46897810218974</v>
      </c>
      <c r="E58" s="166">
        <f>+Print_Mois!$O$297/Print_Mois!$O$175</f>
        <v>257.79821428571432</v>
      </c>
      <c r="F58" s="167">
        <f t="shared" si="27"/>
        <v>-92.103241668081182</v>
      </c>
      <c r="G58" s="168">
        <f t="shared" si="28"/>
        <v>57.567522148394232</v>
      </c>
      <c r="H58" s="170">
        <f t="shared" si="29"/>
        <v>-0.22603743258457942</v>
      </c>
      <c r="I58" s="171">
        <f t="shared" si="30"/>
        <v>0.22330458070820039</v>
      </c>
      <c r="J58" s="1232"/>
      <c r="K58" s="3"/>
      <c r="L58" s="3"/>
      <c r="M58" s="3"/>
      <c r="N58" s="3"/>
      <c r="O58" s="3"/>
      <c r="P58" s="3"/>
      <c r="Q58" s="3"/>
      <c r="R58" s="3"/>
      <c r="S58" s="3"/>
      <c r="T58" s="3"/>
      <c r="U58" s="3"/>
      <c r="V58" s="3"/>
      <c r="W58" s="3"/>
    </row>
    <row r="59" spans="1:23" ht="15.75" customHeight="1">
      <c r="A59" s="3"/>
      <c r="B59" s="205" t="s">
        <v>122</v>
      </c>
      <c r="C59" s="184">
        <f>+Print_Mois!$L$320</f>
        <v>113.92</v>
      </c>
      <c r="D59" s="184">
        <f>+Print_Mois!$F$320</f>
        <v>140.24615384615385</v>
      </c>
      <c r="E59" s="184">
        <f>+Print_Mois!$Q$320</f>
        <v>2429.1799999999998</v>
      </c>
      <c r="F59" s="185">
        <f t="shared" si="27"/>
        <v>-26.326153846153844</v>
      </c>
      <c r="G59" s="186">
        <f t="shared" si="28"/>
        <v>-2315.2599999999998</v>
      </c>
      <c r="H59" s="187">
        <f t="shared" si="29"/>
        <v>-0.18771390960947781</v>
      </c>
      <c r="I59" s="188">
        <f t="shared" si="30"/>
        <v>-0.95310351641294588</v>
      </c>
      <c r="J59" s="1233"/>
      <c r="K59" s="3"/>
      <c r="L59" s="3"/>
      <c r="M59" s="3"/>
      <c r="N59" s="3"/>
      <c r="O59" s="3"/>
      <c r="P59" s="3"/>
      <c r="Q59" s="3"/>
      <c r="R59" s="3"/>
      <c r="S59" s="3"/>
      <c r="T59" s="3"/>
      <c r="U59" s="3"/>
      <c r="V59" s="3"/>
      <c r="W59" s="3"/>
    </row>
    <row r="60" spans="1:23" ht="15.75" customHeight="1">
      <c r="A60" s="3"/>
      <c r="B60" s="3"/>
      <c r="C60" s="3"/>
      <c r="D60" s="3"/>
      <c r="E60" s="3"/>
      <c r="F60" s="3"/>
      <c r="G60" s="3"/>
      <c r="H60" s="3"/>
      <c r="I60" s="3"/>
      <c r="J60" s="3"/>
      <c r="K60" s="3"/>
      <c r="L60" s="3"/>
      <c r="M60" s="3"/>
      <c r="N60" s="3"/>
      <c r="O60" s="3"/>
      <c r="P60" s="3"/>
      <c r="Q60" s="3"/>
      <c r="R60" s="3"/>
      <c r="S60" s="3"/>
      <c r="T60" s="3"/>
      <c r="U60" s="3"/>
      <c r="V60" s="3"/>
      <c r="W60" s="3"/>
    </row>
    <row r="61" spans="1:23" ht="15.75" customHeight="1">
      <c r="A61" s="3"/>
      <c r="B61" s="212" t="s">
        <v>320</v>
      </c>
      <c r="C61" s="213" t="s">
        <v>285</v>
      </c>
      <c r="D61" s="213" t="s">
        <v>286</v>
      </c>
      <c r="E61" s="213">
        <f>$E$3</f>
        <v>2023</v>
      </c>
      <c r="F61" s="214" t="s">
        <v>287</v>
      </c>
      <c r="G61" s="215" t="str">
        <f>$G$3</f>
        <v>▲2023</v>
      </c>
      <c r="H61" s="214" t="s">
        <v>288</v>
      </c>
      <c r="I61" s="215" t="str">
        <f>$I$3</f>
        <v>% ▲ 2023</v>
      </c>
      <c r="J61" s="216" t="s">
        <v>289</v>
      </c>
      <c r="K61" s="3"/>
      <c r="L61" s="3"/>
      <c r="M61" s="3"/>
      <c r="N61" s="3"/>
      <c r="O61" s="3"/>
      <c r="P61" s="3"/>
      <c r="Q61" s="3"/>
      <c r="R61" s="3"/>
      <c r="S61" s="3"/>
      <c r="T61" s="3"/>
      <c r="U61" s="3"/>
      <c r="V61" s="3"/>
      <c r="W61" s="3"/>
    </row>
    <row r="62" spans="1:23" ht="15" customHeight="1">
      <c r="A62" s="3"/>
      <c r="B62" s="181" t="s">
        <v>321</v>
      </c>
      <c r="C62" s="169">
        <f>+Print_Mois!$AF$433/Print_Mois!$AF$407</f>
        <v>0.56333963275466448</v>
      </c>
      <c r="D62" s="169">
        <f>+Print_Mois!$Z$433/Print_Mois!$Z$407</f>
        <v>0.53024368491963525</v>
      </c>
      <c r="E62" s="169">
        <f>+Print_Mois!$AL$433/Print_Mois!$AL$407</f>
        <v>0.55202358512915062</v>
      </c>
      <c r="F62" s="172">
        <f t="shared" ref="F62:G67" si="32">+IFERROR($C62-D62,"")</f>
        <v>3.3095947835029227E-2</v>
      </c>
      <c r="G62" s="173">
        <f t="shared" si="32"/>
        <v>1.1316047625513859E-2</v>
      </c>
      <c r="H62" s="170">
        <f t="shared" ref="H62:H67" si="33">+IFERROR(F62/ABS($D62),"")</f>
        <v>6.2416486563239906E-2</v>
      </c>
      <c r="I62" s="171">
        <f t="shared" ref="I62:I67" si="34">+IFERROR(G62/ABS($E62),"")</f>
        <v>2.0499210414834674E-2</v>
      </c>
      <c r="J62" s="1231"/>
      <c r="K62" s="3"/>
      <c r="L62" s="3"/>
      <c r="M62" s="3"/>
      <c r="N62" s="3"/>
      <c r="O62" s="3"/>
      <c r="P62" s="3"/>
      <c r="Q62" s="3"/>
      <c r="R62" s="3"/>
      <c r="S62" s="3"/>
      <c r="T62" s="3"/>
      <c r="U62" s="3"/>
      <c r="V62" s="3"/>
      <c r="W62" s="3"/>
    </row>
    <row r="63" spans="1:23" ht="15.75" hidden="1" customHeight="1">
      <c r="A63" s="3"/>
      <c r="B63" s="181" t="s">
        <v>322</v>
      </c>
      <c r="C63" s="217">
        <v>57</v>
      </c>
      <c r="D63" s="217">
        <v>59</v>
      </c>
      <c r="E63" s="217">
        <v>56</v>
      </c>
      <c r="F63" s="218">
        <f t="shared" si="32"/>
        <v>-2</v>
      </c>
      <c r="G63" s="219">
        <f t="shared" si="32"/>
        <v>1</v>
      </c>
      <c r="H63" s="170">
        <f t="shared" si="33"/>
        <v>-3.3898305084745763E-2</v>
      </c>
      <c r="I63" s="171">
        <f t="shared" si="34"/>
        <v>1.7857142857142856E-2</v>
      </c>
      <c r="J63" s="1232"/>
      <c r="K63" s="3"/>
      <c r="L63" s="3"/>
      <c r="M63" s="3"/>
      <c r="N63" s="3"/>
      <c r="O63" s="3"/>
      <c r="P63" s="3"/>
      <c r="Q63" s="3"/>
      <c r="R63" s="3"/>
      <c r="S63" s="3"/>
      <c r="T63" s="3"/>
      <c r="U63" s="3"/>
      <c r="V63" s="3"/>
      <c r="W63" s="3"/>
    </row>
    <row r="64" spans="1:23" ht="15.75" customHeight="1">
      <c r="A64" s="3"/>
      <c r="B64" s="181" t="s">
        <v>323</v>
      </c>
      <c r="C64" s="166">
        <f>N17+Print_Mois!$AF$414+Print_Mois!$AF$434</f>
        <v>25120.85</v>
      </c>
      <c r="D64" s="166">
        <f>+Print_Mois!$Z$414+Print_Mois!$Z$434</f>
        <v>31300.580701543739</v>
      </c>
      <c r="E64" s="166">
        <f>+Print_Mois!$AL$414+Print_Mois!$AL$434</f>
        <v>28702.3</v>
      </c>
      <c r="F64" s="167">
        <f t="shared" si="32"/>
        <v>-6179.73070154374</v>
      </c>
      <c r="G64" s="168">
        <f t="shared" si="32"/>
        <v>-3581.4500000000007</v>
      </c>
      <c r="H64" s="170">
        <f t="shared" si="33"/>
        <v>-0.19743182276611745</v>
      </c>
      <c r="I64" s="171">
        <f t="shared" si="34"/>
        <v>-0.12477919887953233</v>
      </c>
      <c r="J64" s="1232"/>
      <c r="K64" s="3"/>
      <c r="L64" s="3"/>
      <c r="M64" s="3"/>
      <c r="N64" s="3"/>
      <c r="O64" s="3"/>
      <c r="P64" s="3"/>
      <c r="Q64" s="3"/>
      <c r="R64" s="3"/>
      <c r="S64" s="3"/>
      <c r="T64" s="3"/>
      <c r="U64" s="3"/>
      <c r="V64" s="3"/>
      <c r="W64" s="3"/>
    </row>
    <row r="65" spans="1:23" ht="15.75" customHeight="1">
      <c r="A65" s="3"/>
      <c r="B65" s="181" t="s">
        <v>324</v>
      </c>
      <c r="C65" s="166">
        <f>+Print_Mois!$AF$452-Print_Mois!$AF$434</f>
        <v>124235.00999999997</v>
      </c>
      <c r="D65" s="166">
        <f>+Print_Mois!$Z$452-Print_Mois!$Z$434</f>
        <v>109347.28619121324</v>
      </c>
      <c r="E65" s="166">
        <f>+Print_Mois!$AL$452-Print_Mois!$AL$434</f>
        <v>101068.21999999997</v>
      </c>
      <c r="F65" s="167">
        <f t="shared" si="32"/>
        <v>14887.72380878673</v>
      </c>
      <c r="G65" s="168">
        <f t="shared" si="32"/>
        <v>23166.789999999994</v>
      </c>
      <c r="H65" s="170">
        <f t="shared" si="33"/>
        <v>0.13615083032561859</v>
      </c>
      <c r="I65" s="171">
        <f t="shared" si="34"/>
        <v>0.2292193332384799</v>
      </c>
      <c r="J65" s="1232"/>
      <c r="K65" s="3"/>
      <c r="L65" s="3"/>
      <c r="M65" s="3"/>
      <c r="N65" s="3"/>
      <c r="O65" s="3"/>
      <c r="P65" s="3"/>
      <c r="Q65" s="3"/>
      <c r="R65" s="3"/>
      <c r="S65" s="3"/>
      <c r="T65" s="3"/>
      <c r="U65" s="3"/>
      <c r="V65" s="3"/>
      <c r="W65" s="3"/>
    </row>
    <row r="66" spans="1:23" ht="15.75" customHeight="1">
      <c r="A66" s="3"/>
      <c r="B66" s="181" t="s">
        <v>325</v>
      </c>
      <c r="C66" s="166">
        <f>+Print_Mois!$AF$415</f>
        <v>-9194.7100000000009</v>
      </c>
      <c r="D66" s="166">
        <f>+Print_Mois!$Z$415</f>
        <v>41070.359214466866</v>
      </c>
      <c r="E66" s="166">
        <f>+Print_Mois!$AL$415</f>
        <v>38833.89</v>
      </c>
      <c r="F66" s="167">
        <f t="shared" si="32"/>
        <v>-50265.069214466865</v>
      </c>
      <c r="G66" s="168">
        <f t="shared" si="32"/>
        <v>-48028.6</v>
      </c>
      <c r="H66" s="170">
        <f t="shared" si="33"/>
        <v>-1.2238770289781444</v>
      </c>
      <c r="I66" s="171">
        <f t="shared" si="34"/>
        <v>-1.2367702540229681</v>
      </c>
      <c r="J66" s="1232"/>
      <c r="K66" s="3"/>
      <c r="L66" s="3"/>
      <c r="M66" s="3"/>
      <c r="N66" s="3"/>
      <c r="O66" s="3"/>
      <c r="P66" s="3"/>
      <c r="Q66" s="3"/>
      <c r="R66" s="3"/>
      <c r="S66" s="3"/>
      <c r="T66" s="3"/>
      <c r="U66" s="3"/>
      <c r="V66" s="3"/>
      <c r="W66" s="3"/>
    </row>
    <row r="67" spans="1:23" ht="14.5">
      <c r="A67" s="3"/>
      <c r="B67" s="183" t="s">
        <v>326</v>
      </c>
      <c r="C67" s="184">
        <f>+Print_Mois!$AF$481-C32-C15</f>
        <v>26653.53</v>
      </c>
      <c r="D67" s="184">
        <f>+Print_Mois!$Z$481-D32-D15</f>
        <v>0</v>
      </c>
      <c r="E67" s="184">
        <f>+Print_Mois!$AL$481-E32-E15</f>
        <v>84421.48000000001</v>
      </c>
      <c r="F67" s="185">
        <f t="shared" si="32"/>
        <v>26653.53</v>
      </c>
      <c r="G67" s="186">
        <f t="shared" si="32"/>
        <v>-57767.950000000012</v>
      </c>
      <c r="H67" s="187" t="str">
        <f t="shared" si="33"/>
        <v/>
      </c>
      <c r="I67" s="188">
        <f t="shared" si="34"/>
        <v>-0.68428023294545426</v>
      </c>
      <c r="J67" s="1233"/>
      <c r="K67" s="3"/>
      <c r="L67" s="3"/>
      <c r="M67" s="3"/>
      <c r="N67" s="3"/>
      <c r="O67" s="3"/>
      <c r="P67" s="3"/>
      <c r="Q67" s="3"/>
      <c r="R67" s="3"/>
      <c r="S67" s="3"/>
      <c r="T67" s="3"/>
      <c r="U67" s="3"/>
      <c r="V67" s="3"/>
      <c r="W67" s="3"/>
    </row>
    <row r="68" spans="1:23" ht="15.75" customHeight="1">
      <c r="A68" s="3"/>
      <c r="B68" s="3"/>
      <c r="C68" s="3"/>
      <c r="D68" s="3"/>
      <c r="E68" s="3"/>
      <c r="F68" s="3"/>
      <c r="G68" s="3"/>
      <c r="H68" s="3"/>
      <c r="I68" s="3"/>
      <c r="J68" s="3"/>
      <c r="K68" s="3"/>
      <c r="L68" s="3"/>
      <c r="M68" s="3"/>
      <c r="N68" s="3"/>
      <c r="O68" s="3"/>
      <c r="P68" s="3"/>
      <c r="Q68" s="3"/>
      <c r="R68" s="3"/>
      <c r="S68" s="3"/>
      <c r="T68" s="3"/>
      <c r="U68" s="3"/>
      <c r="V68" s="3"/>
      <c r="W68" s="3"/>
    </row>
    <row r="69" spans="1:23" ht="15.75" customHeight="1">
      <c r="A69" s="3"/>
      <c r="B69" s="220" t="s">
        <v>327</v>
      </c>
      <c r="C69" s="221" t="s">
        <v>285</v>
      </c>
      <c r="D69" s="221" t="s">
        <v>286</v>
      </c>
      <c r="E69" s="221">
        <f>$E$3</f>
        <v>2023</v>
      </c>
      <c r="F69" s="222" t="s">
        <v>287</v>
      </c>
      <c r="G69" s="223" t="str">
        <f>$G$3</f>
        <v>▲2023</v>
      </c>
      <c r="H69" s="222" t="s">
        <v>288</v>
      </c>
      <c r="I69" s="223" t="str">
        <f>$I$3</f>
        <v>% ▲ 2023</v>
      </c>
      <c r="J69" s="224" t="s">
        <v>289</v>
      </c>
      <c r="K69" s="3"/>
      <c r="L69" s="3"/>
      <c r="M69" s="3"/>
      <c r="N69" s="3"/>
      <c r="O69" s="3"/>
      <c r="P69" s="3"/>
      <c r="Q69" s="3"/>
      <c r="R69" s="3"/>
      <c r="S69" s="3"/>
      <c r="T69" s="3"/>
      <c r="U69" s="3"/>
      <c r="V69" s="3"/>
      <c r="W69" s="3"/>
    </row>
    <row r="70" spans="1:23" ht="15" customHeight="1">
      <c r="A70" s="3"/>
      <c r="B70" s="181" t="s">
        <v>328</v>
      </c>
      <c r="C70" s="166">
        <f>+Print_Mois!$AF$419-Print_Mois!$AF$415+Print_Mois!$AF$434+Print_Mois!$AF$435+Print_Mois!$AF$436</f>
        <v>126422.37000000001</v>
      </c>
      <c r="D70" s="166">
        <f>+Print_Mois!$Z$419-Print_Mois!$Z$415+Print_Mois!$Z$434+Print_Mois!$Z$435+Print_Mois!$Z$436</f>
        <v>161669.29596540512</v>
      </c>
      <c r="E70" s="166">
        <f>+Print_Mois!$AL$419-Print_Mois!$AL$415+Print_Mois!$AL$434+Print_Mois!$AL$435+Print_Mois!$AL$436</f>
        <v>156003.10999999999</v>
      </c>
      <c r="F70" s="225">
        <f t="shared" ref="F70:G77" si="35">+IFERROR($C70-D70,"")</f>
        <v>-35246.925965405113</v>
      </c>
      <c r="G70" s="226">
        <f t="shared" si="35"/>
        <v>-29580.739999999976</v>
      </c>
      <c r="H70" s="170">
        <f t="shared" ref="H70:H77" si="36">+IFERROR(F70/ABS($D70),"")</f>
        <v>-0.21801867667530045</v>
      </c>
      <c r="I70" s="171">
        <f t="shared" ref="I70:I77" si="37">+IFERROR(G70/ABS($E70),"")</f>
        <v>-0.18961634803306152</v>
      </c>
      <c r="J70" s="1231" t="s">
        <v>3925</v>
      </c>
      <c r="K70" s="3"/>
      <c r="L70" s="3"/>
      <c r="M70" s="3"/>
      <c r="N70" s="3"/>
      <c r="O70" s="3"/>
      <c r="P70" s="3"/>
      <c r="Q70" s="3"/>
      <c r="R70" s="3"/>
      <c r="S70" s="3"/>
      <c r="T70" s="3"/>
      <c r="U70" s="3"/>
      <c r="V70" s="3"/>
      <c r="W70" s="3"/>
    </row>
    <row r="71" spans="1:23" ht="15.75" customHeight="1">
      <c r="A71" s="3"/>
      <c r="B71" s="181" t="s">
        <v>329</v>
      </c>
      <c r="C71" s="169">
        <f>+C70/Print_Mois!$AF$407</f>
        <v>0.27853517567612585</v>
      </c>
      <c r="D71" s="169">
        <f>+D70/Print_Mois!$Z$407</f>
        <v>0.30242059729915644</v>
      </c>
      <c r="E71" s="169">
        <f>+E70/Print_Mois!$AL$407</f>
        <v>0.30656987164863192</v>
      </c>
      <c r="F71" s="172">
        <f t="shared" si="35"/>
        <v>-2.3885421623030589E-2</v>
      </c>
      <c r="G71" s="173">
        <f t="shared" si="35"/>
        <v>-2.8034695972506074E-2</v>
      </c>
      <c r="H71" s="170">
        <f t="shared" si="36"/>
        <v>-7.8980803015222451E-2</v>
      </c>
      <c r="I71" s="171">
        <f t="shared" si="37"/>
        <v>-9.1446350620642214E-2</v>
      </c>
      <c r="J71" s="1232"/>
      <c r="K71" s="3"/>
      <c r="L71" s="3"/>
      <c r="M71" s="3"/>
      <c r="N71" s="3"/>
      <c r="O71" s="3"/>
      <c r="P71" s="3"/>
      <c r="Q71" s="3"/>
      <c r="R71" s="3"/>
      <c r="S71" s="3"/>
      <c r="T71" s="3"/>
      <c r="U71" s="3"/>
      <c r="V71" s="3"/>
      <c r="W71" s="3"/>
    </row>
    <row r="72" spans="1:23" ht="15.75" customHeight="1">
      <c r="A72" s="3"/>
      <c r="B72" s="181" t="s">
        <v>330</v>
      </c>
      <c r="C72" s="166">
        <f>+Print_Mois!$AF$466+Print_Mois!$AF$433+Print_Mois!$AF$437+Print_Mois!$AF$439+SUM(Print_Mois!$AF$440:$AF$448)+Print_Mois!$AF$438</f>
        <v>411315.85000000009</v>
      </c>
      <c r="D72" s="166">
        <f>+Print_Mois!$Z$466+Print_Mois!$Z$433+Print_Mois!$Z$437+Print_Mois!$Z$439+SUM(Print_Mois!$Z$440:$Z$448)+Print_Mois!$Z$438</f>
        <v>427777.75895235239</v>
      </c>
      <c r="E72" s="166">
        <f>+Print_Mois!$AL$466+Print_Mois!$AL$433+Print_Mois!$AL$437+Print_Mois!$AL$439+SUM(Print_Mois!$AL$440:$AL$448)+Print_Mois!$AL$438</f>
        <v>420454.54000000004</v>
      </c>
      <c r="F72" s="167">
        <f t="shared" si="35"/>
        <v>-16461.9089523523</v>
      </c>
      <c r="G72" s="168">
        <f t="shared" si="35"/>
        <v>-9138.6899999999441</v>
      </c>
      <c r="H72" s="170">
        <f t="shared" si="36"/>
        <v>-3.8482386257453587E-2</v>
      </c>
      <c r="I72" s="171">
        <f t="shared" si="37"/>
        <v>-2.1735262984673546E-2</v>
      </c>
      <c r="J72" s="1232"/>
      <c r="K72" s="3"/>
      <c r="L72" s="3"/>
      <c r="M72" s="3"/>
      <c r="N72" s="3"/>
      <c r="O72" s="3"/>
      <c r="P72" s="3"/>
      <c r="Q72" s="3"/>
      <c r="R72" s="3"/>
      <c r="S72" s="3"/>
      <c r="T72" s="3"/>
      <c r="U72" s="3"/>
      <c r="V72" s="3"/>
      <c r="W72" s="3"/>
    </row>
    <row r="73" spans="1:23" ht="15.75" customHeight="1">
      <c r="A73" s="3"/>
      <c r="B73" s="181" t="s">
        <v>331</v>
      </c>
      <c r="C73" s="169">
        <f>+C72/Print_Mois!$AF$407</f>
        <v>0.90621566846219581</v>
      </c>
      <c r="D73" s="169">
        <f>+D72/Print_Mois!$Z$407</f>
        <v>0.8002064003628</v>
      </c>
      <c r="E73" s="169">
        <f>+E72/Print_Mois!$AL$407</f>
        <v>0.82625720962796578</v>
      </c>
      <c r="F73" s="172">
        <f t="shared" si="35"/>
        <v>0.10600926809939581</v>
      </c>
      <c r="G73" s="173">
        <f t="shared" si="35"/>
        <v>7.9958458834230028E-2</v>
      </c>
      <c r="H73" s="170">
        <f t="shared" si="36"/>
        <v>0.13247740589344575</v>
      </c>
      <c r="I73" s="171">
        <f t="shared" si="37"/>
        <v>9.6771874305620259E-2</v>
      </c>
      <c r="J73" s="1232"/>
      <c r="K73" s="3"/>
      <c r="L73" s="3"/>
      <c r="M73" s="3"/>
      <c r="N73" s="3"/>
      <c r="O73" s="3"/>
      <c r="P73" s="3"/>
      <c r="Q73" s="3"/>
      <c r="R73" s="3"/>
      <c r="S73" s="3"/>
      <c r="T73" s="3"/>
      <c r="U73" s="3"/>
      <c r="V73" s="3"/>
      <c r="W73" s="3"/>
    </row>
    <row r="74" spans="1:23" ht="15.75" customHeight="1">
      <c r="A74" s="1"/>
      <c r="B74" s="211" t="s">
        <v>332</v>
      </c>
      <c r="C74" s="200">
        <f>+Print_Mois!$AF$483+Print_Mois!$AF$415</f>
        <v>14577.27000000001</v>
      </c>
      <c r="D74" s="200">
        <f>+Print_Mois!$Z$483+Print_Mois!$Z$415</f>
        <v>57582.158295101894</v>
      </c>
      <c r="E74" s="200">
        <f>+Print_Mois!$AL$483+Print_Mois!$AL$415</f>
        <v>146949.08999999956</v>
      </c>
      <c r="F74" s="201">
        <f t="shared" si="35"/>
        <v>-43004.888295101882</v>
      </c>
      <c r="G74" s="202">
        <f t="shared" si="35"/>
        <v>-132371.81999999954</v>
      </c>
      <c r="H74" s="203">
        <f t="shared" si="36"/>
        <v>-0.74684398029519505</v>
      </c>
      <c r="I74" s="204">
        <f t="shared" si="37"/>
        <v>-0.90080054255524777</v>
      </c>
      <c r="J74" s="1232"/>
      <c r="K74" s="1"/>
      <c r="L74" s="1"/>
      <c r="M74" s="1"/>
      <c r="N74" s="1"/>
      <c r="O74" s="1"/>
      <c r="P74" s="1"/>
      <c r="Q74" s="1"/>
      <c r="R74" s="1"/>
      <c r="S74" s="1"/>
      <c r="T74" s="1"/>
      <c r="U74" s="1"/>
      <c r="V74" s="1"/>
      <c r="W74" s="1"/>
    </row>
    <row r="75" spans="1:23" ht="15.75" customHeight="1">
      <c r="A75" s="3"/>
      <c r="B75" s="165" t="s">
        <v>333</v>
      </c>
      <c r="C75" s="227">
        <f>+C74/Print_Mois!$AF$406</f>
        <v>4.2025007400078437E-3</v>
      </c>
      <c r="D75" s="227">
        <f>+D74/Print_Mois!$Z$406</f>
        <v>1.1921855369468262E-2</v>
      </c>
      <c r="E75" s="227">
        <f>+E74/Print_Mois!$AL$406</f>
        <v>2.5037991532468492E-2</v>
      </c>
      <c r="F75" s="172">
        <f t="shared" si="35"/>
        <v>-7.7193546294604181E-3</v>
      </c>
      <c r="G75" s="173">
        <f t="shared" si="35"/>
        <v>-2.0835490792460647E-2</v>
      </c>
      <c r="H75" s="170">
        <f t="shared" si="36"/>
        <v>-0.64749608095645905</v>
      </c>
      <c r="I75" s="171">
        <f t="shared" si="37"/>
        <v>-0.832155037892789</v>
      </c>
      <c r="J75" s="1232"/>
      <c r="K75" s="3"/>
      <c r="L75" s="3"/>
      <c r="M75" s="3"/>
      <c r="N75" s="3"/>
      <c r="O75" s="3"/>
      <c r="P75" s="3"/>
      <c r="Q75" s="3"/>
      <c r="R75" s="3"/>
      <c r="S75" s="3"/>
      <c r="T75" s="3"/>
      <c r="U75" s="3"/>
      <c r="V75" s="3"/>
      <c r="W75" s="3"/>
    </row>
    <row r="76" spans="1:23" ht="15.75" customHeight="1">
      <c r="A76" s="1"/>
      <c r="B76" s="211" t="s">
        <v>334</v>
      </c>
      <c r="C76" s="200">
        <f>N9+Print_Mois!$AF$498</f>
        <v>-17797.01999999999</v>
      </c>
      <c r="D76" s="200">
        <f>+Print_Mois!$Z$498</f>
        <v>-25057.034252698304</v>
      </c>
      <c r="E76" s="200">
        <f>+Print_Mois!$AL$498</f>
        <v>25226.749999999538</v>
      </c>
      <c r="F76" s="201">
        <f t="shared" si="35"/>
        <v>7260.0142526983145</v>
      </c>
      <c r="G76" s="202">
        <f t="shared" si="35"/>
        <v>-43023.769999999524</v>
      </c>
      <c r="H76" s="203">
        <f t="shared" si="36"/>
        <v>0.2897395669208741</v>
      </c>
      <c r="I76" s="204">
        <f t="shared" si="37"/>
        <v>-1.7054820775565744</v>
      </c>
      <c r="J76" s="1232"/>
      <c r="K76" s="1"/>
      <c r="L76" s="1"/>
      <c r="M76" s="1"/>
      <c r="N76" s="1"/>
      <c r="O76" s="1"/>
      <c r="P76" s="1"/>
      <c r="Q76" s="1"/>
      <c r="R76" s="1"/>
      <c r="S76" s="1"/>
      <c r="T76" s="1"/>
      <c r="U76" s="1"/>
      <c r="V76" s="1"/>
      <c r="W76" s="1"/>
    </row>
    <row r="77" spans="1:23" ht="15.75" customHeight="1">
      <c r="A77" s="3"/>
      <c r="B77" s="183" t="s">
        <v>335</v>
      </c>
      <c r="C77" s="228">
        <f>+C76/Print_Mois!$AF$406</f>
        <v>-5.1307267904027497E-3</v>
      </c>
      <c r="D77" s="228">
        <f>+D76/Print_Mois!$Z$406</f>
        <v>-5.1878280910823719E-3</v>
      </c>
      <c r="E77" s="228">
        <f>+E76/Print_Mois!$AL$406</f>
        <v>4.2982719586197498E-3</v>
      </c>
      <c r="F77" s="229">
        <f t="shared" si="35"/>
        <v>5.7101300679622199E-5</v>
      </c>
      <c r="G77" s="230">
        <f t="shared" si="35"/>
        <v>-9.4289987490224995E-3</v>
      </c>
      <c r="H77" s="187">
        <f t="shared" si="36"/>
        <v>1.1006783508839971E-2</v>
      </c>
      <c r="I77" s="188">
        <f t="shared" si="37"/>
        <v>-2.1936719779011646</v>
      </c>
      <c r="J77" s="1233"/>
      <c r="K77" s="3"/>
      <c r="L77" s="3"/>
      <c r="M77" s="3"/>
      <c r="N77" s="3"/>
      <c r="O77" s="3"/>
      <c r="P77" s="3"/>
      <c r="Q77" s="3"/>
      <c r="R77" s="3"/>
      <c r="S77" s="3"/>
      <c r="T77" s="3"/>
      <c r="U77" s="3"/>
      <c r="V77" s="3"/>
      <c r="W77" s="3"/>
    </row>
    <row r="78" spans="1:23" ht="15.75" customHeight="1" thickBot="1">
      <c r="A78" s="3"/>
      <c r="B78" s="3"/>
      <c r="C78" s="3"/>
      <c r="D78" s="3"/>
      <c r="E78" s="3"/>
      <c r="F78" s="3"/>
      <c r="G78" s="3"/>
      <c r="H78" s="3"/>
      <c r="I78" s="3"/>
      <c r="J78" s="3"/>
      <c r="K78" s="3"/>
      <c r="L78" s="3"/>
      <c r="M78" s="3"/>
      <c r="N78" s="3"/>
      <c r="O78" s="3"/>
      <c r="P78" s="3"/>
      <c r="Q78" s="3"/>
      <c r="R78" s="3"/>
      <c r="S78" s="3"/>
      <c r="T78" s="3"/>
      <c r="U78" s="3"/>
      <c r="V78" s="3"/>
      <c r="W78" s="3"/>
    </row>
    <row r="79" spans="1:23" ht="15.75" customHeight="1">
      <c r="A79" s="3"/>
      <c r="B79" s="989" t="s">
        <v>3423</v>
      </c>
      <c r="C79" s="990"/>
      <c r="D79" s="991"/>
      <c r="E79" s="3"/>
      <c r="F79" s="3"/>
      <c r="G79" s="3"/>
      <c r="H79" s="3"/>
      <c r="I79" s="3"/>
      <c r="J79" s="3"/>
      <c r="K79" s="3"/>
      <c r="L79" s="3"/>
      <c r="M79" s="3"/>
      <c r="N79" s="3"/>
      <c r="O79" s="3"/>
      <c r="P79" s="3"/>
      <c r="Q79" s="3"/>
      <c r="R79" s="3"/>
      <c r="S79" s="3"/>
      <c r="T79" s="3"/>
      <c r="U79" s="3"/>
      <c r="V79" s="3"/>
      <c r="W79" s="3"/>
    </row>
    <row r="80" spans="1:23" ht="15.75" customHeight="1">
      <c r="A80" s="3"/>
      <c r="B80" s="992" t="s">
        <v>332</v>
      </c>
      <c r="C80" s="993">
        <v>59525</v>
      </c>
      <c r="D80" s="1009">
        <v>1.0999999999999999E-2</v>
      </c>
      <c r="E80" s="3"/>
      <c r="F80" s="3"/>
      <c r="G80" s="3"/>
      <c r="H80" s="3"/>
      <c r="I80" s="3"/>
      <c r="J80" s="3"/>
      <c r="K80" s="3"/>
      <c r="L80" s="3"/>
      <c r="M80" s="3"/>
      <c r="N80" s="3"/>
      <c r="O80" s="3"/>
      <c r="P80" s="3"/>
      <c r="Q80" s="3"/>
      <c r="R80" s="3"/>
      <c r="S80" s="3"/>
      <c r="T80" s="3"/>
      <c r="U80" s="3"/>
      <c r="V80" s="3"/>
      <c r="W80" s="3"/>
    </row>
    <row r="81" spans="1:23" ht="15.75" customHeight="1">
      <c r="A81" s="3"/>
      <c r="B81" s="992" t="s">
        <v>336</v>
      </c>
      <c r="C81" s="995">
        <f>+C74-C80</f>
        <v>-44947.729999999989</v>
      </c>
      <c r="D81" s="994"/>
      <c r="E81" s="3"/>
      <c r="F81" s="3"/>
      <c r="G81" s="3"/>
      <c r="H81" s="3"/>
      <c r="I81" s="3"/>
      <c r="J81" s="3"/>
      <c r="K81" s="3"/>
      <c r="L81" s="3"/>
      <c r="M81" s="3"/>
      <c r="N81" s="3"/>
      <c r="O81" s="3"/>
      <c r="P81" s="3"/>
      <c r="Q81" s="3"/>
      <c r="R81" s="3"/>
      <c r="S81" s="3"/>
      <c r="T81" s="3"/>
      <c r="U81" s="3"/>
      <c r="V81" s="3"/>
      <c r="W81" s="3"/>
    </row>
    <row r="82" spans="1:23" ht="15.75" customHeight="1">
      <c r="A82" s="3"/>
      <c r="B82" s="996"/>
      <c r="C82" s="997"/>
      <c r="D82" s="994"/>
      <c r="E82" s="3"/>
      <c r="F82" s="3"/>
      <c r="G82" s="3"/>
      <c r="H82" s="3"/>
      <c r="I82" s="3"/>
      <c r="J82" s="3"/>
      <c r="K82" s="3"/>
      <c r="L82" s="3"/>
      <c r="M82" s="3"/>
      <c r="N82" s="3"/>
      <c r="O82" s="3"/>
      <c r="P82" s="3"/>
      <c r="Q82" s="3"/>
      <c r="R82" s="3"/>
      <c r="S82" s="3"/>
      <c r="T82" s="3"/>
      <c r="U82" s="3"/>
      <c r="V82" s="3"/>
      <c r="W82" s="3"/>
    </row>
    <row r="83" spans="1:23" ht="15.75" customHeight="1">
      <c r="A83" s="3"/>
      <c r="B83" s="992" t="s">
        <v>334</v>
      </c>
      <c r="C83" s="993">
        <v>-23522</v>
      </c>
      <c r="D83" s="1009">
        <v>-4.0000000000000001E-3</v>
      </c>
      <c r="E83" s="3"/>
      <c r="F83" s="3"/>
      <c r="G83" s="3"/>
      <c r="H83" s="3"/>
      <c r="I83" s="3"/>
      <c r="J83" s="3"/>
      <c r="K83" s="3"/>
      <c r="L83" s="3"/>
      <c r="M83" s="3"/>
      <c r="N83" s="3"/>
      <c r="O83" s="3"/>
      <c r="P83" s="3"/>
      <c r="Q83" s="3"/>
      <c r="R83" s="3"/>
      <c r="S83" s="3"/>
      <c r="T83" s="3"/>
      <c r="U83" s="3"/>
      <c r="V83" s="3"/>
      <c r="W83" s="3"/>
    </row>
    <row r="84" spans="1:23" ht="15.75" customHeight="1" thickBot="1">
      <c r="A84" s="3"/>
      <c r="B84" s="998" t="s">
        <v>336</v>
      </c>
      <c r="C84" s="999">
        <f>+C76-C83</f>
        <v>5724.9800000000105</v>
      </c>
      <c r="D84" s="1155"/>
      <c r="E84" s="3"/>
      <c r="F84" s="3"/>
      <c r="G84" s="3"/>
      <c r="H84" s="3"/>
      <c r="I84" s="3"/>
      <c r="J84" s="3"/>
      <c r="K84" s="3"/>
      <c r="L84" s="3"/>
      <c r="M84" s="3"/>
      <c r="N84" s="3"/>
      <c r="O84" s="3"/>
      <c r="P84" s="3"/>
      <c r="Q84" s="3"/>
      <c r="R84" s="3"/>
      <c r="S84" s="3"/>
      <c r="T84" s="3"/>
      <c r="U84" s="3"/>
      <c r="V84" s="3"/>
      <c r="W84" s="3"/>
    </row>
    <row r="85" spans="1:23" ht="15.75" customHeight="1" thickBot="1">
      <c r="A85" s="3"/>
      <c r="B85" s="3"/>
      <c r="C85" s="3"/>
      <c r="D85" s="3"/>
      <c r="E85" s="3"/>
      <c r="F85" s="3"/>
      <c r="G85" s="3"/>
      <c r="H85" s="3"/>
      <c r="I85" s="3"/>
      <c r="J85" s="3"/>
      <c r="K85" s="3"/>
      <c r="L85" s="3"/>
      <c r="M85" s="3"/>
      <c r="N85" s="3"/>
      <c r="O85" s="3"/>
      <c r="P85" s="3"/>
      <c r="Q85" s="3"/>
      <c r="R85" s="3"/>
      <c r="S85" s="3"/>
      <c r="T85" s="3"/>
      <c r="U85" s="3"/>
      <c r="V85" s="3"/>
      <c r="W85" s="3"/>
    </row>
    <row r="86" spans="1:23" ht="24" customHeight="1">
      <c r="A86" s="3"/>
      <c r="B86" s="963" t="str">
        <f>+Parametres!B1</f>
        <v>Volks</v>
      </c>
      <c r="C86" s="976" t="str">
        <f>Parametres!$B$3&amp;" "&amp;Parametres!$B$4</f>
        <v>Février 2025</v>
      </c>
      <c r="D86" s="977" t="s">
        <v>3944</v>
      </c>
      <c r="E86" s="3"/>
      <c r="F86" s="3"/>
      <c r="G86" s="3"/>
      <c r="H86" s="3"/>
      <c r="I86" s="3"/>
      <c r="J86" s="3"/>
      <c r="K86" s="3"/>
      <c r="L86" s="3"/>
      <c r="M86" s="3"/>
      <c r="N86" s="3"/>
      <c r="O86" s="3"/>
      <c r="P86" s="3"/>
      <c r="Q86" s="3"/>
      <c r="R86" s="3"/>
      <c r="S86" s="3"/>
      <c r="T86" s="3"/>
      <c r="U86" s="3"/>
      <c r="V86" s="3"/>
      <c r="W86" s="3"/>
    </row>
    <row r="87" spans="1:23" ht="24" customHeight="1">
      <c r="A87" s="3"/>
      <c r="B87" s="964" t="str">
        <f>CONCATENATE("Réalisé ",Parametres!$B$3," ",Parametres!$B$4)</f>
        <v>Réalisé Février 2025</v>
      </c>
      <c r="C87" s="974">
        <f>+C76</f>
        <v>-17797.01999999999</v>
      </c>
      <c r="D87" s="965">
        <f>+Print_AAD!AF498</f>
        <v>-21466.20000000007</v>
      </c>
      <c r="E87" s="3"/>
      <c r="F87" s="189"/>
      <c r="G87" s="3"/>
      <c r="H87" s="3"/>
      <c r="I87" s="3"/>
      <c r="J87" s="3"/>
      <c r="K87" s="3"/>
      <c r="L87" s="3"/>
      <c r="M87" s="3"/>
      <c r="N87" s="3"/>
      <c r="O87" s="3"/>
      <c r="P87" s="3"/>
      <c r="Q87" s="3"/>
      <c r="R87" s="3"/>
      <c r="S87" s="3"/>
      <c r="T87" s="3"/>
      <c r="U87" s="3"/>
      <c r="V87" s="3"/>
      <c r="W87" s="3"/>
    </row>
    <row r="88" spans="1:23" ht="24" customHeight="1">
      <c r="A88" s="3"/>
      <c r="B88" s="964" t="str">
        <f>CONCATENATE("Budget ",Parametres!$B$3," ",Parametres!$B$4)</f>
        <v>Budget Février 2025</v>
      </c>
      <c r="C88" s="975">
        <f>+D76</f>
        <v>-25057.034252698304</v>
      </c>
      <c r="D88" s="966">
        <f>+Print_AAD!Z498</f>
        <v>-84096.941242720219</v>
      </c>
      <c r="E88" s="3"/>
      <c r="F88" s="3"/>
      <c r="G88" s="3"/>
      <c r="H88" s="3"/>
      <c r="I88" s="3"/>
      <c r="J88" s="3"/>
      <c r="K88" s="3"/>
      <c r="L88" s="3"/>
      <c r="M88" s="3"/>
      <c r="N88" s="3"/>
      <c r="O88" s="3"/>
      <c r="P88" s="3"/>
      <c r="Q88" s="3"/>
      <c r="R88" s="3"/>
      <c r="S88" s="3"/>
      <c r="T88" s="3"/>
      <c r="U88" s="3"/>
      <c r="V88" s="3"/>
      <c r="W88" s="3"/>
    </row>
    <row r="89" spans="1:23" ht="24" customHeight="1" thickBot="1">
      <c r="A89" s="3"/>
      <c r="B89" s="967" t="str">
        <f>CONCATENATE("Réalisé ",Parametres!$B$3," ",Parametres!$B$4-1)</f>
        <v>Réalisé Février 2024</v>
      </c>
      <c r="C89" s="978">
        <f>+E76</f>
        <v>25226.749999999538</v>
      </c>
      <c r="D89" s="968">
        <f>+Print_AAD!AL498</f>
        <v>-32415.250000001055</v>
      </c>
      <c r="E89" s="3"/>
      <c r="F89" s="3"/>
      <c r="G89" s="3"/>
      <c r="H89" s="3"/>
      <c r="I89" s="3"/>
      <c r="J89" s="3"/>
      <c r="K89" s="3"/>
      <c r="L89" s="3"/>
      <c r="M89" s="3"/>
      <c r="N89" s="3"/>
      <c r="O89" s="3"/>
      <c r="P89" s="3"/>
      <c r="Q89" s="3"/>
      <c r="R89" s="3"/>
      <c r="S89" s="3"/>
      <c r="T89" s="3"/>
      <c r="U89" s="3"/>
      <c r="V89" s="3"/>
      <c r="W89" s="3"/>
    </row>
    <row r="90" spans="1:23" ht="15.75" customHeight="1">
      <c r="A90" s="3"/>
      <c r="B90" s="3"/>
      <c r="C90" s="3"/>
      <c r="D90" s="3"/>
      <c r="E90" s="3"/>
      <c r="F90" s="3"/>
      <c r="G90" s="3"/>
      <c r="H90" s="3"/>
      <c r="I90" s="3"/>
      <c r="J90" s="3"/>
      <c r="K90" s="3"/>
      <c r="L90" s="3"/>
      <c r="M90" s="3"/>
      <c r="N90" s="3"/>
      <c r="O90" s="3"/>
      <c r="P90" s="3"/>
      <c r="Q90" s="3"/>
      <c r="R90" s="3"/>
      <c r="S90" s="3"/>
      <c r="T90" s="3"/>
      <c r="U90" s="3"/>
      <c r="V90" s="3"/>
      <c r="W90" s="3"/>
    </row>
    <row r="91" spans="1:23" ht="15.75" customHeight="1">
      <c r="A91" s="3"/>
      <c r="B91" s="3"/>
      <c r="C91" s="189"/>
      <c r="D91" s="3"/>
      <c r="E91" s="3"/>
      <c r="F91" s="3"/>
      <c r="G91" s="3"/>
      <c r="H91" s="3"/>
      <c r="I91" s="3"/>
      <c r="J91" s="3"/>
      <c r="K91" s="3"/>
      <c r="L91" s="3"/>
      <c r="M91" s="3"/>
      <c r="N91" s="3"/>
      <c r="O91" s="3"/>
      <c r="P91" s="3"/>
      <c r="Q91" s="3"/>
      <c r="R91" s="3"/>
      <c r="S91" s="3"/>
      <c r="T91" s="3"/>
      <c r="U91" s="3"/>
      <c r="V91" s="3"/>
      <c r="W91" s="3"/>
    </row>
    <row r="92" spans="1:23" ht="15.75" customHeight="1">
      <c r="A92" s="3"/>
      <c r="C92" s="3"/>
      <c r="D92" s="3"/>
      <c r="E92" s="3"/>
      <c r="F92" s="3"/>
      <c r="G92" s="3"/>
      <c r="H92" s="3"/>
      <c r="I92" s="3"/>
      <c r="J92" s="3"/>
      <c r="K92" s="3"/>
      <c r="L92" s="3"/>
      <c r="M92" s="3"/>
      <c r="N92" s="3"/>
      <c r="O92" s="3"/>
      <c r="P92" s="3"/>
      <c r="Q92" s="3"/>
      <c r="R92" s="3"/>
      <c r="S92" s="3"/>
      <c r="T92" s="3"/>
      <c r="U92" s="3"/>
      <c r="V92" s="3"/>
      <c r="W92" s="3"/>
    </row>
    <row r="93" spans="1:23" ht="15.75" customHeight="1">
      <c r="A93" s="3"/>
      <c r="C93" s="3"/>
      <c r="D93" s="3"/>
      <c r="E93" s="3"/>
      <c r="F93" s="3"/>
      <c r="G93" s="3"/>
      <c r="H93" s="3"/>
      <c r="I93" s="3"/>
      <c r="J93" s="3"/>
      <c r="K93" s="3"/>
      <c r="L93" s="3"/>
      <c r="M93" s="3"/>
      <c r="N93" s="3"/>
      <c r="O93" s="3"/>
      <c r="P93" s="3"/>
      <c r="Q93" s="3"/>
      <c r="R93" s="3"/>
      <c r="S93" s="3"/>
      <c r="T93" s="3"/>
      <c r="U93" s="3"/>
      <c r="V93" s="3"/>
      <c r="W93" s="3"/>
    </row>
    <row r="94" spans="1:23" ht="15.75" customHeight="1">
      <c r="A94" s="3"/>
      <c r="C94" s="3"/>
      <c r="D94" s="3"/>
      <c r="E94" s="3"/>
      <c r="F94" s="3"/>
      <c r="G94" s="3"/>
      <c r="H94" s="3"/>
      <c r="I94" s="3"/>
      <c r="J94" s="3"/>
      <c r="K94" s="3"/>
      <c r="L94" s="3"/>
      <c r="M94" s="3"/>
      <c r="N94" s="3"/>
      <c r="O94" s="3"/>
      <c r="P94" s="3"/>
      <c r="Q94" s="3"/>
      <c r="R94" s="3"/>
      <c r="S94" s="3"/>
      <c r="T94" s="3"/>
      <c r="U94" s="3"/>
      <c r="V94" s="3"/>
      <c r="W94" s="3"/>
    </row>
    <row r="95" spans="1:23" ht="15.75" customHeight="1">
      <c r="A95" s="3"/>
      <c r="B95" s="3"/>
      <c r="C95" s="3"/>
      <c r="D95" s="3"/>
      <c r="E95" s="3"/>
      <c r="F95" s="3"/>
      <c r="G95" s="3"/>
      <c r="H95" s="3"/>
      <c r="I95" s="3"/>
      <c r="J95" s="3"/>
      <c r="K95" s="3"/>
      <c r="L95" s="3"/>
      <c r="M95" s="3"/>
      <c r="N95" s="3"/>
      <c r="O95" s="3"/>
      <c r="P95" s="3"/>
      <c r="Q95" s="3"/>
      <c r="R95" s="3"/>
      <c r="S95" s="3"/>
      <c r="T95" s="3"/>
      <c r="U95" s="3"/>
      <c r="V95" s="3"/>
      <c r="W95" s="3"/>
    </row>
    <row r="96" spans="1:23" ht="15.75" customHeight="1">
      <c r="A96" s="3"/>
      <c r="B96" s="3"/>
      <c r="C96" s="3"/>
      <c r="D96" s="3"/>
      <c r="E96" s="3"/>
      <c r="F96" s="3"/>
      <c r="G96" s="3"/>
      <c r="H96" s="3"/>
      <c r="I96" s="3"/>
      <c r="J96" s="3"/>
      <c r="K96" s="3"/>
      <c r="L96" s="3"/>
      <c r="M96" s="3"/>
      <c r="N96" s="3"/>
      <c r="O96" s="3"/>
      <c r="P96" s="3"/>
      <c r="Q96" s="3"/>
      <c r="R96" s="3"/>
      <c r="S96" s="3"/>
      <c r="T96" s="3"/>
      <c r="U96" s="3"/>
      <c r="V96" s="3"/>
      <c r="W96" s="3"/>
    </row>
    <row r="97" spans="1:23" ht="15.75" customHeight="1">
      <c r="A97" s="3"/>
      <c r="B97" s="3"/>
      <c r="C97" s="3"/>
      <c r="D97" s="3"/>
      <c r="E97" s="3"/>
      <c r="F97" s="3"/>
      <c r="G97" s="3"/>
      <c r="H97" s="3"/>
      <c r="I97" s="3"/>
      <c r="J97" s="3"/>
      <c r="K97" s="3"/>
      <c r="L97" s="3"/>
      <c r="M97" s="3"/>
      <c r="N97" s="3"/>
      <c r="O97" s="3"/>
      <c r="P97" s="3"/>
      <c r="Q97" s="3"/>
      <c r="R97" s="3"/>
      <c r="S97" s="3"/>
      <c r="T97" s="3"/>
      <c r="U97" s="3"/>
      <c r="V97" s="3"/>
      <c r="W97" s="3"/>
    </row>
    <row r="98" spans="1:23" ht="15.75" customHeight="1">
      <c r="A98" s="3"/>
      <c r="B98" s="3"/>
      <c r="C98" s="3"/>
      <c r="D98" s="3"/>
      <c r="E98" s="3"/>
      <c r="F98" s="3"/>
      <c r="G98" s="3"/>
      <c r="H98" s="3"/>
      <c r="I98" s="3"/>
      <c r="J98" s="3"/>
      <c r="K98" s="3"/>
      <c r="L98" s="3"/>
      <c r="M98" s="3"/>
      <c r="N98" s="3"/>
      <c r="O98" s="3"/>
      <c r="P98" s="3"/>
      <c r="Q98" s="3"/>
      <c r="R98" s="3"/>
      <c r="S98" s="3"/>
      <c r="T98" s="3"/>
      <c r="U98" s="3"/>
      <c r="V98" s="3"/>
      <c r="W98" s="3"/>
    </row>
    <row r="99" spans="1:23" ht="15.75" customHeight="1">
      <c r="A99" s="3"/>
      <c r="B99" s="3"/>
      <c r="C99" s="3"/>
      <c r="D99" s="3"/>
      <c r="E99" s="3"/>
      <c r="F99" s="3"/>
      <c r="G99" s="3"/>
      <c r="H99" s="3"/>
      <c r="I99" s="3"/>
      <c r="J99" s="3"/>
      <c r="K99" s="3"/>
      <c r="L99" s="3"/>
      <c r="M99" s="3"/>
      <c r="N99" s="3"/>
      <c r="O99" s="3"/>
      <c r="P99" s="3"/>
      <c r="Q99" s="3"/>
      <c r="R99" s="3"/>
      <c r="S99" s="3"/>
      <c r="T99" s="3"/>
      <c r="U99" s="3"/>
      <c r="V99" s="3"/>
      <c r="W99" s="3"/>
    </row>
    <row r="100" spans="1:23" ht="15.75" customHeight="1">
      <c r="A100" s="3"/>
      <c r="B100" s="3"/>
      <c r="C100" s="3"/>
      <c r="D100" s="3"/>
      <c r="E100" s="3"/>
      <c r="F100" s="3"/>
      <c r="G100" s="3"/>
      <c r="H100" s="3"/>
      <c r="I100" s="3"/>
      <c r="J100" s="3"/>
      <c r="K100" s="3"/>
      <c r="L100" s="3"/>
      <c r="M100" s="3"/>
      <c r="N100" s="3"/>
      <c r="O100" s="3"/>
      <c r="P100" s="3"/>
      <c r="Q100" s="3"/>
      <c r="R100" s="3"/>
      <c r="S100" s="3"/>
      <c r="T100" s="3"/>
      <c r="U100" s="3"/>
      <c r="V100" s="3"/>
      <c r="W100" s="3"/>
    </row>
    <row r="101" spans="1:23" ht="15.75" customHeight="1">
      <c r="A101" s="3"/>
      <c r="B101" s="3"/>
      <c r="C101" s="3"/>
      <c r="D101" s="3"/>
      <c r="E101" s="3"/>
      <c r="F101" s="3"/>
      <c r="G101" s="3"/>
      <c r="H101" s="3"/>
      <c r="I101" s="3"/>
      <c r="J101" s="3"/>
      <c r="K101" s="3"/>
      <c r="L101" s="3"/>
      <c r="M101" s="3"/>
      <c r="N101" s="3"/>
      <c r="O101" s="3"/>
      <c r="P101" s="3"/>
      <c r="Q101" s="3"/>
      <c r="R101" s="3"/>
      <c r="S101" s="3"/>
      <c r="T101" s="3"/>
      <c r="U101" s="3"/>
      <c r="V101" s="3"/>
      <c r="W101" s="3"/>
    </row>
    <row r="102" spans="1:23" ht="15.75" customHeight="1">
      <c r="A102" s="3"/>
      <c r="B102" s="3"/>
      <c r="C102" s="3"/>
      <c r="D102" s="3"/>
      <c r="E102" s="3"/>
      <c r="F102" s="3"/>
      <c r="G102" s="3"/>
      <c r="H102" s="3"/>
      <c r="I102" s="3"/>
      <c r="J102" s="3"/>
      <c r="K102" s="3"/>
      <c r="L102" s="3"/>
      <c r="M102" s="3"/>
      <c r="N102" s="3"/>
      <c r="O102" s="3"/>
      <c r="P102" s="3"/>
      <c r="Q102" s="3"/>
      <c r="R102" s="3"/>
      <c r="S102" s="3"/>
      <c r="T102" s="3"/>
      <c r="U102" s="3"/>
      <c r="V102" s="3"/>
      <c r="W102" s="3"/>
    </row>
    <row r="103" spans="1:23" ht="15.75" customHeight="1">
      <c r="A103" s="3"/>
      <c r="B103" s="3"/>
      <c r="C103" s="3"/>
      <c r="D103" s="3"/>
      <c r="E103" s="3"/>
      <c r="F103" s="3"/>
      <c r="G103" s="3"/>
      <c r="H103" s="3"/>
      <c r="I103" s="3"/>
      <c r="J103" s="3"/>
      <c r="K103" s="3"/>
      <c r="L103" s="3"/>
      <c r="M103" s="3"/>
      <c r="N103" s="3"/>
      <c r="O103" s="3"/>
      <c r="P103" s="3"/>
      <c r="Q103" s="3"/>
      <c r="R103" s="3"/>
      <c r="S103" s="3"/>
      <c r="T103" s="3"/>
      <c r="U103" s="3"/>
      <c r="V103" s="3"/>
      <c r="W103" s="3"/>
    </row>
    <row r="104" spans="1:23" ht="15.75" customHeight="1">
      <c r="A104" s="3"/>
      <c r="B104" s="3"/>
      <c r="C104" s="3"/>
      <c r="D104" s="3"/>
      <c r="E104" s="3"/>
      <c r="F104" s="3"/>
      <c r="G104" s="3"/>
      <c r="H104" s="3"/>
      <c r="I104" s="3"/>
      <c r="J104" s="3"/>
      <c r="K104" s="3"/>
      <c r="L104" s="3"/>
      <c r="M104" s="3"/>
      <c r="N104" s="3"/>
      <c r="O104" s="3"/>
      <c r="P104" s="3"/>
      <c r="Q104" s="3"/>
      <c r="R104" s="3"/>
      <c r="S104" s="3"/>
      <c r="T104" s="3"/>
      <c r="U104" s="3"/>
      <c r="V104" s="3"/>
      <c r="W104" s="3"/>
    </row>
    <row r="105" spans="1:23" ht="15.75" customHeight="1">
      <c r="A105" s="3"/>
      <c r="B105" s="3"/>
      <c r="C105" s="3"/>
      <c r="D105" s="3"/>
      <c r="E105" s="3"/>
      <c r="F105" s="3"/>
      <c r="G105" s="3"/>
      <c r="H105" s="3"/>
      <c r="I105" s="3"/>
      <c r="J105" s="3"/>
      <c r="K105" s="3"/>
      <c r="L105" s="3"/>
      <c r="M105" s="3"/>
      <c r="N105" s="3"/>
      <c r="O105" s="3"/>
      <c r="P105" s="3"/>
      <c r="Q105" s="3"/>
      <c r="R105" s="3"/>
      <c r="S105" s="3"/>
      <c r="T105" s="3"/>
      <c r="U105" s="3"/>
      <c r="V105" s="3"/>
      <c r="W105" s="3"/>
    </row>
    <row r="106" spans="1:23" ht="15.75" customHeight="1">
      <c r="A106" s="3"/>
      <c r="B106" s="3"/>
      <c r="C106" s="3"/>
      <c r="D106" s="3"/>
      <c r="E106" s="3"/>
      <c r="F106" s="3"/>
      <c r="G106" s="3"/>
      <c r="H106" s="3"/>
      <c r="I106" s="3"/>
      <c r="J106" s="3"/>
      <c r="K106" s="3"/>
      <c r="L106" s="3"/>
      <c r="M106" s="3"/>
      <c r="N106" s="3"/>
      <c r="O106" s="3"/>
      <c r="P106" s="3"/>
      <c r="Q106" s="3"/>
      <c r="R106" s="3"/>
      <c r="S106" s="3"/>
      <c r="T106" s="3"/>
      <c r="U106" s="3"/>
      <c r="V106" s="3"/>
      <c r="W106" s="3"/>
    </row>
    <row r="107" spans="1:23" ht="15.75" customHeight="1">
      <c r="A107" s="3"/>
      <c r="B107" s="3"/>
      <c r="C107" s="3"/>
      <c r="D107" s="3"/>
      <c r="E107" s="3"/>
      <c r="F107" s="3"/>
      <c r="G107" s="3"/>
      <c r="H107" s="3"/>
      <c r="I107" s="3"/>
      <c r="J107" s="3"/>
      <c r="K107" s="3"/>
      <c r="L107" s="3"/>
      <c r="M107" s="3"/>
      <c r="N107" s="3"/>
      <c r="O107" s="3"/>
      <c r="P107" s="3"/>
      <c r="Q107" s="3"/>
      <c r="R107" s="3"/>
      <c r="S107" s="3"/>
      <c r="T107" s="3"/>
      <c r="U107" s="3"/>
      <c r="V107" s="3"/>
      <c r="W107" s="3"/>
    </row>
    <row r="108" spans="1:23" ht="15.75" customHeight="1">
      <c r="A108" s="3"/>
      <c r="B108" s="3"/>
      <c r="C108" s="3"/>
      <c r="D108" s="3"/>
      <c r="E108" s="3"/>
      <c r="F108" s="3"/>
      <c r="G108" s="3"/>
      <c r="H108" s="3"/>
      <c r="I108" s="3"/>
      <c r="J108" s="3"/>
      <c r="K108" s="3"/>
      <c r="L108" s="3"/>
      <c r="M108" s="3"/>
      <c r="N108" s="3"/>
      <c r="O108" s="3"/>
      <c r="P108" s="3"/>
      <c r="Q108" s="3"/>
      <c r="R108" s="3"/>
      <c r="S108" s="3"/>
      <c r="T108" s="3"/>
      <c r="U108" s="3"/>
      <c r="V108" s="3"/>
      <c r="W108" s="3"/>
    </row>
    <row r="109" spans="1:23" ht="15.75" customHeight="1">
      <c r="A109" s="3"/>
      <c r="B109" s="3"/>
      <c r="C109" s="3"/>
      <c r="D109" s="3"/>
      <c r="E109" s="3"/>
      <c r="F109" s="3"/>
      <c r="G109" s="3"/>
      <c r="H109" s="3"/>
      <c r="I109" s="3"/>
      <c r="J109" s="3"/>
      <c r="K109" s="3"/>
      <c r="L109" s="3"/>
      <c r="M109" s="3"/>
      <c r="N109" s="3"/>
      <c r="O109" s="3"/>
      <c r="P109" s="3"/>
      <c r="Q109" s="3"/>
      <c r="R109" s="3"/>
      <c r="S109" s="3"/>
      <c r="T109" s="3"/>
      <c r="U109" s="3"/>
      <c r="V109" s="3"/>
      <c r="W109" s="3"/>
    </row>
    <row r="110" spans="1:23" ht="15.75" customHeight="1">
      <c r="A110" s="3"/>
      <c r="B110" s="3"/>
      <c r="C110" s="3"/>
      <c r="D110" s="3"/>
      <c r="E110" s="3"/>
      <c r="F110" s="3"/>
      <c r="G110" s="3"/>
      <c r="H110" s="3"/>
      <c r="I110" s="3"/>
      <c r="J110" s="3"/>
      <c r="K110" s="3"/>
      <c r="L110" s="3"/>
      <c r="M110" s="3"/>
      <c r="N110" s="3"/>
      <c r="O110" s="3"/>
      <c r="P110" s="3"/>
      <c r="Q110" s="3"/>
      <c r="R110" s="3"/>
      <c r="S110" s="3"/>
      <c r="T110" s="3"/>
      <c r="U110" s="3"/>
      <c r="V110" s="3"/>
      <c r="W110" s="3"/>
    </row>
    <row r="111" spans="1:23" ht="15.75" customHeight="1">
      <c r="A111" s="3"/>
      <c r="B111" s="3"/>
      <c r="C111" s="3"/>
      <c r="D111" s="3"/>
      <c r="E111" s="3"/>
      <c r="F111" s="3"/>
      <c r="G111" s="3"/>
      <c r="H111" s="3"/>
      <c r="I111" s="3"/>
      <c r="J111" s="3"/>
      <c r="K111" s="3"/>
      <c r="L111" s="3"/>
      <c r="M111" s="3"/>
      <c r="N111" s="3"/>
      <c r="O111" s="3"/>
      <c r="P111" s="3"/>
      <c r="Q111" s="3"/>
      <c r="R111" s="3"/>
      <c r="S111" s="3"/>
      <c r="T111" s="3"/>
      <c r="U111" s="3"/>
      <c r="V111" s="3"/>
      <c r="W111" s="3"/>
    </row>
    <row r="112" spans="1:23" ht="15.75" customHeight="1">
      <c r="A112" s="3"/>
      <c r="B112" s="3"/>
      <c r="C112" s="3"/>
      <c r="D112" s="3"/>
      <c r="E112" s="3"/>
      <c r="F112" s="3"/>
      <c r="G112" s="3"/>
      <c r="H112" s="3"/>
      <c r="I112" s="3"/>
      <c r="J112" s="3"/>
      <c r="K112" s="3"/>
      <c r="L112" s="3"/>
      <c r="M112" s="3"/>
      <c r="N112" s="3"/>
      <c r="O112" s="3"/>
      <c r="P112" s="3"/>
      <c r="Q112" s="3"/>
      <c r="R112" s="3"/>
      <c r="S112" s="3"/>
      <c r="T112" s="3"/>
      <c r="U112" s="3"/>
      <c r="V112" s="3"/>
      <c r="W112" s="3"/>
    </row>
    <row r="113" spans="1:23" ht="15.75" customHeight="1">
      <c r="A113" s="3"/>
      <c r="B113" s="3"/>
      <c r="C113" s="3"/>
      <c r="D113" s="3"/>
      <c r="E113" s="3"/>
      <c r="F113" s="3"/>
      <c r="G113" s="3"/>
      <c r="H113" s="3"/>
      <c r="I113" s="3"/>
      <c r="J113" s="3"/>
      <c r="K113" s="3"/>
      <c r="L113" s="3"/>
      <c r="M113" s="3"/>
      <c r="N113" s="3"/>
      <c r="O113" s="3"/>
      <c r="P113" s="3"/>
      <c r="Q113" s="3"/>
      <c r="R113" s="3"/>
      <c r="S113" s="3"/>
      <c r="T113" s="3"/>
      <c r="U113" s="3"/>
      <c r="V113" s="3"/>
      <c r="W113" s="3"/>
    </row>
    <row r="114" spans="1:23" ht="15.75" customHeight="1">
      <c r="A114" s="3"/>
      <c r="B114" s="3"/>
      <c r="C114" s="3"/>
      <c r="D114" s="3"/>
      <c r="E114" s="3"/>
      <c r="F114" s="3"/>
      <c r="G114" s="3"/>
      <c r="H114" s="3"/>
      <c r="I114" s="3"/>
      <c r="J114" s="3"/>
      <c r="K114" s="3"/>
      <c r="L114" s="3"/>
      <c r="M114" s="3"/>
      <c r="N114" s="3"/>
      <c r="O114" s="3"/>
      <c r="P114" s="3"/>
      <c r="Q114" s="3"/>
      <c r="R114" s="3"/>
      <c r="S114" s="3"/>
      <c r="T114" s="3"/>
      <c r="U114" s="3"/>
      <c r="V114" s="3"/>
      <c r="W114" s="3"/>
    </row>
    <row r="115" spans="1:23" ht="15.75" customHeight="1">
      <c r="A115" s="3"/>
      <c r="B115" s="3"/>
      <c r="C115" s="3"/>
      <c r="D115" s="3"/>
      <c r="E115" s="3"/>
      <c r="F115" s="3"/>
      <c r="G115" s="3"/>
      <c r="H115" s="3"/>
      <c r="I115" s="3"/>
      <c r="J115" s="3"/>
      <c r="K115" s="3"/>
      <c r="L115" s="3"/>
      <c r="M115" s="3"/>
      <c r="N115" s="3"/>
      <c r="O115" s="3"/>
      <c r="P115" s="3"/>
      <c r="Q115" s="3"/>
      <c r="R115" s="3"/>
      <c r="S115" s="3"/>
      <c r="T115" s="3"/>
      <c r="U115" s="3"/>
      <c r="V115" s="3"/>
      <c r="W115" s="3"/>
    </row>
    <row r="116" spans="1:23" ht="15.75" customHeight="1">
      <c r="A116" s="3"/>
      <c r="B116" s="3"/>
      <c r="C116" s="3"/>
      <c r="D116" s="3"/>
      <c r="E116" s="3"/>
      <c r="F116" s="3"/>
      <c r="G116" s="3"/>
      <c r="H116" s="3"/>
      <c r="I116" s="3"/>
      <c r="J116" s="3"/>
      <c r="K116" s="3"/>
      <c r="L116" s="3"/>
      <c r="M116" s="3"/>
      <c r="N116" s="3"/>
      <c r="O116" s="3"/>
      <c r="P116" s="3"/>
      <c r="Q116" s="3"/>
      <c r="R116" s="3"/>
      <c r="S116" s="3"/>
      <c r="T116" s="3"/>
      <c r="U116" s="3"/>
      <c r="V116" s="3"/>
      <c r="W116" s="3"/>
    </row>
    <row r="117" spans="1:23" ht="15.75" customHeight="1">
      <c r="A117" s="3"/>
      <c r="B117" s="3"/>
      <c r="C117" s="3"/>
      <c r="D117" s="3"/>
      <c r="E117" s="3"/>
      <c r="F117" s="3"/>
      <c r="G117" s="3"/>
      <c r="H117" s="3"/>
      <c r="I117" s="3"/>
      <c r="J117" s="3"/>
      <c r="K117" s="3"/>
      <c r="L117" s="3"/>
      <c r="M117" s="3"/>
      <c r="N117" s="3"/>
      <c r="O117" s="3"/>
      <c r="P117" s="3"/>
      <c r="Q117" s="3"/>
      <c r="R117" s="3"/>
      <c r="S117" s="3"/>
      <c r="T117" s="3"/>
      <c r="U117" s="3"/>
      <c r="V117" s="3"/>
      <c r="W117" s="3"/>
    </row>
    <row r="118" spans="1:23" ht="15.75" customHeight="1">
      <c r="A118" s="3"/>
      <c r="B118" s="3"/>
      <c r="C118" s="3"/>
      <c r="D118" s="3"/>
      <c r="E118" s="3"/>
      <c r="F118" s="3"/>
      <c r="G118" s="3"/>
      <c r="H118" s="3"/>
      <c r="I118" s="3"/>
      <c r="J118" s="3"/>
      <c r="K118" s="3"/>
      <c r="L118" s="3"/>
      <c r="M118" s="3"/>
      <c r="N118" s="3"/>
      <c r="O118" s="3"/>
      <c r="P118" s="3"/>
      <c r="Q118" s="3"/>
      <c r="R118" s="3"/>
      <c r="S118" s="3"/>
      <c r="T118" s="3"/>
      <c r="U118" s="3"/>
      <c r="V118" s="3"/>
      <c r="W118" s="3"/>
    </row>
    <row r="119" spans="1:23" ht="15.75" customHeight="1">
      <c r="A119" s="3"/>
      <c r="B119" s="3"/>
      <c r="C119" s="3"/>
      <c r="D119" s="3"/>
      <c r="E119" s="3"/>
      <c r="F119" s="3"/>
      <c r="G119" s="3"/>
      <c r="H119" s="3"/>
      <c r="I119" s="3"/>
      <c r="J119" s="3"/>
      <c r="K119" s="3"/>
      <c r="L119" s="3"/>
      <c r="M119" s="3"/>
      <c r="N119" s="3"/>
      <c r="O119" s="3"/>
      <c r="P119" s="3"/>
      <c r="Q119" s="3"/>
      <c r="R119" s="3"/>
      <c r="S119" s="3"/>
      <c r="T119" s="3"/>
      <c r="U119" s="3"/>
      <c r="V119" s="3"/>
      <c r="W119" s="3"/>
    </row>
    <row r="120" spans="1:23" ht="15.75" customHeight="1">
      <c r="A120" s="3"/>
      <c r="B120" s="3"/>
      <c r="C120" s="3"/>
      <c r="D120" s="3"/>
      <c r="E120" s="3"/>
      <c r="F120" s="3"/>
      <c r="G120" s="3"/>
      <c r="H120" s="3"/>
      <c r="I120" s="3"/>
      <c r="J120" s="3"/>
      <c r="K120" s="3"/>
      <c r="L120" s="3"/>
      <c r="M120" s="3"/>
      <c r="N120" s="3"/>
      <c r="O120" s="3"/>
      <c r="P120" s="3"/>
      <c r="Q120" s="3"/>
      <c r="R120" s="3"/>
      <c r="S120" s="3"/>
      <c r="T120" s="3"/>
      <c r="U120" s="3"/>
      <c r="V120" s="3"/>
      <c r="W120" s="3"/>
    </row>
    <row r="121" spans="1:23" ht="15.75" customHeight="1">
      <c r="A121" s="3"/>
      <c r="B121" s="3"/>
      <c r="C121" s="3"/>
      <c r="D121" s="3"/>
      <c r="E121" s="3"/>
      <c r="F121" s="3"/>
      <c r="G121" s="3"/>
      <c r="H121" s="3"/>
      <c r="I121" s="3"/>
      <c r="J121" s="3"/>
      <c r="K121" s="3"/>
      <c r="L121" s="3"/>
      <c r="M121" s="3"/>
      <c r="N121" s="3"/>
      <c r="O121" s="3"/>
      <c r="P121" s="3"/>
      <c r="Q121" s="3"/>
      <c r="R121" s="3"/>
      <c r="S121" s="3"/>
      <c r="T121" s="3"/>
      <c r="U121" s="3"/>
      <c r="V121" s="3"/>
      <c r="W121" s="3"/>
    </row>
    <row r="122" spans="1:23" ht="15.75" customHeight="1">
      <c r="A122" s="3"/>
      <c r="B122" s="3"/>
      <c r="C122" s="3"/>
      <c r="D122" s="3"/>
      <c r="E122" s="3"/>
      <c r="F122" s="3"/>
      <c r="G122" s="3"/>
      <c r="H122" s="3"/>
      <c r="I122" s="3"/>
      <c r="J122" s="3"/>
      <c r="K122" s="3"/>
      <c r="L122" s="3"/>
      <c r="M122" s="3"/>
      <c r="N122" s="3"/>
      <c r="O122" s="3"/>
      <c r="P122" s="3"/>
      <c r="Q122" s="3"/>
      <c r="R122" s="3"/>
      <c r="S122" s="3"/>
      <c r="T122" s="3"/>
      <c r="U122" s="3"/>
      <c r="V122" s="3"/>
      <c r="W122" s="3"/>
    </row>
    <row r="123" spans="1:23" ht="15.75" customHeight="1">
      <c r="A123" s="3"/>
      <c r="B123" s="3"/>
      <c r="C123" s="3"/>
      <c r="D123" s="3"/>
      <c r="E123" s="3"/>
      <c r="F123" s="3"/>
      <c r="G123" s="3"/>
      <c r="H123" s="3"/>
      <c r="I123" s="3"/>
      <c r="J123" s="3"/>
      <c r="K123" s="3"/>
      <c r="L123" s="3"/>
      <c r="M123" s="3"/>
      <c r="N123" s="3"/>
      <c r="O123" s="3"/>
      <c r="P123" s="3"/>
      <c r="Q123" s="3"/>
      <c r="R123" s="3"/>
      <c r="S123" s="3"/>
      <c r="T123" s="3"/>
      <c r="U123" s="3"/>
      <c r="V123" s="3"/>
      <c r="W123" s="3"/>
    </row>
    <row r="124" spans="1:23" ht="15.75" customHeight="1">
      <c r="A124" s="3"/>
      <c r="B124" s="3"/>
      <c r="C124" s="3"/>
      <c r="D124" s="3"/>
      <c r="E124" s="3"/>
      <c r="F124" s="3"/>
      <c r="G124" s="3"/>
      <c r="H124" s="3"/>
      <c r="I124" s="3"/>
      <c r="J124" s="3"/>
      <c r="K124" s="3"/>
      <c r="L124" s="3"/>
      <c r="M124" s="3"/>
      <c r="N124" s="3"/>
      <c r="O124" s="3"/>
      <c r="P124" s="3"/>
      <c r="Q124" s="3"/>
      <c r="R124" s="3"/>
      <c r="S124" s="3"/>
      <c r="T124" s="3"/>
      <c r="U124" s="3"/>
      <c r="V124" s="3"/>
      <c r="W124" s="3"/>
    </row>
    <row r="125" spans="1:23" ht="15.75" customHeight="1">
      <c r="A125" s="3"/>
      <c r="B125" s="3"/>
      <c r="C125" s="3"/>
      <c r="D125" s="3"/>
      <c r="E125" s="3"/>
      <c r="F125" s="3"/>
      <c r="G125" s="3"/>
      <c r="H125" s="3"/>
      <c r="I125" s="3"/>
      <c r="J125" s="3"/>
      <c r="K125" s="3"/>
      <c r="L125" s="3"/>
      <c r="M125" s="3"/>
      <c r="N125" s="3"/>
      <c r="O125" s="3"/>
      <c r="P125" s="3"/>
      <c r="Q125" s="3"/>
      <c r="R125" s="3"/>
      <c r="S125" s="3"/>
      <c r="T125" s="3"/>
      <c r="U125" s="3"/>
      <c r="V125" s="3"/>
      <c r="W125" s="3"/>
    </row>
    <row r="126" spans="1:23" ht="15.75" customHeight="1">
      <c r="A126" s="3"/>
      <c r="B126" s="3"/>
      <c r="C126" s="3"/>
      <c r="D126" s="3"/>
      <c r="E126" s="3"/>
      <c r="F126" s="3"/>
      <c r="G126" s="3"/>
      <c r="H126" s="3"/>
      <c r="I126" s="3"/>
      <c r="J126" s="3"/>
      <c r="K126" s="3"/>
      <c r="L126" s="3"/>
      <c r="M126" s="3"/>
      <c r="N126" s="3"/>
      <c r="O126" s="3"/>
      <c r="P126" s="3"/>
      <c r="Q126" s="3"/>
      <c r="R126" s="3"/>
      <c r="S126" s="3"/>
      <c r="T126" s="3"/>
      <c r="U126" s="3"/>
      <c r="V126" s="3"/>
      <c r="W126" s="3"/>
    </row>
    <row r="127" spans="1:23" ht="15.75" customHeight="1">
      <c r="A127" s="3"/>
      <c r="B127" s="3"/>
      <c r="C127" s="3"/>
      <c r="D127" s="3"/>
      <c r="E127" s="3"/>
      <c r="F127" s="3"/>
      <c r="G127" s="3"/>
      <c r="H127" s="3"/>
      <c r="I127" s="3"/>
      <c r="J127" s="3"/>
      <c r="K127" s="3"/>
      <c r="L127" s="3"/>
      <c r="M127" s="3"/>
      <c r="N127" s="3"/>
      <c r="O127" s="3"/>
      <c r="P127" s="3"/>
      <c r="Q127" s="3"/>
      <c r="R127" s="3"/>
      <c r="S127" s="3"/>
      <c r="T127" s="3"/>
      <c r="U127" s="3"/>
      <c r="V127" s="3"/>
      <c r="W127" s="3"/>
    </row>
    <row r="128" spans="1:23" ht="15.75" customHeight="1">
      <c r="A128" s="3"/>
      <c r="B128" s="3"/>
      <c r="C128" s="3"/>
      <c r="D128" s="3"/>
      <c r="E128" s="3"/>
      <c r="F128" s="3"/>
      <c r="G128" s="3"/>
      <c r="H128" s="3"/>
      <c r="I128" s="3"/>
      <c r="J128" s="3"/>
      <c r="K128" s="3"/>
      <c r="L128" s="3"/>
      <c r="M128" s="3"/>
      <c r="N128" s="3"/>
      <c r="O128" s="3"/>
      <c r="P128" s="3"/>
      <c r="Q128" s="3"/>
      <c r="R128" s="3"/>
      <c r="S128" s="3"/>
      <c r="T128" s="3"/>
      <c r="U128" s="3"/>
      <c r="V128" s="3"/>
      <c r="W128" s="3"/>
    </row>
    <row r="129" spans="1:23" ht="15.75" customHeight="1">
      <c r="A129" s="3"/>
      <c r="B129" s="3"/>
      <c r="C129" s="3"/>
      <c r="D129" s="3"/>
      <c r="E129" s="3"/>
      <c r="F129" s="3"/>
      <c r="G129" s="3"/>
      <c r="H129" s="3"/>
      <c r="I129" s="3"/>
      <c r="J129" s="3"/>
      <c r="K129" s="3"/>
      <c r="L129" s="3"/>
      <c r="M129" s="3"/>
      <c r="N129" s="3"/>
      <c r="O129" s="3"/>
      <c r="P129" s="3"/>
      <c r="Q129" s="3"/>
      <c r="R129" s="3"/>
      <c r="S129" s="3"/>
      <c r="T129" s="3"/>
      <c r="U129" s="3"/>
      <c r="V129" s="3"/>
      <c r="W129" s="3"/>
    </row>
    <row r="130" spans="1:23" ht="15.75" customHeight="1">
      <c r="A130" s="3"/>
      <c r="B130" s="3"/>
      <c r="C130" s="3"/>
      <c r="D130" s="3"/>
      <c r="E130" s="3"/>
      <c r="F130" s="3"/>
      <c r="G130" s="3"/>
      <c r="H130" s="3"/>
      <c r="I130" s="3"/>
      <c r="J130" s="3"/>
      <c r="K130" s="3"/>
      <c r="L130" s="3"/>
      <c r="M130" s="3"/>
      <c r="N130" s="3"/>
      <c r="O130" s="3"/>
      <c r="P130" s="3"/>
      <c r="Q130" s="3"/>
      <c r="R130" s="3"/>
      <c r="S130" s="3"/>
      <c r="T130" s="3"/>
      <c r="U130" s="3"/>
      <c r="V130" s="3"/>
      <c r="W130" s="3"/>
    </row>
    <row r="131" spans="1:23" ht="15.75" customHeight="1">
      <c r="A131" s="3"/>
      <c r="B131" s="3"/>
      <c r="C131" s="3"/>
      <c r="D131" s="3"/>
      <c r="E131" s="3"/>
      <c r="F131" s="3"/>
      <c r="G131" s="3"/>
      <c r="H131" s="3"/>
      <c r="I131" s="3"/>
      <c r="J131" s="3"/>
      <c r="K131" s="3"/>
      <c r="L131" s="3"/>
      <c r="M131" s="3"/>
      <c r="N131" s="3"/>
      <c r="O131" s="3"/>
      <c r="P131" s="3"/>
      <c r="Q131" s="3"/>
      <c r="R131" s="3"/>
      <c r="S131" s="3"/>
      <c r="T131" s="3"/>
      <c r="U131" s="3"/>
      <c r="V131" s="3"/>
      <c r="W131" s="3"/>
    </row>
    <row r="132" spans="1:23" ht="15.75" customHeight="1">
      <c r="A132" s="3"/>
      <c r="B132" s="3"/>
      <c r="C132" s="3"/>
      <c r="D132" s="3"/>
      <c r="E132" s="3"/>
      <c r="F132" s="3"/>
      <c r="G132" s="3"/>
      <c r="H132" s="3"/>
      <c r="I132" s="3"/>
      <c r="J132" s="3"/>
      <c r="K132" s="3"/>
      <c r="L132" s="3"/>
      <c r="M132" s="3"/>
      <c r="N132" s="3"/>
      <c r="O132" s="3"/>
      <c r="P132" s="3"/>
      <c r="Q132" s="3"/>
      <c r="R132" s="3"/>
      <c r="S132" s="3"/>
      <c r="T132" s="3"/>
      <c r="U132" s="3"/>
      <c r="V132" s="3"/>
      <c r="W132" s="3"/>
    </row>
    <row r="133" spans="1:23" ht="15.75" customHeight="1">
      <c r="A133" s="3"/>
      <c r="B133" s="3"/>
      <c r="C133" s="3"/>
      <c r="D133" s="3"/>
      <c r="E133" s="3"/>
      <c r="F133" s="3"/>
      <c r="G133" s="3"/>
      <c r="H133" s="3"/>
      <c r="I133" s="3"/>
      <c r="J133" s="3"/>
      <c r="K133" s="3"/>
      <c r="L133" s="3"/>
      <c r="M133" s="3"/>
      <c r="N133" s="3"/>
      <c r="O133" s="3"/>
      <c r="P133" s="3"/>
      <c r="Q133" s="3"/>
      <c r="R133" s="3"/>
      <c r="S133" s="3"/>
      <c r="T133" s="3"/>
      <c r="U133" s="3"/>
      <c r="V133" s="3"/>
      <c r="W133" s="3"/>
    </row>
    <row r="134" spans="1:23" ht="15.75" customHeight="1">
      <c r="A134" s="3"/>
      <c r="B134" s="3"/>
      <c r="C134" s="3"/>
      <c r="D134" s="3"/>
      <c r="E134" s="3"/>
      <c r="F134" s="3"/>
      <c r="G134" s="3"/>
      <c r="H134" s="3"/>
      <c r="I134" s="3"/>
      <c r="J134" s="3"/>
      <c r="K134" s="3"/>
      <c r="L134" s="3"/>
      <c r="M134" s="3"/>
      <c r="N134" s="3"/>
      <c r="O134" s="3"/>
      <c r="P134" s="3"/>
      <c r="Q134" s="3"/>
      <c r="R134" s="3"/>
      <c r="S134" s="3"/>
      <c r="T134" s="3"/>
      <c r="U134" s="3"/>
      <c r="V134" s="3"/>
      <c r="W134" s="3"/>
    </row>
    <row r="135" spans="1:23" ht="15.75" customHeight="1">
      <c r="A135" s="3"/>
      <c r="B135" s="3"/>
      <c r="C135" s="3"/>
      <c r="D135" s="3"/>
      <c r="E135" s="3"/>
      <c r="F135" s="3"/>
      <c r="G135" s="3"/>
      <c r="H135" s="3"/>
      <c r="I135" s="3"/>
      <c r="J135" s="3"/>
      <c r="K135" s="3"/>
      <c r="L135" s="3"/>
      <c r="M135" s="3"/>
      <c r="N135" s="3"/>
      <c r="O135" s="3"/>
      <c r="P135" s="3"/>
      <c r="Q135" s="3"/>
      <c r="R135" s="3"/>
      <c r="S135" s="3"/>
      <c r="T135" s="3"/>
      <c r="U135" s="3"/>
      <c r="V135" s="3"/>
      <c r="W135" s="3"/>
    </row>
    <row r="136" spans="1:23" ht="15.75" customHeight="1">
      <c r="A136" s="3"/>
      <c r="B136" s="3"/>
      <c r="C136" s="3"/>
      <c r="D136" s="3"/>
      <c r="E136" s="3"/>
      <c r="F136" s="3"/>
      <c r="G136" s="3"/>
      <c r="H136" s="3"/>
      <c r="I136" s="3"/>
      <c r="J136" s="3"/>
      <c r="K136" s="3"/>
      <c r="L136" s="3"/>
      <c r="M136" s="3"/>
      <c r="N136" s="3"/>
      <c r="O136" s="3"/>
      <c r="P136" s="3"/>
      <c r="Q136" s="3"/>
      <c r="R136" s="3"/>
      <c r="S136" s="3"/>
      <c r="T136" s="3"/>
      <c r="U136" s="3"/>
      <c r="V136" s="3"/>
      <c r="W136" s="3"/>
    </row>
    <row r="137" spans="1:23" ht="15.75" customHeight="1">
      <c r="A137" s="3"/>
      <c r="B137" s="3"/>
      <c r="C137" s="3"/>
      <c r="D137" s="3"/>
      <c r="E137" s="3"/>
      <c r="F137" s="3"/>
      <c r="G137" s="3"/>
      <c r="H137" s="3"/>
      <c r="I137" s="3"/>
      <c r="J137" s="3"/>
      <c r="K137" s="3"/>
      <c r="L137" s="3"/>
      <c r="M137" s="3"/>
      <c r="N137" s="3"/>
      <c r="O137" s="3"/>
      <c r="P137" s="3"/>
      <c r="Q137" s="3"/>
      <c r="R137" s="3"/>
      <c r="S137" s="3"/>
      <c r="T137" s="3"/>
      <c r="U137" s="3"/>
      <c r="V137" s="3"/>
      <c r="W137" s="3"/>
    </row>
    <row r="138" spans="1:23" ht="15.75" customHeight="1">
      <c r="A138" s="3"/>
      <c r="B138" s="3"/>
      <c r="C138" s="3"/>
      <c r="D138" s="3"/>
      <c r="E138" s="3"/>
      <c r="F138" s="3"/>
      <c r="G138" s="3"/>
      <c r="H138" s="3"/>
      <c r="I138" s="3"/>
      <c r="J138" s="3"/>
      <c r="K138" s="3"/>
      <c r="L138" s="3"/>
      <c r="M138" s="3"/>
      <c r="N138" s="3"/>
      <c r="O138" s="3"/>
      <c r="P138" s="3"/>
      <c r="Q138" s="3"/>
      <c r="R138" s="3"/>
      <c r="S138" s="3"/>
      <c r="T138" s="3"/>
      <c r="U138" s="3"/>
      <c r="V138" s="3"/>
      <c r="W138" s="3"/>
    </row>
    <row r="139" spans="1:23" ht="15.75" customHeight="1">
      <c r="A139" s="3"/>
      <c r="B139" s="3"/>
      <c r="C139" s="3"/>
      <c r="D139" s="3"/>
      <c r="E139" s="3"/>
      <c r="F139" s="3"/>
      <c r="G139" s="3"/>
      <c r="H139" s="3"/>
      <c r="I139" s="3"/>
      <c r="J139" s="3"/>
      <c r="K139" s="3"/>
      <c r="L139" s="3"/>
      <c r="M139" s="3"/>
      <c r="N139" s="3"/>
      <c r="O139" s="3"/>
      <c r="P139" s="3"/>
      <c r="Q139" s="3"/>
      <c r="R139" s="3"/>
      <c r="S139" s="3"/>
      <c r="T139" s="3"/>
      <c r="U139" s="3"/>
      <c r="V139" s="3"/>
      <c r="W139" s="3"/>
    </row>
    <row r="140" spans="1:23" ht="15.75" customHeight="1">
      <c r="A140" s="3"/>
      <c r="B140" s="3"/>
      <c r="C140" s="3"/>
      <c r="D140" s="3"/>
      <c r="E140" s="3"/>
      <c r="F140" s="3"/>
      <c r="G140" s="3"/>
      <c r="H140" s="3"/>
      <c r="I140" s="3"/>
      <c r="J140" s="3"/>
      <c r="K140" s="3"/>
      <c r="L140" s="3"/>
      <c r="M140" s="3"/>
      <c r="N140" s="3"/>
      <c r="O140" s="3"/>
      <c r="P140" s="3"/>
      <c r="Q140" s="3"/>
      <c r="R140" s="3"/>
      <c r="S140" s="3"/>
      <c r="T140" s="3"/>
      <c r="U140" s="3"/>
      <c r="V140" s="3"/>
      <c r="W140" s="3"/>
    </row>
    <row r="141" spans="1:23" ht="15.75" customHeight="1">
      <c r="A141" s="3"/>
      <c r="B141" s="3"/>
      <c r="C141" s="3"/>
      <c r="D141" s="3"/>
      <c r="E141" s="3"/>
      <c r="F141" s="3"/>
      <c r="G141" s="3"/>
      <c r="H141" s="3"/>
      <c r="I141" s="3"/>
      <c r="J141" s="3"/>
      <c r="K141" s="3"/>
      <c r="L141" s="3"/>
      <c r="M141" s="3"/>
      <c r="N141" s="3"/>
      <c r="O141" s="3"/>
      <c r="P141" s="3"/>
      <c r="Q141" s="3"/>
      <c r="R141" s="3"/>
      <c r="S141" s="3"/>
      <c r="T141" s="3"/>
      <c r="U141" s="3"/>
      <c r="V141" s="3"/>
      <c r="W141" s="3"/>
    </row>
    <row r="142" spans="1:23" ht="15.75" customHeight="1">
      <c r="A142" s="3"/>
      <c r="B142" s="3"/>
      <c r="C142" s="3"/>
      <c r="D142" s="3"/>
      <c r="E142" s="3"/>
      <c r="F142" s="3"/>
      <c r="G142" s="3"/>
      <c r="H142" s="3"/>
      <c r="I142" s="3"/>
      <c r="J142" s="3"/>
      <c r="K142" s="3"/>
      <c r="L142" s="3"/>
      <c r="M142" s="3"/>
      <c r="N142" s="3"/>
      <c r="O142" s="3"/>
      <c r="P142" s="3"/>
      <c r="Q142" s="3"/>
      <c r="R142" s="3"/>
      <c r="S142" s="3"/>
      <c r="T142" s="3"/>
      <c r="U142" s="3"/>
      <c r="V142" s="3"/>
      <c r="W142" s="3"/>
    </row>
    <row r="143" spans="1:23" ht="15.75" customHeight="1">
      <c r="A143" s="3"/>
      <c r="B143" s="3"/>
      <c r="C143" s="3"/>
      <c r="D143" s="3"/>
      <c r="E143" s="3"/>
      <c r="F143" s="3"/>
      <c r="G143" s="3"/>
      <c r="H143" s="3"/>
      <c r="I143" s="3"/>
      <c r="J143" s="3"/>
      <c r="K143" s="3"/>
      <c r="L143" s="3"/>
      <c r="M143" s="3"/>
      <c r="N143" s="3"/>
      <c r="O143" s="3"/>
      <c r="P143" s="3"/>
      <c r="Q143" s="3"/>
      <c r="R143" s="3"/>
      <c r="S143" s="3"/>
      <c r="T143" s="3"/>
      <c r="U143" s="3"/>
      <c r="V143" s="3"/>
      <c r="W143" s="3"/>
    </row>
    <row r="144" spans="1:23" ht="15.75" customHeight="1">
      <c r="A144" s="3"/>
      <c r="B144" s="3"/>
      <c r="C144" s="3"/>
      <c r="D144" s="3"/>
      <c r="E144" s="3"/>
      <c r="F144" s="3"/>
      <c r="G144" s="3"/>
      <c r="H144" s="3"/>
      <c r="I144" s="3"/>
      <c r="J144" s="3"/>
      <c r="K144" s="3"/>
      <c r="L144" s="3"/>
      <c r="M144" s="3"/>
      <c r="N144" s="3"/>
      <c r="O144" s="3"/>
      <c r="P144" s="3"/>
      <c r="Q144" s="3"/>
      <c r="R144" s="3"/>
      <c r="S144" s="3"/>
      <c r="T144" s="3"/>
      <c r="U144" s="3"/>
      <c r="V144" s="3"/>
      <c r="W144" s="3"/>
    </row>
    <row r="145" spans="1:23" ht="15.75" customHeight="1">
      <c r="A145" s="3"/>
      <c r="B145" s="3"/>
      <c r="C145" s="3"/>
      <c r="D145" s="3"/>
      <c r="E145" s="3"/>
      <c r="F145" s="3"/>
      <c r="G145" s="3"/>
      <c r="H145" s="3"/>
      <c r="I145" s="3"/>
      <c r="J145" s="3"/>
      <c r="K145" s="3"/>
      <c r="L145" s="3"/>
      <c r="M145" s="3"/>
      <c r="N145" s="3"/>
      <c r="O145" s="3"/>
      <c r="P145" s="3"/>
      <c r="Q145" s="3"/>
      <c r="R145" s="3"/>
      <c r="S145" s="3"/>
      <c r="T145" s="3"/>
      <c r="U145" s="3"/>
      <c r="V145" s="3"/>
      <c r="W145" s="3"/>
    </row>
    <row r="146" spans="1:23" ht="15.75" customHeight="1">
      <c r="A146" s="3"/>
      <c r="B146" s="3"/>
      <c r="C146" s="3"/>
      <c r="D146" s="3"/>
      <c r="E146" s="3"/>
      <c r="F146" s="3"/>
      <c r="G146" s="3"/>
      <c r="H146" s="3"/>
      <c r="I146" s="3"/>
      <c r="J146" s="3"/>
      <c r="K146" s="3"/>
      <c r="L146" s="3"/>
      <c r="M146" s="3"/>
      <c r="N146" s="3"/>
      <c r="O146" s="3"/>
      <c r="P146" s="3"/>
      <c r="Q146" s="3"/>
      <c r="R146" s="3"/>
      <c r="S146" s="3"/>
      <c r="T146" s="3"/>
      <c r="U146" s="3"/>
      <c r="V146" s="3"/>
      <c r="W146" s="3"/>
    </row>
    <row r="147" spans="1:23" ht="15.75" customHeight="1">
      <c r="A147" s="3"/>
      <c r="B147" s="3"/>
      <c r="C147" s="3"/>
      <c r="D147" s="3"/>
      <c r="E147" s="3"/>
      <c r="F147" s="3"/>
      <c r="G147" s="3"/>
      <c r="H147" s="3"/>
      <c r="I147" s="3"/>
      <c r="J147" s="3"/>
      <c r="K147" s="3"/>
      <c r="L147" s="3"/>
      <c r="M147" s="3"/>
      <c r="N147" s="3"/>
      <c r="O147" s="3"/>
      <c r="P147" s="3"/>
      <c r="Q147" s="3"/>
      <c r="R147" s="3"/>
      <c r="S147" s="3"/>
      <c r="T147" s="3"/>
      <c r="U147" s="3"/>
      <c r="V147" s="3"/>
      <c r="W147" s="3"/>
    </row>
    <row r="148" spans="1:23" ht="15.75" customHeight="1">
      <c r="A148" s="3"/>
      <c r="B148" s="3"/>
      <c r="C148" s="3"/>
      <c r="D148" s="3"/>
      <c r="E148" s="3"/>
      <c r="F148" s="3"/>
      <c r="G148" s="3"/>
      <c r="H148" s="3"/>
      <c r="I148" s="3"/>
      <c r="J148" s="3"/>
      <c r="K148" s="3"/>
      <c r="L148" s="3"/>
      <c r="M148" s="3"/>
      <c r="N148" s="3"/>
      <c r="O148" s="3"/>
      <c r="P148" s="3"/>
      <c r="Q148" s="3"/>
      <c r="R148" s="3"/>
      <c r="S148" s="3"/>
      <c r="T148" s="3"/>
      <c r="U148" s="3"/>
      <c r="V148" s="3"/>
      <c r="W148" s="3"/>
    </row>
    <row r="149" spans="1:23" ht="15.75" customHeight="1">
      <c r="A149" s="3"/>
      <c r="B149" s="3"/>
      <c r="C149" s="3"/>
      <c r="D149" s="3"/>
      <c r="E149" s="3"/>
      <c r="F149" s="3"/>
      <c r="G149" s="3"/>
      <c r="H149" s="3"/>
      <c r="I149" s="3"/>
      <c r="J149" s="3"/>
      <c r="K149" s="3"/>
      <c r="L149" s="3"/>
      <c r="M149" s="3"/>
      <c r="N149" s="3"/>
      <c r="O149" s="3"/>
      <c r="P149" s="3"/>
      <c r="Q149" s="3"/>
      <c r="R149" s="3"/>
      <c r="S149" s="3"/>
      <c r="T149" s="3"/>
      <c r="U149" s="3"/>
      <c r="V149" s="3"/>
      <c r="W149" s="3"/>
    </row>
    <row r="150" spans="1:23" ht="15.75" customHeight="1">
      <c r="A150" s="3"/>
      <c r="B150" s="3"/>
      <c r="C150" s="3"/>
      <c r="D150" s="3"/>
      <c r="E150" s="3"/>
      <c r="F150" s="3"/>
      <c r="G150" s="3"/>
      <c r="H150" s="3"/>
      <c r="I150" s="3"/>
      <c r="J150" s="3"/>
      <c r="K150" s="3"/>
      <c r="L150" s="3"/>
      <c r="M150" s="3"/>
      <c r="N150" s="3"/>
      <c r="O150" s="3"/>
      <c r="P150" s="3"/>
      <c r="Q150" s="3"/>
      <c r="R150" s="3"/>
      <c r="S150" s="3"/>
      <c r="T150" s="3"/>
      <c r="U150" s="3"/>
      <c r="V150" s="3"/>
      <c r="W150" s="3"/>
    </row>
    <row r="151" spans="1:23" ht="15.75" customHeight="1">
      <c r="A151" s="3"/>
      <c r="B151" s="3"/>
      <c r="C151" s="3"/>
      <c r="D151" s="3"/>
      <c r="E151" s="3"/>
      <c r="F151" s="3"/>
      <c r="G151" s="3"/>
      <c r="H151" s="3"/>
      <c r="I151" s="3"/>
      <c r="J151" s="3"/>
      <c r="K151" s="3"/>
      <c r="L151" s="3"/>
      <c r="M151" s="3"/>
      <c r="N151" s="3"/>
      <c r="O151" s="3"/>
      <c r="P151" s="3"/>
      <c r="Q151" s="3"/>
      <c r="R151" s="3"/>
      <c r="S151" s="3"/>
      <c r="T151" s="3"/>
      <c r="U151" s="3"/>
      <c r="V151" s="3"/>
      <c r="W151" s="3"/>
    </row>
    <row r="152" spans="1:23" ht="15.75" customHeight="1">
      <c r="A152" s="3"/>
      <c r="B152" s="3"/>
      <c r="C152" s="3"/>
      <c r="D152" s="3"/>
      <c r="E152" s="3"/>
      <c r="F152" s="3"/>
      <c r="G152" s="3"/>
      <c r="H152" s="3"/>
      <c r="I152" s="3"/>
      <c r="J152" s="3"/>
      <c r="K152" s="3"/>
      <c r="L152" s="3"/>
      <c r="M152" s="3"/>
      <c r="N152" s="3"/>
      <c r="O152" s="3"/>
      <c r="P152" s="3"/>
      <c r="Q152" s="3"/>
      <c r="R152" s="3"/>
      <c r="S152" s="3"/>
      <c r="T152" s="3"/>
      <c r="U152" s="3"/>
      <c r="V152" s="3"/>
      <c r="W152" s="3"/>
    </row>
    <row r="153" spans="1:23" ht="15.75" customHeight="1">
      <c r="A153" s="3"/>
      <c r="B153" s="3"/>
      <c r="C153" s="3"/>
      <c r="D153" s="3"/>
      <c r="E153" s="3"/>
      <c r="F153" s="3"/>
      <c r="G153" s="3"/>
      <c r="H153" s="3"/>
      <c r="I153" s="3"/>
      <c r="J153" s="3"/>
      <c r="K153" s="3"/>
      <c r="L153" s="3"/>
      <c r="M153" s="3"/>
      <c r="N153" s="3"/>
      <c r="O153" s="3"/>
      <c r="P153" s="3"/>
      <c r="Q153" s="3"/>
      <c r="R153" s="3"/>
      <c r="S153" s="3"/>
      <c r="T153" s="3"/>
      <c r="U153" s="3"/>
      <c r="V153" s="3"/>
      <c r="W153" s="3"/>
    </row>
    <row r="154" spans="1:23" ht="15.75" customHeight="1">
      <c r="A154" s="3"/>
      <c r="B154" s="3"/>
      <c r="C154" s="3"/>
      <c r="D154" s="3"/>
      <c r="E154" s="3"/>
      <c r="F154" s="3"/>
      <c r="G154" s="3"/>
      <c r="H154" s="3"/>
      <c r="I154" s="3"/>
      <c r="J154" s="3"/>
      <c r="K154" s="3"/>
      <c r="L154" s="3"/>
      <c r="M154" s="3"/>
      <c r="N154" s="3"/>
      <c r="O154" s="3"/>
      <c r="P154" s="3"/>
      <c r="Q154" s="3"/>
      <c r="R154" s="3"/>
      <c r="S154" s="3"/>
      <c r="T154" s="3"/>
      <c r="U154" s="3"/>
      <c r="V154" s="3"/>
      <c r="W154" s="3"/>
    </row>
    <row r="155" spans="1:23" ht="15.75" customHeight="1">
      <c r="A155" s="3"/>
      <c r="B155" s="3"/>
      <c r="C155" s="3"/>
      <c r="D155" s="3"/>
      <c r="E155" s="3"/>
      <c r="F155" s="3"/>
      <c r="G155" s="3"/>
      <c r="H155" s="3"/>
      <c r="I155" s="3"/>
      <c r="J155" s="3"/>
      <c r="K155" s="3"/>
      <c r="L155" s="3"/>
      <c r="M155" s="3"/>
      <c r="N155" s="3"/>
      <c r="O155" s="3"/>
      <c r="P155" s="3"/>
      <c r="Q155" s="3"/>
      <c r="R155" s="3"/>
      <c r="S155" s="3"/>
      <c r="T155" s="3"/>
      <c r="U155" s="3"/>
      <c r="V155" s="3"/>
      <c r="W155" s="3"/>
    </row>
    <row r="156" spans="1:23" ht="15.75" customHeight="1">
      <c r="A156" s="3"/>
      <c r="B156" s="3"/>
      <c r="C156" s="3"/>
      <c r="D156" s="3"/>
      <c r="E156" s="3"/>
      <c r="F156" s="3"/>
      <c r="G156" s="3"/>
      <c r="H156" s="3"/>
      <c r="I156" s="3"/>
      <c r="J156" s="3"/>
      <c r="K156" s="3"/>
      <c r="L156" s="3"/>
      <c r="M156" s="3"/>
      <c r="N156" s="3"/>
      <c r="O156" s="3"/>
      <c r="P156" s="3"/>
      <c r="Q156" s="3"/>
      <c r="R156" s="3"/>
      <c r="S156" s="3"/>
      <c r="T156" s="3"/>
      <c r="U156" s="3"/>
      <c r="V156" s="3"/>
      <c r="W156" s="3"/>
    </row>
    <row r="157" spans="1:23" ht="15.75" customHeight="1">
      <c r="A157" s="3"/>
      <c r="B157" s="3"/>
      <c r="C157" s="3"/>
      <c r="D157" s="3"/>
      <c r="E157" s="3"/>
      <c r="F157" s="3"/>
      <c r="G157" s="3"/>
      <c r="H157" s="3"/>
      <c r="I157" s="3"/>
      <c r="J157" s="3"/>
      <c r="K157" s="3"/>
      <c r="L157" s="3"/>
      <c r="M157" s="3"/>
      <c r="N157" s="3"/>
      <c r="O157" s="3"/>
      <c r="P157" s="3"/>
      <c r="Q157" s="3"/>
      <c r="R157" s="3"/>
      <c r="S157" s="3"/>
      <c r="T157" s="3"/>
      <c r="U157" s="3"/>
      <c r="V157" s="3"/>
      <c r="W157" s="3"/>
    </row>
    <row r="158" spans="1:23" ht="15.75" customHeight="1">
      <c r="A158" s="3"/>
      <c r="B158" s="3"/>
      <c r="C158" s="3"/>
      <c r="D158" s="3"/>
      <c r="E158" s="3"/>
      <c r="F158" s="3"/>
      <c r="G158" s="3"/>
      <c r="H158" s="3"/>
      <c r="I158" s="3"/>
      <c r="J158" s="3"/>
      <c r="K158" s="3"/>
      <c r="L158" s="3"/>
      <c r="M158" s="3"/>
      <c r="N158" s="3"/>
      <c r="O158" s="3"/>
      <c r="P158" s="3"/>
      <c r="Q158" s="3"/>
      <c r="R158" s="3"/>
      <c r="S158" s="3"/>
      <c r="T158" s="3"/>
      <c r="U158" s="3"/>
      <c r="V158" s="3"/>
      <c r="W158" s="3"/>
    </row>
    <row r="159" spans="1:23" ht="15.75" customHeight="1">
      <c r="A159" s="3"/>
      <c r="B159" s="3"/>
      <c r="C159" s="3"/>
      <c r="D159" s="3"/>
      <c r="E159" s="3"/>
      <c r="F159" s="3"/>
      <c r="G159" s="3"/>
      <c r="H159" s="3"/>
      <c r="I159" s="3"/>
      <c r="J159" s="3"/>
      <c r="K159" s="3"/>
      <c r="L159" s="3"/>
      <c r="M159" s="3"/>
      <c r="N159" s="3"/>
      <c r="O159" s="3"/>
      <c r="P159" s="3"/>
      <c r="Q159" s="3"/>
      <c r="R159" s="3"/>
      <c r="S159" s="3"/>
      <c r="T159" s="3"/>
      <c r="U159" s="3"/>
      <c r="V159" s="3"/>
      <c r="W159" s="3"/>
    </row>
    <row r="160" spans="1:23" ht="15.75" customHeight="1">
      <c r="A160" s="3"/>
      <c r="B160" s="3"/>
      <c r="C160" s="3"/>
      <c r="D160" s="3"/>
      <c r="E160" s="3"/>
      <c r="F160" s="3"/>
      <c r="G160" s="3"/>
      <c r="H160" s="3"/>
      <c r="I160" s="3"/>
      <c r="J160" s="3"/>
      <c r="K160" s="3"/>
      <c r="L160" s="3"/>
      <c r="M160" s="3"/>
      <c r="N160" s="3"/>
      <c r="O160" s="3"/>
      <c r="P160" s="3"/>
      <c r="Q160" s="3"/>
      <c r="R160" s="3"/>
      <c r="S160" s="3"/>
      <c r="T160" s="3"/>
      <c r="U160" s="3"/>
      <c r="V160" s="3"/>
      <c r="W160" s="3"/>
    </row>
    <row r="161" spans="1:23" ht="15.75" customHeight="1">
      <c r="A161" s="3"/>
      <c r="B161" s="3"/>
      <c r="C161" s="3"/>
      <c r="D161" s="3"/>
      <c r="E161" s="3"/>
      <c r="F161" s="3"/>
      <c r="G161" s="3"/>
      <c r="H161" s="3"/>
      <c r="I161" s="3"/>
      <c r="J161" s="3"/>
      <c r="K161" s="3"/>
      <c r="L161" s="3"/>
      <c r="M161" s="3"/>
      <c r="N161" s="3"/>
      <c r="O161" s="3"/>
      <c r="P161" s="3"/>
      <c r="Q161" s="3"/>
      <c r="R161" s="3"/>
      <c r="S161" s="3"/>
      <c r="T161" s="3"/>
      <c r="U161" s="3"/>
      <c r="V161" s="3"/>
      <c r="W161" s="3"/>
    </row>
    <row r="162" spans="1:23" ht="15.75" customHeight="1">
      <c r="A162" s="3"/>
      <c r="B162" s="3"/>
      <c r="C162" s="3"/>
      <c r="D162" s="3"/>
      <c r="E162" s="3"/>
      <c r="F162" s="3"/>
      <c r="G162" s="3"/>
      <c r="H162" s="3"/>
      <c r="I162" s="3"/>
      <c r="J162" s="3"/>
      <c r="K162" s="3"/>
      <c r="L162" s="3"/>
      <c r="M162" s="3"/>
      <c r="N162" s="3"/>
      <c r="O162" s="3"/>
      <c r="P162" s="3"/>
      <c r="Q162" s="3"/>
      <c r="R162" s="3"/>
      <c r="S162" s="3"/>
      <c r="T162" s="3"/>
      <c r="U162" s="3"/>
      <c r="V162" s="3"/>
      <c r="W162" s="3"/>
    </row>
    <row r="163" spans="1:23" ht="15.75" customHeight="1">
      <c r="A163" s="3"/>
      <c r="B163" s="3"/>
      <c r="C163" s="3"/>
      <c r="D163" s="3"/>
      <c r="E163" s="3"/>
      <c r="F163" s="3"/>
      <c r="G163" s="3"/>
      <c r="H163" s="3"/>
      <c r="I163" s="3"/>
      <c r="J163" s="3"/>
      <c r="K163" s="3"/>
      <c r="L163" s="3"/>
      <c r="M163" s="3"/>
      <c r="N163" s="3"/>
      <c r="O163" s="3"/>
      <c r="P163" s="3"/>
      <c r="Q163" s="3"/>
      <c r="R163" s="3"/>
      <c r="S163" s="3"/>
      <c r="T163" s="3"/>
      <c r="U163" s="3"/>
      <c r="V163" s="3"/>
      <c r="W163" s="3"/>
    </row>
    <row r="164" spans="1:23" ht="15.75" customHeight="1">
      <c r="A164" s="3"/>
      <c r="B164" s="3"/>
      <c r="C164" s="3"/>
      <c r="D164" s="3"/>
      <c r="E164" s="3"/>
      <c r="F164" s="3"/>
      <c r="G164" s="3"/>
      <c r="H164" s="3"/>
      <c r="I164" s="3"/>
      <c r="J164" s="3"/>
      <c r="K164" s="3"/>
      <c r="L164" s="3"/>
      <c r="M164" s="3"/>
      <c r="N164" s="3"/>
      <c r="O164" s="3"/>
      <c r="P164" s="3"/>
      <c r="Q164" s="3"/>
      <c r="R164" s="3"/>
      <c r="S164" s="3"/>
      <c r="T164" s="3"/>
      <c r="U164" s="3"/>
      <c r="V164" s="3"/>
      <c r="W164" s="3"/>
    </row>
    <row r="165" spans="1:23" ht="15.75" customHeight="1">
      <c r="A165" s="3"/>
      <c r="B165" s="3"/>
      <c r="C165" s="3"/>
      <c r="D165" s="3"/>
      <c r="E165" s="3"/>
      <c r="F165" s="3"/>
      <c r="G165" s="3"/>
      <c r="H165" s="3"/>
      <c r="I165" s="3"/>
      <c r="J165" s="3"/>
      <c r="K165" s="3"/>
      <c r="L165" s="3"/>
      <c r="M165" s="3"/>
      <c r="N165" s="3"/>
      <c r="O165" s="3"/>
      <c r="P165" s="3"/>
      <c r="Q165" s="3"/>
      <c r="R165" s="3"/>
      <c r="S165" s="3"/>
      <c r="T165" s="3"/>
      <c r="U165" s="3"/>
      <c r="V165" s="3"/>
      <c r="W165" s="3"/>
    </row>
    <row r="166" spans="1:23" ht="15.75" customHeight="1">
      <c r="A166" s="3"/>
      <c r="B166" s="3"/>
      <c r="C166" s="3"/>
      <c r="D166" s="3"/>
      <c r="E166" s="3"/>
      <c r="F166" s="3"/>
      <c r="G166" s="3"/>
      <c r="H166" s="3"/>
      <c r="I166" s="3"/>
      <c r="J166" s="3"/>
      <c r="K166" s="3"/>
      <c r="L166" s="3"/>
      <c r="M166" s="3"/>
      <c r="N166" s="3"/>
      <c r="O166" s="3"/>
      <c r="P166" s="3"/>
      <c r="Q166" s="3"/>
      <c r="R166" s="3"/>
      <c r="S166" s="3"/>
      <c r="T166" s="3"/>
      <c r="U166" s="3"/>
      <c r="V166" s="3"/>
      <c r="W166" s="3"/>
    </row>
    <row r="167" spans="1:23" ht="15.75" customHeight="1">
      <c r="A167" s="3"/>
      <c r="B167" s="3"/>
      <c r="C167" s="3"/>
      <c r="D167" s="3"/>
      <c r="E167" s="3"/>
      <c r="F167" s="3"/>
      <c r="G167" s="3"/>
      <c r="H167" s="3"/>
      <c r="I167" s="3"/>
      <c r="J167" s="3"/>
      <c r="K167" s="3"/>
      <c r="L167" s="3"/>
      <c r="M167" s="3"/>
      <c r="N167" s="3"/>
      <c r="O167" s="3"/>
      <c r="P167" s="3"/>
      <c r="Q167" s="3"/>
      <c r="R167" s="3"/>
      <c r="S167" s="3"/>
      <c r="T167" s="3"/>
      <c r="U167" s="3"/>
      <c r="V167" s="3"/>
      <c r="W167" s="3"/>
    </row>
    <row r="168" spans="1:23" ht="15.75" customHeight="1">
      <c r="A168" s="3"/>
      <c r="B168" s="3"/>
      <c r="C168" s="3"/>
      <c r="D168" s="3"/>
      <c r="E168" s="3"/>
      <c r="F168" s="3"/>
      <c r="G168" s="3"/>
      <c r="H168" s="3"/>
      <c r="I168" s="3"/>
      <c r="J168" s="3"/>
      <c r="K168" s="3"/>
      <c r="L168" s="3"/>
      <c r="M168" s="3"/>
      <c r="N168" s="3"/>
      <c r="O168" s="3"/>
      <c r="P168" s="3"/>
      <c r="Q168" s="3"/>
      <c r="R168" s="3"/>
      <c r="S168" s="3"/>
      <c r="T168" s="3"/>
      <c r="U168" s="3"/>
      <c r="V168" s="3"/>
      <c r="W168" s="3"/>
    </row>
    <row r="169" spans="1:23" ht="15.75" customHeight="1">
      <c r="A169" s="3"/>
      <c r="B169" s="3"/>
      <c r="C169" s="3"/>
      <c r="D169" s="3"/>
      <c r="E169" s="3"/>
      <c r="F169" s="3"/>
      <c r="G169" s="3"/>
      <c r="H169" s="3"/>
      <c r="I169" s="3"/>
      <c r="J169" s="3"/>
      <c r="K169" s="3"/>
      <c r="L169" s="3"/>
      <c r="M169" s="3"/>
      <c r="N169" s="3"/>
      <c r="O169" s="3"/>
      <c r="P169" s="3"/>
      <c r="Q169" s="3"/>
      <c r="R169" s="3"/>
      <c r="S169" s="3"/>
      <c r="T169" s="3"/>
      <c r="U169" s="3"/>
      <c r="V169" s="3"/>
      <c r="W169" s="3"/>
    </row>
    <row r="170" spans="1:23" ht="15.75" customHeight="1">
      <c r="A170" s="3"/>
      <c r="B170" s="3"/>
      <c r="C170" s="3"/>
      <c r="D170" s="3"/>
      <c r="E170" s="3"/>
      <c r="F170" s="3"/>
      <c r="G170" s="3"/>
      <c r="H170" s="3"/>
      <c r="I170" s="3"/>
      <c r="J170" s="3"/>
      <c r="K170" s="3"/>
      <c r="L170" s="3"/>
      <c r="M170" s="3"/>
      <c r="N170" s="3"/>
      <c r="O170" s="3"/>
      <c r="P170" s="3"/>
      <c r="Q170" s="3"/>
      <c r="R170" s="3"/>
      <c r="S170" s="3"/>
      <c r="T170" s="3"/>
      <c r="U170" s="3"/>
      <c r="V170" s="3"/>
      <c r="W170" s="3"/>
    </row>
    <row r="171" spans="1:23" ht="15.75" customHeight="1">
      <c r="A171" s="3"/>
      <c r="B171" s="3"/>
      <c r="C171" s="3"/>
      <c r="D171" s="3"/>
      <c r="E171" s="3"/>
      <c r="F171" s="3"/>
      <c r="G171" s="3"/>
      <c r="H171" s="3"/>
      <c r="I171" s="3"/>
      <c r="J171" s="3"/>
      <c r="K171" s="3"/>
      <c r="L171" s="3"/>
      <c r="M171" s="3"/>
      <c r="N171" s="3"/>
      <c r="O171" s="3"/>
      <c r="P171" s="3"/>
      <c r="Q171" s="3"/>
      <c r="R171" s="3"/>
      <c r="S171" s="3"/>
      <c r="T171" s="3"/>
      <c r="U171" s="3"/>
      <c r="V171" s="3"/>
      <c r="W171" s="3"/>
    </row>
    <row r="172" spans="1:23" ht="15.75" customHeight="1">
      <c r="A172" s="3"/>
      <c r="B172" s="3"/>
      <c r="C172" s="3"/>
      <c r="D172" s="3"/>
      <c r="E172" s="3"/>
      <c r="F172" s="3"/>
      <c r="G172" s="3"/>
      <c r="H172" s="3"/>
      <c r="I172" s="3"/>
      <c r="J172" s="3"/>
      <c r="K172" s="3"/>
      <c r="L172" s="3"/>
      <c r="M172" s="3"/>
      <c r="N172" s="3"/>
      <c r="O172" s="3"/>
      <c r="P172" s="3"/>
      <c r="Q172" s="3"/>
      <c r="R172" s="3"/>
      <c r="S172" s="3"/>
      <c r="T172" s="3"/>
      <c r="U172" s="3"/>
      <c r="V172" s="3"/>
      <c r="W172" s="3"/>
    </row>
    <row r="173" spans="1:23" ht="15.75" customHeight="1">
      <c r="A173" s="3"/>
      <c r="B173" s="3"/>
      <c r="C173" s="3"/>
      <c r="D173" s="3"/>
      <c r="E173" s="3"/>
      <c r="F173" s="3"/>
      <c r="G173" s="3"/>
      <c r="H173" s="3"/>
      <c r="I173" s="3"/>
      <c r="J173" s="3"/>
      <c r="K173" s="3"/>
      <c r="L173" s="3"/>
      <c r="M173" s="3"/>
      <c r="N173" s="3"/>
      <c r="O173" s="3"/>
      <c r="P173" s="3"/>
      <c r="Q173" s="3"/>
      <c r="R173" s="3"/>
      <c r="S173" s="3"/>
      <c r="T173" s="3"/>
      <c r="U173" s="3"/>
      <c r="V173" s="3"/>
      <c r="W173" s="3"/>
    </row>
    <row r="174" spans="1:23" ht="15.75" customHeight="1">
      <c r="A174" s="3"/>
      <c r="B174" s="3"/>
      <c r="C174" s="3"/>
      <c r="D174" s="3"/>
      <c r="E174" s="3"/>
      <c r="F174" s="3"/>
      <c r="G174" s="3"/>
      <c r="H174" s="3"/>
      <c r="I174" s="3"/>
      <c r="J174" s="3"/>
      <c r="K174" s="3"/>
      <c r="L174" s="3"/>
      <c r="M174" s="3"/>
      <c r="N174" s="3"/>
      <c r="O174" s="3"/>
      <c r="P174" s="3"/>
      <c r="Q174" s="3"/>
      <c r="R174" s="3"/>
      <c r="S174" s="3"/>
      <c r="T174" s="3"/>
      <c r="U174" s="3"/>
      <c r="V174" s="3"/>
      <c r="W174" s="3"/>
    </row>
    <row r="175" spans="1:23" ht="15.75" customHeight="1">
      <c r="A175" s="3"/>
      <c r="B175" s="3"/>
      <c r="C175" s="3"/>
      <c r="D175" s="3"/>
      <c r="E175" s="3"/>
      <c r="F175" s="3"/>
      <c r="G175" s="3"/>
      <c r="H175" s="3"/>
      <c r="I175" s="3"/>
      <c r="J175" s="3"/>
      <c r="K175" s="3"/>
      <c r="L175" s="3"/>
      <c r="M175" s="3"/>
      <c r="N175" s="3"/>
      <c r="O175" s="3"/>
      <c r="P175" s="3"/>
      <c r="Q175" s="3"/>
      <c r="R175" s="3"/>
      <c r="S175" s="3"/>
      <c r="T175" s="3"/>
      <c r="U175" s="3"/>
      <c r="V175" s="3"/>
      <c r="W175" s="3"/>
    </row>
    <row r="176" spans="1:23" ht="15.75" customHeight="1">
      <c r="A176" s="3"/>
      <c r="B176" s="3"/>
      <c r="C176" s="3"/>
      <c r="D176" s="3"/>
      <c r="E176" s="3"/>
      <c r="F176" s="3"/>
      <c r="G176" s="3"/>
      <c r="H176" s="3"/>
      <c r="I176" s="3"/>
      <c r="J176" s="3"/>
      <c r="K176" s="3"/>
      <c r="L176" s="3"/>
      <c r="M176" s="3"/>
      <c r="N176" s="3"/>
      <c r="O176" s="3"/>
      <c r="P176" s="3"/>
      <c r="Q176" s="3"/>
      <c r="R176" s="3"/>
      <c r="S176" s="3"/>
      <c r="T176" s="3"/>
      <c r="U176" s="3"/>
      <c r="V176" s="3"/>
      <c r="W176" s="3"/>
    </row>
    <row r="177" spans="1:23" ht="15.75" customHeight="1">
      <c r="A177" s="3"/>
      <c r="B177" s="3"/>
      <c r="C177" s="3"/>
      <c r="D177" s="3"/>
      <c r="E177" s="3"/>
      <c r="F177" s="3"/>
      <c r="G177" s="3"/>
      <c r="H177" s="3"/>
      <c r="I177" s="3"/>
      <c r="J177" s="3"/>
      <c r="K177" s="3"/>
      <c r="L177" s="3"/>
      <c r="M177" s="3"/>
      <c r="N177" s="3"/>
      <c r="O177" s="3"/>
      <c r="P177" s="3"/>
      <c r="Q177" s="3"/>
      <c r="R177" s="3"/>
      <c r="S177" s="3"/>
      <c r="T177" s="3"/>
      <c r="U177" s="3"/>
      <c r="V177" s="3"/>
      <c r="W177" s="3"/>
    </row>
    <row r="178" spans="1:23" ht="15.75" customHeight="1">
      <c r="A178" s="3"/>
      <c r="B178" s="3"/>
      <c r="C178" s="3"/>
      <c r="D178" s="3"/>
      <c r="E178" s="3"/>
      <c r="F178" s="3"/>
      <c r="G178" s="3"/>
      <c r="H178" s="3"/>
      <c r="I178" s="3"/>
      <c r="J178" s="3"/>
      <c r="K178" s="3"/>
      <c r="L178" s="3"/>
      <c r="M178" s="3"/>
      <c r="N178" s="3"/>
      <c r="O178" s="3"/>
      <c r="P178" s="3"/>
      <c r="Q178" s="3"/>
      <c r="R178" s="3"/>
      <c r="S178" s="3"/>
      <c r="T178" s="3"/>
      <c r="U178" s="3"/>
      <c r="V178" s="3"/>
      <c r="W178" s="3"/>
    </row>
    <row r="179" spans="1:23" ht="15.75" customHeight="1">
      <c r="A179" s="3"/>
      <c r="B179" s="3"/>
      <c r="C179" s="3"/>
      <c r="D179" s="3"/>
      <c r="E179" s="3"/>
      <c r="F179" s="3"/>
      <c r="G179" s="3"/>
      <c r="H179" s="3"/>
      <c r="I179" s="3"/>
      <c r="J179" s="3"/>
      <c r="K179" s="3"/>
      <c r="L179" s="3"/>
      <c r="M179" s="3"/>
      <c r="N179" s="3"/>
      <c r="O179" s="3"/>
      <c r="P179" s="3"/>
      <c r="Q179" s="3"/>
      <c r="R179" s="3"/>
      <c r="S179" s="3"/>
      <c r="T179" s="3"/>
      <c r="U179" s="3"/>
      <c r="V179" s="3"/>
      <c r="W179" s="3"/>
    </row>
    <row r="180" spans="1:23" ht="15.75" customHeight="1">
      <c r="A180" s="3"/>
      <c r="B180" s="3"/>
      <c r="C180" s="3"/>
      <c r="D180" s="3"/>
      <c r="E180" s="3"/>
      <c r="F180" s="3"/>
      <c r="G180" s="3"/>
      <c r="H180" s="3"/>
      <c r="I180" s="3"/>
      <c r="J180" s="3"/>
      <c r="K180" s="3"/>
      <c r="L180" s="3"/>
      <c r="M180" s="3"/>
      <c r="N180" s="3"/>
      <c r="O180" s="3"/>
      <c r="P180" s="3"/>
      <c r="Q180" s="3"/>
      <c r="R180" s="3"/>
      <c r="S180" s="3"/>
      <c r="T180" s="3"/>
      <c r="U180" s="3"/>
      <c r="V180" s="3"/>
      <c r="W180" s="3"/>
    </row>
    <row r="181" spans="1:23" ht="15.75" customHeight="1">
      <c r="A181" s="3"/>
      <c r="B181" s="3"/>
      <c r="C181" s="3"/>
      <c r="D181" s="3"/>
      <c r="E181" s="3"/>
      <c r="F181" s="3"/>
      <c r="G181" s="3"/>
      <c r="H181" s="3"/>
      <c r="I181" s="3"/>
      <c r="J181" s="3"/>
      <c r="K181" s="3"/>
      <c r="L181" s="3"/>
      <c r="M181" s="3"/>
      <c r="N181" s="3"/>
      <c r="O181" s="3"/>
      <c r="P181" s="3"/>
      <c r="Q181" s="3"/>
      <c r="R181" s="3"/>
      <c r="S181" s="3"/>
      <c r="T181" s="3"/>
      <c r="U181" s="3"/>
      <c r="V181" s="3"/>
      <c r="W181" s="3"/>
    </row>
    <row r="182" spans="1:23" ht="15.75" customHeight="1">
      <c r="A182" s="3"/>
      <c r="B182" s="3"/>
      <c r="C182" s="3"/>
      <c r="D182" s="3"/>
      <c r="E182" s="3"/>
      <c r="F182" s="3"/>
      <c r="G182" s="3"/>
      <c r="H182" s="3"/>
      <c r="I182" s="3"/>
      <c r="J182" s="3"/>
      <c r="K182" s="3"/>
      <c r="L182" s="3"/>
      <c r="M182" s="3"/>
      <c r="N182" s="3"/>
      <c r="O182" s="3"/>
      <c r="P182" s="3"/>
      <c r="Q182" s="3"/>
      <c r="R182" s="3"/>
      <c r="S182" s="3"/>
      <c r="T182" s="3"/>
      <c r="U182" s="3"/>
      <c r="V182" s="3"/>
      <c r="W182" s="3"/>
    </row>
    <row r="183" spans="1:23" ht="15.75" customHeight="1">
      <c r="A183" s="3"/>
      <c r="B183" s="3"/>
      <c r="C183" s="3"/>
      <c r="D183" s="3"/>
      <c r="E183" s="3"/>
      <c r="F183" s="3"/>
      <c r="G183" s="3"/>
      <c r="H183" s="3"/>
      <c r="I183" s="3"/>
      <c r="J183" s="3"/>
      <c r="K183" s="3"/>
      <c r="L183" s="3"/>
      <c r="M183" s="3"/>
      <c r="N183" s="3"/>
      <c r="O183" s="3"/>
      <c r="P183" s="3"/>
      <c r="Q183" s="3"/>
      <c r="R183" s="3"/>
      <c r="S183" s="3"/>
      <c r="T183" s="3"/>
      <c r="U183" s="3"/>
      <c r="V183" s="3"/>
      <c r="W183" s="3"/>
    </row>
    <row r="184" spans="1:23" ht="15.75" customHeight="1">
      <c r="A184" s="3"/>
      <c r="B184" s="3"/>
      <c r="C184" s="3"/>
      <c r="D184" s="3"/>
      <c r="E184" s="3"/>
      <c r="F184" s="3"/>
      <c r="G184" s="3"/>
      <c r="H184" s="3"/>
      <c r="I184" s="3"/>
      <c r="J184" s="3"/>
      <c r="K184" s="3"/>
      <c r="L184" s="3"/>
      <c r="M184" s="3"/>
      <c r="N184" s="3"/>
      <c r="O184" s="3"/>
      <c r="P184" s="3"/>
      <c r="Q184" s="3"/>
      <c r="R184" s="3"/>
      <c r="S184" s="3"/>
      <c r="T184" s="3"/>
      <c r="U184" s="3"/>
      <c r="V184" s="3"/>
      <c r="W184" s="3"/>
    </row>
    <row r="185" spans="1:23" ht="15.75" customHeight="1">
      <c r="A185" s="3"/>
      <c r="B185" s="3"/>
      <c r="C185" s="3"/>
      <c r="D185" s="3"/>
      <c r="E185" s="3"/>
      <c r="F185" s="3"/>
      <c r="G185" s="3"/>
      <c r="H185" s="3"/>
      <c r="I185" s="3"/>
      <c r="J185" s="3"/>
      <c r="K185" s="3"/>
      <c r="L185" s="3"/>
      <c r="M185" s="3"/>
      <c r="N185" s="3"/>
      <c r="O185" s="3"/>
      <c r="P185" s="3"/>
      <c r="Q185" s="3"/>
      <c r="R185" s="3"/>
      <c r="S185" s="3"/>
      <c r="T185" s="3"/>
      <c r="U185" s="3"/>
      <c r="V185" s="3"/>
      <c r="W185" s="3"/>
    </row>
    <row r="186" spans="1:23" ht="15.75" customHeight="1">
      <c r="A186" s="3"/>
      <c r="B186" s="3"/>
      <c r="C186" s="3"/>
      <c r="D186" s="3"/>
      <c r="E186" s="3"/>
      <c r="F186" s="3"/>
      <c r="G186" s="3"/>
      <c r="H186" s="3"/>
      <c r="I186" s="3"/>
      <c r="J186" s="3"/>
      <c r="K186" s="3"/>
      <c r="L186" s="3"/>
      <c r="M186" s="3"/>
      <c r="N186" s="3"/>
      <c r="O186" s="3"/>
      <c r="P186" s="3"/>
      <c r="Q186" s="3"/>
      <c r="R186" s="3"/>
      <c r="S186" s="3"/>
      <c r="T186" s="3"/>
      <c r="U186" s="3"/>
      <c r="V186" s="3"/>
      <c r="W186" s="3"/>
    </row>
    <row r="187" spans="1:23" ht="15.75" customHeight="1">
      <c r="A187" s="3"/>
      <c r="B187" s="3"/>
      <c r="C187" s="3"/>
      <c r="D187" s="3"/>
      <c r="E187" s="3"/>
      <c r="F187" s="3"/>
      <c r="G187" s="3"/>
      <c r="H187" s="3"/>
      <c r="I187" s="3"/>
      <c r="J187" s="3"/>
      <c r="K187" s="3"/>
      <c r="L187" s="3"/>
      <c r="M187" s="3"/>
      <c r="N187" s="3"/>
      <c r="O187" s="3"/>
      <c r="P187" s="3"/>
      <c r="Q187" s="3"/>
      <c r="R187" s="3"/>
      <c r="S187" s="3"/>
      <c r="T187" s="3"/>
      <c r="U187" s="3"/>
      <c r="V187" s="3"/>
      <c r="W187" s="3"/>
    </row>
    <row r="188" spans="1:23" ht="15.75" customHeight="1">
      <c r="A188" s="3"/>
      <c r="B188" s="3"/>
      <c r="C188" s="3"/>
      <c r="D188" s="3"/>
      <c r="E188" s="3"/>
      <c r="F188" s="3"/>
      <c r="G188" s="3"/>
      <c r="H188" s="3"/>
      <c r="I188" s="3"/>
      <c r="J188" s="3"/>
      <c r="K188" s="3"/>
      <c r="L188" s="3"/>
      <c r="M188" s="3"/>
      <c r="N188" s="3"/>
      <c r="O188" s="3"/>
      <c r="P188" s="3"/>
      <c r="Q188" s="3"/>
      <c r="R188" s="3"/>
      <c r="S188" s="3"/>
      <c r="T188" s="3"/>
      <c r="U188" s="3"/>
      <c r="V188" s="3"/>
      <c r="W188" s="3"/>
    </row>
    <row r="189" spans="1:23" ht="15.75" customHeight="1">
      <c r="A189" s="3"/>
      <c r="B189" s="3"/>
      <c r="C189" s="3"/>
      <c r="D189" s="3"/>
      <c r="E189" s="3"/>
      <c r="F189" s="3"/>
      <c r="G189" s="3"/>
      <c r="H189" s="3"/>
      <c r="I189" s="3"/>
      <c r="J189" s="3"/>
      <c r="K189" s="3"/>
      <c r="L189" s="3"/>
      <c r="M189" s="3"/>
      <c r="N189" s="3"/>
      <c r="O189" s="3"/>
      <c r="P189" s="3"/>
      <c r="Q189" s="3"/>
      <c r="R189" s="3"/>
      <c r="S189" s="3"/>
      <c r="T189" s="3"/>
      <c r="U189" s="3"/>
      <c r="V189" s="3"/>
      <c r="W189" s="3"/>
    </row>
    <row r="190" spans="1:23" ht="15.75" customHeight="1">
      <c r="A190" s="3"/>
      <c r="B190" s="3"/>
      <c r="C190" s="3"/>
      <c r="D190" s="3"/>
      <c r="E190" s="3"/>
      <c r="F190" s="3"/>
      <c r="G190" s="3"/>
      <c r="H190" s="3"/>
      <c r="I190" s="3"/>
      <c r="J190" s="3"/>
      <c r="K190" s="3"/>
      <c r="L190" s="3"/>
      <c r="M190" s="3"/>
      <c r="N190" s="3"/>
      <c r="O190" s="3"/>
      <c r="P190" s="3"/>
      <c r="Q190" s="3"/>
      <c r="R190" s="3"/>
      <c r="S190" s="3"/>
      <c r="T190" s="3"/>
      <c r="U190" s="3"/>
      <c r="V190" s="3"/>
      <c r="W190" s="3"/>
    </row>
    <row r="191" spans="1:23" ht="15.75" customHeight="1">
      <c r="A191" s="3"/>
      <c r="B191" s="3"/>
      <c r="C191" s="3"/>
      <c r="D191" s="3"/>
      <c r="E191" s="3"/>
      <c r="F191" s="3"/>
      <c r="G191" s="3"/>
      <c r="H191" s="3"/>
      <c r="I191" s="3"/>
      <c r="J191" s="3"/>
      <c r="K191" s="3"/>
      <c r="L191" s="3"/>
      <c r="M191" s="3"/>
      <c r="N191" s="3"/>
      <c r="O191" s="3"/>
      <c r="P191" s="3"/>
      <c r="Q191" s="3"/>
      <c r="R191" s="3"/>
      <c r="S191" s="3"/>
      <c r="T191" s="3"/>
      <c r="U191" s="3"/>
      <c r="V191" s="3"/>
      <c r="W191" s="3"/>
    </row>
    <row r="192" spans="1:23" ht="15.75" customHeight="1">
      <c r="A192" s="3"/>
      <c r="B192" s="3"/>
      <c r="C192" s="3"/>
      <c r="D192" s="3"/>
      <c r="E192" s="3"/>
      <c r="F192" s="3"/>
      <c r="G192" s="3"/>
      <c r="H192" s="3"/>
      <c r="I192" s="3"/>
      <c r="J192" s="3"/>
      <c r="K192" s="3"/>
      <c r="L192" s="3"/>
      <c r="M192" s="3"/>
      <c r="N192" s="3"/>
      <c r="O192" s="3"/>
      <c r="P192" s="3"/>
      <c r="Q192" s="3"/>
      <c r="R192" s="3"/>
      <c r="S192" s="3"/>
      <c r="T192" s="3"/>
      <c r="U192" s="3"/>
      <c r="V192" s="3"/>
      <c r="W192" s="3"/>
    </row>
    <row r="193" spans="1:23" ht="15.75" customHeight="1">
      <c r="A193" s="3"/>
      <c r="B193" s="3"/>
      <c r="C193" s="3"/>
      <c r="D193" s="3"/>
      <c r="E193" s="3"/>
      <c r="F193" s="3"/>
      <c r="G193" s="3"/>
      <c r="H193" s="3"/>
      <c r="I193" s="3"/>
      <c r="J193" s="3"/>
      <c r="K193" s="3"/>
      <c r="L193" s="3"/>
      <c r="M193" s="3"/>
      <c r="N193" s="3"/>
      <c r="O193" s="3"/>
      <c r="P193" s="3"/>
      <c r="Q193" s="3"/>
      <c r="R193" s="3"/>
      <c r="S193" s="3"/>
      <c r="T193" s="3"/>
      <c r="U193" s="3"/>
      <c r="V193" s="3"/>
      <c r="W193" s="3"/>
    </row>
    <row r="194" spans="1:23" ht="15.75" customHeight="1">
      <c r="A194" s="3"/>
      <c r="B194" s="3"/>
      <c r="C194" s="3"/>
      <c r="D194" s="3"/>
      <c r="E194" s="3"/>
      <c r="F194" s="3"/>
      <c r="G194" s="3"/>
      <c r="H194" s="3"/>
      <c r="I194" s="3"/>
      <c r="J194" s="3"/>
      <c r="K194" s="3"/>
      <c r="L194" s="3"/>
      <c r="M194" s="3"/>
      <c r="N194" s="3"/>
      <c r="O194" s="3"/>
      <c r="P194" s="3"/>
      <c r="Q194" s="3"/>
      <c r="R194" s="3"/>
      <c r="S194" s="3"/>
      <c r="T194" s="3"/>
      <c r="U194" s="3"/>
      <c r="V194" s="3"/>
      <c r="W194" s="3"/>
    </row>
    <row r="195" spans="1:23" ht="15.75" customHeight="1">
      <c r="A195" s="3"/>
      <c r="B195" s="3"/>
      <c r="C195" s="3"/>
      <c r="D195" s="3"/>
      <c r="E195" s="3"/>
      <c r="F195" s="3"/>
      <c r="G195" s="3"/>
      <c r="H195" s="3"/>
      <c r="I195" s="3"/>
      <c r="J195" s="3"/>
      <c r="K195" s="3"/>
      <c r="L195" s="3"/>
      <c r="M195" s="3"/>
      <c r="N195" s="3"/>
      <c r="O195" s="3"/>
      <c r="P195" s="3"/>
      <c r="Q195" s="3"/>
      <c r="R195" s="3"/>
      <c r="S195" s="3"/>
      <c r="T195" s="3"/>
      <c r="U195" s="3"/>
      <c r="V195" s="3"/>
      <c r="W195" s="3"/>
    </row>
    <row r="196" spans="1:23" ht="15.75" customHeight="1">
      <c r="A196" s="3"/>
      <c r="B196" s="3"/>
      <c r="C196" s="3"/>
      <c r="D196" s="3"/>
      <c r="E196" s="3"/>
      <c r="F196" s="3"/>
      <c r="G196" s="3"/>
      <c r="H196" s="3"/>
      <c r="I196" s="3"/>
      <c r="J196" s="3"/>
      <c r="K196" s="3"/>
      <c r="L196" s="3"/>
      <c r="M196" s="3"/>
      <c r="N196" s="3"/>
      <c r="O196" s="3"/>
      <c r="P196" s="3"/>
      <c r="Q196" s="3"/>
      <c r="R196" s="3"/>
      <c r="S196" s="3"/>
      <c r="T196" s="3"/>
      <c r="U196" s="3"/>
      <c r="V196" s="3"/>
      <c r="W196" s="3"/>
    </row>
    <row r="197" spans="1:23" ht="15.75" customHeight="1">
      <c r="A197" s="3"/>
      <c r="B197" s="3"/>
      <c r="C197" s="3"/>
      <c r="D197" s="3"/>
      <c r="E197" s="3"/>
      <c r="F197" s="3"/>
      <c r="G197" s="3"/>
      <c r="H197" s="3"/>
      <c r="I197" s="3"/>
      <c r="J197" s="3"/>
      <c r="K197" s="3"/>
      <c r="L197" s="3"/>
      <c r="M197" s="3"/>
      <c r="N197" s="3"/>
      <c r="O197" s="3"/>
      <c r="P197" s="3"/>
      <c r="Q197" s="3"/>
      <c r="R197" s="3"/>
      <c r="S197" s="3"/>
      <c r="T197" s="3"/>
      <c r="U197" s="3"/>
      <c r="V197" s="3"/>
      <c r="W197" s="3"/>
    </row>
    <row r="198" spans="1:23" ht="15.75" customHeight="1">
      <c r="A198" s="3"/>
      <c r="B198" s="3"/>
      <c r="C198" s="3"/>
      <c r="D198" s="3"/>
      <c r="E198" s="3"/>
      <c r="F198" s="3"/>
      <c r="G198" s="3"/>
      <c r="H198" s="3"/>
      <c r="I198" s="3"/>
      <c r="J198" s="3"/>
      <c r="K198" s="3"/>
      <c r="L198" s="3"/>
      <c r="M198" s="3"/>
      <c r="N198" s="3"/>
      <c r="O198" s="3"/>
      <c r="P198" s="3"/>
      <c r="Q198" s="3"/>
      <c r="R198" s="3"/>
      <c r="S198" s="3"/>
      <c r="T198" s="3"/>
      <c r="U198" s="3"/>
      <c r="V198" s="3"/>
      <c r="W198" s="3"/>
    </row>
    <row r="199" spans="1:23" ht="15.75" customHeight="1">
      <c r="A199" s="3"/>
      <c r="B199" s="3"/>
      <c r="C199" s="3"/>
      <c r="D199" s="3"/>
      <c r="E199" s="3"/>
      <c r="F199" s="3"/>
      <c r="G199" s="3"/>
      <c r="H199" s="3"/>
      <c r="I199" s="3"/>
      <c r="J199" s="3"/>
      <c r="K199" s="3"/>
      <c r="L199" s="3"/>
      <c r="M199" s="3"/>
      <c r="N199" s="3"/>
      <c r="O199" s="3"/>
      <c r="P199" s="3"/>
      <c r="Q199" s="3"/>
      <c r="R199" s="3"/>
      <c r="S199" s="3"/>
      <c r="T199" s="3"/>
      <c r="U199" s="3"/>
      <c r="V199" s="3"/>
      <c r="W199" s="3"/>
    </row>
    <row r="200" spans="1:23" ht="15.75" customHeight="1">
      <c r="A200" s="3"/>
      <c r="B200" s="3"/>
      <c r="C200" s="3"/>
      <c r="D200" s="3"/>
      <c r="E200" s="3"/>
      <c r="F200" s="3"/>
      <c r="G200" s="3"/>
      <c r="H200" s="3"/>
      <c r="I200" s="3"/>
      <c r="J200" s="3"/>
      <c r="K200" s="3"/>
      <c r="L200" s="3"/>
      <c r="M200" s="3"/>
      <c r="N200" s="3"/>
      <c r="O200" s="3"/>
      <c r="P200" s="3"/>
      <c r="Q200" s="3"/>
      <c r="R200" s="3"/>
      <c r="S200" s="3"/>
      <c r="T200" s="3"/>
      <c r="U200" s="3"/>
      <c r="V200" s="3"/>
      <c r="W200" s="3"/>
    </row>
    <row r="201" spans="1:23" ht="15.75" customHeight="1">
      <c r="A201" s="3"/>
      <c r="B201" s="3"/>
      <c r="C201" s="3"/>
      <c r="D201" s="3"/>
      <c r="E201" s="3"/>
      <c r="F201" s="3"/>
      <c r="G201" s="3"/>
      <c r="H201" s="3"/>
      <c r="I201" s="3"/>
      <c r="J201" s="3"/>
      <c r="K201" s="3"/>
      <c r="L201" s="3"/>
      <c r="M201" s="3"/>
      <c r="N201" s="3"/>
      <c r="O201" s="3"/>
      <c r="P201" s="3"/>
      <c r="Q201" s="3"/>
      <c r="R201" s="3"/>
      <c r="S201" s="3"/>
      <c r="T201" s="3"/>
      <c r="U201" s="3"/>
      <c r="V201" s="3"/>
      <c r="W201" s="3"/>
    </row>
    <row r="202" spans="1:23" ht="15.75" customHeight="1">
      <c r="A202" s="3"/>
      <c r="B202" s="3"/>
      <c r="C202" s="3"/>
      <c r="D202" s="3"/>
      <c r="E202" s="3"/>
      <c r="F202" s="3"/>
      <c r="G202" s="3"/>
      <c r="H202" s="3"/>
      <c r="I202" s="3"/>
      <c r="J202" s="3"/>
      <c r="K202" s="3"/>
      <c r="L202" s="3"/>
      <c r="M202" s="3"/>
      <c r="N202" s="3"/>
      <c r="O202" s="3"/>
      <c r="P202" s="3"/>
      <c r="Q202" s="3"/>
      <c r="R202" s="3"/>
      <c r="S202" s="3"/>
      <c r="T202" s="3"/>
      <c r="U202" s="3"/>
      <c r="V202" s="3"/>
      <c r="W202" s="3"/>
    </row>
    <row r="203" spans="1:23" ht="15.75" customHeight="1">
      <c r="A203" s="3"/>
      <c r="B203" s="3"/>
      <c r="C203" s="3"/>
      <c r="D203" s="3"/>
      <c r="E203" s="3"/>
      <c r="F203" s="3"/>
      <c r="G203" s="3"/>
      <c r="H203" s="3"/>
      <c r="I203" s="3"/>
      <c r="J203" s="3"/>
      <c r="K203" s="3"/>
      <c r="L203" s="3"/>
      <c r="M203" s="3"/>
      <c r="N203" s="3"/>
      <c r="O203" s="3"/>
      <c r="P203" s="3"/>
      <c r="Q203" s="3"/>
      <c r="R203" s="3"/>
      <c r="S203" s="3"/>
      <c r="T203" s="3"/>
      <c r="U203" s="3"/>
      <c r="V203" s="3"/>
      <c r="W203" s="3"/>
    </row>
    <row r="204" spans="1:23" ht="15.75" customHeight="1">
      <c r="A204" s="3"/>
      <c r="B204" s="3"/>
      <c r="C204" s="3"/>
      <c r="D204" s="3"/>
      <c r="E204" s="3"/>
      <c r="F204" s="3"/>
      <c r="G204" s="3"/>
      <c r="H204" s="3"/>
      <c r="I204" s="3"/>
      <c r="J204" s="3"/>
      <c r="K204" s="3"/>
      <c r="L204" s="3"/>
      <c r="M204" s="3"/>
      <c r="N204" s="3"/>
      <c r="O204" s="3"/>
      <c r="P204" s="3"/>
      <c r="Q204" s="3"/>
      <c r="R204" s="3"/>
      <c r="S204" s="3"/>
      <c r="T204" s="3"/>
      <c r="U204" s="3"/>
      <c r="V204" s="3"/>
      <c r="W204" s="3"/>
    </row>
    <row r="205" spans="1:23" ht="15.75" customHeight="1">
      <c r="A205" s="3"/>
      <c r="B205" s="3"/>
      <c r="C205" s="3"/>
      <c r="D205" s="3"/>
      <c r="E205" s="3"/>
      <c r="F205" s="3"/>
      <c r="G205" s="3"/>
      <c r="H205" s="3"/>
      <c r="I205" s="3"/>
      <c r="J205" s="3"/>
      <c r="K205" s="3"/>
      <c r="L205" s="3"/>
      <c r="M205" s="3"/>
      <c r="N205" s="3"/>
      <c r="O205" s="3"/>
      <c r="P205" s="3"/>
      <c r="Q205" s="3"/>
      <c r="R205" s="3"/>
      <c r="S205" s="3"/>
      <c r="T205" s="3"/>
      <c r="U205" s="3"/>
      <c r="V205" s="3"/>
      <c r="W205" s="3"/>
    </row>
    <row r="206" spans="1:23" ht="15.75" customHeight="1">
      <c r="A206" s="3"/>
      <c r="B206" s="3"/>
      <c r="C206" s="3"/>
      <c r="D206" s="3"/>
      <c r="E206" s="3"/>
      <c r="F206" s="3"/>
      <c r="G206" s="3"/>
      <c r="H206" s="3"/>
      <c r="I206" s="3"/>
      <c r="J206" s="3"/>
      <c r="K206" s="3"/>
      <c r="L206" s="3"/>
      <c r="M206" s="3"/>
      <c r="N206" s="3"/>
      <c r="O206" s="3"/>
      <c r="P206" s="3"/>
      <c r="Q206" s="3"/>
      <c r="R206" s="3"/>
      <c r="S206" s="3"/>
      <c r="T206" s="3"/>
      <c r="U206" s="3"/>
      <c r="V206" s="3"/>
      <c r="W206" s="3"/>
    </row>
    <row r="207" spans="1:23" ht="15.75" customHeight="1">
      <c r="A207" s="3"/>
      <c r="B207" s="3"/>
      <c r="C207" s="3"/>
      <c r="D207" s="3"/>
      <c r="E207" s="3"/>
      <c r="F207" s="3"/>
      <c r="G207" s="3"/>
      <c r="H207" s="3"/>
      <c r="I207" s="3"/>
      <c r="J207" s="3"/>
      <c r="K207" s="3"/>
      <c r="L207" s="3"/>
      <c r="M207" s="3"/>
      <c r="N207" s="3"/>
      <c r="O207" s="3"/>
      <c r="P207" s="3"/>
      <c r="Q207" s="3"/>
      <c r="R207" s="3"/>
      <c r="S207" s="3"/>
      <c r="T207" s="3"/>
      <c r="U207" s="3"/>
      <c r="V207" s="3"/>
      <c r="W207" s="3"/>
    </row>
    <row r="208" spans="1:23" ht="15.75" customHeight="1">
      <c r="A208" s="3"/>
      <c r="B208" s="3"/>
      <c r="C208" s="3"/>
      <c r="D208" s="3"/>
      <c r="E208" s="3"/>
      <c r="F208" s="3"/>
      <c r="G208" s="3"/>
      <c r="H208" s="3"/>
      <c r="I208" s="3"/>
      <c r="J208" s="3"/>
      <c r="K208" s="3"/>
      <c r="L208" s="3"/>
      <c r="M208" s="3"/>
      <c r="N208" s="3"/>
      <c r="O208" s="3"/>
      <c r="P208" s="3"/>
      <c r="Q208" s="3"/>
      <c r="R208" s="3"/>
      <c r="S208" s="3"/>
      <c r="T208" s="3"/>
      <c r="U208" s="3"/>
      <c r="V208" s="3"/>
      <c r="W208" s="3"/>
    </row>
    <row r="209" spans="1:23" ht="15.75" customHeight="1">
      <c r="A209" s="3"/>
      <c r="B209" s="3"/>
      <c r="C209" s="3"/>
      <c r="D209" s="3"/>
      <c r="E209" s="3"/>
      <c r="F209" s="3"/>
      <c r="G209" s="3"/>
      <c r="H209" s="3"/>
      <c r="I209" s="3"/>
      <c r="J209" s="3"/>
      <c r="K209" s="3"/>
      <c r="L209" s="3"/>
      <c r="M209" s="3"/>
      <c r="N209" s="3"/>
      <c r="O209" s="3"/>
      <c r="P209" s="3"/>
      <c r="Q209" s="3"/>
      <c r="R209" s="3"/>
      <c r="S209" s="3"/>
      <c r="T209" s="3"/>
      <c r="U209" s="3"/>
      <c r="V209" s="3"/>
      <c r="W209" s="3"/>
    </row>
    <row r="210" spans="1:23" ht="15.75" customHeight="1">
      <c r="A210" s="3"/>
      <c r="B210" s="3"/>
      <c r="C210" s="3"/>
      <c r="D210" s="3"/>
      <c r="E210" s="3"/>
      <c r="F210" s="3"/>
      <c r="G210" s="3"/>
      <c r="H210" s="3"/>
      <c r="I210" s="3"/>
      <c r="J210" s="3"/>
      <c r="K210" s="3"/>
      <c r="L210" s="3"/>
      <c r="M210" s="3"/>
      <c r="N210" s="3"/>
      <c r="O210" s="3"/>
      <c r="P210" s="3"/>
      <c r="Q210" s="3"/>
      <c r="R210" s="3"/>
      <c r="S210" s="3"/>
      <c r="T210" s="3"/>
      <c r="U210" s="3"/>
      <c r="V210" s="3"/>
      <c r="W210" s="3"/>
    </row>
    <row r="211" spans="1:23" ht="15.75" customHeight="1">
      <c r="A211" s="3"/>
      <c r="B211" s="3"/>
      <c r="C211" s="3"/>
      <c r="D211" s="3"/>
      <c r="E211" s="3"/>
      <c r="F211" s="3"/>
      <c r="G211" s="3"/>
      <c r="H211" s="3"/>
      <c r="I211" s="3"/>
      <c r="J211" s="3"/>
      <c r="K211" s="3"/>
      <c r="L211" s="3"/>
      <c r="M211" s="3"/>
      <c r="N211" s="3"/>
      <c r="O211" s="3"/>
      <c r="P211" s="3"/>
      <c r="Q211" s="3"/>
      <c r="R211" s="3"/>
      <c r="S211" s="3"/>
      <c r="T211" s="3"/>
      <c r="U211" s="3"/>
      <c r="V211" s="3"/>
      <c r="W211" s="3"/>
    </row>
    <row r="212" spans="1:23" ht="15.75" customHeight="1">
      <c r="A212" s="3"/>
      <c r="B212" s="3"/>
      <c r="C212" s="3"/>
      <c r="D212" s="3"/>
      <c r="E212" s="3"/>
      <c r="F212" s="3"/>
      <c r="G212" s="3"/>
      <c r="H212" s="3"/>
      <c r="I212" s="3"/>
      <c r="J212" s="3"/>
      <c r="K212" s="3"/>
      <c r="L212" s="3"/>
      <c r="M212" s="3"/>
      <c r="N212" s="3"/>
      <c r="O212" s="3"/>
      <c r="P212" s="3"/>
      <c r="Q212" s="3"/>
      <c r="R212" s="3"/>
      <c r="S212" s="3"/>
      <c r="T212" s="3"/>
      <c r="U212" s="3"/>
      <c r="V212" s="3"/>
      <c r="W212" s="3"/>
    </row>
    <row r="213" spans="1:23" ht="15.75" customHeight="1">
      <c r="A213" s="3"/>
      <c r="B213" s="3"/>
      <c r="C213" s="3"/>
      <c r="D213" s="3"/>
      <c r="E213" s="3"/>
      <c r="F213" s="3"/>
      <c r="G213" s="3"/>
      <c r="H213" s="3"/>
      <c r="I213" s="3"/>
      <c r="J213" s="3"/>
      <c r="K213" s="3"/>
      <c r="L213" s="3"/>
      <c r="M213" s="3"/>
      <c r="N213" s="3"/>
      <c r="O213" s="3"/>
      <c r="P213" s="3"/>
      <c r="Q213" s="3"/>
      <c r="R213" s="3"/>
      <c r="S213" s="3"/>
      <c r="T213" s="3"/>
      <c r="U213" s="3"/>
      <c r="V213" s="3"/>
      <c r="W213" s="3"/>
    </row>
    <row r="214" spans="1:23" ht="15.75" customHeight="1">
      <c r="A214" s="3"/>
      <c r="B214" s="3"/>
      <c r="C214" s="3"/>
      <c r="D214" s="3"/>
      <c r="E214" s="3"/>
      <c r="F214" s="3"/>
      <c r="G214" s="3"/>
      <c r="H214" s="3"/>
      <c r="I214" s="3"/>
      <c r="J214" s="3"/>
      <c r="K214" s="3"/>
      <c r="L214" s="3"/>
      <c r="M214" s="3"/>
      <c r="N214" s="3"/>
      <c r="O214" s="3"/>
      <c r="P214" s="3"/>
      <c r="Q214" s="3"/>
      <c r="R214" s="3"/>
      <c r="S214" s="3"/>
      <c r="T214" s="3"/>
      <c r="U214" s="3"/>
      <c r="V214" s="3"/>
      <c r="W214" s="3"/>
    </row>
    <row r="215" spans="1:23" ht="15.75" customHeight="1">
      <c r="A215" s="3"/>
      <c r="B215" s="3"/>
      <c r="C215" s="3"/>
      <c r="D215" s="3"/>
      <c r="E215" s="3"/>
      <c r="F215" s="3"/>
      <c r="G215" s="3"/>
      <c r="H215" s="3"/>
      <c r="I215" s="3"/>
      <c r="J215" s="3"/>
      <c r="K215" s="3"/>
      <c r="L215" s="3"/>
      <c r="M215" s="3"/>
      <c r="N215" s="3"/>
      <c r="O215" s="3"/>
      <c r="P215" s="3"/>
      <c r="Q215" s="3"/>
      <c r="R215" s="3"/>
      <c r="S215" s="3"/>
      <c r="T215" s="3"/>
      <c r="U215" s="3"/>
      <c r="V215" s="3"/>
      <c r="W215" s="3"/>
    </row>
    <row r="216" spans="1:23" ht="15.75" customHeight="1">
      <c r="A216" s="3"/>
      <c r="B216" s="3"/>
      <c r="C216" s="3"/>
      <c r="D216" s="3"/>
      <c r="E216" s="3"/>
      <c r="F216" s="3"/>
      <c r="G216" s="3"/>
      <c r="H216" s="3"/>
      <c r="I216" s="3"/>
      <c r="J216" s="3"/>
      <c r="K216" s="3"/>
      <c r="L216" s="3"/>
      <c r="M216" s="3"/>
      <c r="N216" s="3"/>
      <c r="O216" s="3"/>
      <c r="P216" s="3"/>
      <c r="Q216" s="3"/>
      <c r="R216" s="3"/>
      <c r="S216" s="3"/>
      <c r="T216" s="3"/>
      <c r="U216" s="3"/>
      <c r="V216" s="3"/>
      <c r="W216" s="3"/>
    </row>
    <row r="217" spans="1:23" ht="15.75" customHeight="1">
      <c r="A217" s="3"/>
      <c r="B217" s="3"/>
      <c r="C217" s="3"/>
      <c r="D217" s="3"/>
      <c r="E217" s="3"/>
      <c r="F217" s="3"/>
      <c r="G217" s="3"/>
      <c r="H217" s="3"/>
      <c r="I217" s="3"/>
      <c r="J217" s="3"/>
      <c r="K217" s="3"/>
      <c r="L217" s="3"/>
      <c r="M217" s="3"/>
      <c r="N217" s="3"/>
      <c r="O217" s="3"/>
      <c r="P217" s="3"/>
      <c r="Q217" s="3"/>
      <c r="R217" s="3"/>
      <c r="S217" s="3"/>
      <c r="T217" s="3"/>
      <c r="U217" s="3"/>
      <c r="V217" s="3"/>
      <c r="W217" s="3"/>
    </row>
    <row r="218" spans="1:23" ht="15.75" customHeight="1">
      <c r="A218" s="3"/>
      <c r="B218" s="3"/>
      <c r="C218" s="3"/>
      <c r="D218" s="3"/>
      <c r="E218" s="3"/>
      <c r="F218" s="3"/>
      <c r="G218" s="3"/>
      <c r="H218" s="3"/>
      <c r="I218" s="3"/>
      <c r="J218" s="3"/>
      <c r="K218" s="3"/>
      <c r="L218" s="3"/>
      <c r="M218" s="3"/>
      <c r="N218" s="3"/>
      <c r="O218" s="3"/>
      <c r="P218" s="3"/>
      <c r="Q218" s="3"/>
      <c r="R218" s="3"/>
      <c r="S218" s="3"/>
      <c r="T218" s="3"/>
      <c r="U218" s="3"/>
      <c r="V218" s="3"/>
      <c r="W218" s="3"/>
    </row>
    <row r="219" spans="1:23" ht="15.75" customHeight="1">
      <c r="A219" s="3"/>
      <c r="B219" s="3"/>
      <c r="C219" s="3"/>
      <c r="D219" s="3"/>
      <c r="E219" s="3"/>
      <c r="F219" s="3"/>
      <c r="G219" s="3"/>
      <c r="H219" s="3"/>
      <c r="I219" s="3"/>
      <c r="J219" s="3"/>
      <c r="K219" s="3"/>
      <c r="L219" s="3"/>
      <c r="M219" s="3"/>
      <c r="N219" s="3"/>
      <c r="O219" s="3"/>
      <c r="P219" s="3"/>
      <c r="Q219" s="3"/>
      <c r="R219" s="3"/>
      <c r="S219" s="3"/>
      <c r="T219" s="3"/>
      <c r="U219" s="3"/>
      <c r="V219" s="3"/>
      <c r="W219" s="3"/>
    </row>
    <row r="220" spans="1:23" ht="15.75" customHeight="1">
      <c r="A220" s="3"/>
      <c r="B220" s="3"/>
      <c r="C220" s="3"/>
      <c r="D220" s="3"/>
      <c r="E220" s="3"/>
      <c r="F220" s="3"/>
      <c r="G220" s="3"/>
      <c r="H220" s="3"/>
      <c r="I220" s="3"/>
      <c r="J220" s="3"/>
      <c r="K220" s="3"/>
      <c r="L220" s="3"/>
      <c r="M220" s="3"/>
      <c r="N220" s="3"/>
      <c r="O220" s="3"/>
      <c r="P220" s="3"/>
      <c r="Q220" s="3"/>
      <c r="R220" s="3"/>
      <c r="S220" s="3"/>
      <c r="T220" s="3"/>
      <c r="U220" s="3"/>
      <c r="V220" s="3"/>
      <c r="W220" s="3"/>
    </row>
    <row r="221" spans="1:23" ht="15.75" customHeight="1">
      <c r="A221" s="3"/>
      <c r="B221" s="3"/>
      <c r="C221" s="3"/>
      <c r="D221" s="3"/>
      <c r="E221" s="3"/>
      <c r="F221" s="3"/>
      <c r="G221" s="3"/>
      <c r="H221" s="3"/>
      <c r="I221" s="3"/>
      <c r="J221" s="3"/>
      <c r="K221" s="3"/>
      <c r="L221" s="3"/>
      <c r="M221" s="3"/>
      <c r="N221" s="3"/>
      <c r="O221" s="3"/>
      <c r="P221" s="3"/>
      <c r="Q221" s="3"/>
      <c r="R221" s="3"/>
      <c r="S221" s="3"/>
      <c r="T221" s="3"/>
      <c r="U221" s="3"/>
      <c r="V221" s="3"/>
      <c r="W221" s="3"/>
    </row>
    <row r="222" spans="1:23" ht="15.75" customHeight="1">
      <c r="A222" s="3"/>
      <c r="B222" s="3"/>
      <c r="C222" s="3"/>
      <c r="D222" s="3"/>
      <c r="E222" s="3"/>
      <c r="F222" s="3"/>
      <c r="G222" s="3"/>
      <c r="H222" s="3"/>
      <c r="I222" s="3"/>
      <c r="J222" s="3"/>
      <c r="K222" s="3"/>
      <c r="L222" s="3"/>
      <c r="M222" s="3"/>
      <c r="N222" s="3"/>
      <c r="O222" s="3"/>
      <c r="P222" s="3"/>
      <c r="Q222" s="3"/>
      <c r="R222" s="3"/>
      <c r="S222" s="3"/>
      <c r="T222" s="3"/>
      <c r="U222" s="3"/>
      <c r="V222" s="3"/>
      <c r="W222" s="3"/>
    </row>
    <row r="223" spans="1:23" ht="15.75" customHeight="1">
      <c r="A223" s="3"/>
      <c r="B223" s="3"/>
      <c r="C223" s="3"/>
      <c r="D223" s="3"/>
      <c r="E223" s="3"/>
      <c r="F223" s="3"/>
      <c r="G223" s="3"/>
      <c r="H223" s="3"/>
      <c r="I223" s="3"/>
      <c r="J223" s="3"/>
      <c r="K223" s="3"/>
      <c r="L223" s="3"/>
      <c r="M223" s="3"/>
      <c r="N223" s="3"/>
      <c r="O223" s="3"/>
      <c r="P223" s="3"/>
      <c r="Q223" s="3"/>
      <c r="R223" s="3"/>
      <c r="S223" s="3"/>
      <c r="T223" s="3"/>
      <c r="U223" s="3"/>
      <c r="V223" s="3"/>
      <c r="W223" s="3"/>
    </row>
    <row r="224" spans="1:23" ht="15.75" customHeight="1">
      <c r="A224" s="3"/>
      <c r="B224" s="3"/>
      <c r="C224" s="3"/>
      <c r="D224" s="3"/>
      <c r="E224" s="3"/>
      <c r="F224" s="3"/>
      <c r="G224" s="3"/>
      <c r="H224" s="3"/>
      <c r="I224" s="3"/>
      <c r="J224" s="3"/>
      <c r="K224" s="3"/>
      <c r="L224" s="3"/>
      <c r="M224" s="3"/>
      <c r="N224" s="3"/>
      <c r="O224" s="3"/>
      <c r="P224" s="3"/>
      <c r="Q224" s="3"/>
      <c r="R224" s="3"/>
      <c r="S224" s="3"/>
      <c r="T224" s="3"/>
      <c r="U224" s="3"/>
      <c r="V224" s="3"/>
      <c r="W224" s="3"/>
    </row>
    <row r="225" spans="1:23" ht="15.75" customHeight="1">
      <c r="A225" s="3"/>
      <c r="B225" s="3"/>
      <c r="C225" s="3"/>
      <c r="D225" s="3"/>
      <c r="E225" s="3"/>
      <c r="F225" s="3"/>
      <c r="G225" s="3"/>
      <c r="H225" s="3"/>
      <c r="I225" s="3"/>
      <c r="J225" s="3"/>
      <c r="K225" s="3"/>
      <c r="L225" s="3"/>
      <c r="M225" s="3"/>
      <c r="N225" s="3"/>
      <c r="O225" s="3"/>
      <c r="P225" s="3"/>
      <c r="Q225" s="3"/>
      <c r="R225" s="3"/>
      <c r="S225" s="3"/>
      <c r="T225" s="3"/>
      <c r="U225" s="3"/>
      <c r="V225" s="3"/>
      <c r="W225" s="3"/>
    </row>
    <row r="226" spans="1:23" ht="15.75" customHeight="1">
      <c r="A226" s="3"/>
      <c r="B226" s="3"/>
      <c r="C226" s="3"/>
      <c r="D226" s="3"/>
      <c r="E226" s="3"/>
      <c r="F226" s="3"/>
      <c r="G226" s="3"/>
      <c r="H226" s="3"/>
      <c r="I226" s="3"/>
      <c r="J226" s="3"/>
      <c r="K226" s="3"/>
      <c r="L226" s="3"/>
      <c r="M226" s="3"/>
      <c r="N226" s="3"/>
      <c r="O226" s="3"/>
      <c r="P226" s="3"/>
      <c r="Q226" s="3"/>
      <c r="R226" s="3"/>
      <c r="S226" s="3"/>
      <c r="T226" s="3"/>
      <c r="U226" s="3"/>
      <c r="V226" s="3"/>
      <c r="W226" s="3"/>
    </row>
    <row r="227" spans="1:23" ht="15.75" customHeight="1">
      <c r="A227" s="3"/>
      <c r="B227" s="3"/>
      <c r="C227" s="3"/>
      <c r="D227" s="3"/>
      <c r="E227" s="3"/>
      <c r="F227" s="3"/>
      <c r="G227" s="3"/>
      <c r="H227" s="3"/>
      <c r="I227" s="3"/>
      <c r="J227" s="3"/>
      <c r="K227" s="3"/>
      <c r="L227" s="3"/>
      <c r="M227" s="3"/>
      <c r="N227" s="3"/>
      <c r="O227" s="3"/>
      <c r="P227" s="3"/>
      <c r="Q227" s="3"/>
      <c r="R227" s="3"/>
      <c r="S227" s="3"/>
      <c r="T227" s="3"/>
      <c r="U227" s="3"/>
      <c r="V227" s="3"/>
      <c r="W227" s="3"/>
    </row>
    <row r="228" spans="1:23" ht="15.75" customHeight="1">
      <c r="A228" s="3"/>
      <c r="B228" s="3"/>
      <c r="C228" s="3"/>
      <c r="D228" s="3"/>
      <c r="E228" s="3"/>
      <c r="F228" s="3"/>
      <c r="G228" s="3"/>
      <c r="H228" s="3"/>
      <c r="I228" s="3"/>
      <c r="J228" s="3"/>
      <c r="K228" s="3"/>
      <c r="L228" s="3"/>
      <c r="M228" s="3"/>
      <c r="N228" s="3"/>
      <c r="O228" s="3"/>
      <c r="P228" s="3"/>
      <c r="Q228" s="3"/>
      <c r="R228" s="3"/>
      <c r="S228" s="3"/>
      <c r="T228" s="3"/>
      <c r="U228" s="3"/>
      <c r="V228" s="3"/>
      <c r="W228" s="3"/>
    </row>
    <row r="229" spans="1:23" ht="15.75" customHeight="1">
      <c r="A229" s="3"/>
      <c r="B229" s="3"/>
      <c r="C229" s="3"/>
      <c r="D229" s="3"/>
      <c r="E229" s="3"/>
      <c r="F229" s="3"/>
      <c r="G229" s="3"/>
      <c r="H229" s="3"/>
      <c r="I229" s="3"/>
      <c r="J229" s="3"/>
      <c r="K229" s="3"/>
      <c r="L229" s="3"/>
      <c r="M229" s="3"/>
      <c r="N229" s="3"/>
      <c r="O229" s="3"/>
      <c r="P229" s="3"/>
      <c r="Q229" s="3"/>
      <c r="R229" s="3"/>
      <c r="S229" s="3"/>
      <c r="T229" s="3"/>
      <c r="U229" s="3"/>
      <c r="V229" s="3"/>
      <c r="W229" s="3"/>
    </row>
    <row r="230" spans="1:23" ht="15.75" customHeight="1">
      <c r="A230" s="3"/>
      <c r="B230" s="3"/>
      <c r="C230" s="3"/>
      <c r="D230" s="3"/>
      <c r="E230" s="3"/>
      <c r="F230" s="3"/>
      <c r="G230" s="3"/>
      <c r="H230" s="3"/>
      <c r="I230" s="3"/>
      <c r="J230" s="3"/>
      <c r="K230" s="3"/>
      <c r="L230" s="3"/>
      <c r="M230" s="3"/>
      <c r="N230" s="3"/>
      <c r="O230" s="3"/>
      <c r="P230" s="3"/>
      <c r="Q230" s="3"/>
      <c r="R230" s="3"/>
      <c r="S230" s="3"/>
      <c r="T230" s="3"/>
      <c r="U230" s="3"/>
      <c r="V230" s="3"/>
      <c r="W230" s="3"/>
    </row>
    <row r="231" spans="1:23" ht="15.75" customHeight="1">
      <c r="A231" s="3"/>
      <c r="B231" s="3"/>
      <c r="C231" s="3"/>
      <c r="D231" s="3"/>
      <c r="E231" s="3"/>
      <c r="F231" s="3"/>
      <c r="G231" s="3"/>
      <c r="H231" s="3"/>
      <c r="I231" s="3"/>
      <c r="J231" s="3"/>
      <c r="K231" s="3"/>
      <c r="L231" s="3"/>
      <c r="M231" s="3"/>
      <c r="N231" s="3"/>
      <c r="O231" s="3"/>
      <c r="P231" s="3"/>
      <c r="Q231" s="3"/>
      <c r="R231" s="3"/>
      <c r="S231" s="3"/>
      <c r="T231" s="3"/>
      <c r="U231" s="3"/>
      <c r="V231" s="3"/>
      <c r="W231" s="3"/>
    </row>
    <row r="232" spans="1:23" ht="15.75" customHeight="1">
      <c r="A232" s="3"/>
      <c r="B232" s="3"/>
      <c r="C232" s="3"/>
      <c r="D232" s="3"/>
      <c r="E232" s="3"/>
      <c r="F232" s="3"/>
      <c r="G232" s="3"/>
      <c r="H232" s="3"/>
      <c r="I232" s="3"/>
      <c r="J232" s="3"/>
      <c r="K232" s="3"/>
      <c r="L232" s="3"/>
      <c r="M232" s="3"/>
      <c r="N232" s="3"/>
      <c r="O232" s="3"/>
      <c r="P232" s="3"/>
      <c r="Q232" s="3"/>
      <c r="R232" s="3"/>
      <c r="S232" s="3"/>
      <c r="T232" s="3"/>
      <c r="U232" s="3"/>
      <c r="V232" s="3"/>
      <c r="W232" s="3"/>
    </row>
    <row r="233" spans="1:23" ht="15.75" customHeight="1">
      <c r="A233" s="3"/>
      <c r="B233" s="3"/>
      <c r="C233" s="3"/>
      <c r="D233" s="3"/>
      <c r="E233" s="3"/>
      <c r="F233" s="3"/>
      <c r="G233" s="3"/>
      <c r="H233" s="3"/>
      <c r="I233" s="3"/>
      <c r="J233" s="3"/>
      <c r="K233" s="3"/>
      <c r="L233" s="3"/>
      <c r="M233" s="3"/>
      <c r="N233" s="3"/>
      <c r="O233" s="3"/>
      <c r="P233" s="3"/>
      <c r="Q233" s="3"/>
      <c r="R233" s="3"/>
      <c r="S233" s="3"/>
      <c r="T233" s="3"/>
      <c r="U233" s="3"/>
      <c r="V233" s="3"/>
      <c r="W233" s="3"/>
    </row>
    <row r="234" spans="1:23" ht="15.75" customHeight="1">
      <c r="A234" s="3"/>
      <c r="B234" s="3"/>
      <c r="C234" s="3"/>
      <c r="D234" s="3"/>
      <c r="E234" s="3"/>
      <c r="F234" s="3"/>
      <c r="G234" s="3"/>
      <c r="H234" s="3"/>
      <c r="I234" s="3"/>
      <c r="J234" s="3"/>
      <c r="K234" s="3"/>
      <c r="L234" s="3"/>
      <c r="M234" s="3"/>
      <c r="N234" s="3"/>
      <c r="O234" s="3"/>
      <c r="P234" s="3"/>
      <c r="Q234" s="3"/>
      <c r="R234" s="3"/>
      <c r="S234" s="3"/>
      <c r="T234" s="3"/>
      <c r="U234" s="3"/>
      <c r="V234" s="3"/>
      <c r="W234" s="3"/>
    </row>
    <row r="235" spans="1:23" ht="15.75" customHeight="1">
      <c r="A235" s="3"/>
      <c r="B235" s="3"/>
      <c r="C235" s="3"/>
      <c r="D235" s="3"/>
      <c r="E235" s="3"/>
      <c r="F235" s="3"/>
      <c r="G235" s="3"/>
      <c r="H235" s="3"/>
      <c r="I235" s="3"/>
      <c r="J235" s="3"/>
      <c r="K235" s="3"/>
      <c r="L235" s="3"/>
      <c r="M235" s="3"/>
      <c r="N235" s="3"/>
      <c r="O235" s="3"/>
      <c r="P235" s="3"/>
      <c r="Q235" s="3"/>
      <c r="R235" s="3"/>
      <c r="S235" s="3"/>
      <c r="T235" s="3"/>
      <c r="U235" s="3"/>
      <c r="V235" s="3"/>
      <c r="W235" s="3"/>
    </row>
    <row r="236" spans="1:23" ht="15.75" customHeight="1">
      <c r="A236" s="3"/>
      <c r="B236" s="3"/>
      <c r="C236" s="3"/>
      <c r="D236" s="3"/>
      <c r="E236" s="3"/>
      <c r="F236" s="3"/>
      <c r="G236" s="3"/>
      <c r="H236" s="3"/>
      <c r="I236" s="3"/>
      <c r="J236" s="3"/>
      <c r="K236" s="3"/>
      <c r="L236" s="3"/>
      <c r="M236" s="3"/>
      <c r="N236" s="3"/>
      <c r="O236" s="3"/>
      <c r="P236" s="3"/>
      <c r="Q236" s="3"/>
      <c r="R236" s="3"/>
      <c r="S236" s="3"/>
      <c r="T236" s="3"/>
      <c r="U236" s="3"/>
      <c r="V236" s="3"/>
      <c r="W236" s="3"/>
    </row>
    <row r="237" spans="1:23" ht="15.75" customHeight="1">
      <c r="A237" s="3"/>
      <c r="B237" s="3"/>
      <c r="C237" s="3"/>
      <c r="D237" s="3"/>
      <c r="E237" s="3"/>
      <c r="F237" s="3"/>
      <c r="G237" s="3"/>
      <c r="H237" s="3"/>
      <c r="I237" s="3"/>
      <c r="J237" s="3"/>
      <c r="K237" s="3"/>
      <c r="L237" s="3"/>
      <c r="M237" s="3"/>
      <c r="N237" s="3"/>
      <c r="O237" s="3"/>
      <c r="P237" s="3"/>
      <c r="Q237" s="3"/>
      <c r="R237" s="3"/>
      <c r="S237" s="3"/>
      <c r="T237" s="3"/>
      <c r="U237" s="3"/>
      <c r="V237" s="3"/>
      <c r="W237" s="3"/>
    </row>
    <row r="238" spans="1:23" ht="15.75" customHeight="1">
      <c r="A238" s="3"/>
      <c r="B238" s="3"/>
      <c r="C238" s="3"/>
      <c r="D238" s="3"/>
      <c r="E238" s="3"/>
      <c r="F238" s="3"/>
      <c r="G238" s="3"/>
      <c r="H238" s="3"/>
      <c r="I238" s="3"/>
      <c r="J238" s="3"/>
      <c r="K238" s="3"/>
      <c r="L238" s="3"/>
      <c r="M238" s="3"/>
      <c r="N238" s="3"/>
      <c r="O238" s="3"/>
      <c r="P238" s="3"/>
      <c r="Q238" s="3"/>
      <c r="R238" s="3"/>
      <c r="S238" s="3"/>
      <c r="T238" s="3"/>
      <c r="U238" s="3"/>
      <c r="V238" s="3"/>
      <c r="W238" s="3"/>
    </row>
    <row r="239" spans="1:23" ht="15.75" customHeight="1">
      <c r="A239" s="3"/>
      <c r="B239" s="3"/>
      <c r="C239" s="3"/>
      <c r="D239" s="3"/>
      <c r="E239" s="3"/>
      <c r="F239" s="3"/>
      <c r="G239" s="3"/>
      <c r="H239" s="3"/>
      <c r="I239" s="3"/>
      <c r="J239" s="3"/>
      <c r="K239" s="3"/>
      <c r="L239" s="3"/>
      <c r="M239" s="3"/>
      <c r="N239" s="3"/>
      <c r="O239" s="3"/>
      <c r="P239" s="3"/>
      <c r="Q239" s="3"/>
      <c r="R239" s="3"/>
      <c r="S239" s="3"/>
      <c r="T239" s="3"/>
      <c r="U239" s="3"/>
      <c r="V239" s="3"/>
      <c r="W239" s="3"/>
    </row>
    <row r="240" spans="1:23" ht="15.75" customHeight="1">
      <c r="A240" s="3"/>
      <c r="B240" s="3"/>
      <c r="C240" s="3"/>
      <c r="D240" s="3"/>
      <c r="E240" s="3"/>
      <c r="F240" s="3"/>
      <c r="G240" s="3"/>
      <c r="H240" s="3"/>
      <c r="I240" s="3"/>
      <c r="J240" s="3"/>
      <c r="K240" s="3"/>
      <c r="L240" s="3"/>
      <c r="M240" s="3"/>
      <c r="N240" s="3"/>
      <c r="O240" s="3"/>
      <c r="P240" s="3"/>
      <c r="Q240" s="3"/>
      <c r="R240" s="3"/>
      <c r="S240" s="3"/>
      <c r="T240" s="3"/>
      <c r="U240" s="3"/>
      <c r="V240" s="3"/>
      <c r="W240" s="3"/>
    </row>
    <row r="241" spans="1:23" ht="15.75" customHeight="1">
      <c r="A241" s="3"/>
      <c r="B241" s="3"/>
      <c r="C241" s="3"/>
      <c r="D241" s="3"/>
      <c r="E241" s="3"/>
      <c r="F241" s="3"/>
      <c r="G241" s="3"/>
      <c r="H241" s="3"/>
      <c r="I241" s="3"/>
      <c r="J241" s="3"/>
      <c r="K241" s="3"/>
      <c r="L241" s="3"/>
      <c r="M241" s="3"/>
      <c r="N241" s="3"/>
      <c r="O241" s="3"/>
      <c r="P241" s="3"/>
      <c r="Q241" s="3"/>
      <c r="R241" s="3"/>
      <c r="S241" s="3"/>
      <c r="T241" s="3"/>
      <c r="U241" s="3"/>
      <c r="V241" s="3"/>
      <c r="W241" s="3"/>
    </row>
    <row r="242" spans="1:23" ht="15.75" customHeight="1">
      <c r="A242" s="3"/>
      <c r="B242" s="3"/>
      <c r="C242" s="3"/>
      <c r="D242" s="3"/>
      <c r="E242" s="3"/>
      <c r="F242" s="3"/>
      <c r="G242" s="3"/>
      <c r="H242" s="3"/>
      <c r="I242" s="3"/>
      <c r="J242" s="3"/>
      <c r="K242" s="3"/>
      <c r="L242" s="3"/>
      <c r="M242" s="3"/>
      <c r="N242" s="3"/>
      <c r="O242" s="3"/>
      <c r="P242" s="3"/>
      <c r="Q242" s="3"/>
      <c r="R242" s="3"/>
      <c r="S242" s="3"/>
      <c r="T242" s="3"/>
      <c r="U242" s="3"/>
      <c r="V242" s="3"/>
      <c r="W242" s="3"/>
    </row>
    <row r="243" spans="1:23" ht="15.75" customHeight="1">
      <c r="A243" s="3"/>
      <c r="B243" s="3"/>
      <c r="C243" s="3"/>
      <c r="D243" s="3"/>
      <c r="E243" s="3"/>
      <c r="F243" s="3"/>
      <c r="G243" s="3"/>
      <c r="H243" s="3"/>
      <c r="I243" s="3"/>
      <c r="J243" s="3"/>
      <c r="K243" s="3"/>
      <c r="L243" s="3"/>
      <c r="M243" s="3"/>
      <c r="N243" s="3"/>
      <c r="O243" s="3"/>
      <c r="P243" s="3"/>
      <c r="Q243" s="3"/>
      <c r="R243" s="3"/>
      <c r="S243" s="3"/>
      <c r="T243" s="3"/>
      <c r="U243" s="3"/>
      <c r="V243" s="3"/>
      <c r="W243" s="3"/>
    </row>
    <row r="244" spans="1:23" ht="15.75" customHeight="1">
      <c r="A244" s="3"/>
      <c r="B244" s="3"/>
      <c r="C244" s="3"/>
      <c r="D244" s="3"/>
      <c r="E244" s="3"/>
      <c r="F244" s="3"/>
      <c r="G244" s="3"/>
      <c r="H244" s="3"/>
      <c r="I244" s="3"/>
      <c r="J244" s="3"/>
      <c r="K244" s="3"/>
      <c r="L244" s="3"/>
      <c r="M244" s="3"/>
      <c r="N244" s="3"/>
      <c r="O244" s="3"/>
      <c r="P244" s="3"/>
      <c r="Q244" s="3"/>
      <c r="R244" s="3"/>
      <c r="S244" s="3"/>
      <c r="T244" s="3"/>
      <c r="U244" s="3"/>
      <c r="V244" s="3"/>
      <c r="W244" s="3"/>
    </row>
    <row r="245" spans="1:23" ht="15.75" customHeight="1">
      <c r="A245" s="3"/>
      <c r="B245" s="3"/>
      <c r="C245" s="3"/>
      <c r="D245" s="3"/>
      <c r="E245" s="3"/>
      <c r="F245" s="3"/>
      <c r="G245" s="3"/>
      <c r="H245" s="3"/>
      <c r="I245" s="3"/>
      <c r="J245" s="3"/>
      <c r="K245" s="3"/>
      <c r="L245" s="3"/>
      <c r="M245" s="3"/>
      <c r="N245" s="3"/>
      <c r="O245" s="3"/>
      <c r="P245" s="3"/>
      <c r="Q245" s="3"/>
      <c r="R245" s="3"/>
      <c r="S245" s="3"/>
      <c r="T245" s="3"/>
      <c r="U245" s="3"/>
      <c r="V245" s="3"/>
      <c r="W245" s="3"/>
    </row>
    <row r="246" spans="1:23" ht="15.75" customHeight="1">
      <c r="A246" s="3"/>
      <c r="B246" s="3"/>
      <c r="C246" s="3"/>
      <c r="D246" s="3"/>
      <c r="E246" s="3"/>
      <c r="F246" s="3"/>
      <c r="G246" s="3"/>
      <c r="H246" s="3"/>
      <c r="I246" s="3"/>
      <c r="J246" s="3"/>
      <c r="K246" s="3"/>
      <c r="L246" s="3"/>
      <c r="M246" s="3"/>
      <c r="N246" s="3"/>
      <c r="O246" s="3"/>
      <c r="P246" s="3"/>
      <c r="Q246" s="3"/>
      <c r="R246" s="3"/>
      <c r="S246" s="3"/>
      <c r="T246" s="3"/>
      <c r="U246" s="3"/>
      <c r="V246" s="3"/>
      <c r="W246" s="3"/>
    </row>
    <row r="247" spans="1:23" ht="15.75" customHeight="1">
      <c r="A247" s="3"/>
      <c r="B247" s="3"/>
      <c r="C247" s="3"/>
      <c r="D247" s="3"/>
      <c r="E247" s="3"/>
      <c r="F247" s="3"/>
      <c r="G247" s="3"/>
      <c r="H247" s="3"/>
      <c r="I247" s="3"/>
      <c r="J247" s="3"/>
      <c r="K247" s="3"/>
      <c r="L247" s="3"/>
      <c r="M247" s="3"/>
      <c r="N247" s="3"/>
      <c r="O247" s="3"/>
      <c r="P247" s="3"/>
      <c r="Q247" s="3"/>
      <c r="R247" s="3"/>
      <c r="S247" s="3"/>
      <c r="T247" s="3"/>
      <c r="U247" s="3"/>
      <c r="V247" s="3"/>
      <c r="W247" s="3"/>
    </row>
    <row r="248" spans="1:23" ht="15.75" customHeight="1">
      <c r="A248" s="3"/>
      <c r="B248" s="3"/>
      <c r="C248" s="3"/>
      <c r="D248" s="3"/>
      <c r="E248" s="3"/>
      <c r="F248" s="3"/>
      <c r="G248" s="3"/>
      <c r="H248" s="3"/>
      <c r="I248" s="3"/>
      <c r="J248" s="3"/>
      <c r="K248" s="3"/>
      <c r="L248" s="3"/>
      <c r="M248" s="3"/>
      <c r="N248" s="3"/>
      <c r="O248" s="3"/>
      <c r="P248" s="3"/>
      <c r="Q248" s="3"/>
      <c r="R248" s="3"/>
      <c r="S248" s="3"/>
      <c r="T248" s="3"/>
      <c r="U248" s="3"/>
      <c r="V248" s="3"/>
      <c r="W248" s="3"/>
    </row>
    <row r="249" spans="1:23" ht="15.75" customHeight="1">
      <c r="A249" s="3"/>
      <c r="B249" s="3"/>
      <c r="C249" s="3"/>
      <c r="D249" s="3"/>
      <c r="E249" s="3"/>
      <c r="F249" s="3"/>
      <c r="G249" s="3"/>
      <c r="H249" s="3"/>
      <c r="I249" s="3"/>
      <c r="J249" s="3"/>
      <c r="K249" s="3"/>
      <c r="L249" s="3"/>
      <c r="M249" s="3"/>
      <c r="N249" s="3"/>
      <c r="O249" s="3"/>
      <c r="P249" s="3"/>
      <c r="Q249" s="3"/>
      <c r="R249" s="3"/>
      <c r="S249" s="3"/>
      <c r="T249" s="3"/>
      <c r="U249" s="3"/>
      <c r="V249" s="3"/>
      <c r="W249" s="3"/>
    </row>
    <row r="250" spans="1:23" ht="15.75" customHeight="1">
      <c r="A250" s="3"/>
      <c r="B250" s="3"/>
      <c r="C250" s="3"/>
      <c r="D250" s="3"/>
      <c r="E250" s="3"/>
      <c r="F250" s="3"/>
      <c r="G250" s="3"/>
      <c r="H250" s="3"/>
      <c r="I250" s="3"/>
      <c r="J250" s="3"/>
      <c r="K250" s="3"/>
      <c r="L250" s="3"/>
      <c r="M250" s="3"/>
      <c r="N250" s="3"/>
      <c r="O250" s="3"/>
      <c r="P250" s="3"/>
      <c r="Q250" s="3"/>
      <c r="R250" s="3"/>
      <c r="S250" s="3"/>
      <c r="T250" s="3"/>
      <c r="U250" s="3"/>
      <c r="V250" s="3"/>
      <c r="W250" s="3"/>
    </row>
    <row r="251" spans="1:23" ht="15.75" customHeight="1">
      <c r="A251" s="3"/>
      <c r="B251" s="3"/>
      <c r="C251" s="3"/>
      <c r="D251" s="3"/>
      <c r="E251" s="3"/>
      <c r="F251" s="3"/>
      <c r="G251" s="3"/>
      <c r="H251" s="3"/>
      <c r="I251" s="3"/>
      <c r="J251" s="3"/>
      <c r="K251" s="3"/>
      <c r="L251" s="3"/>
      <c r="M251" s="3"/>
      <c r="N251" s="3"/>
      <c r="O251" s="3"/>
      <c r="P251" s="3"/>
      <c r="Q251" s="3"/>
      <c r="R251" s="3"/>
      <c r="S251" s="3"/>
      <c r="T251" s="3"/>
      <c r="U251" s="3"/>
      <c r="V251" s="3"/>
      <c r="W251" s="3"/>
    </row>
    <row r="252" spans="1:23" ht="15.75" customHeight="1">
      <c r="A252" s="3"/>
      <c r="B252" s="3"/>
      <c r="C252" s="3"/>
      <c r="D252" s="3"/>
      <c r="E252" s="3"/>
      <c r="F252" s="3"/>
      <c r="G252" s="3"/>
      <c r="H252" s="3"/>
      <c r="I252" s="3"/>
      <c r="J252" s="3"/>
      <c r="K252" s="3"/>
      <c r="L252" s="3"/>
      <c r="M252" s="3"/>
      <c r="N252" s="3"/>
      <c r="O252" s="3"/>
      <c r="P252" s="3"/>
      <c r="Q252" s="3"/>
      <c r="R252" s="3"/>
      <c r="S252" s="3"/>
      <c r="T252" s="3"/>
      <c r="U252" s="3"/>
      <c r="V252" s="3"/>
      <c r="W252" s="3"/>
    </row>
    <row r="253" spans="1:23" ht="15.75" customHeight="1">
      <c r="A253" s="3"/>
      <c r="B253" s="3"/>
      <c r="C253" s="3"/>
      <c r="D253" s="3"/>
      <c r="E253" s="3"/>
      <c r="F253" s="3"/>
      <c r="G253" s="3"/>
      <c r="H253" s="3"/>
      <c r="I253" s="3"/>
      <c r="J253" s="3"/>
      <c r="K253" s="3"/>
      <c r="L253" s="3"/>
      <c r="M253" s="3"/>
      <c r="N253" s="3"/>
      <c r="O253" s="3"/>
      <c r="P253" s="3"/>
      <c r="Q253" s="3"/>
      <c r="R253" s="3"/>
      <c r="S253" s="3"/>
      <c r="T253" s="3"/>
      <c r="U253" s="3"/>
      <c r="V253" s="3"/>
      <c r="W253" s="3"/>
    </row>
    <row r="254" spans="1:23" ht="15.75" customHeight="1">
      <c r="A254" s="3"/>
      <c r="B254" s="3"/>
      <c r="C254" s="3"/>
      <c r="D254" s="3"/>
      <c r="E254" s="3"/>
      <c r="F254" s="3"/>
      <c r="G254" s="3"/>
      <c r="H254" s="3"/>
      <c r="I254" s="3"/>
      <c r="J254" s="3"/>
      <c r="K254" s="3"/>
      <c r="L254" s="3"/>
      <c r="M254" s="3"/>
      <c r="N254" s="3"/>
      <c r="O254" s="3"/>
      <c r="P254" s="3"/>
      <c r="Q254" s="3"/>
      <c r="R254" s="3"/>
      <c r="S254" s="3"/>
      <c r="T254" s="3"/>
      <c r="U254" s="3"/>
      <c r="V254" s="3"/>
      <c r="W254" s="3"/>
    </row>
    <row r="255" spans="1:23" ht="15.75" customHeight="1">
      <c r="A255" s="3"/>
      <c r="B255" s="3"/>
      <c r="C255" s="3"/>
      <c r="D255" s="3"/>
      <c r="E255" s="3"/>
      <c r="F255" s="3"/>
      <c r="G255" s="3"/>
      <c r="H255" s="3"/>
      <c r="I255" s="3"/>
      <c r="J255" s="3"/>
      <c r="K255" s="3"/>
      <c r="L255" s="3"/>
      <c r="M255" s="3"/>
      <c r="N255" s="3"/>
      <c r="O255" s="3"/>
      <c r="P255" s="3"/>
      <c r="Q255" s="3"/>
      <c r="R255" s="3"/>
      <c r="S255" s="3"/>
      <c r="T255" s="3"/>
      <c r="U255" s="3"/>
      <c r="V255" s="3"/>
      <c r="W255" s="3"/>
    </row>
    <row r="256" spans="1:23" ht="15.75" customHeight="1">
      <c r="A256" s="3"/>
      <c r="B256" s="3"/>
      <c r="C256" s="3"/>
      <c r="D256" s="3"/>
      <c r="E256" s="3"/>
      <c r="F256" s="3"/>
      <c r="G256" s="3"/>
      <c r="H256" s="3"/>
      <c r="I256" s="3"/>
      <c r="J256" s="3"/>
      <c r="K256" s="3"/>
      <c r="L256" s="3"/>
      <c r="M256" s="3"/>
      <c r="N256" s="3"/>
      <c r="O256" s="3"/>
      <c r="P256" s="3"/>
      <c r="Q256" s="3"/>
      <c r="R256" s="3"/>
      <c r="S256" s="3"/>
      <c r="T256" s="3"/>
      <c r="U256" s="3"/>
      <c r="V256" s="3"/>
      <c r="W256" s="3"/>
    </row>
    <row r="257" spans="1:23" ht="15.75" customHeight="1">
      <c r="A257" s="3"/>
      <c r="B257" s="3"/>
      <c r="C257" s="3"/>
      <c r="D257" s="3"/>
      <c r="E257" s="3"/>
      <c r="F257" s="3"/>
      <c r="G257" s="3"/>
      <c r="H257" s="3"/>
      <c r="I257" s="3"/>
      <c r="J257" s="3"/>
      <c r="K257" s="3"/>
      <c r="L257" s="3"/>
      <c r="M257" s="3"/>
      <c r="N257" s="3"/>
      <c r="O257" s="3"/>
      <c r="P257" s="3"/>
      <c r="Q257" s="3"/>
      <c r="R257" s="3"/>
      <c r="S257" s="3"/>
      <c r="T257" s="3"/>
      <c r="U257" s="3"/>
      <c r="V257" s="3"/>
      <c r="W257" s="3"/>
    </row>
    <row r="258" spans="1:23" ht="15.75" customHeight="1">
      <c r="A258" s="3"/>
      <c r="B258" s="3"/>
      <c r="C258" s="3"/>
      <c r="D258" s="3"/>
      <c r="E258" s="3"/>
      <c r="F258" s="3"/>
      <c r="G258" s="3"/>
      <c r="H258" s="3"/>
      <c r="I258" s="3"/>
      <c r="J258" s="3"/>
      <c r="K258" s="3"/>
      <c r="L258" s="3"/>
      <c r="M258" s="3"/>
      <c r="N258" s="3"/>
      <c r="O258" s="3"/>
      <c r="P258" s="3"/>
      <c r="Q258" s="3"/>
      <c r="R258" s="3"/>
      <c r="S258" s="3"/>
      <c r="T258" s="3"/>
      <c r="U258" s="3"/>
      <c r="V258" s="3"/>
      <c r="W258" s="3"/>
    </row>
    <row r="259" spans="1:23" ht="15.75" customHeight="1">
      <c r="A259" s="3"/>
      <c r="B259" s="3"/>
      <c r="C259" s="3"/>
      <c r="D259" s="3"/>
      <c r="E259" s="3"/>
      <c r="F259" s="3"/>
      <c r="G259" s="3"/>
      <c r="H259" s="3"/>
      <c r="I259" s="3"/>
      <c r="J259" s="3"/>
      <c r="K259" s="3"/>
      <c r="L259" s="3"/>
      <c r="M259" s="3"/>
      <c r="N259" s="3"/>
      <c r="O259" s="3"/>
      <c r="P259" s="3"/>
      <c r="Q259" s="3"/>
      <c r="R259" s="3"/>
      <c r="S259" s="3"/>
      <c r="T259" s="3"/>
      <c r="U259" s="3"/>
      <c r="V259" s="3"/>
      <c r="W259" s="3"/>
    </row>
    <row r="260" spans="1:23" ht="15.75" customHeight="1">
      <c r="A260" s="3"/>
      <c r="B260" s="3"/>
      <c r="C260" s="3"/>
      <c r="D260" s="3"/>
      <c r="E260" s="3"/>
      <c r="F260" s="3"/>
      <c r="G260" s="3"/>
      <c r="H260" s="3"/>
      <c r="I260" s="3"/>
      <c r="J260" s="3"/>
      <c r="K260" s="3"/>
      <c r="L260" s="3"/>
      <c r="M260" s="3"/>
      <c r="N260" s="3"/>
      <c r="O260" s="3"/>
      <c r="P260" s="3"/>
      <c r="Q260" s="3"/>
      <c r="R260" s="3"/>
      <c r="S260" s="3"/>
      <c r="T260" s="3"/>
      <c r="U260" s="3"/>
      <c r="V260" s="3"/>
      <c r="W260" s="3"/>
    </row>
    <row r="261" spans="1:23" ht="15.75" customHeight="1">
      <c r="A261" s="3"/>
      <c r="B261" s="3"/>
      <c r="C261" s="3"/>
      <c r="D261" s="3"/>
      <c r="E261" s="3"/>
      <c r="F261" s="3"/>
      <c r="G261" s="3"/>
      <c r="H261" s="3"/>
      <c r="I261" s="3"/>
      <c r="J261" s="3"/>
      <c r="K261" s="3"/>
      <c r="L261" s="3"/>
      <c r="M261" s="3"/>
      <c r="N261" s="3"/>
      <c r="O261" s="3"/>
      <c r="P261" s="3"/>
      <c r="Q261" s="3"/>
      <c r="R261" s="3"/>
      <c r="S261" s="3"/>
      <c r="T261" s="3"/>
      <c r="U261" s="3"/>
      <c r="V261" s="3"/>
      <c r="W261" s="3"/>
    </row>
    <row r="262" spans="1:23" ht="15.75" customHeight="1">
      <c r="A262" s="3"/>
      <c r="B262" s="3"/>
      <c r="C262" s="3"/>
      <c r="D262" s="3"/>
      <c r="E262" s="3"/>
      <c r="F262" s="3"/>
      <c r="G262" s="3"/>
      <c r="H262" s="3"/>
      <c r="I262" s="3"/>
      <c r="J262" s="3"/>
      <c r="K262" s="3"/>
      <c r="L262" s="3"/>
      <c r="M262" s="3"/>
      <c r="N262" s="3"/>
      <c r="O262" s="3"/>
      <c r="P262" s="3"/>
      <c r="Q262" s="3"/>
      <c r="R262" s="3"/>
      <c r="S262" s="3"/>
      <c r="T262" s="3"/>
      <c r="U262" s="3"/>
      <c r="V262" s="3"/>
      <c r="W262" s="3"/>
    </row>
    <row r="263" spans="1:23" ht="15.75" customHeight="1">
      <c r="A263" s="3"/>
      <c r="B263" s="3"/>
      <c r="C263" s="3"/>
      <c r="D263" s="3"/>
      <c r="E263" s="3"/>
      <c r="F263" s="3"/>
      <c r="G263" s="3"/>
      <c r="H263" s="3"/>
      <c r="I263" s="3"/>
      <c r="J263" s="3"/>
      <c r="K263" s="3"/>
      <c r="L263" s="3"/>
      <c r="M263" s="3"/>
      <c r="N263" s="3"/>
      <c r="O263" s="3"/>
      <c r="P263" s="3"/>
      <c r="Q263" s="3"/>
      <c r="R263" s="3"/>
      <c r="S263" s="3"/>
      <c r="T263" s="3"/>
      <c r="U263" s="3"/>
      <c r="V263" s="3"/>
      <c r="W263" s="3"/>
    </row>
    <row r="264" spans="1:23" ht="15.75" customHeight="1">
      <c r="A264" s="3"/>
      <c r="B264" s="3"/>
      <c r="C264" s="3"/>
      <c r="D264" s="3"/>
      <c r="E264" s="3"/>
      <c r="F264" s="3"/>
      <c r="G264" s="3"/>
      <c r="H264" s="3"/>
      <c r="I264" s="3"/>
      <c r="J264" s="3"/>
      <c r="K264" s="3"/>
      <c r="L264" s="3"/>
      <c r="M264" s="3"/>
      <c r="N264" s="3"/>
      <c r="O264" s="3"/>
      <c r="P264" s="3"/>
      <c r="Q264" s="3"/>
      <c r="R264" s="3"/>
      <c r="S264" s="3"/>
      <c r="T264" s="3"/>
      <c r="U264" s="3"/>
      <c r="V264" s="3"/>
      <c r="W264" s="3"/>
    </row>
    <row r="265" spans="1:23" ht="15.75" customHeight="1">
      <c r="A265" s="3"/>
      <c r="B265" s="3"/>
      <c r="C265" s="3"/>
      <c r="D265" s="3"/>
      <c r="E265" s="3"/>
      <c r="F265" s="3"/>
      <c r="G265" s="3"/>
      <c r="H265" s="3"/>
      <c r="I265" s="3"/>
      <c r="J265" s="3"/>
      <c r="K265" s="3"/>
      <c r="L265" s="3"/>
      <c r="M265" s="3"/>
      <c r="N265" s="3"/>
      <c r="O265" s="3"/>
      <c r="P265" s="3"/>
      <c r="Q265" s="3"/>
      <c r="R265" s="3"/>
      <c r="S265" s="3"/>
      <c r="T265" s="3"/>
      <c r="U265" s="3"/>
      <c r="V265" s="3"/>
      <c r="W265" s="3"/>
    </row>
    <row r="266" spans="1:23" ht="15.75" customHeight="1">
      <c r="A266" s="3"/>
      <c r="B266" s="3"/>
      <c r="C266" s="3"/>
      <c r="D266" s="3"/>
      <c r="E266" s="3"/>
      <c r="F266" s="3"/>
      <c r="G266" s="3"/>
      <c r="H266" s="3"/>
      <c r="I266" s="3"/>
      <c r="J266" s="3"/>
      <c r="K266" s="3"/>
      <c r="L266" s="3"/>
      <c r="M266" s="3"/>
      <c r="N266" s="3"/>
      <c r="O266" s="3"/>
      <c r="P266" s="3"/>
      <c r="Q266" s="3"/>
      <c r="R266" s="3"/>
      <c r="S266" s="3"/>
      <c r="T266" s="3"/>
      <c r="U266" s="3"/>
      <c r="V266" s="3"/>
      <c r="W266" s="3"/>
    </row>
    <row r="267" spans="1:23" ht="15.75" customHeight="1">
      <c r="A267" s="3"/>
      <c r="B267" s="3"/>
      <c r="C267" s="3"/>
      <c r="D267" s="3"/>
      <c r="E267" s="3"/>
      <c r="F267" s="3"/>
      <c r="G267" s="3"/>
      <c r="H267" s="3"/>
      <c r="I267" s="3"/>
      <c r="J267" s="3"/>
      <c r="K267" s="3"/>
      <c r="L267" s="3"/>
      <c r="M267" s="3"/>
      <c r="N267" s="3"/>
      <c r="O267" s="3"/>
      <c r="P267" s="3"/>
      <c r="Q267" s="3"/>
      <c r="R267" s="3"/>
      <c r="S267" s="3"/>
      <c r="T267" s="3"/>
      <c r="U267" s="3"/>
      <c r="V267" s="3"/>
      <c r="W267" s="3"/>
    </row>
    <row r="268" spans="1:23" ht="15.75" customHeight="1">
      <c r="A268" s="3"/>
      <c r="B268" s="3"/>
      <c r="C268" s="3"/>
      <c r="D268" s="3"/>
      <c r="E268" s="3"/>
      <c r="F268" s="3"/>
      <c r="G268" s="3"/>
      <c r="H268" s="3"/>
      <c r="I268" s="3"/>
      <c r="J268" s="3"/>
      <c r="K268" s="3"/>
      <c r="L268" s="3"/>
      <c r="M268" s="3"/>
      <c r="N268" s="3"/>
      <c r="O268" s="3"/>
      <c r="P268" s="3"/>
      <c r="Q268" s="3"/>
      <c r="R268" s="3"/>
      <c r="S268" s="3"/>
      <c r="T268" s="3"/>
      <c r="U268" s="3"/>
      <c r="V268" s="3"/>
      <c r="W268" s="3"/>
    </row>
    <row r="269" spans="1:23" ht="15.75" customHeight="1">
      <c r="A269" s="3"/>
      <c r="B269" s="3"/>
      <c r="C269" s="3"/>
      <c r="D269" s="3"/>
      <c r="E269" s="3"/>
      <c r="F269" s="3"/>
      <c r="G269" s="3"/>
      <c r="H269" s="3"/>
      <c r="I269" s="3"/>
      <c r="J269" s="3"/>
      <c r="K269" s="3"/>
      <c r="L269" s="3"/>
      <c r="M269" s="3"/>
      <c r="N269" s="3"/>
      <c r="O269" s="3"/>
      <c r="P269" s="3"/>
      <c r="Q269" s="3"/>
      <c r="R269" s="3"/>
      <c r="S269" s="3"/>
      <c r="T269" s="3"/>
      <c r="U269" s="3"/>
      <c r="V269" s="3"/>
      <c r="W269" s="3"/>
    </row>
    <row r="270" spans="1:23" ht="15.75" customHeight="1">
      <c r="A270" s="3"/>
      <c r="B270" s="3"/>
      <c r="C270" s="3"/>
      <c r="D270" s="3"/>
      <c r="E270" s="3"/>
      <c r="F270" s="3"/>
      <c r="G270" s="3"/>
      <c r="H270" s="3"/>
      <c r="I270" s="3"/>
      <c r="J270" s="3"/>
      <c r="K270" s="3"/>
      <c r="L270" s="3"/>
      <c r="M270" s="3"/>
      <c r="N270" s="3"/>
      <c r="O270" s="3"/>
      <c r="P270" s="3"/>
      <c r="Q270" s="3"/>
      <c r="R270" s="3"/>
      <c r="S270" s="3"/>
      <c r="T270" s="3"/>
      <c r="U270" s="3"/>
      <c r="V270" s="3"/>
      <c r="W270" s="3"/>
    </row>
    <row r="271" spans="1:23" ht="15.75" customHeight="1">
      <c r="A271" s="3"/>
      <c r="B271" s="3"/>
      <c r="C271" s="3"/>
      <c r="D271" s="3"/>
      <c r="E271" s="3"/>
      <c r="F271" s="3"/>
      <c r="G271" s="3"/>
      <c r="H271" s="3"/>
      <c r="I271" s="3"/>
      <c r="J271" s="3"/>
      <c r="K271" s="3"/>
      <c r="L271" s="3"/>
      <c r="M271" s="3"/>
      <c r="N271" s="3"/>
      <c r="O271" s="3"/>
      <c r="P271" s="3"/>
      <c r="Q271" s="3"/>
      <c r="R271" s="3"/>
      <c r="S271" s="3"/>
      <c r="T271" s="3"/>
      <c r="U271" s="3"/>
      <c r="V271" s="3"/>
      <c r="W271" s="3"/>
    </row>
    <row r="272" spans="1:23" ht="15.75" customHeight="1">
      <c r="A272" s="3"/>
      <c r="B272" s="3"/>
      <c r="C272" s="3"/>
      <c r="D272" s="3"/>
      <c r="E272" s="3"/>
      <c r="F272" s="3"/>
      <c r="G272" s="3"/>
      <c r="H272" s="3"/>
      <c r="I272" s="3"/>
      <c r="J272" s="3"/>
      <c r="K272" s="3"/>
      <c r="L272" s="3"/>
      <c r="M272" s="3"/>
      <c r="N272" s="3"/>
      <c r="O272" s="3"/>
      <c r="P272" s="3"/>
      <c r="Q272" s="3"/>
      <c r="R272" s="3"/>
      <c r="S272" s="3"/>
      <c r="T272" s="3"/>
      <c r="U272" s="3"/>
      <c r="V272" s="3"/>
      <c r="W272" s="3"/>
    </row>
    <row r="273" spans="1:23" ht="15.75" customHeight="1">
      <c r="A273" s="3"/>
      <c r="B273" s="3"/>
      <c r="C273" s="3"/>
      <c r="D273" s="3"/>
      <c r="E273" s="3"/>
      <c r="F273" s="3"/>
      <c r="G273" s="3"/>
      <c r="H273" s="3"/>
      <c r="I273" s="3"/>
      <c r="J273" s="3"/>
      <c r="K273" s="3"/>
      <c r="L273" s="3"/>
      <c r="M273" s="3"/>
      <c r="N273" s="3"/>
      <c r="O273" s="3"/>
      <c r="P273" s="3"/>
      <c r="Q273" s="3"/>
      <c r="R273" s="3"/>
      <c r="S273" s="3"/>
      <c r="T273" s="3"/>
      <c r="U273" s="3"/>
      <c r="V273" s="3"/>
      <c r="W273" s="3"/>
    </row>
    <row r="274" spans="1:23" ht="15.75" customHeight="1">
      <c r="A274" s="3"/>
      <c r="B274" s="3"/>
      <c r="C274" s="3"/>
      <c r="D274" s="3"/>
      <c r="E274" s="3"/>
      <c r="F274" s="3"/>
      <c r="G274" s="3"/>
      <c r="H274" s="3"/>
      <c r="I274" s="3"/>
      <c r="J274" s="3"/>
      <c r="K274" s="3"/>
      <c r="L274" s="3"/>
      <c r="M274" s="3"/>
      <c r="N274" s="3"/>
      <c r="O274" s="3"/>
      <c r="P274" s="3"/>
      <c r="Q274" s="3"/>
      <c r="R274" s="3"/>
      <c r="S274" s="3"/>
      <c r="T274" s="3"/>
      <c r="U274" s="3"/>
      <c r="V274" s="3"/>
      <c r="W274" s="3"/>
    </row>
    <row r="275" spans="1:23" ht="15.75" customHeight="1">
      <c r="A275" s="3"/>
      <c r="B275" s="3"/>
      <c r="C275" s="3"/>
      <c r="D275" s="3"/>
      <c r="E275" s="3"/>
      <c r="F275" s="3"/>
      <c r="G275" s="3"/>
      <c r="H275" s="3"/>
      <c r="I275" s="3"/>
      <c r="J275" s="3"/>
      <c r="K275" s="3"/>
      <c r="L275" s="3"/>
      <c r="M275" s="3"/>
      <c r="N275" s="3"/>
      <c r="O275" s="3"/>
      <c r="P275" s="3"/>
      <c r="Q275" s="3"/>
      <c r="R275" s="3"/>
      <c r="S275" s="3"/>
      <c r="T275" s="3"/>
      <c r="U275" s="3"/>
      <c r="V275" s="3"/>
      <c r="W275" s="3"/>
    </row>
    <row r="276" spans="1:23" ht="15.75" customHeight="1">
      <c r="A276" s="3"/>
      <c r="B276" s="3"/>
      <c r="C276" s="3"/>
      <c r="D276" s="3"/>
      <c r="E276" s="3"/>
      <c r="F276" s="3"/>
      <c r="G276" s="3"/>
      <c r="H276" s="3"/>
      <c r="I276" s="3"/>
      <c r="J276" s="3"/>
      <c r="K276" s="3"/>
      <c r="L276" s="3"/>
      <c r="M276" s="3"/>
      <c r="N276" s="3"/>
      <c r="O276" s="3"/>
      <c r="P276" s="3"/>
      <c r="Q276" s="3"/>
      <c r="R276" s="3"/>
      <c r="S276" s="3"/>
      <c r="T276" s="3"/>
      <c r="U276" s="3"/>
      <c r="V276" s="3"/>
      <c r="W276" s="3"/>
    </row>
    <row r="277" spans="1:23" ht="15.75" customHeight="1">
      <c r="A277" s="3"/>
      <c r="B277" s="3"/>
      <c r="C277" s="3"/>
      <c r="D277" s="3"/>
      <c r="E277" s="3"/>
      <c r="F277" s="3"/>
      <c r="G277" s="3"/>
      <c r="H277" s="3"/>
      <c r="I277" s="3"/>
      <c r="J277" s="3"/>
      <c r="K277" s="3"/>
      <c r="L277" s="3"/>
      <c r="M277" s="3"/>
      <c r="N277" s="3"/>
      <c r="O277" s="3"/>
      <c r="P277" s="3"/>
      <c r="Q277" s="3"/>
      <c r="R277" s="3"/>
      <c r="S277" s="3"/>
      <c r="T277" s="3"/>
      <c r="U277" s="3"/>
      <c r="V277" s="3"/>
      <c r="W277" s="3"/>
    </row>
    <row r="278" spans="1:23" ht="15.75" customHeight="1">
      <c r="A278" s="3"/>
      <c r="B278" s="3"/>
      <c r="C278" s="3"/>
      <c r="D278" s="3"/>
      <c r="E278" s="3"/>
      <c r="F278" s="3"/>
      <c r="G278" s="3"/>
      <c r="H278" s="3"/>
      <c r="I278" s="3"/>
      <c r="J278" s="3"/>
      <c r="K278" s="3"/>
      <c r="L278" s="3"/>
      <c r="M278" s="3"/>
      <c r="N278" s="3"/>
      <c r="O278" s="3"/>
      <c r="P278" s="3"/>
      <c r="Q278" s="3"/>
      <c r="R278" s="3"/>
      <c r="S278" s="3"/>
      <c r="T278" s="3"/>
      <c r="U278" s="3"/>
      <c r="V278" s="3"/>
      <c r="W278" s="3"/>
    </row>
    <row r="279" spans="1:23" ht="15.75" customHeight="1">
      <c r="A279" s="3"/>
      <c r="B279" s="3"/>
      <c r="C279" s="3"/>
      <c r="D279" s="3"/>
      <c r="E279" s="3"/>
      <c r="F279" s="3"/>
      <c r="G279" s="3"/>
      <c r="H279" s="3"/>
      <c r="I279" s="3"/>
      <c r="J279" s="3"/>
      <c r="K279" s="3"/>
      <c r="L279" s="3"/>
      <c r="M279" s="3"/>
      <c r="N279" s="3"/>
      <c r="O279" s="3"/>
      <c r="P279" s="3"/>
      <c r="Q279" s="3"/>
      <c r="R279" s="3"/>
      <c r="S279" s="3"/>
      <c r="T279" s="3"/>
      <c r="U279" s="3"/>
      <c r="V279" s="3"/>
      <c r="W279" s="3"/>
    </row>
    <row r="280" spans="1:23" ht="15.75" customHeight="1">
      <c r="A280" s="3"/>
      <c r="B280" s="3"/>
      <c r="C280" s="3"/>
      <c r="D280" s="3"/>
      <c r="E280" s="3"/>
      <c r="F280" s="3"/>
      <c r="G280" s="3"/>
      <c r="H280" s="3"/>
      <c r="I280" s="3"/>
      <c r="J280" s="3"/>
      <c r="K280" s="3"/>
      <c r="L280" s="3"/>
      <c r="M280" s="3"/>
      <c r="N280" s="3"/>
      <c r="O280" s="3"/>
      <c r="P280" s="3"/>
      <c r="Q280" s="3"/>
      <c r="R280" s="3"/>
      <c r="S280" s="3"/>
      <c r="T280" s="3"/>
      <c r="U280" s="3"/>
      <c r="V280" s="3"/>
      <c r="W280" s="3"/>
    </row>
    <row r="281" spans="1:23" ht="15.75" customHeight="1">
      <c r="A281" s="3"/>
      <c r="B281" s="3"/>
      <c r="C281" s="3"/>
      <c r="D281" s="3"/>
      <c r="E281" s="3"/>
      <c r="F281" s="3"/>
      <c r="G281" s="3"/>
      <c r="H281" s="3"/>
      <c r="I281" s="3"/>
      <c r="J281" s="3"/>
      <c r="K281" s="3"/>
      <c r="L281" s="3"/>
      <c r="M281" s="3"/>
      <c r="N281" s="3"/>
      <c r="O281" s="3"/>
      <c r="P281" s="3"/>
      <c r="Q281" s="3"/>
      <c r="R281" s="3"/>
      <c r="S281" s="3"/>
      <c r="T281" s="3"/>
      <c r="U281" s="3"/>
      <c r="V281" s="3"/>
      <c r="W281" s="3"/>
    </row>
    <row r="282" spans="1:23" ht="15.75" customHeight="1">
      <c r="A282" s="3"/>
      <c r="B282" s="3"/>
      <c r="C282" s="3"/>
      <c r="D282" s="3"/>
      <c r="E282" s="3"/>
      <c r="F282" s="3"/>
      <c r="G282" s="3"/>
      <c r="H282" s="3"/>
      <c r="I282" s="3"/>
      <c r="J282" s="3"/>
      <c r="K282" s="3"/>
      <c r="L282" s="3"/>
      <c r="M282" s="3"/>
      <c r="N282" s="3"/>
      <c r="O282" s="3"/>
      <c r="P282" s="3"/>
      <c r="Q282" s="3"/>
      <c r="R282" s="3"/>
      <c r="S282" s="3"/>
      <c r="T282" s="3"/>
      <c r="U282" s="3"/>
      <c r="V282" s="3"/>
      <c r="W282" s="3"/>
    </row>
    <row r="283" spans="1:23" ht="15.75" customHeight="1">
      <c r="A283" s="3"/>
      <c r="B283" s="3"/>
      <c r="C283" s="3"/>
      <c r="D283" s="3"/>
      <c r="E283" s="3"/>
      <c r="F283" s="3"/>
      <c r="G283" s="3"/>
      <c r="H283" s="3"/>
      <c r="I283" s="3"/>
      <c r="J283" s="3"/>
      <c r="K283" s="3"/>
      <c r="L283" s="3"/>
      <c r="M283" s="3"/>
      <c r="N283" s="3"/>
      <c r="O283" s="3"/>
      <c r="P283" s="3"/>
      <c r="Q283" s="3"/>
      <c r="R283" s="3"/>
      <c r="S283" s="3"/>
      <c r="T283" s="3"/>
      <c r="U283" s="3"/>
      <c r="V283" s="3"/>
      <c r="W283" s="3"/>
    </row>
    <row r="284" spans="1:23" ht="15.75" customHeight="1">
      <c r="A284" s="3"/>
      <c r="B284" s="3"/>
      <c r="C284" s="3"/>
      <c r="D284" s="3"/>
      <c r="E284" s="3"/>
      <c r="F284" s="3"/>
      <c r="G284" s="3"/>
      <c r="H284" s="3"/>
      <c r="I284" s="3"/>
      <c r="J284" s="3"/>
      <c r="K284" s="3"/>
      <c r="L284" s="3"/>
      <c r="M284" s="3"/>
      <c r="N284" s="3"/>
      <c r="O284" s="3"/>
      <c r="P284" s="3"/>
      <c r="Q284" s="3"/>
      <c r="R284" s="3"/>
      <c r="S284" s="3"/>
      <c r="T284" s="3"/>
      <c r="U284" s="3"/>
      <c r="V284" s="3"/>
      <c r="W284" s="3"/>
    </row>
    <row r="285" spans="1:23" ht="15.75" customHeight="1">
      <c r="A285" s="3"/>
      <c r="B285" s="3"/>
      <c r="C285" s="3"/>
      <c r="D285" s="3"/>
      <c r="E285" s="3"/>
      <c r="F285" s="3"/>
      <c r="G285" s="3"/>
      <c r="H285" s="3"/>
      <c r="I285" s="3"/>
      <c r="J285" s="3"/>
      <c r="K285" s="3"/>
      <c r="L285" s="3"/>
      <c r="M285" s="3"/>
      <c r="N285" s="3"/>
      <c r="O285" s="3"/>
      <c r="P285" s="3"/>
      <c r="Q285" s="3"/>
      <c r="R285" s="3"/>
      <c r="S285" s="3"/>
      <c r="T285" s="3"/>
      <c r="U285" s="3"/>
      <c r="V285" s="3"/>
      <c r="W285" s="3"/>
    </row>
    <row r="286" spans="1:23" ht="15.75" customHeight="1">
      <c r="A286" s="3"/>
      <c r="B286" s="3"/>
      <c r="C286" s="3"/>
      <c r="D286" s="3"/>
      <c r="E286" s="3"/>
      <c r="F286" s="3"/>
      <c r="G286" s="3"/>
      <c r="H286" s="3"/>
      <c r="I286" s="3"/>
      <c r="J286" s="3"/>
      <c r="K286" s="3"/>
      <c r="L286" s="3"/>
      <c r="M286" s="3"/>
      <c r="N286" s="3"/>
      <c r="O286" s="3"/>
      <c r="P286" s="3"/>
      <c r="Q286" s="3"/>
      <c r="R286" s="3"/>
      <c r="S286" s="3"/>
      <c r="T286" s="3"/>
      <c r="U286" s="3"/>
      <c r="V286" s="3"/>
      <c r="W286" s="3"/>
    </row>
    <row r="287" spans="1:23" ht="15.75" customHeight="1">
      <c r="A287" s="3"/>
      <c r="B287" s="3"/>
      <c r="C287" s="3"/>
      <c r="D287" s="3"/>
      <c r="E287" s="3"/>
      <c r="F287" s="3"/>
      <c r="G287" s="3"/>
      <c r="H287" s="3"/>
      <c r="I287" s="3"/>
      <c r="J287" s="3"/>
      <c r="K287" s="3"/>
      <c r="L287" s="3"/>
      <c r="M287" s="3"/>
      <c r="N287" s="3"/>
      <c r="O287" s="3"/>
      <c r="P287" s="3"/>
      <c r="Q287" s="3"/>
      <c r="R287" s="3"/>
      <c r="S287" s="3"/>
      <c r="T287" s="3"/>
      <c r="U287" s="3"/>
      <c r="V287" s="3"/>
      <c r="W287" s="3"/>
    </row>
    <row r="288" spans="1:23" ht="15.75" customHeight="1">
      <c r="A288" s="3"/>
      <c r="B288" s="3"/>
      <c r="C288" s="3"/>
      <c r="D288" s="3"/>
      <c r="E288" s="3"/>
      <c r="F288" s="3"/>
      <c r="G288" s="3"/>
      <c r="H288" s="3"/>
      <c r="I288" s="3"/>
      <c r="J288" s="3"/>
      <c r="K288" s="3"/>
      <c r="L288" s="3"/>
      <c r="M288" s="3"/>
      <c r="N288" s="3"/>
      <c r="O288" s="3"/>
      <c r="P288" s="3"/>
      <c r="Q288" s="3"/>
      <c r="R288" s="3"/>
      <c r="S288" s="3"/>
      <c r="T288" s="3"/>
      <c r="U288" s="3"/>
      <c r="V288" s="3"/>
      <c r="W288" s="3"/>
    </row>
    <row r="289" spans="1:23" ht="15.75" customHeight="1">
      <c r="A289" s="3"/>
      <c r="B289" s="3"/>
      <c r="C289" s="3"/>
      <c r="D289" s="3"/>
      <c r="E289" s="3"/>
      <c r="F289" s="3"/>
      <c r="G289" s="3"/>
      <c r="H289" s="3"/>
      <c r="I289" s="3"/>
      <c r="J289" s="3"/>
      <c r="K289" s="3"/>
      <c r="L289" s="3"/>
      <c r="M289" s="3"/>
      <c r="N289" s="3"/>
      <c r="O289" s="3"/>
      <c r="P289" s="3"/>
      <c r="Q289" s="3"/>
      <c r="R289" s="3"/>
      <c r="S289" s="3"/>
      <c r="T289" s="3"/>
      <c r="U289" s="3"/>
      <c r="V289" s="3"/>
      <c r="W289" s="3"/>
    </row>
    <row r="290" spans="1:23" ht="15.75" customHeight="1">
      <c r="A290" s="3"/>
      <c r="B290" s="3"/>
      <c r="C290" s="3"/>
      <c r="D290" s="3"/>
      <c r="E290" s="3"/>
      <c r="F290" s="3"/>
      <c r="G290" s="3"/>
      <c r="H290" s="3"/>
      <c r="I290" s="3"/>
      <c r="J290" s="3"/>
      <c r="K290" s="3"/>
      <c r="L290" s="3"/>
      <c r="M290" s="3"/>
      <c r="N290" s="3"/>
      <c r="O290" s="3"/>
      <c r="P290" s="3"/>
      <c r="Q290" s="3"/>
      <c r="R290" s="3"/>
      <c r="S290" s="3"/>
      <c r="T290" s="3"/>
      <c r="U290" s="3"/>
      <c r="V290" s="3"/>
      <c r="W290" s="3"/>
    </row>
    <row r="291" spans="1:23" ht="15.75" customHeight="1">
      <c r="A291" s="3"/>
      <c r="B291" s="3"/>
      <c r="C291" s="3"/>
      <c r="D291" s="3"/>
      <c r="E291" s="3"/>
      <c r="F291" s="3"/>
      <c r="G291" s="3"/>
      <c r="H291" s="3"/>
      <c r="I291" s="3"/>
      <c r="J291" s="3"/>
      <c r="K291" s="3"/>
      <c r="L291" s="3"/>
      <c r="M291" s="3"/>
      <c r="N291" s="3"/>
      <c r="O291" s="3"/>
      <c r="P291" s="3"/>
      <c r="Q291" s="3"/>
      <c r="R291" s="3"/>
      <c r="S291" s="3"/>
      <c r="T291" s="3"/>
      <c r="U291" s="3"/>
      <c r="V291" s="3"/>
      <c r="W291" s="3"/>
    </row>
    <row r="292" spans="1:23" ht="15.75" customHeight="1">
      <c r="A292" s="3"/>
      <c r="B292" s="3"/>
      <c r="C292" s="3"/>
      <c r="D292" s="3"/>
      <c r="E292" s="3"/>
      <c r="F292" s="3"/>
      <c r="G292" s="3"/>
      <c r="H292" s="3"/>
      <c r="I292" s="3"/>
      <c r="J292" s="3"/>
      <c r="K292" s="3"/>
      <c r="L292" s="3"/>
      <c r="M292" s="3"/>
      <c r="N292" s="3"/>
      <c r="O292" s="3"/>
      <c r="P292" s="3"/>
      <c r="Q292" s="3"/>
      <c r="R292" s="3"/>
      <c r="S292" s="3"/>
      <c r="T292" s="3"/>
      <c r="U292" s="3"/>
      <c r="V292" s="3"/>
      <c r="W292" s="3"/>
    </row>
    <row r="293" spans="1:23" ht="15.75" customHeight="1">
      <c r="A293" s="3"/>
      <c r="B293" s="3"/>
      <c r="C293" s="3"/>
      <c r="D293" s="3"/>
      <c r="E293" s="3"/>
      <c r="F293" s="3"/>
      <c r="G293" s="3"/>
      <c r="H293" s="3"/>
      <c r="I293" s="3"/>
      <c r="J293" s="3"/>
      <c r="K293" s="3"/>
      <c r="L293" s="3"/>
      <c r="M293" s="3"/>
      <c r="N293" s="3"/>
      <c r="O293" s="3"/>
      <c r="P293" s="3"/>
      <c r="Q293" s="3"/>
      <c r="R293" s="3"/>
      <c r="S293" s="3"/>
      <c r="T293" s="3"/>
      <c r="U293" s="3"/>
      <c r="V293" s="3"/>
      <c r="W293" s="3"/>
    </row>
    <row r="294" spans="1:23" ht="15.75" customHeight="1">
      <c r="A294" s="3"/>
      <c r="B294" s="3"/>
      <c r="C294" s="3"/>
      <c r="D294" s="3"/>
      <c r="E294" s="3"/>
      <c r="F294" s="3"/>
      <c r="G294" s="3"/>
      <c r="H294" s="3"/>
      <c r="I294" s="3"/>
      <c r="J294" s="3"/>
      <c r="K294" s="3"/>
      <c r="L294" s="3"/>
      <c r="M294" s="3"/>
      <c r="N294" s="3"/>
      <c r="O294" s="3"/>
      <c r="P294" s="3"/>
      <c r="Q294" s="3"/>
      <c r="R294" s="3"/>
      <c r="S294" s="3"/>
      <c r="T294" s="3"/>
      <c r="U294" s="3"/>
      <c r="V294" s="3"/>
      <c r="W294" s="3"/>
    </row>
    <row r="295" spans="1:23" ht="15.75" customHeight="1">
      <c r="A295" s="3"/>
      <c r="B295" s="3"/>
      <c r="C295" s="3"/>
      <c r="D295" s="3"/>
      <c r="E295" s="3"/>
      <c r="F295" s="3"/>
      <c r="G295" s="3"/>
      <c r="H295" s="3"/>
      <c r="I295" s="3"/>
      <c r="J295" s="3"/>
      <c r="K295" s="3"/>
      <c r="L295" s="3"/>
      <c r="M295" s="3"/>
      <c r="N295" s="3"/>
      <c r="O295" s="3"/>
      <c r="P295" s="3"/>
      <c r="Q295" s="3"/>
      <c r="R295" s="3"/>
      <c r="S295" s="3"/>
      <c r="T295" s="3"/>
      <c r="U295" s="3"/>
      <c r="V295" s="3"/>
      <c r="W295" s="3"/>
    </row>
    <row r="296" spans="1:23" ht="15.75" customHeight="1">
      <c r="A296" s="3"/>
      <c r="B296" s="3"/>
      <c r="C296" s="3"/>
      <c r="D296" s="3"/>
      <c r="E296" s="3"/>
      <c r="F296" s="3"/>
      <c r="G296" s="3"/>
      <c r="H296" s="3"/>
      <c r="I296" s="3"/>
      <c r="J296" s="3"/>
      <c r="K296" s="3"/>
      <c r="L296" s="3"/>
      <c r="M296" s="3"/>
      <c r="N296" s="3"/>
      <c r="O296" s="3"/>
      <c r="P296" s="3"/>
      <c r="Q296" s="3"/>
      <c r="R296" s="3"/>
      <c r="S296" s="3"/>
      <c r="T296" s="3"/>
      <c r="U296" s="3"/>
      <c r="V296" s="3"/>
      <c r="W296" s="3"/>
    </row>
    <row r="297" spans="1:23" ht="15.75" customHeight="1">
      <c r="A297" s="3"/>
      <c r="B297" s="3"/>
      <c r="C297" s="3"/>
      <c r="D297" s="3"/>
      <c r="E297" s="3"/>
      <c r="F297" s="3"/>
      <c r="G297" s="3"/>
      <c r="H297" s="3"/>
      <c r="I297" s="3"/>
      <c r="J297" s="3"/>
      <c r="K297" s="3"/>
      <c r="L297" s="3"/>
      <c r="M297" s="3"/>
      <c r="N297" s="3"/>
      <c r="O297" s="3"/>
      <c r="P297" s="3"/>
      <c r="Q297" s="3"/>
      <c r="R297" s="3"/>
      <c r="S297" s="3"/>
      <c r="T297" s="3"/>
      <c r="U297" s="3"/>
      <c r="V297" s="3"/>
      <c r="W297" s="3"/>
    </row>
    <row r="298" spans="1:23" ht="15.75" customHeight="1">
      <c r="A298" s="3"/>
      <c r="B298" s="3"/>
      <c r="C298" s="3"/>
      <c r="D298" s="3"/>
      <c r="E298" s="3"/>
      <c r="F298" s="3"/>
      <c r="G298" s="3"/>
      <c r="H298" s="3"/>
      <c r="I298" s="3"/>
      <c r="J298" s="3"/>
      <c r="K298" s="3"/>
      <c r="L298" s="3"/>
      <c r="M298" s="3"/>
      <c r="N298" s="3"/>
      <c r="O298" s="3"/>
      <c r="P298" s="3"/>
      <c r="Q298" s="3"/>
      <c r="R298" s="3"/>
      <c r="S298" s="3"/>
      <c r="T298" s="3"/>
      <c r="U298" s="3"/>
      <c r="V298" s="3"/>
      <c r="W298" s="3"/>
    </row>
    <row r="299" spans="1:23" ht="15.75" customHeight="1">
      <c r="A299" s="3"/>
      <c r="B299" s="3"/>
      <c r="C299" s="3"/>
      <c r="D299" s="3"/>
      <c r="E299" s="3"/>
      <c r="F299" s="3"/>
      <c r="G299" s="3"/>
      <c r="H299" s="3"/>
      <c r="I299" s="3"/>
      <c r="J299" s="3"/>
      <c r="K299" s="3"/>
      <c r="L299" s="3"/>
      <c r="M299" s="3"/>
      <c r="N299" s="3"/>
      <c r="O299" s="3"/>
      <c r="P299" s="3"/>
      <c r="Q299" s="3"/>
      <c r="R299" s="3"/>
      <c r="S299" s="3"/>
      <c r="T299" s="3"/>
      <c r="U299" s="3"/>
      <c r="V299" s="3"/>
      <c r="W299" s="3"/>
    </row>
    <row r="300" spans="1:23" ht="15.75" customHeight="1">
      <c r="A300" s="3"/>
      <c r="B300" s="3"/>
      <c r="C300" s="3"/>
      <c r="D300" s="3"/>
      <c r="E300" s="3"/>
      <c r="F300" s="3"/>
      <c r="G300" s="3"/>
      <c r="H300" s="3"/>
      <c r="I300" s="3"/>
      <c r="J300" s="3"/>
      <c r="K300" s="3"/>
      <c r="L300" s="3"/>
      <c r="M300" s="3"/>
      <c r="N300" s="3"/>
      <c r="O300" s="3"/>
      <c r="P300" s="3"/>
      <c r="Q300" s="3"/>
      <c r="R300" s="3"/>
      <c r="S300" s="3"/>
      <c r="T300" s="3"/>
      <c r="U300" s="3"/>
      <c r="V300" s="3"/>
      <c r="W300" s="3"/>
    </row>
    <row r="301" spans="1:23" ht="15.75" customHeight="1">
      <c r="A301" s="3"/>
      <c r="B301" s="3"/>
      <c r="C301" s="3"/>
      <c r="D301" s="3"/>
      <c r="E301" s="3"/>
      <c r="F301" s="3"/>
      <c r="G301" s="3"/>
      <c r="H301" s="3"/>
      <c r="I301" s="3"/>
      <c r="J301" s="3"/>
      <c r="K301" s="3"/>
      <c r="L301" s="3"/>
      <c r="M301" s="3"/>
      <c r="N301" s="3"/>
      <c r="O301" s="3"/>
      <c r="P301" s="3"/>
      <c r="Q301" s="3"/>
      <c r="R301" s="3"/>
      <c r="S301" s="3"/>
      <c r="T301" s="3"/>
      <c r="U301" s="3"/>
      <c r="V301" s="3"/>
      <c r="W301" s="3"/>
    </row>
    <row r="302" spans="1:23" ht="15.75" customHeight="1">
      <c r="A302" s="3"/>
      <c r="B302" s="3"/>
      <c r="C302" s="3"/>
      <c r="D302" s="3"/>
      <c r="E302" s="3"/>
      <c r="F302" s="3"/>
      <c r="G302" s="3"/>
      <c r="H302" s="3"/>
      <c r="I302" s="3"/>
      <c r="J302" s="3"/>
      <c r="K302" s="3"/>
      <c r="L302" s="3"/>
      <c r="M302" s="3"/>
      <c r="N302" s="3"/>
      <c r="O302" s="3"/>
      <c r="P302" s="3"/>
      <c r="Q302" s="3"/>
      <c r="R302" s="3"/>
      <c r="S302" s="3"/>
      <c r="T302" s="3"/>
      <c r="U302" s="3"/>
      <c r="V302" s="3"/>
      <c r="W302" s="3"/>
    </row>
    <row r="303" spans="1:23" ht="15.75" customHeight="1">
      <c r="A303" s="3"/>
      <c r="B303" s="3"/>
      <c r="C303" s="3"/>
      <c r="D303" s="3"/>
      <c r="E303" s="3"/>
      <c r="F303" s="3"/>
      <c r="G303" s="3"/>
      <c r="H303" s="3"/>
      <c r="I303" s="3"/>
      <c r="J303" s="3"/>
      <c r="K303" s="3"/>
      <c r="L303" s="3"/>
      <c r="M303" s="3"/>
      <c r="N303" s="3"/>
      <c r="O303" s="3"/>
      <c r="P303" s="3"/>
      <c r="Q303" s="3"/>
      <c r="R303" s="3"/>
      <c r="S303" s="3"/>
      <c r="T303" s="3"/>
      <c r="U303" s="3"/>
      <c r="V303" s="3"/>
      <c r="W303" s="3"/>
    </row>
    <row r="304" spans="1:23" ht="15.75" customHeight="1">
      <c r="A304" s="3"/>
      <c r="B304" s="3"/>
      <c r="C304" s="3"/>
      <c r="D304" s="3"/>
      <c r="E304" s="3"/>
      <c r="F304" s="3"/>
      <c r="G304" s="3"/>
      <c r="H304" s="3"/>
      <c r="I304" s="3"/>
      <c r="J304" s="3"/>
      <c r="K304" s="3"/>
      <c r="L304" s="3"/>
      <c r="M304" s="3"/>
      <c r="N304" s="3"/>
      <c r="O304" s="3"/>
      <c r="P304" s="3"/>
      <c r="Q304" s="3"/>
      <c r="R304" s="3"/>
      <c r="S304" s="3"/>
      <c r="T304" s="3"/>
      <c r="U304" s="3"/>
      <c r="V304" s="3"/>
      <c r="W304" s="3"/>
    </row>
    <row r="305" spans="1:23" ht="15.75" customHeight="1">
      <c r="A305" s="3"/>
      <c r="B305" s="3"/>
      <c r="C305" s="3"/>
      <c r="D305" s="3"/>
      <c r="E305" s="3"/>
      <c r="F305" s="3"/>
      <c r="G305" s="3"/>
      <c r="H305" s="3"/>
      <c r="I305" s="3"/>
      <c r="J305" s="3"/>
      <c r="K305" s="3"/>
      <c r="L305" s="3"/>
      <c r="M305" s="3"/>
      <c r="N305" s="3"/>
      <c r="O305" s="3"/>
      <c r="P305" s="3"/>
      <c r="Q305" s="3"/>
      <c r="R305" s="3"/>
      <c r="S305" s="3"/>
      <c r="T305" s="3"/>
      <c r="U305" s="3"/>
      <c r="V305" s="3"/>
      <c r="W305" s="3"/>
    </row>
    <row r="306" spans="1:23" ht="15.75" customHeight="1">
      <c r="A306" s="3"/>
      <c r="B306" s="3"/>
      <c r="C306" s="3"/>
      <c r="D306" s="3"/>
      <c r="E306" s="3"/>
      <c r="F306" s="3"/>
      <c r="G306" s="3"/>
      <c r="H306" s="3"/>
      <c r="I306" s="3"/>
      <c r="J306" s="3"/>
      <c r="K306" s="3"/>
      <c r="L306" s="3"/>
      <c r="M306" s="3"/>
      <c r="N306" s="3"/>
      <c r="O306" s="3"/>
      <c r="P306" s="3"/>
      <c r="Q306" s="3"/>
      <c r="R306" s="3"/>
      <c r="S306" s="3"/>
      <c r="T306" s="3"/>
      <c r="U306" s="3"/>
      <c r="V306" s="3"/>
      <c r="W306" s="3"/>
    </row>
    <row r="307" spans="1:23" ht="15.75" customHeight="1">
      <c r="A307" s="3"/>
      <c r="B307" s="3"/>
      <c r="C307" s="3"/>
      <c r="D307" s="3"/>
      <c r="E307" s="3"/>
      <c r="F307" s="3"/>
      <c r="G307" s="3"/>
      <c r="H307" s="3"/>
      <c r="I307" s="3"/>
      <c r="J307" s="3"/>
      <c r="K307" s="3"/>
      <c r="L307" s="3"/>
      <c r="M307" s="3"/>
      <c r="N307" s="3"/>
      <c r="O307" s="3"/>
      <c r="P307" s="3"/>
      <c r="Q307" s="3"/>
      <c r="R307" s="3"/>
      <c r="S307" s="3"/>
      <c r="T307" s="3"/>
      <c r="U307" s="3"/>
      <c r="V307" s="3"/>
      <c r="W307" s="3"/>
    </row>
    <row r="308" spans="1:23" ht="15.75" customHeight="1">
      <c r="A308" s="3"/>
      <c r="B308" s="3"/>
      <c r="C308" s="3"/>
      <c r="D308" s="3"/>
      <c r="E308" s="3"/>
      <c r="F308" s="3"/>
      <c r="G308" s="3"/>
      <c r="H308" s="3"/>
      <c r="I308" s="3"/>
      <c r="J308" s="3"/>
      <c r="K308" s="3"/>
      <c r="L308" s="3"/>
      <c r="M308" s="3"/>
      <c r="N308" s="3"/>
      <c r="O308" s="3"/>
      <c r="P308" s="3"/>
      <c r="Q308" s="3"/>
      <c r="R308" s="3"/>
      <c r="S308" s="3"/>
      <c r="T308" s="3"/>
      <c r="U308" s="3"/>
      <c r="V308" s="3"/>
      <c r="W308" s="3"/>
    </row>
    <row r="309" spans="1:23" ht="15.75" customHeight="1">
      <c r="A309" s="3"/>
      <c r="B309" s="3"/>
      <c r="C309" s="3"/>
      <c r="D309" s="3"/>
      <c r="E309" s="3"/>
      <c r="F309" s="3"/>
      <c r="G309" s="3"/>
      <c r="H309" s="3"/>
      <c r="I309" s="3"/>
      <c r="J309" s="3"/>
      <c r="K309" s="3"/>
      <c r="L309" s="3"/>
      <c r="M309" s="3"/>
      <c r="N309" s="3"/>
      <c r="O309" s="3"/>
      <c r="P309" s="3"/>
      <c r="Q309" s="3"/>
      <c r="R309" s="3"/>
      <c r="S309" s="3"/>
      <c r="T309" s="3"/>
      <c r="U309" s="3"/>
      <c r="V309" s="3"/>
      <c r="W309" s="3"/>
    </row>
    <row r="310" spans="1:23" ht="15.75" customHeight="1">
      <c r="A310" s="3"/>
      <c r="B310" s="3"/>
      <c r="C310" s="3"/>
      <c r="D310" s="3"/>
      <c r="E310" s="3"/>
      <c r="F310" s="3"/>
      <c r="G310" s="3"/>
      <c r="H310" s="3"/>
      <c r="I310" s="3"/>
      <c r="J310" s="3"/>
      <c r="K310" s="3"/>
      <c r="L310" s="3"/>
      <c r="M310" s="3"/>
      <c r="N310" s="3"/>
      <c r="O310" s="3"/>
      <c r="P310" s="3"/>
      <c r="Q310" s="3"/>
      <c r="R310" s="3"/>
      <c r="S310" s="3"/>
      <c r="T310" s="3"/>
      <c r="U310" s="3"/>
      <c r="V310" s="3"/>
      <c r="W310" s="3"/>
    </row>
    <row r="311" spans="1:23" ht="15.75" customHeight="1">
      <c r="A311" s="3"/>
      <c r="B311" s="3"/>
      <c r="C311" s="3"/>
      <c r="D311" s="3"/>
      <c r="E311" s="3"/>
      <c r="F311" s="3"/>
      <c r="G311" s="3"/>
      <c r="H311" s="3"/>
      <c r="I311" s="3"/>
      <c r="J311" s="3"/>
      <c r="K311" s="3"/>
      <c r="L311" s="3"/>
      <c r="M311" s="3"/>
      <c r="N311" s="3"/>
      <c r="O311" s="3"/>
      <c r="P311" s="3"/>
      <c r="Q311" s="3"/>
      <c r="R311" s="3"/>
      <c r="S311" s="3"/>
      <c r="T311" s="3"/>
      <c r="U311" s="3"/>
      <c r="V311" s="3"/>
      <c r="W311" s="3"/>
    </row>
    <row r="312" spans="1:23" ht="15.75" customHeight="1">
      <c r="A312" s="3"/>
      <c r="B312" s="3"/>
      <c r="C312" s="3"/>
      <c r="D312" s="3"/>
      <c r="E312" s="3"/>
      <c r="F312" s="3"/>
      <c r="G312" s="3"/>
      <c r="H312" s="3"/>
      <c r="I312" s="3"/>
      <c r="J312" s="3"/>
      <c r="K312" s="3"/>
      <c r="L312" s="3"/>
      <c r="M312" s="3"/>
      <c r="N312" s="3"/>
      <c r="O312" s="3"/>
      <c r="P312" s="3"/>
      <c r="Q312" s="3"/>
      <c r="R312" s="3"/>
      <c r="S312" s="3"/>
      <c r="T312" s="3"/>
      <c r="U312" s="3"/>
      <c r="V312" s="3"/>
      <c r="W312" s="3"/>
    </row>
    <row r="313" spans="1:23" ht="15.75" customHeight="1">
      <c r="A313" s="3"/>
      <c r="B313" s="3"/>
      <c r="C313" s="3"/>
      <c r="D313" s="3"/>
      <c r="E313" s="3"/>
      <c r="F313" s="3"/>
      <c r="G313" s="3"/>
      <c r="H313" s="3"/>
      <c r="I313" s="3"/>
      <c r="J313" s="3"/>
      <c r="K313" s="3"/>
      <c r="L313" s="3"/>
      <c r="M313" s="3"/>
      <c r="N313" s="3"/>
      <c r="O313" s="3"/>
      <c r="P313" s="3"/>
      <c r="Q313" s="3"/>
      <c r="R313" s="3"/>
      <c r="S313" s="3"/>
      <c r="T313" s="3"/>
      <c r="U313" s="3"/>
      <c r="V313" s="3"/>
      <c r="W313" s="3"/>
    </row>
    <row r="314" spans="1:23" ht="15.75" customHeight="1">
      <c r="A314" s="3"/>
      <c r="B314" s="3"/>
      <c r="C314" s="3"/>
      <c r="D314" s="3"/>
      <c r="E314" s="3"/>
      <c r="F314" s="3"/>
      <c r="G314" s="3"/>
      <c r="H314" s="3"/>
      <c r="I314" s="3"/>
      <c r="J314" s="3"/>
      <c r="K314" s="3"/>
      <c r="L314" s="3"/>
      <c r="M314" s="3"/>
      <c r="N314" s="3"/>
      <c r="O314" s="3"/>
      <c r="P314" s="3"/>
      <c r="Q314" s="3"/>
      <c r="R314" s="3"/>
      <c r="S314" s="3"/>
      <c r="T314" s="3"/>
      <c r="U314" s="3"/>
      <c r="V314" s="3"/>
      <c r="W314" s="3"/>
    </row>
    <row r="315" spans="1:23" ht="15.75" customHeight="1">
      <c r="A315" s="3"/>
      <c r="B315" s="3"/>
      <c r="C315" s="3"/>
      <c r="D315" s="3"/>
      <c r="E315" s="3"/>
      <c r="F315" s="3"/>
      <c r="G315" s="3"/>
      <c r="H315" s="3"/>
      <c r="I315" s="3"/>
      <c r="J315" s="3"/>
      <c r="K315" s="3"/>
      <c r="L315" s="3"/>
      <c r="M315" s="3"/>
      <c r="N315" s="3"/>
      <c r="O315" s="3"/>
      <c r="P315" s="3"/>
      <c r="Q315" s="3"/>
      <c r="R315" s="3"/>
      <c r="S315" s="3"/>
      <c r="T315" s="3"/>
      <c r="U315" s="3"/>
      <c r="V315" s="3"/>
      <c r="W315" s="3"/>
    </row>
    <row r="316" spans="1:23" ht="15.75" customHeight="1">
      <c r="A316" s="3"/>
      <c r="B316" s="3"/>
      <c r="C316" s="3"/>
      <c r="D316" s="3"/>
      <c r="E316" s="3"/>
      <c r="F316" s="3"/>
      <c r="G316" s="3"/>
      <c r="H316" s="3"/>
      <c r="I316" s="3"/>
      <c r="J316" s="3"/>
      <c r="K316" s="3"/>
      <c r="L316" s="3"/>
      <c r="M316" s="3"/>
      <c r="N316" s="3"/>
      <c r="O316" s="3"/>
      <c r="P316" s="3"/>
      <c r="Q316" s="3"/>
      <c r="R316" s="3"/>
      <c r="S316" s="3"/>
      <c r="T316" s="3"/>
      <c r="U316" s="3"/>
      <c r="V316" s="3"/>
      <c r="W316" s="3"/>
    </row>
    <row r="317" spans="1:23" ht="15.75" customHeight="1">
      <c r="A317" s="3"/>
      <c r="B317" s="3"/>
      <c r="C317" s="3"/>
      <c r="D317" s="3"/>
      <c r="E317" s="3"/>
      <c r="F317" s="3"/>
      <c r="G317" s="3"/>
      <c r="H317" s="3"/>
      <c r="I317" s="3"/>
      <c r="J317" s="3"/>
      <c r="K317" s="3"/>
      <c r="L317" s="3"/>
      <c r="M317" s="3"/>
      <c r="N317" s="3"/>
      <c r="O317" s="3"/>
      <c r="P317" s="3"/>
      <c r="Q317" s="3"/>
      <c r="R317" s="3"/>
      <c r="S317" s="3"/>
      <c r="T317" s="3"/>
      <c r="U317" s="3"/>
      <c r="V317" s="3"/>
      <c r="W317" s="3"/>
    </row>
    <row r="318" spans="1:23" ht="15.75" customHeight="1">
      <c r="A318" s="3"/>
      <c r="B318" s="3"/>
      <c r="C318" s="3"/>
      <c r="D318" s="3"/>
      <c r="E318" s="3"/>
      <c r="F318" s="3"/>
      <c r="G318" s="3"/>
      <c r="H318" s="3"/>
      <c r="I318" s="3"/>
      <c r="J318" s="3"/>
      <c r="K318" s="3"/>
      <c r="L318" s="3"/>
      <c r="M318" s="3"/>
      <c r="N318" s="3"/>
      <c r="O318" s="3"/>
      <c r="P318" s="3"/>
      <c r="Q318" s="3"/>
      <c r="R318" s="3"/>
      <c r="S318" s="3"/>
      <c r="T318" s="3"/>
      <c r="U318" s="3"/>
      <c r="V318" s="3"/>
      <c r="W318" s="3"/>
    </row>
    <row r="319" spans="1:23" ht="15.75" customHeight="1">
      <c r="A319" s="3"/>
      <c r="B319" s="3"/>
      <c r="C319" s="3"/>
      <c r="D319" s="3"/>
      <c r="E319" s="3"/>
      <c r="F319" s="3"/>
      <c r="G319" s="3"/>
      <c r="H319" s="3"/>
      <c r="I319" s="3"/>
      <c r="J319" s="3"/>
      <c r="K319" s="3"/>
      <c r="L319" s="3"/>
      <c r="M319" s="3"/>
      <c r="N319" s="3"/>
      <c r="O319" s="3"/>
      <c r="P319" s="3"/>
      <c r="Q319" s="3"/>
      <c r="R319" s="3"/>
      <c r="S319" s="3"/>
      <c r="T319" s="3"/>
      <c r="U319" s="3"/>
      <c r="V319" s="3"/>
      <c r="W319" s="3"/>
    </row>
    <row r="320" spans="1:23" ht="15.75" customHeight="1">
      <c r="A320" s="3"/>
      <c r="B320" s="3"/>
      <c r="C320" s="3"/>
      <c r="D320" s="3"/>
      <c r="E320" s="3"/>
      <c r="F320" s="3"/>
      <c r="G320" s="3"/>
      <c r="H320" s="3"/>
      <c r="I320" s="3"/>
      <c r="J320" s="3"/>
      <c r="K320" s="3"/>
      <c r="L320" s="3"/>
      <c r="M320" s="3"/>
      <c r="N320" s="3"/>
      <c r="O320" s="3"/>
      <c r="P320" s="3"/>
      <c r="Q320" s="3"/>
      <c r="R320" s="3"/>
      <c r="S320" s="3"/>
      <c r="T320" s="3"/>
      <c r="U320" s="3"/>
      <c r="V320" s="3"/>
      <c r="W320" s="3"/>
    </row>
    <row r="321" spans="1:23" ht="15.75" customHeight="1">
      <c r="A321" s="3"/>
      <c r="B321" s="3"/>
      <c r="C321" s="3"/>
      <c r="D321" s="3"/>
      <c r="E321" s="3"/>
      <c r="F321" s="3"/>
      <c r="G321" s="3"/>
      <c r="H321" s="3"/>
      <c r="I321" s="3"/>
      <c r="J321" s="3"/>
      <c r="K321" s="3"/>
      <c r="L321" s="3"/>
      <c r="M321" s="3"/>
      <c r="N321" s="3"/>
      <c r="O321" s="3"/>
      <c r="P321" s="3"/>
      <c r="Q321" s="3"/>
      <c r="R321" s="3"/>
      <c r="S321" s="3"/>
      <c r="T321" s="3"/>
      <c r="U321" s="3"/>
      <c r="V321" s="3"/>
      <c r="W321" s="3"/>
    </row>
    <row r="322" spans="1:23" ht="15.75" customHeight="1">
      <c r="A322" s="3"/>
      <c r="B322" s="3"/>
      <c r="C322" s="3"/>
      <c r="D322" s="3"/>
      <c r="E322" s="3"/>
      <c r="F322" s="3"/>
      <c r="G322" s="3"/>
      <c r="H322" s="3"/>
      <c r="I322" s="3"/>
      <c r="J322" s="3"/>
      <c r="K322" s="3"/>
      <c r="L322" s="3"/>
      <c r="M322" s="3"/>
      <c r="N322" s="3"/>
      <c r="O322" s="3"/>
      <c r="P322" s="3"/>
      <c r="Q322" s="3"/>
      <c r="R322" s="3"/>
      <c r="S322" s="3"/>
      <c r="T322" s="3"/>
      <c r="U322" s="3"/>
      <c r="V322" s="3"/>
      <c r="W322" s="3"/>
    </row>
    <row r="323" spans="1:23" ht="15.75" customHeight="1">
      <c r="A323" s="3"/>
      <c r="B323" s="3"/>
      <c r="C323" s="3"/>
      <c r="D323" s="3"/>
      <c r="E323" s="3"/>
      <c r="F323" s="3"/>
      <c r="G323" s="3"/>
      <c r="H323" s="3"/>
      <c r="I323" s="3"/>
      <c r="J323" s="3"/>
      <c r="K323" s="3"/>
      <c r="L323" s="3"/>
      <c r="M323" s="3"/>
      <c r="N323" s="3"/>
      <c r="O323" s="3"/>
      <c r="P323" s="3"/>
      <c r="Q323" s="3"/>
      <c r="R323" s="3"/>
      <c r="S323" s="3"/>
      <c r="T323" s="3"/>
      <c r="U323" s="3"/>
      <c r="V323" s="3"/>
      <c r="W323" s="3"/>
    </row>
    <row r="324" spans="1:23" ht="15.75" customHeight="1">
      <c r="A324" s="3"/>
      <c r="B324" s="3"/>
      <c r="C324" s="3"/>
      <c r="D324" s="3"/>
      <c r="E324" s="3"/>
      <c r="F324" s="3"/>
      <c r="G324" s="3"/>
      <c r="H324" s="3"/>
      <c r="I324" s="3"/>
      <c r="J324" s="3"/>
      <c r="K324" s="3"/>
      <c r="L324" s="3"/>
      <c r="M324" s="3"/>
      <c r="N324" s="3"/>
      <c r="O324" s="3"/>
      <c r="P324" s="3"/>
      <c r="Q324" s="3"/>
      <c r="R324" s="3"/>
      <c r="S324" s="3"/>
      <c r="T324" s="3"/>
      <c r="U324" s="3"/>
      <c r="V324" s="3"/>
      <c r="W324" s="3"/>
    </row>
    <row r="325" spans="1:23" ht="15.75" customHeight="1">
      <c r="A325" s="3"/>
      <c r="B325" s="3"/>
      <c r="C325" s="3"/>
      <c r="D325" s="3"/>
      <c r="E325" s="3"/>
      <c r="F325" s="3"/>
      <c r="G325" s="3"/>
      <c r="H325" s="3"/>
      <c r="I325" s="3"/>
      <c r="J325" s="3"/>
      <c r="K325" s="3"/>
      <c r="L325" s="3"/>
      <c r="M325" s="3"/>
      <c r="N325" s="3"/>
      <c r="O325" s="3"/>
      <c r="P325" s="3"/>
      <c r="Q325" s="3"/>
      <c r="R325" s="3"/>
      <c r="S325" s="3"/>
      <c r="T325" s="3"/>
      <c r="U325" s="3"/>
      <c r="V325" s="3"/>
      <c r="W325" s="3"/>
    </row>
    <row r="326" spans="1:23" ht="15.75" customHeight="1">
      <c r="A326" s="3"/>
      <c r="B326" s="3"/>
      <c r="C326" s="3"/>
      <c r="D326" s="3"/>
      <c r="E326" s="3"/>
      <c r="F326" s="3"/>
      <c r="G326" s="3"/>
      <c r="H326" s="3"/>
      <c r="I326" s="3"/>
      <c r="J326" s="3"/>
      <c r="K326" s="3"/>
      <c r="L326" s="3"/>
      <c r="M326" s="3"/>
      <c r="N326" s="3"/>
      <c r="O326" s="3"/>
      <c r="P326" s="3"/>
      <c r="Q326" s="3"/>
      <c r="R326" s="3"/>
      <c r="S326" s="3"/>
      <c r="T326" s="3"/>
      <c r="U326" s="3"/>
      <c r="V326" s="3"/>
      <c r="W326" s="3"/>
    </row>
    <row r="327" spans="1:23" ht="15.75" customHeight="1">
      <c r="A327" s="3"/>
      <c r="B327" s="3"/>
      <c r="C327" s="3"/>
      <c r="D327" s="3"/>
      <c r="E327" s="3"/>
      <c r="F327" s="3"/>
      <c r="G327" s="3"/>
      <c r="H327" s="3"/>
      <c r="I327" s="3"/>
      <c r="J327" s="3"/>
      <c r="K327" s="3"/>
      <c r="L327" s="3"/>
      <c r="M327" s="3"/>
      <c r="N327" s="3"/>
      <c r="O327" s="3"/>
      <c r="P327" s="3"/>
      <c r="Q327" s="3"/>
      <c r="R327" s="3"/>
      <c r="S327" s="3"/>
      <c r="T327" s="3"/>
      <c r="U327" s="3"/>
      <c r="V327" s="3"/>
      <c r="W327" s="3"/>
    </row>
    <row r="328" spans="1:23" ht="15.75" customHeight="1">
      <c r="A328" s="3"/>
      <c r="B328" s="3"/>
      <c r="C328" s="3"/>
      <c r="D328" s="3"/>
      <c r="E328" s="3"/>
      <c r="F328" s="3"/>
      <c r="G328" s="3"/>
      <c r="H328" s="3"/>
      <c r="I328" s="3"/>
      <c r="J328" s="3"/>
      <c r="K328" s="3"/>
      <c r="L328" s="3"/>
      <c r="M328" s="3"/>
      <c r="N328" s="3"/>
      <c r="O328" s="3"/>
      <c r="P328" s="3"/>
      <c r="Q328" s="3"/>
      <c r="R328" s="3"/>
      <c r="S328" s="3"/>
      <c r="T328" s="3"/>
      <c r="U328" s="3"/>
      <c r="V328" s="3"/>
      <c r="W328" s="3"/>
    </row>
    <row r="329" spans="1:23" ht="15.75" customHeight="1">
      <c r="A329" s="3"/>
      <c r="B329" s="3"/>
      <c r="C329" s="3"/>
      <c r="D329" s="3"/>
      <c r="E329" s="3"/>
      <c r="F329" s="3"/>
      <c r="G329" s="3"/>
      <c r="H329" s="3"/>
      <c r="I329" s="3"/>
      <c r="J329" s="3"/>
      <c r="K329" s="3"/>
      <c r="L329" s="3"/>
      <c r="M329" s="3"/>
      <c r="N329" s="3"/>
      <c r="O329" s="3"/>
      <c r="P329" s="3"/>
      <c r="Q329" s="3"/>
      <c r="R329" s="3"/>
      <c r="S329" s="3"/>
      <c r="T329" s="3"/>
      <c r="U329" s="3"/>
      <c r="V329" s="3"/>
      <c r="W329" s="3"/>
    </row>
    <row r="330" spans="1:23" ht="15.75" customHeight="1">
      <c r="A330" s="3"/>
      <c r="B330" s="3"/>
      <c r="C330" s="3"/>
      <c r="D330" s="3"/>
      <c r="E330" s="3"/>
      <c r="F330" s="3"/>
      <c r="G330" s="3"/>
      <c r="H330" s="3"/>
      <c r="I330" s="3"/>
      <c r="J330" s="3"/>
      <c r="K330" s="3"/>
      <c r="L330" s="3"/>
      <c r="M330" s="3"/>
      <c r="N330" s="3"/>
      <c r="O330" s="3"/>
      <c r="P330" s="3"/>
      <c r="Q330" s="3"/>
      <c r="R330" s="3"/>
      <c r="S330" s="3"/>
      <c r="T330" s="3"/>
      <c r="U330" s="3"/>
      <c r="V330" s="3"/>
      <c r="W330" s="3"/>
    </row>
    <row r="331" spans="1:23" ht="15.75" customHeight="1">
      <c r="A331" s="3"/>
      <c r="B331" s="3"/>
      <c r="C331" s="3"/>
      <c r="D331" s="3"/>
      <c r="E331" s="3"/>
      <c r="F331" s="3"/>
      <c r="G331" s="3"/>
      <c r="H331" s="3"/>
      <c r="I331" s="3"/>
      <c r="J331" s="3"/>
      <c r="K331" s="3"/>
      <c r="L331" s="3"/>
      <c r="M331" s="3"/>
      <c r="N331" s="3"/>
      <c r="O331" s="3"/>
      <c r="P331" s="3"/>
      <c r="Q331" s="3"/>
      <c r="R331" s="3"/>
      <c r="S331" s="3"/>
      <c r="T331" s="3"/>
      <c r="U331" s="3"/>
      <c r="V331" s="3"/>
      <c r="W331" s="3"/>
    </row>
    <row r="332" spans="1:23" ht="15.75" customHeight="1">
      <c r="A332" s="3"/>
      <c r="B332" s="3"/>
      <c r="C332" s="3"/>
      <c r="D332" s="3"/>
      <c r="E332" s="3"/>
      <c r="F332" s="3"/>
      <c r="G332" s="3"/>
      <c r="H332" s="3"/>
      <c r="I332" s="3"/>
      <c r="J332" s="3"/>
      <c r="K332" s="3"/>
      <c r="L332" s="3"/>
      <c r="M332" s="3"/>
      <c r="N332" s="3"/>
      <c r="O332" s="3"/>
      <c r="P332" s="3"/>
      <c r="Q332" s="3"/>
      <c r="R332" s="3"/>
      <c r="S332" s="3"/>
      <c r="T332" s="3"/>
      <c r="U332" s="3"/>
      <c r="V332" s="3"/>
      <c r="W332" s="3"/>
    </row>
    <row r="333" spans="1:23" ht="15.75" customHeight="1">
      <c r="A333" s="3"/>
      <c r="B333" s="3"/>
      <c r="C333" s="3"/>
      <c r="D333" s="3"/>
      <c r="E333" s="3"/>
      <c r="F333" s="3"/>
      <c r="G333" s="3"/>
      <c r="H333" s="3"/>
      <c r="I333" s="3"/>
      <c r="J333" s="3"/>
      <c r="K333" s="3"/>
      <c r="L333" s="3"/>
      <c r="M333" s="3"/>
      <c r="N333" s="3"/>
      <c r="O333" s="3"/>
      <c r="P333" s="3"/>
      <c r="Q333" s="3"/>
      <c r="R333" s="3"/>
      <c r="S333" s="3"/>
      <c r="T333" s="3"/>
      <c r="U333" s="3"/>
      <c r="V333" s="3"/>
      <c r="W333" s="3"/>
    </row>
    <row r="334" spans="1:23" ht="15.75" customHeight="1">
      <c r="A334" s="3"/>
      <c r="B334" s="3"/>
      <c r="C334" s="3"/>
      <c r="D334" s="3"/>
      <c r="E334" s="3"/>
      <c r="F334" s="3"/>
      <c r="G334" s="3"/>
      <c r="H334" s="3"/>
      <c r="I334" s="3"/>
      <c r="J334" s="3"/>
      <c r="K334" s="3"/>
      <c r="L334" s="3"/>
      <c r="M334" s="3"/>
      <c r="N334" s="3"/>
      <c r="O334" s="3"/>
      <c r="P334" s="3"/>
      <c r="Q334" s="3"/>
      <c r="R334" s="3"/>
      <c r="S334" s="3"/>
      <c r="T334" s="3"/>
      <c r="U334" s="3"/>
      <c r="V334" s="3"/>
      <c r="W334" s="3"/>
    </row>
    <row r="335" spans="1:23" ht="15.75" customHeight="1">
      <c r="A335" s="3"/>
      <c r="B335" s="3"/>
      <c r="C335" s="3"/>
      <c r="D335" s="3"/>
      <c r="E335" s="3"/>
      <c r="F335" s="3"/>
      <c r="G335" s="3"/>
      <c r="H335" s="3"/>
      <c r="I335" s="3"/>
      <c r="J335" s="3"/>
      <c r="K335" s="3"/>
      <c r="L335" s="3"/>
      <c r="M335" s="3"/>
      <c r="N335" s="3"/>
      <c r="O335" s="3"/>
      <c r="P335" s="3"/>
      <c r="Q335" s="3"/>
      <c r="R335" s="3"/>
      <c r="S335" s="3"/>
      <c r="T335" s="3"/>
      <c r="U335" s="3"/>
      <c r="V335" s="3"/>
      <c r="W335" s="3"/>
    </row>
    <row r="336" spans="1:23" ht="15.75" customHeight="1">
      <c r="A336" s="3"/>
      <c r="B336" s="3"/>
      <c r="C336" s="3"/>
      <c r="D336" s="3"/>
      <c r="E336" s="3"/>
      <c r="F336" s="3"/>
      <c r="G336" s="3"/>
      <c r="H336" s="3"/>
      <c r="I336" s="3"/>
      <c r="J336" s="3"/>
      <c r="K336" s="3"/>
      <c r="L336" s="3"/>
      <c r="M336" s="3"/>
      <c r="N336" s="3"/>
      <c r="O336" s="3"/>
      <c r="P336" s="3"/>
      <c r="Q336" s="3"/>
      <c r="R336" s="3"/>
      <c r="S336" s="3"/>
      <c r="T336" s="3"/>
      <c r="U336" s="3"/>
      <c r="V336" s="3"/>
      <c r="W336" s="3"/>
    </row>
    <row r="337" spans="1:23" ht="15.75" customHeight="1">
      <c r="A337" s="3"/>
      <c r="B337" s="3"/>
      <c r="C337" s="3"/>
      <c r="D337" s="3"/>
      <c r="E337" s="3"/>
      <c r="F337" s="3"/>
      <c r="G337" s="3"/>
      <c r="H337" s="3"/>
      <c r="I337" s="3"/>
      <c r="J337" s="3"/>
      <c r="K337" s="3"/>
      <c r="L337" s="3"/>
      <c r="M337" s="3"/>
      <c r="N337" s="3"/>
      <c r="O337" s="3"/>
      <c r="P337" s="3"/>
      <c r="Q337" s="3"/>
      <c r="R337" s="3"/>
      <c r="S337" s="3"/>
      <c r="T337" s="3"/>
      <c r="U337" s="3"/>
      <c r="V337" s="3"/>
      <c r="W337" s="3"/>
    </row>
    <row r="338" spans="1:23" ht="15.75" customHeight="1">
      <c r="A338" s="3"/>
      <c r="B338" s="3"/>
      <c r="C338" s="3"/>
      <c r="D338" s="3"/>
      <c r="E338" s="3"/>
      <c r="F338" s="3"/>
      <c r="G338" s="3"/>
      <c r="H338" s="3"/>
      <c r="I338" s="3"/>
      <c r="J338" s="3"/>
      <c r="K338" s="3"/>
      <c r="L338" s="3"/>
      <c r="M338" s="3"/>
      <c r="N338" s="3"/>
      <c r="O338" s="3"/>
      <c r="P338" s="3"/>
      <c r="Q338" s="3"/>
      <c r="R338" s="3"/>
      <c r="S338" s="3"/>
      <c r="T338" s="3"/>
      <c r="U338" s="3"/>
      <c r="V338" s="3"/>
      <c r="W338" s="3"/>
    </row>
    <row r="339" spans="1:23" ht="15.75" customHeight="1">
      <c r="A339" s="3"/>
      <c r="B339" s="3"/>
      <c r="C339" s="3"/>
      <c r="D339" s="3"/>
      <c r="E339" s="3"/>
      <c r="F339" s="3"/>
      <c r="G339" s="3"/>
      <c r="H339" s="3"/>
      <c r="I339" s="3"/>
      <c r="J339" s="3"/>
      <c r="K339" s="3"/>
      <c r="L339" s="3"/>
      <c r="M339" s="3"/>
      <c r="N339" s="3"/>
      <c r="O339" s="3"/>
      <c r="P339" s="3"/>
      <c r="Q339" s="3"/>
      <c r="R339" s="3"/>
      <c r="S339" s="3"/>
      <c r="T339" s="3"/>
      <c r="U339" s="3"/>
      <c r="V339" s="3"/>
      <c r="W339" s="3"/>
    </row>
    <row r="340" spans="1:23" ht="15.75" customHeight="1">
      <c r="A340" s="3"/>
      <c r="B340" s="3"/>
      <c r="C340" s="3"/>
      <c r="D340" s="3"/>
      <c r="E340" s="3"/>
      <c r="F340" s="3"/>
      <c r="G340" s="3"/>
      <c r="H340" s="3"/>
      <c r="I340" s="3"/>
      <c r="J340" s="3"/>
      <c r="K340" s="3"/>
      <c r="L340" s="3"/>
      <c r="M340" s="3"/>
      <c r="N340" s="3"/>
      <c r="O340" s="3"/>
      <c r="P340" s="3"/>
      <c r="Q340" s="3"/>
      <c r="R340" s="3"/>
      <c r="S340" s="3"/>
      <c r="T340" s="3"/>
      <c r="U340" s="3"/>
      <c r="V340" s="3"/>
      <c r="W340" s="3"/>
    </row>
    <row r="341" spans="1:23" ht="15.75" customHeight="1">
      <c r="A341" s="3"/>
      <c r="B341" s="3"/>
      <c r="C341" s="3"/>
      <c r="D341" s="3"/>
      <c r="E341" s="3"/>
      <c r="F341" s="3"/>
      <c r="G341" s="3"/>
      <c r="H341" s="3"/>
      <c r="I341" s="3"/>
      <c r="J341" s="3"/>
      <c r="K341" s="3"/>
      <c r="L341" s="3"/>
      <c r="M341" s="3"/>
      <c r="N341" s="3"/>
      <c r="O341" s="3"/>
      <c r="P341" s="3"/>
      <c r="Q341" s="3"/>
      <c r="R341" s="3"/>
      <c r="S341" s="3"/>
      <c r="T341" s="3"/>
      <c r="U341" s="3"/>
      <c r="V341" s="3"/>
      <c r="W341" s="3"/>
    </row>
    <row r="342" spans="1:23" ht="15.75" customHeight="1">
      <c r="A342" s="3"/>
      <c r="B342" s="3"/>
      <c r="C342" s="3"/>
      <c r="D342" s="3"/>
      <c r="E342" s="3"/>
      <c r="F342" s="3"/>
      <c r="G342" s="3"/>
      <c r="H342" s="3"/>
      <c r="I342" s="3"/>
      <c r="J342" s="3"/>
      <c r="K342" s="3"/>
      <c r="L342" s="3"/>
      <c r="M342" s="3"/>
      <c r="N342" s="3"/>
      <c r="O342" s="3"/>
      <c r="P342" s="3"/>
      <c r="Q342" s="3"/>
      <c r="R342" s="3"/>
      <c r="S342" s="3"/>
      <c r="T342" s="3"/>
      <c r="U342" s="3"/>
      <c r="V342" s="3"/>
      <c r="W342" s="3"/>
    </row>
    <row r="343" spans="1:23" ht="15.75" customHeight="1">
      <c r="A343" s="3"/>
      <c r="B343" s="3"/>
      <c r="C343" s="3"/>
      <c r="D343" s="3"/>
      <c r="E343" s="3"/>
      <c r="F343" s="3"/>
      <c r="G343" s="3"/>
      <c r="H343" s="3"/>
      <c r="I343" s="3"/>
      <c r="J343" s="3"/>
      <c r="K343" s="3"/>
      <c r="L343" s="3"/>
      <c r="M343" s="3"/>
      <c r="N343" s="3"/>
      <c r="O343" s="3"/>
      <c r="P343" s="3"/>
      <c r="Q343" s="3"/>
      <c r="R343" s="3"/>
      <c r="S343" s="3"/>
      <c r="T343" s="3"/>
      <c r="U343" s="3"/>
      <c r="V343" s="3"/>
      <c r="W343" s="3"/>
    </row>
    <row r="344" spans="1:23" ht="15.75" customHeight="1">
      <c r="A344" s="3"/>
      <c r="B344" s="3"/>
      <c r="C344" s="3"/>
      <c r="D344" s="3"/>
      <c r="E344" s="3"/>
      <c r="F344" s="3"/>
      <c r="G344" s="3"/>
      <c r="H344" s="3"/>
      <c r="I344" s="3"/>
      <c r="J344" s="3"/>
      <c r="K344" s="3"/>
      <c r="L344" s="3"/>
      <c r="M344" s="3"/>
      <c r="N344" s="3"/>
      <c r="O344" s="3"/>
      <c r="P344" s="3"/>
      <c r="Q344" s="3"/>
      <c r="R344" s="3"/>
      <c r="S344" s="3"/>
      <c r="T344" s="3"/>
      <c r="U344" s="3"/>
      <c r="V344" s="3"/>
      <c r="W344" s="3"/>
    </row>
    <row r="345" spans="1:23" ht="15.75" customHeight="1">
      <c r="A345" s="3"/>
      <c r="B345" s="3"/>
      <c r="C345" s="3"/>
      <c r="D345" s="3"/>
      <c r="E345" s="3"/>
      <c r="F345" s="3"/>
      <c r="G345" s="3"/>
      <c r="H345" s="3"/>
      <c r="I345" s="3"/>
      <c r="J345" s="3"/>
      <c r="K345" s="3"/>
      <c r="L345" s="3"/>
      <c r="M345" s="3"/>
      <c r="N345" s="3"/>
      <c r="O345" s="3"/>
      <c r="P345" s="3"/>
      <c r="Q345" s="3"/>
      <c r="R345" s="3"/>
      <c r="S345" s="3"/>
      <c r="T345" s="3"/>
      <c r="U345" s="3"/>
      <c r="V345" s="3"/>
      <c r="W345" s="3"/>
    </row>
    <row r="346" spans="1:23" ht="15.75" customHeight="1">
      <c r="A346" s="3"/>
      <c r="B346" s="3"/>
      <c r="C346" s="3"/>
      <c r="D346" s="3"/>
      <c r="E346" s="3"/>
      <c r="F346" s="3"/>
      <c r="G346" s="3"/>
      <c r="H346" s="3"/>
      <c r="I346" s="3"/>
      <c r="J346" s="3"/>
      <c r="K346" s="3"/>
      <c r="L346" s="3"/>
      <c r="M346" s="3"/>
      <c r="N346" s="3"/>
      <c r="O346" s="3"/>
      <c r="P346" s="3"/>
      <c r="Q346" s="3"/>
      <c r="R346" s="3"/>
      <c r="S346" s="3"/>
      <c r="T346" s="3"/>
      <c r="U346" s="3"/>
      <c r="V346" s="3"/>
      <c r="W346" s="3"/>
    </row>
    <row r="347" spans="1:23" ht="15.75" customHeight="1">
      <c r="A347" s="3"/>
      <c r="B347" s="3"/>
      <c r="C347" s="3"/>
      <c r="D347" s="3"/>
      <c r="E347" s="3"/>
      <c r="F347" s="3"/>
      <c r="G347" s="3"/>
      <c r="H347" s="3"/>
      <c r="I347" s="3"/>
      <c r="J347" s="3"/>
      <c r="K347" s="3"/>
      <c r="L347" s="3"/>
      <c r="M347" s="3"/>
      <c r="N347" s="3"/>
      <c r="O347" s="3"/>
      <c r="P347" s="3"/>
      <c r="Q347" s="3"/>
      <c r="R347" s="3"/>
      <c r="S347" s="3"/>
      <c r="T347" s="3"/>
      <c r="U347" s="3"/>
      <c r="V347" s="3"/>
      <c r="W347" s="3"/>
    </row>
    <row r="348" spans="1:23" ht="15.75" customHeight="1">
      <c r="A348" s="3"/>
      <c r="B348" s="3"/>
      <c r="C348" s="3"/>
      <c r="D348" s="3"/>
      <c r="E348" s="3"/>
      <c r="F348" s="3"/>
      <c r="G348" s="3"/>
      <c r="H348" s="3"/>
      <c r="I348" s="3"/>
      <c r="J348" s="3"/>
      <c r="K348" s="3"/>
      <c r="L348" s="3"/>
      <c r="M348" s="3"/>
      <c r="N348" s="3"/>
      <c r="O348" s="3"/>
      <c r="P348" s="3"/>
      <c r="Q348" s="3"/>
      <c r="R348" s="3"/>
      <c r="S348" s="3"/>
      <c r="T348" s="3"/>
      <c r="U348" s="3"/>
      <c r="V348" s="3"/>
      <c r="W348" s="3"/>
    </row>
    <row r="349" spans="1:23" ht="15.75" customHeight="1">
      <c r="A349" s="3"/>
      <c r="B349" s="3"/>
      <c r="C349" s="3"/>
      <c r="D349" s="3"/>
      <c r="E349" s="3"/>
      <c r="F349" s="3"/>
      <c r="G349" s="3"/>
      <c r="H349" s="3"/>
      <c r="I349" s="3"/>
      <c r="J349" s="3"/>
      <c r="K349" s="3"/>
      <c r="L349" s="3"/>
      <c r="M349" s="3"/>
      <c r="N349" s="3"/>
      <c r="O349" s="3"/>
      <c r="P349" s="3"/>
      <c r="Q349" s="3"/>
      <c r="R349" s="3"/>
      <c r="S349" s="3"/>
      <c r="T349" s="3"/>
      <c r="U349" s="3"/>
      <c r="V349" s="3"/>
      <c r="W349" s="3"/>
    </row>
    <row r="350" spans="1:23" ht="15.75" customHeight="1">
      <c r="A350" s="3"/>
      <c r="B350" s="3"/>
      <c r="C350" s="3"/>
      <c r="D350" s="3"/>
      <c r="E350" s="3"/>
      <c r="F350" s="3"/>
      <c r="G350" s="3"/>
      <c r="H350" s="3"/>
      <c r="I350" s="3"/>
      <c r="J350" s="3"/>
      <c r="K350" s="3"/>
      <c r="L350" s="3"/>
      <c r="M350" s="3"/>
      <c r="N350" s="3"/>
      <c r="O350" s="3"/>
      <c r="P350" s="3"/>
      <c r="Q350" s="3"/>
      <c r="R350" s="3"/>
      <c r="S350" s="3"/>
      <c r="T350" s="3"/>
      <c r="U350" s="3"/>
      <c r="V350" s="3"/>
      <c r="W350" s="3"/>
    </row>
    <row r="351" spans="1:23" ht="15.75" customHeight="1">
      <c r="A351" s="3"/>
      <c r="B351" s="3"/>
      <c r="C351" s="3"/>
      <c r="D351" s="3"/>
      <c r="E351" s="3"/>
      <c r="F351" s="3"/>
      <c r="G351" s="3"/>
      <c r="H351" s="3"/>
      <c r="I351" s="3"/>
      <c r="J351" s="3"/>
      <c r="K351" s="3"/>
      <c r="L351" s="3"/>
      <c r="M351" s="3"/>
      <c r="N351" s="3"/>
      <c r="O351" s="3"/>
      <c r="P351" s="3"/>
      <c r="Q351" s="3"/>
      <c r="R351" s="3"/>
      <c r="S351" s="3"/>
      <c r="T351" s="3"/>
      <c r="U351" s="3"/>
      <c r="V351" s="3"/>
      <c r="W351" s="3"/>
    </row>
    <row r="352" spans="1:23" ht="15.75" customHeight="1">
      <c r="A352" s="3"/>
      <c r="B352" s="3"/>
      <c r="C352" s="3"/>
      <c r="D352" s="3"/>
      <c r="E352" s="3"/>
      <c r="F352" s="3"/>
      <c r="G352" s="3"/>
      <c r="H352" s="3"/>
      <c r="I352" s="3"/>
      <c r="J352" s="3"/>
      <c r="K352" s="3"/>
      <c r="L352" s="3"/>
      <c r="M352" s="3"/>
      <c r="N352" s="3"/>
      <c r="O352" s="3"/>
      <c r="P352" s="3"/>
      <c r="Q352" s="3"/>
      <c r="R352" s="3"/>
      <c r="S352" s="3"/>
      <c r="T352" s="3"/>
      <c r="U352" s="3"/>
      <c r="V352" s="3"/>
      <c r="W352" s="3"/>
    </row>
    <row r="353" spans="1:23" ht="15.75" customHeight="1">
      <c r="A353" s="3"/>
      <c r="B353" s="3"/>
      <c r="C353" s="3"/>
      <c r="D353" s="3"/>
      <c r="E353" s="3"/>
      <c r="F353" s="3"/>
      <c r="G353" s="3"/>
      <c r="H353" s="3"/>
      <c r="I353" s="3"/>
      <c r="J353" s="3"/>
      <c r="K353" s="3"/>
      <c r="L353" s="3"/>
      <c r="M353" s="3"/>
      <c r="N353" s="3"/>
      <c r="O353" s="3"/>
      <c r="P353" s="3"/>
      <c r="Q353" s="3"/>
      <c r="R353" s="3"/>
      <c r="S353" s="3"/>
      <c r="T353" s="3"/>
      <c r="U353" s="3"/>
      <c r="V353" s="3"/>
      <c r="W353" s="3"/>
    </row>
    <row r="354" spans="1:23" ht="15.75" customHeight="1">
      <c r="A354" s="3"/>
      <c r="B354" s="3"/>
      <c r="C354" s="3"/>
      <c r="D354" s="3"/>
      <c r="E354" s="3"/>
      <c r="F354" s="3"/>
      <c r="G354" s="3"/>
      <c r="H354" s="3"/>
      <c r="I354" s="3"/>
      <c r="J354" s="3"/>
      <c r="K354" s="3"/>
      <c r="L354" s="3"/>
      <c r="M354" s="3"/>
      <c r="N354" s="3"/>
      <c r="O354" s="3"/>
      <c r="P354" s="3"/>
      <c r="Q354" s="3"/>
      <c r="R354" s="3"/>
      <c r="S354" s="3"/>
      <c r="T354" s="3"/>
      <c r="U354" s="3"/>
      <c r="V354" s="3"/>
      <c r="W354" s="3"/>
    </row>
    <row r="355" spans="1:23" ht="15.75" customHeight="1">
      <c r="A355" s="3"/>
      <c r="B355" s="3"/>
      <c r="C355" s="3"/>
      <c r="D355" s="3"/>
      <c r="E355" s="3"/>
      <c r="F355" s="3"/>
      <c r="G355" s="3"/>
      <c r="H355" s="3"/>
      <c r="I355" s="3"/>
      <c r="J355" s="3"/>
      <c r="K355" s="3"/>
      <c r="L355" s="3"/>
      <c r="M355" s="3"/>
      <c r="N355" s="3"/>
      <c r="O355" s="3"/>
      <c r="P355" s="3"/>
      <c r="Q355" s="3"/>
      <c r="R355" s="3"/>
      <c r="S355" s="3"/>
      <c r="T355" s="3"/>
      <c r="U355" s="3"/>
      <c r="V355" s="3"/>
      <c r="W355" s="3"/>
    </row>
    <row r="356" spans="1:23" ht="15.75" customHeight="1">
      <c r="A356" s="3"/>
      <c r="B356" s="3"/>
      <c r="C356" s="3"/>
      <c r="D356" s="3"/>
      <c r="E356" s="3"/>
      <c r="F356" s="3"/>
      <c r="G356" s="3"/>
      <c r="H356" s="3"/>
      <c r="I356" s="3"/>
      <c r="J356" s="3"/>
      <c r="K356" s="3"/>
      <c r="L356" s="3"/>
      <c r="M356" s="3"/>
      <c r="N356" s="3"/>
      <c r="O356" s="3"/>
      <c r="P356" s="3"/>
      <c r="Q356" s="3"/>
      <c r="R356" s="3"/>
      <c r="S356" s="3"/>
      <c r="T356" s="3"/>
      <c r="U356" s="3"/>
      <c r="V356" s="3"/>
      <c r="W356" s="3"/>
    </row>
    <row r="357" spans="1:23" ht="15.75" customHeight="1">
      <c r="A357" s="3"/>
      <c r="B357" s="3"/>
      <c r="C357" s="3"/>
      <c r="D357" s="3"/>
      <c r="E357" s="3"/>
      <c r="F357" s="3"/>
      <c r="G357" s="3"/>
      <c r="H357" s="3"/>
      <c r="I357" s="3"/>
      <c r="J357" s="3"/>
      <c r="K357" s="3"/>
      <c r="L357" s="3"/>
      <c r="M357" s="3"/>
      <c r="N357" s="3"/>
      <c r="O357" s="3"/>
      <c r="P357" s="3"/>
      <c r="Q357" s="3"/>
      <c r="R357" s="3"/>
      <c r="S357" s="3"/>
      <c r="T357" s="3"/>
      <c r="U357" s="3"/>
      <c r="V357" s="3"/>
      <c r="W357" s="3"/>
    </row>
    <row r="358" spans="1:23" ht="15.75" customHeight="1">
      <c r="A358" s="3"/>
      <c r="B358" s="3"/>
      <c r="C358" s="3"/>
      <c r="D358" s="3"/>
      <c r="E358" s="3"/>
      <c r="F358" s="3"/>
      <c r="G358" s="3"/>
      <c r="H358" s="3"/>
      <c r="I358" s="3"/>
      <c r="J358" s="3"/>
      <c r="K358" s="3"/>
      <c r="L358" s="3"/>
      <c r="M358" s="3"/>
      <c r="N358" s="3"/>
      <c r="O358" s="3"/>
      <c r="P358" s="3"/>
      <c r="Q358" s="3"/>
      <c r="R358" s="3"/>
      <c r="S358" s="3"/>
      <c r="T358" s="3"/>
      <c r="U358" s="3"/>
      <c r="V358" s="3"/>
      <c r="W358" s="3"/>
    </row>
    <row r="359" spans="1:23" ht="15.75" customHeight="1">
      <c r="A359" s="3"/>
      <c r="B359" s="3"/>
      <c r="C359" s="3"/>
      <c r="D359" s="3"/>
      <c r="E359" s="3"/>
      <c r="F359" s="3"/>
      <c r="G359" s="3"/>
      <c r="H359" s="3"/>
      <c r="I359" s="3"/>
      <c r="J359" s="3"/>
      <c r="K359" s="3"/>
      <c r="L359" s="3"/>
      <c r="M359" s="3"/>
      <c r="N359" s="3"/>
      <c r="O359" s="3"/>
      <c r="P359" s="3"/>
      <c r="Q359" s="3"/>
      <c r="R359" s="3"/>
      <c r="S359" s="3"/>
      <c r="T359" s="3"/>
      <c r="U359" s="3"/>
      <c r="V359" s="3"/>
      <c r="W359" s="3"/>
    </row>
    <row r="360" spans="1:23" ht="15.75" customHeight="1">
      <c r="A360" s="3"/>
      <c r="B360" s="3"/>
      <c r="C360" s="3"/>
      <c r="D360" s="3"/>
      <c r="E360" s="3"/>
      <c r="F360" s="3"/>
      <c r="G360" s="3"/>
      <c r="H360" s="3"/>
      <c r="I360" s="3"/>
      <c r="J360" s="3"/>
      <c r="K360" s="3"/>
      <c r="L360" s="3"/>
      <c r="M360" s="3"/>
      <c r="N360" s="3"/>
      <c r="O360" s="3"/>
      <c r="P360" s="3"/>
      <c r="Q360" s="3"/>
      <c r="R360" s="3"/>
      <c r="S360" s="3"/>
      <c r="T360" s="3"/>
      <c r="U360" s="3"/>
      <c r="V360" s="3"/>
      <c r="W360" s="3"/>
    </row>
    <row r="361" spans="1:23" ht="15.75" customHeight="1">
      <c r="A361" s="3"/>
      <c r="B361" s="3"/>
      <c r="C361" s="3"/>
      <c r="D361" s="3"/>
      <c r="E361" s="3"/>
      <c r="F361" s="3"/>
      <c r="G361" s="3"/>
      <c r="H361" s="3"/>
      <c r="I361" s="3"/>
      <c r="J361" s="3"/>
      <c r="K361" s="3"/>
      <c r="L361" s="3"/>
      <c r="M361" s="3"/>
      <c r="N361" s="3"/>
      <c r="O361" s="3"/>
      <c r="P361" s="3"/>
      <c r="Q361" s="3"/>
      <c r="R361" s="3"/>
      <c r="S361" s="3"/>
      <c r="T361" s="3"/>
      <c r="U361" s="3"/>
      <c r="V361" s="3"/>
      <c r="W361" s="3"/>
    </row>
    <row r="362" spans="1:23" ht="15.75" customHeight="1">
      <c r="A362" s="3"/>
      <c r="B362" s="3"/>
      <c r="C362" s="3"/>
      <c r="D362" s="3"/>
      <c r="E362" s="3"/>
      <c r="F362" s="3"/>
      <c r="G362" s="3"/>
      <c r="H362" s="3"/>
      <c r="I362" s="3"/>
      <c r="J362" s="3"/>
      <c r="K362" s="3"/>
      <c r="L362" s="3"/>
      <c r="M362" s="3"/>
      <c r="N362" s="3"/>
      <c r="O362" s="3"/>
      <c r="P362" s="3"/>
      <c r="Q362" s="3"/>
      <c r="R362" s="3"/>
      <c r="S362" s="3"/>
      <c r="T362" s="3"/>
      <c r="U362" s="3"/>
      <c r="V362" s="3"/>
      <c r="W362" s="3"/>
    </row>
    <row r="363" spans="1:23" ht="15.75" customHeight="1">
      <c r="A363" s="3"/>
      <c r="B363" s="3"/>
      <c r="C363" s="3"/>
      <c r="D363" s="3"/>
      <c r="E363" s="3"/>
      <c r="F363" s="3"/>
      <c r="G363" s="3"/>
      <c r="H363" s="3"/>
      <c r="I363" s="3"/>
      <c r="J363" s="3"/>
      <c r="K363" s="3"/>
      <c r="L363" s="3"/>
      <c r="M363" s="3"/>
      <c r="N363" s="3"/>
      <c r="O363" s="3"/>
      <c r="P363" s="3"/>
      <c r="Q363" s="3"/>
      <c r="R363" s="3"/>
      <c r="S363" s="3"/>
      <c r="T363" s="3"/>
      <c r="U363" s="3"/>
      <c r="V363" s="3"/>
      <c r="W363" s="3"/>
    </row>
    <row r="364" spans="1:23" ht="15.75" customHeight="1">
      <c r="A364" s="3"/>
      <c r="B364" s="3"/>
      <c r="C364" s="3"/>
      <c r="D364" s="3"/>
      <c r="E364" s="3"/>
      <c r="F364" s="3"/>
      <c r="G364" s="3"/>
      <c r="H364" s="3"/>
      <c r="I364" s="3"/>
      <c r="J364" s="3"/>
      <c r="K364" s="3"/>
      <c r="L364" s="3"/>
      <c r="M364" s="3"/>
      <c r="N364" s="3"/>
      <c r="O364" s="3"/>
      <c r="P364" s="3"/>
      <c r="Q364" s="3"/>
      <c r="R364" s="3"/>
      <c r="S364" s="3"/>
      <c r="T364" s="3"/>
      <c r="U364" s="3"/>
      <c r="V364" s="3"/>
      <c r="W364" s="3"/>
    </row>
    <row r="365" spans="1:23" ht="15.75" customHeight="1">
      <c r="A365" s="3"/>
      <c r="B365" s="3"/>
      <c r="C365" s="3"/>
      <c r="D365" s="3"/>
      <c r="E365" s="3"/>
      <c r="F365" s="3"/>
      <c r="G365" s="3"/>
      <c r="H365" s="3"/>
      <c r="I365" s="3"/>
      <c r="J365" s="3"/>
      <c r="K365" s="3"/>
      <c r="L365" s="3"/>
      <c r="M365" s="3"/>
      <c r="N365" s="3"/>
      <c r="O365" s="3"/>
      <c r="P365" s="3"/>
      <c r="Q365" s="3"/>
      <c r="R365" s="3"/>
      <c r="S365" s="3"/>
      <c r="T365" s="3"/>
      <c r="U365" s="3"/>
      <c r="V365" s="3"/>
      <c r="W365" s="3"/>
    </row>
    <row r="366" spans="1:23" ht="15.75" customHeight="1">
      <c r="A366" s="3"/>
      <c r="B366" s="3"/>
      <c r="C366" s="3"/>
      <c r="D366" s="3"/>
      <c r="E366" s="3"/>
      <c r="F366" s="3"/>
      <c r="G366" s="3"/>
      <c r="H366" s="3"/>
      <c r="I366" s="3"/>
      <c r="J366" s="3"/>
      <c r="K366" s="3"/>
      <c r="L366" s="3"/>
      <c r="M366" s="3"/>
      <c r="N366" s="3"/>
      <c r="O366" s="3"/>
      <c r="P366" s="3"/>
      <c r="Q366" s="3"/>
      <c r="R366" s="3"/>
      <c r="S366" s="3"/>
      <c r="T366" s="3"/>
      <c r="U366" s="3"/>
      <c r="V366" s="3"/>
      <c r="W366" s="3"/>
    </row>
    <row r="367" spans="1:23" ht="15.75" customHeight="1">
      <c r="A367" s="3"/>
      <c r="B367" s="3"/>
      <c r="C367" s="3"/>
      <c r="D367" s="3"/>
      <c r="E367" s="3"/>
      <c r="F367" s="3"/>
      <c r="G367" s="3"/>
      <c r="H367" s="3"/>
      <c r="I367" s="3"/>
      <c r="J367" s="3"/>
      <c r="K367" s="3"/>
      <c r="L367" s="3"/>
      <c r="M367" s="3"/>
      <c r="N367" s="3"/>
      <c r="O367" s="3"/>
      <c r="P367" s="3"/>
      <c r="Q367" s="3"/>
      <c r="R367" s="3"/>
      <c r="S367" s="3"/>
      <c r="T367" s="3"/>
      <c r="U367" s="3"/>
      <c r="V367" s="3"/>
      <c r="W367" s="3"/>
    </row>
    <row r="368" spans="1:23" ht="15.75" customHeight="1">
      <c r="A368" s="3"/>
      <c r="B368" s="3"/>
      <c r="C368" s="3"/>
      <c r="D368" s="3"/>
      <c r="E368" s="3"/>
      <c r="F368" s="3"/>
      <c r="G368" s="3"/>
      <c r="H368" s="3"/>
      <c r="I368" s="3"/>
      <c r="J368" s="3"/>
      <c r="K368" s="3"/>
      <c r="L368" s="3"/>
      <c r="M368" s="3"/>
      <c r="N368" s="3"/>
      <c r="O368" s="3"/>
      <c r="P368" s="3"/>
      <c r="Q368" s="3"/>
      <c r="R368" s="3"/>
      <c r="S368" s="3"/>
      <c r="T368" s="3"/>
      <c r="U368" s="3"/>
      <c r="V368" s="3"/>
      <c r="W368" s="3"/>
    </row>
    <row r="369" spans="1:23" ht="15.75" customHeight="1">
      <c r="A369" s="3"/>
      <c r="B369" s="3"/>
      <c r="C369" s="3"/>
      <c r="D369" s="3"/>
      <c r="E369" s="3"/>
      <c r="F369" s="3"/>
      <c r="G369" s="3"/>
      <c r="H369" s="3"/>
      <c r="I369" s="3"/>
      <c r="J369" s="3"/>
      <c r="K369" s="3"/>
      <c r="L369" s="3"/>
      <c r="M369" s="3"/>
      <c r="N369" s="3"/>
      <c r="O369" s="3"/>
      <c r="P369" s="3"/>
      <c r="Q369" s="3"/>
      <c r="R369" s="3"/>
      <c r="S369" s="3"/>
      <c r="T369" s="3"/>
      <c r="U369" s="3"/>
      <c r="V369" s="3"/>
      <c r="W369" s="3"/>
    </row>
    <row r="370" spans="1:23" ht="15.75" customHeight="1">
      <c r="A370" s="3"/>
      <c r="B370" s="3"/>
      <c r="C370" s="3"/>
      <c r="D370" s="3"/>
      <c r="E370" s="3"/>
      <c r="F370" s="3"/>
      <c r="G370" s="3"/>
      <c r="H370" s="3"/>
      <c r="I370" s="3"/>
      <c r="J370" s="3"/>
      <c r="K370" s="3"/>
      <c r="L370" s="3"/>
      <c r="M370" s="3"/>
      <c r="N370" s="3"/>
      <c r="O370" s="3"/>
      <c r="P370" s="3"/>
      <c r="Q370" s="3"/>
      <c r="R370" s="3"/>
      <c r="S370" s="3"/>
      <c r="T370" s="3"/>
      <c r="U370" s="3"/>
      <c r="V370" s="3"/>
      <c r="W370" s="3"/>
    </row>
    <row r="371" spans="1:23" ht="15.75" customHeight="1">
      <c r="A371" s="3"/>
      <c r="B371" s="3"/>
      <c r="C371" s="3"/>
      <c r="D371" s="3"/>
      <c r="E371" s="3"/>
      <c r="F371" s="3"/>
      <c r="G371" s="3"/>
      <c r="H371" s="3"/>
      <c r="I371" s="3"/>
      <c r="J371" s="3"/>
      <c r="K371" s="3"/>
      <c r="L371" s="3"/>
      <c r="M371" s="3"/>
      <c r="N371" s="3"/>
      <c r="O371" s="3"/>
      <c r="P371" s="3"/>
      <c r="Q371" s="3"/>
      <c r="R371" s="3"/>
      <c r="S371" s="3"/>
      <c r="T371" s="3"/>
      <c r="U371" s="3"/>
      <c r="V371" s="3"/>
      <c r="W371" s="3"/>
    </row>
    <row r="372" spans="1:23" ht="15.75" customHeight="1">
      <c r="A372" s="3"/>
      <c r="B372" s="3"/>
      <c r="C372" s="3"/>
      <c r="D372" s="3"/>
      <c r="E372" s="3"/>
      <c r="F372" s="3"/>
      <c r="G372" s="3"/>
      <c r="H372" s="3"/>
      <c r="I372" s="3"/>
      <c r="J372" s="3"/>
      <c r="K372" s="3"/>
      <c r="L372" s="3"/>
      <c r="M372" s="3"/>
      <c r="N372" s="3"/>
      <c r="O372" s="3"/>
      <c r="P372" s="3"/>
      <c r="Q372" s="3"/>
      <c r="R372" s="3"/>
      <c r="S372" s="3"/>
      <c r="T372" s="3"/>
      <c r="U372" s="3"/>
      <c r="V372" s="3"/>
      <c r="W372" s="3"/>
    </row>
    <row r="373" spans="1:23" ht="15.75" customHeight="1">
      <c r="A373" s="3"/>
      <c r="B373" s="3"/>
      <c r="C373" s="3"/>
      <c r="D373" s="3"/>
      <c r="E373" s="3"/>
      <c r="F373" s="3"/>
      <c r="G373" s="3"/>
      <c r="H373" s="3"/>
      <c r="I373" s="3"/>
      <c r="J373" s="3"/>
      <c r="K373" s="3"/>
      <c r="L373" s="3"/>
      <c r="M373" s="3"/>
      <c r="N373" s="3"/>
      <c r="O373" s="3"/>
      <c r="P373" s="3"/>
      <c r="Q373" s="3"/>
      <c r="R373" s="3"/>
      <c r="S373" s="3"/>
      <c r="T373" s="3"/>
      <c r="U373" s="3"/>
      <c r="V373" s="3"/>
      <c r="W373" s="3"/>
    </row>
    <row r="374" spans="1:23" ht="15.75" customHeight="1">
      <c r="A374" s="3"/>
      <c r="B374" s="3"/>
      <c r="C374" s="3"/>
      <c r="D374" s="3"/>
      <c r="E374" s="3"/>
      <c r="F374" s="3"/>
      <c r="G374" s="3"/>
      <c r="H374" s="3"/>
      <c r="I374" s="3"/>
      <c r="J374" s="3"/>
      <c r="K374" s="3"/>
      <c r="L374" s="3"/>
      <c r="M374" s="3"/>
      <c r="N374" s="3"/>
      <c r="O374" s="3"/>
      <c r="P374" s="3"/>
      <c r="Q374" s="3"/>
      <c r="R374" s="3"/>
      <c r="S374" s="3"/>
      <c r="T374" s="3"/>
      <c r="U374" s="3"/>
      <c r="V374" s="3"/>
      <c r="W374" s="3"/>
    </row>
    <row r="375" spans="1:23" ht="15.75" customHeight="1">
      <c r="A375" s="3"/>
      <c r="B375" s="3"/>
      <c r="C375" s="3"/>
      <c r="D375" s="3"/>
      <c r="E375" s="3"/>
      <c r="F375" s="3"/>
      <c r="G375" s="3"/>
      <c r="H375" s="3"/>
      <c r="I375" s="3"/>
      <c r="J375" s="3"/>
      <c r="K375" s="3"/>
      <c r="L375" s="3"/>
      <c r="M375" s="3"/>
      <c r="N375" s="3"/>
      <c r="O375" s="3"/>
      <c r="P375" s="3"/>
      <c r="Q375" s="3"/>
      <c r="R375" s="3"/>
      <c r="S375" s="3"/>
      <c r="T375" s="3"/>
      <c r="U375" s="3"/>
      <c r="V375" s="3"/>
      <c r="W375" s="3"/>
    </row>
    <row r="376" spans="1:23" ht="15.75" customHeight="1">
      <c r="A376" s="3"/>
      <c r="B376" s="3"/>
      <c r="C376" s="3"/>
      <c r="D376" s="3"/>
      <c r="E376" s="3"/>
      <c r="F376" s="3"/>
      <c r="G376" s="3"/>
      <c r="H376" s="3"/>
      <c r="I376" s="3"/>
      <c r="J376" s="3"/>
      <c r="K376" s="3"/>
      <c r="L376" s="3"/>
      <c r="M376" s="3"/>
      <c r="N376" s="3"/>
      <c r="O376" s="3"/>
      <c r="P376" s="3"/>
      <c r="Q376" s="3"/>
      <c r="R376" s="3"/>
      <c r="S376" s="3"/>
      <c r="T376" s="3"/>
      <c r="U376" s="3"/>
      <c r="V376" s="3"/>
      <c r="W376" s="3"/>
    </row>
    <row r="377" spans="1:23" ht="15.75" customHeight="1">
      <c r="A377" s="3"/>
      <c r="B377" s="3"/>
      <c r="C377" s="3"/>
      <c r="D377" s="3"/>
      <c r="E377" s="3"/>
      <c r="F377" s="3"/>
      <c r="G377" s="3"/>
      <c r="H377" s="3"/>
      <c r="I377" s="3"/>
      <c r="J377" s="3"/>
      <c r="K377" s="3"/>
      <c r="L377" s="3"/>
      <c r="M377" s="3"/>
      <c r="N377" s="3"/>
      <c r="O377" s="3"/>
      <c r="P377" s="3"/>
      <c r="Q377" s="3"/>
      <c r="R377" s="3"/>
      <c r="S377" s="3"/>
      <c r="T377" s="3"/>
      <c r="U377" s="3"/>
      <c r="V377" s="3"/>
      <c r="W377" s="3"/>
    </row>
    <row r="378" spans="1:23" ht="15.75" customHeight="1">
      <c r="A378" s="3"/>
      <c r="B378" s="3"/>
      <c r="C378" s="3"/>
      <c r="D378" s="3"/>
      <c r="E378" s="3"/>
      <c r="F378" s="3"/>
      <c r="G378" s="3"/>
      <c r="H378" s="3"/>
      <c r="I378" s="3"/>
      <c r="J378" s="3"/>
      <c r="K378" s="3"/>
      <c r="L378" s="3"/>
      <c r="M378" s="3"/>
      <c r="N378" s="3"/>
      <c r="O378" s="3"/>
      <c r="P378" s="3"/>
      <c r="Q378" s="3"/>
      <c r="R378" s="3"/>
      <c r="S378" s="3"/>
      <c r="T378" s="3"/>
      <c r="U378" s="3"/>
      <c r="V378" s="3"/>
      <c r="W378" s="3"/>
    </row>
    <row r="379" spans="1:23" ht="15.75" customHeight="1">
      <c r="A379" s="3"/>
      <c r="B379" s="3"/>
      <c r="C379" s="3"/>
      <c r="D379" s="3"/>
      <c r="E379" s="3"/>
      <c r="F379" s="3"/>
      <c r="G379" s="3"/>
      <c r="H379" s="3"/>
      <c r="I379" s="3"/>
      <c r="J379" s="3"/>
      <c r="K379" s="3"/>
      <c r="L379" s="3"/>
      <c r="M379" s="3"/>
      <c r="N379" s="3"/>
      <c r="O379" s="3"/>
      <c r="P379" s="3"/>
      <c r="Q379" s="3"/>
      <c r="R379" s="3"/>
      <c r="S379" s="3"/>
      <c r="T379" s="3"/>
      <c r="U379" s="3"/>
      <c r="V379" s="3"/>
      <c r="W379" s="3"/>
    </row>
    <row r="380" spans="1:23" ht="15.75" customHeight="1">
      <c r="A380" s="3"/>
      <c r="B380" s="3"/>
      <c r="C380" s="3"/>
      <c r="D380" s="3"/>
      <c r="E380" s="3"/>
      <c r="F380" s="3"/>
      <c r="G380" s="3"/>
      <c r="H380" s="3"/>
      <c r="I380" s="3"/>
      <c r="J380" s="3"/>
      <c r="K380" s="3"/>
      <c r="L380" s="3"/>
      <c r="M380" s="3"/>
      <c r="N380" s="3"/>
      <c r="O380" s="3"/>
      <c r="P380" s="3"/>
      <c r="Q380" s="3"/>
      <c r="R380" s="3"/>
      <c r="S380" s="3"/>
      <c r="T380" s="3"/>
      <c r="U380" s="3"/>
      <c r="V380" s="3"/>
      <c r="W380" s="3"/>
    </row>
    <row r="381" spans="1:23" ht="15.75" customHeight="1">
      <c r="A381" s="3"/>
      <c r="B381" s="3"/>
      <c r="C381" s="3"/>
      <c r="D381" s="3"/>
      <c r="E381" s="3"/>
      <c r="F381" s="3"/>
      <c r="G381" s="3"/>
      <c r="H381" s="3"/>
      <c r="I381" s="3"/>
      <c r="J381" s="3"/>
      <c r="K381" s="3"/>
      <c r="L381" s="3"/>
      <c r="M381" s="3"/>
      <c r="N381" s="3"/>
      <c r="O381" s="3"/>
      <c r="P381" s="3"/>
      <c r="Q381" s="3"/>
      <c r="R381" s="3"/>
      <c r="S381" s="3"/>
      <c r="T381" s="3"/>
      <c r="U381" s="3"/>
      <c r="V381" s="3"/>
      <c r="W381" s="3"/>
    </row>
    <row r="382" spans="1:23" ht="15.75" customHeight="1">
      <c r="A382" s="3"/>
      <c r="B382" s="3"/>
      <c r="C382" s="3"/>
      <c r="D382" s="3"/>
      <c r="E382" s="3"/>
      <c r="F382" s="3"/>
      <c r="G382" s="3"/>
      <c r="H382" s="3"/>
      <c r="I382" s="3"/>
      <c r="J382" s="3"/>
      <c r="K382" s="3"/>
      <c r="L382" s="3"/>
      <c r="M382" s="3"/>
      <c r="N382" s="3"/>
      <c r="O382" s="3"/>
      <c r="P382" s="3"/>
      <c r="Q382" s="3"/>
      <c r="R382" s="3"/>
      <c r="S382" s="3"/>
      <c r="T382" s="3"/>
      <c r="U382" s="3"/>
      <c r="V382" s="3"/>
      <c r="W382" s="3"/>
    </row>
    <row r="383" spans="1:23" ht="15.75" customHeight="1">
      <c r="A383" s="3"/>
      <c r="B383" s="3"/>
      <c r="C383" s="3"/>
      <c r="D383" s="3"/>
      <c r="E383" s="3"/>
      <c r="F383" s="3"/>
      <c r="G383" s="3"/>
      <c r="H383" s="3"/>
      <c r="I383" s="3"/>
      <c r="J383" s="3"/>
      <c r="K383" s="3"/>
      <c r="L383" s="3"/>
      <c r="M383" s="3"/>
      <c r="N383" s="3"/>
      <c r="O383" s="3"/>
      <c r="P383" s="3"/>
      <c r="Q383" s="3"/>
      <c r="R383" s="3"/>
      <c r="S383" s="3"/>
      <c r="T383" s="3"/>
      <c r="U383" s="3"/>
      <c r="V383" s="3"/>
      <c r="W383" s="3"/>
    </row>
    <row r="384" spans="1:23" ht="15.75" customHeight="1">
      <c r="A384" s="3"/>
      <c r="B384" s="3"/>
      <c r="C384" s="3"/>
      <c r="D384" s="3"/>
      <c r="E384" s="3"/>
      <c r="F384" s="3"/>
      <c r="G384" s="3"/>
      <c r="H384" s="3"/>
      <c r="I384" s="3"/>
      <c r="J384" s="3"/>
      <c r="K384" s="3"/>
      <c r="L384" s="3"/>
      <c r="M384" s="3"/>
      <c r="N384" s="3"/>
      <c r="O384" s="3"/>
      <c r="P384" s="3"/>
      <c r="Q384" s="3"/>
      <c r="R384" s="3"/>
      <c r="S384" s="3"/>
      <c r="T384" s="3"/>
      <c r="U384" s="3"/>
      <c r="V384" s="3"/>
      <c r="W384" s="3"/>
    </row>
    <row r="385" spans="1:23" ht="15.75" customHeight="1">
      <c r="A385" s="3"/>
      <c r="B385" s="3"/>
      <c r="C385" s="3"/>
      <c r="D385" s="3"/>
      <c r="E385" s="3"/>
      <c r="F385" s="3"/>
      <c r="G385" s="3"/>
      <c r="H385" s="3"/>
      <c r="I385" s="3"/>
      <c r="J385" s="3"/>
      <c r="K385" s="3"/>
      <c r="L385" s="3"/>
      <c r="M385" s="3"/>
      <c r="N385" s="3"/>
      <c r="O385" s="3"/>
      <c r="P385" s="3"/>
      <c r="Q385" s="3"/>
      <c r="R385" s="3"/>
      <c r="S385" s="3"/>
      <c r="T385" s="3"/>
      <c r="U385" s="3"/>
      <c r="V385" s="3"/>
      <c r="W385" s="3"/>
    </row>
    <row r="386" spans="1:23" ht="15.75" customHeight="1">
      <c r="A386" s="3"/>
      <c r="B386" s="3"/>
      <c r="C386" s="3"/>
      <c r="D386" s="3"/>
      <c r="E386" s="3"/>
      <c r="F386" s="3"/>
      <c r="G386" s="3"/>
      <c r="H386" s="3"/>
      <c r="I386" s="3"/>
      <c r="J386" s="3"/>
      <c r="K386" s="3"/>
      <c r="L386" s="3"/>
      <c r="M386" s="3"/>
      <c r="N386" s="3"/>
      <c r="O386" s="3"/>
      <c r="P386" s="3"/>
      <c r="Q386" s="3"/>
      <c r="R386" s="3"/>
      <c r="S386" s="3"/>
      <c r="T386" s="3"/>
      <c r="U386" s="3"/>
      <c r="V386" s="3"/>
      <c r="W386" s="3"/>
    </row>
    <row r="387" spans="1:23" ht="15.75" customHeight="1">
      <c r="A387" s="3"/>
      <c r="B387" s="3"/>
      <c r="C387" s="3"/>
      <c r="D387" s="3"/>
      <c r="E387" s="3"/>
      <c r="F387" s="3"/>
      <c r="G387" s="3"/>
      <c r="H387" s="3"/>
      <c r="I387" s="3"/>
      <c r="J387" s="3"/>
      <c r="K387" s="3"/>
      <c r="L387" s="3"/>
      <c r="M387" s="3"/>
      <c r="N387" s="3"/>
      <c r="O387" s="3"/>
      <c r="P387" s="3"/>
      <c r="Q387" s="3"/>
      <c r="R387" s="3"/>
      <c r="S387" s="3"/>
      <c r="T387" s="3"/>
      <c r="U387" s="3"/>
      <c r="V387" s="3"/>
      <c r="W387" s="3"/>
    </row>
    <row r="388" spans="1:23" ht="15.75" customHeight="1">
      <c r="A388" s="3"/>
      <c r="B388" s="3"/>
      <c r="C388" s="3"/>
      <c r="D388" s="3"/>
      <c r="E388" s="3"/>
      <c r="F388" s="3"/>
      <c r="G388" s="3"/>
      <c r="H388" s="3"/>
      <c r="I388" s="3"/>
      <c r="J388" s="3"/>
      <c r="K388" s="3"/>
      <c r="L388" s="3"/>
      <c r="M388" s="3"/>
      <c r="N388" s="3"/>
      <c r="O388" s="3"/>
      <c r="P388" s="3"/>
      <c r="Q388" s="3"/>
      <c r="R388" s="3"/>
      <c r="S388" s="3"/>
      <c r="T388" s="3"/>
      <c r="U388" s="3"/>
      <c r="V388" s="3"/>
      <c r="W388" s="3"/>
    </row>
    <row r="389" spans="1:23" ht="15.75" customHeight="1">
      <c r="A389" s="3"/>
      <c r="B389" s="3"/>
      <c r="C389" s="3"/>
      <c r="D389" s="3"/>
      <c r="E389" s="3"/>
      <c r="F389" s="3"/>
      <c r="G389" s="3"/>
      <c r="H389" s="3"/>
      <c r="I389" s="3"/>
      <c r="J389" s="3"/>
      <c r="K389" s="3"/>
      <c r="L389" s="3"/>
      <c r="M389" s="3"/>
      <c r="N389" s="3"/>
      <c r="O389" s="3"/>
      <c r="P389" s="3"/>
      <c r="Q389" s="3"/>
      <c r="R389" s="3"/>
      <c r="S389" s="3"/>
      <c r="T389" s="3"/>
      <c r="U389" s="3"/>
      <c r="V389" s="3"/>
      <c r="W389" s="3"/>
    </row>
    <row r="390" spans="1:23" ht="15.75" customHeight="1">
      <c r="A390" s="3"/>
      <c r="B390" s="3"/>
      <c r="C390" s="3"/>
      <c r="D390" s="3"/>
      <c r="E390" s="3"/>
      <c r="F390" s="3"/>
      <c r="G390" s="3"/>
      <c r="H390" s="3"/>
      <c r="I390" s="3"/>
      <c r="J390" s="3"/>
      <c r="K390" s="3"/>
      <c r="L390" s="3"/>
      <c r="M390" s="3"/>
      <c r="N390" s="3"/>
      <c r="O390" s="3"/>
      <c r="P390" s="3"/>
      <c r="Q390" s="3"/>
      <c r="R390" s="3"/>
      <c r="S390" s="3"/>
      <c r="T390" s="3"/>
      <c r="U390" s="3"/>
      <c r="V390" s="3"/>
      <c r="W390" s="3"/>
    </row>
    <row r="391" spans="1:23" ht="15.75" customHeight="1">
      <c r="A391" s="3"/>
      <c r="B391" s="3"/>
      <c r="C391" s="3"/>
      <c r="D391" s="3"/>
      <c r="E391" s="3"/>
      <c r="F391" s="3"/>
      <c r="G391" s="3"/>
      <c r="H391" s="3"/>
      <c r="I391" s="3"/>
      <c r="J391" s="3"/>
      <c r="K391" s="3"/>
      <c r="L391" s="3"/>
      <c r="M391" s="3"/>
      <c r="N391" s="3"/>
      <c r="O391" s="3"/>
      <c r="P391" s="3"/>
      <c r="Q391" s="3"/>
      <c r="R391" s="3"/>
      <c r="S391" s="3"/>
      <c r="T391" s="3"/>
      <c r="U391" s="3"/>
      <c r="V391" s="3"/>
      <c r="W391" s="3"/>
    </row>
    <row r="392" spans="1:23" ht="15.75" customHeight="1">
      <c r="A392" s="3"/>
      <c r="B392" s="3"/>
      <c r="C392" s="3"/>
      <c r="D392" s="3"/>
      <c r="E392" s="3"/>
      <c r="F392" s="3"/>
      <c r="G392" s="3"/>
      <c r="H392" s="3"/>
      <c r="I392" s="3"/>
      <c r="J392" s="3"/>
      <c r="K392" s="3"/>
      <c r="L392" s="3"/>
      <c r="M392" s="3"/>
      <c r="N392" s="3"/>
      <c r="O392" s="3"/>
      <c r="P392" s="3"/>
      <c r="Q392" s="3"/>
      <c r="R392" s="3"/>
      <c r="S392" s="3"/>
      <c r="T392" s="3"/>
      <c r="U392" s="3"/>
      <c r="V392" s="3"/>
      <c r="W392" s="3"/>
    </row>
    <row r="393" spans="1:23" ht="15.75" customHeight="1">
      <c r="A393" s="3"/>
      <c r="B393" s="3"/>
      <c r="C393" s="3"/>
      <c r="D393" s="3"/>
      <c r="E393" s="3"/>
      <c r="F393" s="3"/>
      <c r="G393" s="3"/>
      <c r="H393" s="3"/>
      <c r="I393" s="3"/>
      <c r="J393" s="3"/>
      <c r="K393" s="3"/>
      <c r="L393" s="3"/>
      <c r="M393" s="3"/>
      <c r="N393" s="3"/>
      <c r="O393" s="3"/>
      <c r="P393" s="3"/>
      <c r="Q393" s="3"/>
      <c r="R393" s="3"/>
      <c r="S393" s="3"/>
      <c r="T393" s="3"/>
      <c r="U393" s="3"/>
      <c r="V393" s="3"/>
      <c r="W393" s="3"/>
    </row>
    <row r="394" spans="1:23" ht="15.75" customHeight="1">
      <c r="A394" s="3"/>
      <c r="B394" s="3"/>
      <c r="C394" s="3"/>
      <c r="D394" s="3"/>
      <c r="E394" s="3"/>
      <c r="F394" s="3"/>
      <c r="G394" s="3"/>
      <c r="H394" s="3"/>
      <c r="I394" s="3"/>
      <c r="J394" s="3"/>
      <c r="K394" s="3"/>
      <c r="L394" s="3"/>
      <c r="M394" s="3"/>
      <c r="N394" s="3"/>
      <c r="O394" s="3"/>
      <c r="P394" s="3"/>
      <c r="Q394" s="3"/>
      <c r="R394" s="3"/>
      <c r="S394" s="3"/>
      <c r="T394" s="3"/>
      <c r="U394" s="3"/>
      <c r="V394" s="3"/>
      <c r="W394" s="3"/>
    </row>
    <row r="395" spans="1:23" ht="15.75" customHeight="1">
      <c r="A395" s="3"/>
      <c r="B395" s="3"/>
      <c r="C395" s="3"/>
      <c r="D395" s="3"/>
      <c r="E395" s="3"/>
      <c r="F395" s="3"/>
      <c r="G395" s="3"/>
      <c r="H395" s="3"/>
      <c r="I395" s="3"/>
      <c r="J395" s="3"/>
      <c r="K395" s="3"/>
      <c r="L395" s="3"/>
      <c r="M395" s="3"/>
      <c r="N395" s="3"/>
      <c r="O395" s="3"/>
      <c r="P395" s="3"/>
      <c r="Q395" s="3"/>
      <c r="R395" s="3"/>
      <c r="S395" s="3"/>
      <c r="T395" s="3"/>
      <c r="U395" s="3"/>
      <c r="V395" s="3"/>
      <c r="W395" s="3"/>
    </row>
    <row r="396" spans="1:23" ht="15.75" customHeight="1">
      <c r="A396" s="3"/>
      <c r="B396" s="3"/>
      <c r="C396" s="3"/>
      <c r="D396" s="3"/>
      <c r="E396" s="3"/>
      <c r="F396" s="3"/>
      <c r="G396" s="3"/>
      <c r="H396" s="3"/>
      <c r="I396" s="3"/>
      <c r="J396" s="3"/>
      <c r="K396" s="3"/>
      <c r="L396" s="3"/>
      <c r="M396" s="3"/>
      <c r="N396" s="3"/>
      <c r="O396" s="3"/>
      <c r="P396" s="3"/>
      <c r="Q396" s="3"/>
      <c r="R396" s="3"/>
      <c r="S396" s="3"/>
      <c r="T396" s="3"/>
      <c r="U396" s="3"/>
      <c r="V396" s="3"/>
      <c r="W396" s="3"/>
    </row>
    <row r="397" spans="1:23" ht="15.75" customHeight="1">
      <c r="A397" s="3"/>
      <c r="B397" s="3"/>
      <c r="C397" s="3"/>
      <c r="D397" s="3"/>
      <c r="E397" s="3"/>
      <c r="F397" s="3"/>
      <c r="G397" s="3"/>
      <c r="H397" s="3"/>
      <c r="I397" s="3"/>
      <c r="J397" s="3"/>
      <c r="K397" s="3"/>
      <c r="L397" s="3"/>
      <c r="M397" s="3"/>
      <c r="N397" s="3"/>
      <c r="O397" s="3"/>
      <c r="P397" s="3"/>
      <c r="Q397" s="3"/>
      <c r="R397" s="3"/>
      <c r="S397" s="3"/>
      <c r="T397" s="3"/>
      <c r="U397" s="3"/>
      <c r="V397" s="3"/>
      <c r="W397" s="3"/>
    </row>
    <row r="398" spans="1:23" ht="15.75" customHeight="1">
      <c r="A398" s="3"/>
      <c r="B398" s="3"/>
      <c r="C398" s="3"/>
      <c r="D398" s="3"/>
      <c r="E398" s="3"/>
      <c r="F398" s="3"/>
      <c r="G398" s="3"/>
      <c r="H398" s="3"/>
      <c r="I398" s="3"/>
      <c r="J398" s="3"/>
      <c r="K398" s="3"/>
      <c r="L398" s="3"/>
      <c r="M398" s="3"/>
      <c r="N398" s="3"/>
      <c r="O398" s="3"/>
      <c r="P398" s="3"/>
      <c r="Q398" s="3"/>
      <c r="R398" s="3"/>
      <c r="S398" s="3"/>
      <c r="T398" s="3"/>
      <c r="U398" s="3"/>
      <c r="V398" s="3"/>
      <c r="W398" s="3"/>
    </row>
    <row r="399" spans="1:23" ht="15.75" customHeight="1">
      <c r="A399" s="3"/>
      <c r="B399" s="3"/>
      <c r="C399" s="3"/>
      <c r="D399" s="3"/>
      <c r="E399" s="3"/>
      <c r="F399" s="3"/>
      <c r="G399" s="3"/>
      <c r="H399" s="3"/>
      <c r="I399" s="3"/>
      <c r="J399" s="3"/>
      <c r="K399" s="3"/>
      <c r="L399" s="3"/>
      <c r="M399" s="3"/>
      <c r="N399" s="3"/>
      <c r="O399" s="3"/>
      <c r="P399" s="3"/>
      <c r="Q399" s="3"/>
      <c r="R399" s="3"/>
      <c r="S399" s="3"/>
      <c r="T399" s="3"/>
      <c r="U399" s="3"/>
      <c r="V399" s="3"/>
      <c r="W399" s="3"/>
    </row>
    <row r="400" spans="1:23" ht="15.75" customHeight="1">
      <c r="A400" s="3"/>
      <c r="B400" s="3"/>
      <c r="C400" s="3"/>
      <c r="D400" s="3"/>
      <c r="E400" s="3"/>
      <c r="F400" s="3"/>
      <c r="G400" s="3"/>
      <c r="H400" s="3"/>
      <c r="I400" s="3"/>
      <c r="J400" s="3"/>
      <c r="K400" s="3"/>
      <c r="L400" s="3"/>
      <c r="M400" s="3"/>
      <c r="N400" s="3"/>
      <c r="O400" s="3"/>
      <c r="P400" s="3"/>
      <c r="Q400" s="3"/>
      <c r="R400" s="3"/>
      <c r="S400" s="3"/>
      <c r="T400" s="3"/>
      <c r="U400" s="3"/>
      <c r="V400" s="3"/>
      <c r="W400" s="3"/>
    </row>
    <row r="401" spans="1:23" ht="15.75" customHeight="1">
      <c r="A401" s="3"/>
      <c r="B401" s="3"/>
      <c r="C401" s="3"/>
      <c r="D401" s="3"/>
      <c r="E401" s="3"/>
      <c r="F401" s="3"/>
      <c r="G401" s="3"/>
      <c r="H401" s="3"/>
      <c r="I401" s="3"/>
      <c r="J401" s="3"/>
      <c r="K401" s="3"/>
      <c r="L401" s="3"/>
      <c r="M401" s="3"/>
      <c r="N401" s="3"/>
      <c r="O401" s="3"/>
      <c r="P401" s="3"/>
      <c r="Q401" s="3"/>
      <c r="R401" s="3"/>
      <c r="S401" s="3"/>
      <c r="T401" s="3"/>
      <c r="U401" s="3"/>
      <c r="V401" s="3"/>
      <c r="W401" s="3"/>
    </row>
    <row r="402" spans="1:23" ht="15.75" customHeight="1">
      <c r="A402" s="3"/>
      <c r="B402" s="3"/>
      <c r="C402" s="3"/>
      <c r="D402" s="3"/>
      <c r="E402" s="3"/>
      <c r="F402" s="3"/>
      <c r="G402" s="3"/>
      <c r="H402" s="3"/>
      <c r="I402" s="3"/>
      <c r="J402" s="3"/>
      <c r="K402" s="3"/>
      <c r="L402" s="3"/>
      <c r="M402" s="3"/>
      <c r="N402" s="3"/>
      <c r="O402" s="3"/>
      <c r="P402" s="3"/>
      <c r="Q402" s="3"/>
      <c r="R402" s="3"/>
      <c r="S402" s="3"/>
      <c r="T402" s="3"/>
      <c r="U402" s="3"/>
      <c r="V402" s="3"/>
      <c r="W402" s="3"/>
    </row>
    <row r="403" spans="1:23" ht="15.75" customHeight="1">
      <c r="A403" s="3"/>
      <c r="B403" s="3"/>
      <c r="C403" s="3"/>
      <c r="D403" s="3"/>
      <c r="E403" s="3"/>
      <c r="F403" s="3"/>
      <c r="G403" s="3"/>
      <c r="H403" s="3"/>
      <c r="I403" s="3"/>
      <c r="J403" s="3"/>
      <c r="K403" s="3"/>
      <c r="L403" s="3"/>
      <c r="M403" s="3"/>
      <c r="N403" s="3"/>
      <c r="O403" s="3"/>
      <c r="P403" s="3"/>
      <c r="Q403" s="3"/>
      <c r="R403" s="3"/>
      <c r="S403" s="3"/>
      <c r="T403" s="3"/>
      <c r="U403" s="3"/>
      <c r="V403" s="3"/>
      <c r="W403" s="3"/>
    </row>
    <row r="404" spans="1:23" ht="15.75" customHeight="1">
      <c r="A404" s="3"/>
      <c r="B404" s="3"/>
      <c r="C404" s="3"/>
      <c r="D404" s="3"/>
      <c r="E404" s="3"/>
      <c r="F404" s="3"/>
      <c r="G404" s="3"/>
      <c r="H404" s="3"/>
      <c r="I404" s="3"/>
      <c r="J404" s="3"/>
      <c r="K404" s="3"/>
      <c r="L404" s="3"/>
      <c r="M404" s="3"/>
      <c r="N404" s="3"/>
      <c r="O404" s="3"/>
      <c r="P404" s="3"/>
      <c r="Q404" s="3"/>
      <c r="R404" s="3"/>
      <c r="S404" s="3"/>
      <c r="T404" s="3"/>
      <c r="U404" s="3"/>
      <c r="V404" s="3"/>
      <c r="W404" s="3"/>
    </row>
    <row r="405" spans="1:23" ht="15.75" customHeight="1">
      <c r="A405" s="3"/>
      <c r="B405" s="3"/>
      <c r="C405" s="3"/>
      <c r="D405" s="3"/>
      <c r="E405" s="3"/>
      <c r="F405" s="3"/>
      <c r="G405" s="3"/>
      <c r="H405" s="3"/>
      <c r="I405" s="3"/>
      <c r="J405" s="3"/>
      <c r="K405" s="3"/>
      <c r="L405" s="3"/>
      <c r="M405" s="3"/>
      <c r="N405" s="3"/>
      <c r="O405" s="3"/>
      <c r="P405" s="3"/>
      <c r="Q405" s="3"/>
      <c r="R405" s="3"/>
      <c r="S405" s="3"/>
      <c r="T405" s="3"/>
      <c r="U405" s="3"/>
      <c r="V405" s="3"/>
      <c r="W405" s="3"/>
    </row>
    <row r="406" spans="1:23" ht="15.75" customHeight="1">
      <c r="A406" s="3"/>
      <c r="B406" s="3"/>
      <c r="C406" s="3"/>
      <c r="D406" s="3"/>
      <c r="E406" s="3"/>
      <c r="F406" s="3"/>
      <c r="G406" s="3"/>
      <c r="H406" s="3"/>
      <c r="I406" s="3"/>
      <c r="J406" s="3"/>
      <c r="K406" s="3"/>
      <c r="L406" s="3"/>
      <c r="M406" s="3"/>
      <c r="N406" s="3"/>
      <c r="O406" s="3"/>
      <c r="P406" s="3"/>
      <c r="Q406" s="3"/>
      <c r="R406" s="3"/>
      <c r="S406" s="3"/>
      <c r="T406" s="3"/>
      <c r="U406" s="3"/>
      <c r="V406" s="3"/>
      <c r="W406" s="3"/>
    </row>
    <row r="407" spans="1:23" ht="15.75" customHeight="1">
      <c r="A407" s="3"/>
      <c r="B407" s="3"/>
      <c r="C407" s="3"/>
      <c r="D407" s="3"/>
      <c r="E407" s="3"/>
      <c r="F407" s="3"/>
      <c r="G407" s="3"/>
      <c r="H407" s="3"/>
      <c r="I407" s="3"/>
      <c r="J407" s="3"/>
      <c r="K407" s="3"/>
      <c r="L407" s="3"/>
      <c r="M407" s="3"/>
      <c r="N407" s="3"/>
      <c r="O407" s="3"/>
      <c r="P407" s="3"/>
      <c r="Q407" s="3"/>
      <c r="R407" s="3"/>
      <c r="S407" s="3"/>
      <c r="T407" s="3"/>
      <c r="U407" s="3"/>
      <c r="V407" s="3"/>
      <c r="W407" s="3"/>
    </row>
    <row r="408" spans="1:23" ht="15.75" customHeight="1">
      <c r="A408" s="3"/>
      <c r="B408" s="3"/>
      <c r="C408" s="3"/>
      <c r="D408" s="3"/>
      <c r="E408" s="3"/>
      <c r="F408" s="3"/>
      <c r="G408" s="3"/>
      <c r="H408" s="3"/>
      <c r="I408" s="3"/>
      <c r="J408" s="3"/>
      <c r="K408" s="3"/>
      <c r="L408" s="3"/>
      <c r="M408" s="3"/>
      <c r="N408" s="3"/>
      <c r="O408" s="3"/>
      <c r="P408" s="3"/>
      <c r="Q408" s="3"/>
      <c r="R408" s="3"/>
      <c r="S408" s="3"/>
      <c r="T408" s="3"/>
      <c r="U408" s="3"/>
      <c r="V408" s="3"/>
      <c r="W408" s="3"/>
    </row>
    <row r="409" spans="1:23" ht="15.75" customHeight="1">
      <c r="A409" s="3"/>
      <c r="B409" s="3"/>
      <c r="C409" s="3"/>
      <c r="D409" s="3"/>
      <c r="E409" s="3"/>
      <c r="F409" s="3"/>
      <c r="G409" s="3"/>
      <c r="H409" s="3"/>
      <c r="I409" s="3"/>
      <c r="J409" s="3"/>
      <c r="K409" s="3"/>
      <c r="L409" s="3"/>
      <c r="M409" s="3"/>
      <c r="N409" s="3"/>
      <c r="O409" s="3"/>
      <c r="P409" s="3"/>
      <c r="Q409" s="3"/>
      <c r="R409" s="3"/>
      <c r="S409" s="3"/>
      <c r="T409" s="3"/>
      <c r="U409" s="3"/>
      <c r="V409" s="3"/>
      <c r="W409" s="3"/>
    </row>
    <row r="410" spans="1:23" ht="15.75" customHeight="1">
      <c r="A410" s="3"/>
      <c r="B410" s="3"/>
      <c r="C410" s="3"/>
      <c r="D410" s="3"/>
      <c r="E410" s="3"/>
      <c r="F410" s="3"/>
      <c r="G410" s="3"/>
      <c r="H410" s="3"/>
      <c r="I410" s="3"/>
      <c r="J410" s="3"/>
      <c r="K410" s="3"/>
      <c r="L410" s="3"/>
      <c r="M410" s="3"/>
      <c r="N410" s="3"/>
      <c r="O410" s="3"/>
      <c r="P410" s="3"/>
      <c r="Q410" s="3"/>
      <c r="R410" s="3"/>
      <c r="S410" s="3"/>
      <c r="T410" s="3"/>
      <c r="U410" s="3"/>
      <c r="V410" s="3"/>
      <c r="W410" s="3"/>
    </row>
    <row r="411" spans="1:23" ht="15.75" customHeight="1">
      <c r="A411" s="3"/>
      <c r="B411" s="3"/>
      <c r="C411" s="3"/>
      <c r="D411" s="3"/>
      <c r="E411" s="3"/>
      <c r="F411" s="3"/>
      <c r="G411" s="3"/>
      <c r="H411" s="3"/>
      <c r="I411" s="3"/>
      <c r="J411" s="3"/>
      <c r="K411" s="3"/>
      <c r="L411" s="3"/>
      <c r="M411" s="3"/>
      <c r="N411" s="3"/>
      <c r="O411" s="3"/>
      <c r="P411" s="3"/>
      <c r="Q411" s="3"/>
      <c r="R411" s="3"/>
      <c r="S411" s="3"/>
      <c r="T411" s="3"/>
      <c r="U411" s="3"/>
      <c r="V411" s="3"/>
      <c r="W411" s="3"/>
    </row>
    <row r="412" spans="1:23" ht="15.75" customHeight="1">
      <c r="A412" s="3"/>
      <c r="B412" s="3"/>
      <c r="C412" s="3"/>
      <c r="D412" s="3"/>
      <c r="E412" s="3"/>
      <c r="F412" s="3"/>
      <c r="G412" s="3"/>
      <c r="H412" s="3"/>
      <c r="I412" s="3"/>
      <c r="J412" s="3"/>
      <c r="K412" s="3"/>
      <c r="L412" s="3"/>
      <c r="M412" s="3"/>
      <c r="N412" s="3"/>
      <c r="O412" s="3"/>
      <c r="P412" s="3"/>
      <c r="Q412" s="3"/>
      <c r="R412" s="3"/>
      <c r="S412" s="3"/>
      <c r="T412" s="3"/>
      <c r="U412" s="3"/>
      <c r="V412" s="3"/>
      <c r="W412" s="3"/>
    </row>
    <row r="413" spans="1:23" ht="15.75" customHeight="1">
      <c r="A413" s="3"/>
      <c r="B413" s="3"/>
      <c r="C413" s="3"/>
      <c r="D413" s="3"/>
      <c r="E413" s="3"/>
      <c r="F413" s="3"/>
      <c r="G413" s="3"/>
      <c r="H413" s="3"/>
      <c r="I413" s="3"/>
      <c r="J413" s="3"/>
      <c r="K413" s="3"/>
      <c r="L413" s="3"/>
      <c r="M413" s="3"/>
      <c r="N413" s="3"/>
      <c r="O413" s="3"/>
      <c r="P413" s="3"/>
      <c r="Q413" s="3"/>
      <c r="R413" s="3"/>
      <c r="S413" s="3"/>
      <c r="T413" s="3"/>
      <c r="U413" s="3"/>
      <c r="V413" s="3"/>
      <c r="W413" s="3"/>
    </row>
    <row r="414" spans="1:23" ht="15.75" customHeight="1">
      <c r="A414" s="3"/>
      <c r="B414" s="3"/>
      <c r="C414" s="3"/>
      <c r="D414" s="3"/>
      <c r="E414" s="3"/>
      <c r="F414" s="3"/>
      <c r="G414" s="3"/>
      <c r="H414" s="3"/>
      <c r="I414" s="3"/>
      <c r="J414" s="3"/>
      <c r="K414" s="3"/>
      <c r="L414" s="3"/>
      <c r="M414" s="3"/>
      <c r="N414" s="3"/>
      <c r="O414" s="3"/>
      <c r="P414" s="3"/>
      <c r="Q414" s="3"/>
      <c r="R414" s="3"/>
      <c r="S414" s="3"/>
      <c r="T414" s="3"/>
      <c r="U414" s="3"/>
      <c r="V414" s="3"/>
      <c r="W414" s="3"/>
    </row>
    <row r="415" spans="1:23" ht="15.75" customHeight="1">
      <c r="A415" s="3"/>
      <c r="B415" s="3"/>
      <c r="C415" s="3"/>
      <c r="D415" s="3"/>
      <c r="E415" s="3"/>
      <c r="F415" s="3"/>
      <c r="G415" s="3"/>
      <c r="H415" s="3"/>
      <c r="I415" s="3"/>
      <c r="J415" s="3"/>
      <c r="K415" s="3"/>
      <c r="L415" s="3"/>
      <c r="M415" s="3"/>
      <c r="N415" s="3"/>
      <c r="O415" s="3"/>
      <c r="P415" s="3"/>
      <c r="Q415" s="3"/>
      <c r="R415" s="3"/>
      <c r="S415" s="3"/>
      <c r="T415" s="3"/>
      <c r="U415" s="3"/>
      <c r="V415" s="3"/>
      <c r="W415" s="3"/>
    </row>
    <row r="416" spans="1:23" ht="15.75" customHeight="1">
      <c r="A416" s="3"/>
      <c r="B416" s="3"/>
      <c r="C416" s="3"/>
      <c r="D416" s="3"/>
      <c r="E416" s="3"/>
      <c r="F416" s="3"/>
      <c r="G416" s="3"/>
      <c r="H416" s="3"/>
      <c r="I416" s="3"/>
      <c r="J416" s="3"/>
      <c r="K416" s="3"/>
      <c r="L416" s="3"/>
      <c r="M416" s="3"/>
      <c r="N416" s="3"/>
      <c r="O416" s="3"/>
      <c r="P416" s="3"/>
      <c r="Q416" s="3"/>
      <c r="R416" s="3"/>
      <c r="S416" s="3"/>
      <c r="T416" s="3"/>
      <c r="U416" s="3"/>
      <c r="V416" s="3"/>
      <c r="W416" s="3"/>
    </row>
    <row r="417" spans="1:23" ht="15.75" customHeight="1">
      <c r="A417" s="3"/>
      <c r="B417" s="3"/>
      <c r="C417" s="3"/>
      <c r="D417" s="3"/>
      <c r="E417" s="3"/>
      <c r="F417" s="3"/>
      <c r="G417" s="3"/>
      <c r="H417" s="3"/>
      <c r="I417" s="3"/>
      <c r="J417" s="3"/>
      <c r="K417" s="3"/>
      <c r="L417" s="3"/>
      <c r="M417" s="3"/>
      <c r="N417" s="3"/>
      <c r="O417" s="3"/>
      <c r="P417" s="3"/>
      <c r="Q417" s="3"/>
      <c r="R417" s="3"/>
      <c r="S417" s="3"/>
      <c r="T417" s="3"/>
      <c r="U417" s="3"/>
      <c r="V417" s="3"/>
      <c r="W417" s="3"/>
    </row>
    <row r="418" spans="1:23" ht="15.75" customHeight="1">
      <c r="A418" s="3"/>
      <c r="B418" s="3"/>
      <c r="C418" s="3"/>
      <c r="D418" s="3"/>
      <c r="E418" s="3"/>
      <c r="F418" s="3"/>
      <c r="G418" s="3"/>
      <c r="H418" s="3"/>
      <c r="I418" s="3"/>
      <c r="J418" s="3"/>
      <c r="K418" s="3"/>
      <c r="L418" s="3"/>
      <c r="M418" s="3"/>
      <c r="N418" s="3"/>
      <c r="O418" s="3"/>
      <c r="P418" s="3"/>
      <c r="Q418" s="3"/>
      <c r="R418" s="3"/>
      <c r="S418" s="3"/>
      <c r="T418" s="3"/>
      <c r="U418" s="3"/>
      <c r="V418" s="3"/>
      <c r="W418" s="3"/>
    </row>
    <row r="419" spans="1:23" ht="15.75" customHeight="1">
      <c r="A419" s="3"/>
      <c r="B419" s="3"/>
      <c r="C419" s="3"/>
      <c r="D419" s="3"/>
      <c r="E419" s="3"/>
      <c r="F419" s="3"/>
      <c r="G419" s="3"/>
      <c r="H419" s="3"/>
      <c r="I419" s="3"/>
      <c r="J419" s="3"/>
      <c r="K419" s="3"/>
      <c r="L419" s="3"/>
      <c r="M419" s="3"/>
      <c r="N419" s="3"/>
      <c r="O419" s="3"/>
      <c r="P419" s="3"/>
      <c r="Q419" s="3"/>
      <c r="R419" s="3"/>
      <c r="S419" s="3"/>
      <c r="T419" s="3"/>
      <c r="U419" s="3"/>
      <c r="V419" s="3"/>
      <c r="W419" s="3"/>
    </row>
    <row r="420" spans="1:23" ht="15.75" customHeight="1">
      <c r="A420" s="3"/>
      <c r="B420" s="3"/>
      <c r="C420" s="3"/>
      <c r="D420" s="3"/>
      <c r="E420" s="3"/>
      <c r="F420" s="3"/>
      <c r="G420" s="3"/>
      <c r="H420" s="3"/>
      <c r="I420" s="3"/>
      <c r="J420" s="3"/>
      <c r="K420" s="3"/>
      <c r="L420" s="3"/>
      <c r="M420" s="3"/>
      <c r="N420" s="3"/>
      <c r="O420" s="3"/>
      <c r="P420" s="3"/>
      <c r="Q420" s="3"/>
      <c r="R420" s="3"/>
      <c r="S420" s="3"/>
      <c r="T420" s="3"/>
      <c r="U420" s="3"/>
      <c r="V420" s="3"/>
      <c r="W420" s="3"/>
    </row>
    <row r="421" spans="1:23" ht="15.75" customHeight="1">
      <c r="A421" s="3"/>
      <c r="B421" s="3"/>
      <c r="C421" s="3"/>
      <c r="D421" s="3"/>
      <c r="E421" s="3"/>
      <c r="F421" s="3"/>
      <c r="G421" s="3"/>
      <c r="H421" s="3"/>
      <c r="I421" s="3"/>
      <c r="J421" s="3"/>
      <c r="K421" s="3"/>
      <c r="L421" s="3"/>
      <c r="M421" s="3"/>
      <c r="N421" s="3"/>
      <c r="O421" s="3"/>
      <c r="P421" s="3"/>
      <c r="Q421" s="3"/>
      <c r="R421" s="3"/>
      <c r="S421" s="3"/>
      <c r="T421" s="3"/>
      <c r="U421" s="3"/>
      <c r="V421" s="3"/>
      <c r="W421" s="3"/>
    </row>
    <row r="422" spans="1:23" ht="15.75" customHeight="1">
      <c r="A422" s="3"/>
      <c r="B422" s="3"/>
      <c r="C422" s="3"/>
      <c r="D422" s="3"/>
      <c r="E422" s="3"/>
      <c r="F422" s="3"/>
      <c r="G422" s="3"/>
      <c r="H422" s="3"/>
      <c r="I422" s="3"/>
      <c r="J422" s="3"/>
      <c r="K422" s="3"/>
      <c r="L422" s="3"/>
      <c r="M422" s="3"/>
      <c r="N422" s="3"/>
      <c r="O422" s="3"/>
      <c r="P422" s="3"/>
      <c r="Q422" s="3"/>
      <c r="R422" s="3"/>
      <c r="S422" s="3"/>
      <c r="T422" s="3"/>
      <c r="U422" s="3"/>
      <c r="V422" s="3"/>
      <c r="W422" s="3"/>
    </row>
    <row r="423" spans="1:23" ht="15.75" customHeight="1">
      <c r="A423" s="3"/>
      <c r="B423" s="3"/>
      <c r="C423" s="3"/>
      <c r="D423" s="3"/>
      <c r="E423" s="3"/>
      <c r="F423" s="3"/>
      <c r="G423" s="3"/>
      <c r="H423" s="3"/>
      <c r="I423" s="3"/>
      <c r="J423" s="3"/>
      <c r="K423" s="3"/>
      <c r="L423" s="3"/>
      <c r="M423" s="3"/>
      <c r="N423" s="3"/>
      <c r="O423" s="3"/>
      <c r="P423" s="3"/>
      <c r="Q423" s="3"/>
      <c r="R423" s="3"/>
      <c r="S423" s="3"/>
      <c r="T423" s="3"/>
      <c r="U423" s="3"/>
      <c r="V423" s="3"/>
      <c r="W423" s="3"/>
    </row>
    <row r="424" spans="1:23" ht="15.75" customHeight="1">
      <c r="A424" s="3"/>
      <c r="B424" s="3"/>
      <c r="C424" s="3"/>
      <c r="D424" s="3"/>
      <c r="E424" s="3"/>
      <c r="F424" s="3"/>
      <c r="G424" s="3"/>
      <c r="H424" s="3"/>
      <c r="I424" s="3"/>
      <c r="J424" s="3"/>
      <c r="K424" s="3"/>
      <c r="L424" s="3"/>
      <c r="M424" s="3"/>
      <c r="N424" s="3"/>
      <c r="O424" s="3"/>
      <c r="P424" s="3"/>
      <c r="Q424" s="3"/>
      <c r="R424" s="3"/>
      <c r="S424" s="3"/>
      <c r="T424" s="3"/>
      <c r="U424" s="3"/>
      <c r="V424" s="3"/>
      <c r="W424" s="3"/>
    </row>
    <row r="425" spans="1:23" ht="15.75" customHeight="1">
      <c r="A425" s="3"/>
      <c r="B425" s="3"/>
      <c r="C425" s="3"/>
      <c r="D425" s="3"/>
      <c r="E425" s="3"/>
      <c r="F425" s="3"/>
      <c r="G425" s="3"/>
      <c r="H425" s="3"/>
      <c r="I425" s="3"/>
      <c r="J425" s="3"/>
      <c r="K425" s="3"/>
      <c r="L425" s="3"/>
      <c r="M425" s="3"/>
      <c r="N425" s="3"/>
      <c r="O425" s="3"/>
      <c r="P425" s="3"/>
      <c r="Q425" s="3"/>
      <c r="R425" s="3"/>
      <c r="S425" s="3"/>
      <c r="T425" s="3"/>
      <c r="U425" s="3"/>
      <c r="V425" s="3"/>
      <c r="W425" s="3"/>
    </row>
    <row r="426" spans="1:23" ht="15.75" customHeight="1">
      <c r="A426" s="3"/>
      <c r="B426" s="3"/>
      <c r="C426" s="3"/>
      <c r="D426" s="3"/>
      <c r="E426" s="3"/>
      <c r="F426" s="3"/>
      <c r="G426" s="3"/>
      <c r="H426" s="3"/>
      <c r="I426" s="3"/>
      <c r="J426" s="3"/>
      <c r="K426" s="3"/>
      <c r="L426" s="3"/>
      <c r="M426" s="3"/>
      <c r="N426" s="3"/>
      <c r="O426" s="3"/>
      <c r="P426" s="3"/>
      <c r="Q426" s="3"/>
      <c r="R426" s="3"/>
      <c r="S426" s="3"/>
      <c r="T426" s="3"/>
      <c r="U426" s="3"/>
      <c r="V426" s="3"/>
      <c r="W426" s="3"/>
    </row>
    <row r="427" spans="1:23" ht="15.75" customHeight="1">
      <c r="A427" s="3"/>
      <c r="B427" s="3"/>
      <c r="C427" s="3"/>
      <c r="D427" s="3"/>
      <c r="E427" s="3"/>
      <c r="F427" s="3"/>
      <c r="G427" s="3"/>
      <c r="H427" s="3"/>
      <c r="I427" s="3"/>
      <c r="J427" s="3"/>
      <c r="K427" s="3"/>
      <c r="L427" s="3"/>
      <c r="M427" s="3"/>
      <c r="N427" s="3"/>
      <c r="O427" s="3"/>
      <c r="P427" s="3"/>
      <c r="Q427" s="3"/>
      <c r="R427" s="3"/>
      <c r="S427" s="3"/>
      <c r="T427" s="3"/>
      <c r="U427" s="3"/>
      <c r="V427" s="3"/>
      <c r="W427" s="3"/>
    </row>
    <row r="428" spans="1:23" ht="15.75" customHeight="1">
      <c r="A428" s="3"/>
      <c r="B428" s="3"/>
      <c r="C428" s="3"/>
      <c r="D428" s="3"/>
      <c r="E428" s="3"/>
      <c r="F428" s="3"/>
      <c r="G428" s="3"/>
      <c r="H428" s="3"/>
      <c r="I428" s="3"/>
      <c r="J428" s="3"/>
      <c r="K428" s="3"/>
      <c r="L428" s="3"/>
      <c r="M428" s="3"/>
      <c r="N428" s="3"/>
      <c r="O428" s="3"/>
      <c r="P428" s="3"/>
      <c r="Q428" s="3"/>
      <c r="R428" s="3"/>
      <c r="S428" s="3"/>
      <c r="T428" s="3"/>
      <c r="U428" s="3"/>
      <c r="V428" s="3"/>
      <c r="W428" s="3"/>
    </row>
    <row r="429" spans="1:23" ht="15.75" customHeight="1">
      <c r="A429" s="3"/>
      <c r="B429" s="3"/>
      <c r="C429" s="3"/>
      <c r="D429" s="3"/>
      <c r="E429" s="3"/>
      <c r="F429" s="3"/>
      <c r="G429" s="3"/>
      <c r="H429" s="3"/>
      <c r="I429" s="3"/>
      <c r="J429" s="3"/>
      <c r="K429" s="3"/>
      <c r="L429" s="3"/>
      <c r="M429" s="3"/>
      <c r="N429" s="3"/>
      <c r="O429" s="3"/>
      <c r="P429" s="3"/>
      <c r="Q429" s="3"/>
      <c r="R429" s="3"/>
      <c r="S429" s="3"/>
      <c r="T429" s="3"/>
      <c r="U429" s="3"/>
      <c r="V429" s="3"/>
      <c r="W429" s="3"/>
    </row>
    <row r="430" spans="1:23" ht="15.75" customHeight="1">
      <c r="A430" s="3"/>
      <c r="B430" s="3"/>
      <c r="C430" s="3"/>
      <c r="D430" s="3"/>
      <c r="E430" s="3"/>
      <c r="F430" s="3"/>
      <c r="G430" s="3"/>
      <c r="H430" s="3"/>
      <c r="I430" s="3"/>
      <c r="J430" s="3"/>
      <c r="K430" s="3"/>
      <c r="L430" s="3"/>
      <c r="M430" s="3"/>
      <c r="N430" s="3"/>
      <c r="O430" s="3"/>
      <c r="P430" s="3"/>
      <c r="Q430" s="3"/>
      <c r="R430" s="3"/>
      <c r="S430" s="3"/>
      <c r="T430" s="3"/>
      <c r="U430" s="3"/>
      <c r="V430" s="3"/>
      <c r="W430" s="3"/>
    </row>
    <row r="431" spans="1:23" ht="15.75" customHeight="1">
      <c r="A431" s="3"/>
      <c r="B431" s="3"/>
      <c r="C431" s="3"/>
      <c r="D431" s="3"/>
      <c r="E431" s="3"/>
      <c r="F431" s="3"/>
      <c r="G431" s="3"/>
      <c r="H431" s="3"/>
      <c r="I431" s="3"/>
      <c r="J431" s="3"/>
      <c r="K431" s="3"/>
      <c r="L431" s="3"/>
      <c r="M431" s="3"/>
      <c r="N431" s="3"/>
      <c r="O431" s="3"/>
      <c r="P431" s="3"/>
      <c r="Q431" s="3"/>
      <c r="R431" s="3"/>
      <c r="S431" s="3"/>
      <c r="T431" s="3"/>
      <c r="U431" s="3"/>
      <c r="V431" s="3"/>
      <c r="W431" s="3"/>
    </row>
    <row r="432" spans="1:23" ht="15.75" customHeight="1">
      <c r="A432" s="3"/>
      <c r="B432" s="3"/>
      <c r="C432" s="3"/>
      <c r="D432" s="3"/>
      <c r="E432" s="3"/>
      <c r="F432" s="3"/>
      <c r="G432" s="3"/>
      <c r="H432" s="3"/>
      <c r="I432" s="3"/>
      <c r="J432" s="3"/>
      <c r="K432" s="3"/>
      <c r="L432" s="3"/>
      <c r="M432" s="3"/>
      <c r="N432" s="3"/>
      <c r="O432" s="3"/>
      <c r="P432" s="3"/>
      <c r="Q432" s="3"/>
      <c r="R432" s="3"/>
      <c r="S432" s="3"/>
      <c r="T432" s="3"/>
      <c r="U432" s="3"/>
      <c r="V432" s="3"/>
      <c r="W432" s="3"/>
    </row>
    <row r="433" spans="1:23" ht="15.75" customHeight="1">
      <c r="A433" s="3"/>
      <c r="B433" s="3"/>
      <c r="C433" s="3"/>
      <c r="D433" s="3"/>
      <c r="E433" s="3"/>
      <c r="F433" s="3"/>
      <c r="G433" s="3"/>
      <c r="H433" s="3"/>
      <c r="I433" s="3"/>
      <c r="J433" s="3"/>
      <c r="K433" s="3"/>
      <c r="L433" s="3"/>
      <c r="M433" s="3"/>
      <c r="N433" s="3"/>
      <c r="O433" s="3"/>
      <c r="P433" s="3"/>
      <c r="Q433" s="3"/>
      <c r="R433" s="3"/>
      <c r="S433" s="3"/>
      <c r="T433" s="3"/>
      <c r="U433" s="3"/>
      <c r="V433" s="3"/>
      <c r="W433" s="3"/>
    </row>
    <row r="434" spans="1:23" ht="15.75" customHeight="1">
      <c r="A434" s="3"/>
      <c r="B434" s="3"/>
      <c r="C434" s="3"/>
      <c r="D434" s="3"/>
      <c r="E434" s="3"/>
      <c r="F434" s="3"/>
      <c r="G434" s="3"/>
      <c r="H434" s="3"/>
      <c r="I434" s="3"/>
      <c r="J434" s="3"/>
      <c r="K434" s="3"/>
      <c r="L434" s="3"/>
      <c r="M434" s="3"/>
      <c r="N434" s="3"/>
      <c r="O434" s="3"/>
      <c r="P434" s="3"/>
      <c r="Q434" s="3"/>
      <c r="R434" s="3"/>
      <c r="S434" s="3"/>
      <c r="T434" s="3"/>
      <c r="U434" s="3"/>
      <c r="V434" s="3"/>
      <c r="W434" s="3"/>
    </row>
    <row r="435" spans="1:23" ht="15.75" customHeight="1">
      <c r="A435" s="3"/>
      <c r="B435" s="3"/>
      <c r="C435" s="3"/>
      <c r="D435" s="3"/>
      <c r="E435" s="3"/>
      <c r="F435" s="3"/>
      <c r="G435" s="3"/>
      <c r="H435" s="3"/>
      <c r="I435" s="3"/>
      <c r="J435" s="3"/>
      <c r="K435" s="3"/>
      <c r="L435" s="3"/>
      <c r="M435" s="3"/>
      <c r="N435" s="3"/>
      <c r="O435" s="3"/>
      <c r="P435" s="3"/>
      <c r="Q435" s="3"/>
      <c r="R435" s="3"/>
      <c r="S435" s="3"/>
      <c r="T435" s="3"/>
      <c r="U435" s="3"/>
      <c r="V435" s="3"/>
      <c r="W435" s="3"/>
    </row>
    <row r="436" spans="1:23" ht="15.75" customHeight="1">
      <c r="A436" s="3"/>
      <c r="B436" s="3"/>
      <c r="C436" s="3"/>
      <c r="D436" s="3"/>
      <c r="E436" s="3"/>
      <c r="F436" s="3"/>
      <c r="G436" s="3"/>
      <c r="H436" s="3"/>
      <c r="I436" s="3"/>
      <c r="J436" s="3"/>
      <c r="K436" s="3"/>
      <c r="L436" s="3"/>
      <c r="M436" s="3"/>
      <c r="N436" s="3"/>
      <c r="O436" s="3"/>
      <c r="P436" s="3"/>
      <c r="Q436" s="3"/>
      <c r="R436" s="3"/>
      <c r="S436" s="3"/>
      <c r="T436" s="3"/>
      <c r="U436" s="3"/>
      <c r="V436" s="3"/>
      <c r="W436" s="3"/>
    </row>
    <row r="437" spans="1:23" ht="15.75" customHeight="1">
      <c r="A437" s="3"/>
      <c r="B437" s="3"/>
      <c r="C437" s="3"/>
      <c r="D437" s="3"/>
      <c r="E437" s="3"/>
      <c r="F437" s="3"/>
      <c r="G437" s="3"/>
      <c r="H437" s="3"/>
      <c r="I437" s="3"/>
      <c r="J437" s="3"/>
      <c r="K437" s="3"/>
      <c r="L437" s="3"/>
      <c r="M437" s="3"/>
      <c r="N437" s="3"/>
      <c r="O437" s="3"/>
      <c r="P437" s="3"/>
      <c r="Q437" s="3"/>
      <c r="R437" s="3"/>
      <c r="S437" s="3"/>
      <c r="T437" s="3"/>
      <c r="U437" s="3"/>
      <c r="V437" s="3"/>
      <c r="W437" s="3"/>
    </row>
    <row r="438" spans="1:23" ht="15.75" customHeight="1">
      <c r="A438" s="3"/>
      <c r="B438" s="3"/>
      <c r="C438" s="3"/>
      <c r="D438" s="3"/>
      <c r="E438" s="3"/>
      <c r="F438" s="3"/>
      <c r="G438" s="3"/>
      <c r="H438" s="3"/>
      <c r="I438" s="3"/>
      <c r="J438" s="3"/>
      <c r="K438" s="3"/>
      <c r="L438" s="3"/>
      <c r="M438" s="3"/>
      <c r="N438" s="3"/>
      <c r="O438" s="3"/>
      <c r="P438" s="3"/>
      <c r="Q438" s="3"/>
      <c r="R438" s="3"/>
      <c r="S438" s="3"/>
      <c r="T438" s="3"/>
      <c r="U438" s="3"/>
      <c r="V438" s="3"/>
      <c r="W438" s="3"/>
    </row>
    <row r="439" spans="1:23" ht="15.75" customHeight="1">
      <c r="A439" s="3"/>
      <c r="B439" s="3"/>
      <c r="C439" s="3"/>
      <c r="D439" s="3"/>
      <c r="E439" s="3"/>
      <c r="F439" s="3"/>
      <c r="G439" s="3"/>
      <c r="H439" s="3"/>
      <c r="I439" s="3"/>
      <c r="J439" s="3"/>
      <c r="K439" s="3"/>
      <c r="L439" s="3"/>
      <c r="M439" s="3"/>
      <c r="N439" s="3"/>
      <c r="O439" s="3"/>
      <c r="P439" s="3"/>
      <c r="Q439" s="3"/>
      <c r="R439" s="3"/>
      <c r="S439" s="3"/>
      <c r="T439" s="3"/>
      <c r="U439" s="3"/>
      <c r="V439" s="3"/>
      <c r="W439" s="3"/>
    </row>
    <row r="440" spans="1:23" ht="15.75" customHeight="1">
      <c r="A440" s="3"/>
      <c r="B440" s="3"/>
      <c r="C440" s="3"/>
      <c r="D440" s="3"/>
      <c r="E440" s="3"/>
      <c r="F440" s="3"/>
      <c r="G440" s="3"/>
      <c r="H440" s="3"/>
      <c r="I440" s="3"/>
      <c r="J440" s="3"/>
      <c r="K440" s="3"/>
      <c r="L440" s="3"/>
      <c r="M440" s="3"/>
      <c r="N440" s="3"/>
      <c r="O440" s="3"/>
      <c r="P440" s="3"/>
      <c r="Q440" s="3"/>
      <c r="R440" s="3"/>
      <c r="S440" s="3"/>
      <c r="T440" s="3"/>
      <c r="U440" s="3"/>
      <c r="V440" s="3"/>
      <c r="W440" s="3"/>
    </row>
    <row r="441" spans="1:23" ht="15.75" customHeight="1">
      <c r="A441" s="3"/>
      <c r="B441" s="3"/>
      <c r="C441" s="3"/>
      <c r="D441" s="3"/>
      <c r="E441" s="3"/>
      <c r="F441" s="3"/>
      <c r="G441" s="3"/>
      <c r="H441" s="3"/>
      <c r="I441" s="3"/>
      <c r="J441" s="3"/>
      <c r="K441" s="3"/>
      <c r="L441" s="3"/>
      <c r="M441" s="3"/>
      <c r="N441" s="3"/>
      <c r="O441" s="3"/>
      <c r="P441" s="3"/>
      <c r="Q441" s="3"/>
      <c r="R441" s="3"/>
      <c r="S441" s="3"/>
      <c r="T441" s="3"/>
      <c r="U441" s="3"/>
      <c r="V441" s="3"/>
      <c r="W441" s="3"/>
    </row>
    <row r="442" spans="1:23" ht="15.75" customHeight="1">
      <c r="A442" s="3"/>
      <c r="B442" s="3"/>
      <c r="C442" s="3"/>
      <c r="D442" s="3"/>
      <c r="E442" s="3"/>
      <c r="F442" s="3"/>
      <c r="G442" s="3"/>
      <c r="H442" s="3"/>
      <c r="I442" s="3"/>
      <c r="J442" s="3"/>
      <c r="K442" s="3"/>
      <c r="L442" s="3"/>
      <c r="M442" s="3"/>
      <c r="N442" s="3"/>
      <c r="O442" s="3"/>
      <c r="P442" s="3"/>
      <c r="Q442" s="3"/>
      <c r="R442" s="3"/>
      <c r="S442" s="3"/>
      <c r="T442" s="3"/>
      <c r="U442" s="3"/>
      <c r="V442" s="3"/>
      <c r="W442" s="3"/>
    </row>
    <row r="443" spans="1:23" ht="15.75" customHeight="1">
      <c r="A443" s="3"/>
      <c r="B443" s="3"/>
      <c r="C443" s="3"/>
      <c r="D443" s="3"/>
      <c r="E443" s="3"/>
      <c r="F443" s="3"/>
      <c r="G443" s="3"/>
      <c r="H443" s="3"/>
      <c r="I443" s="3"/>
      <c r="J443" s="3"/>
      <c r="K443" s="3"/>
      <c r="L443" s="3"/>
      <c r="M443" s="3"/>
      <c r="N443" s="3"/>
      <c r="O443" s="3"/>
      <c r="P443" s="3"/>
      <c r="Q443" s="3"/>
      <c r="R443" s="3"/>
      <c r="S443" s="3"/>
      <c r="T443" s="3"/>
      <c r="U443" s="3"/>
      <c r="V443" s="3"/>
      <c r="W443" s="3"/>
    </row>
    <row r="444" spans="1:23" ht="15.75" customHeight="1">
      <c r="A444" s="3"/>
      <c r="B444" s="3"/>
      <c r="C444" s="3"/>
      <c r="D444" s="3"/>
      <c r="E444" s="3"/>
      <c r="F444" s="3"/>
      <c r="G444" s="3"/>
      <c r="H444" s="3"/>
      <c r="I444" s="3"/>
      <c r="J444" s="3"/>
      <c r="K444" s="3"/>
      <c r="L444" s="3"/>
      <c r="M444" s="3"/>
      <c r="N444" s="3"/>
      <c r="O444" s="3"/>
      <c r="P444" s="3"/>
      <c r="Q444" s="3"/>
      <c r="R444" s="3"/>
      <c r="S444" s="3"/>
      <c r="T444" s="3"/>
      <c r="U444" s="3"/>
      <c r="V444" s="3"/>
      <c r="W444" s="3"/>
    </row>
    <row r="445" spans="1:23" ht="15.75" customHeight="1">
      <c r="A445" s="3"/>
      <c r="B445" s="3"/>
      <c r="C445" s="3"/>
      <c r="D445" s="3"/>
      <c r="E445" s="3"/>
      <c r="F445" s="3"/>
      <c r="G445" s="3"/>
      <c r="H445" s="3"/>
      <c r="I445" s="3"/>
      <c r="J445" s="3"/>
      <c r="K445" s="3"/>
      <c r="L445" s="3"/>
      <c r="M445" s="3"/>
      <c r="N445" s="3"/>
      <c r="O445" s="3"/>
      <c r="P445" s="3"/>
      <c r="Q445" s="3"/>
      <c r="R445" s="3"/>
      <c r="S445" s="3"/>
      <c r="T445" s="3"/>
      <c r="U445" s="3"/>
      <c r="V445" s="3"/>
      <c r="W445" s="3"/>
    </row>
    <row r="446" spans="1:23" ht="15.75" customHeight="1">
      <c r="A446" s="3"/>
      <c r="B446" s="3"/>
      <c r="C446" s="3"/>
      <c r="D446" s="3"/>
      <c r="E446" s="3"/>
      <c r="F446" s="3"/>
      <c r="G446" s="3"/>
      <c r="H446" s="3"/>
      <c r="I446" s="3"/>
      <c r="J446" s="3"/>
      <c r="K446" s="3"/>
      <c r="L446" s="3"/>
      <c r="M446" s="3"/>
      <c r="N446" s="3"/>
      <c r="O446" s="3"/>
      <c r="P446" s="3"/>
      <c r="Q446" s="3"/>
      <c r="R446" s="3"/>
      <c r="S446" s="3"/>
      <c r="T446" s="3"/>
      <c r="U446" s="3"/>
      <c r="V446" s="3"/>
      <c r="W446" s="3"/>
    </row>
    <row r="447" spans="1:23" ht="15.75" customHeight="1">
      <c r="A447" s="3"/>
      <c r="B447" s="3"/>
      <c r="C447" s="3"/>
      <c r="D447" s="3"/>
      <c r="E447" s="3"/>
      <c r="F447" s="3"/>
      <c r="G447" s="3"/>
      <c r="H447" s="3"/>
      <c r="I447" s="3"/>
      <c r="J447" s="3"/>
      <c r="K447" s="3"/>
      <c r="L447" s="3"/>
      <c r="M447" s="3"/>
      <c r="N447" s="3"/>
      <c r="O447" s="3"/>
      <c r="P447" s="3"/>
      <c r="Q447" s="3"/>
      <c r="R447" s="3"/>
      <c r="S447" s="3"/>
      <c r="T447" s="3"/>
      <c r="U447" s="3"/>
      <c r="V447" s="3"/>
      <c r="W447" s="3"/>
    </row>
    <row r="448" spans="1:23" ht="15.75" customHeight="1">
      <c r="A448" s="3"/>
      <c r="B448" s="3"/>
      <c r="C448" s="3"/>
      <c r="D448" s="3"/>
      <c r="E448" s="3"/>
      <c r="F448" s="3"/>
      <c r="G448" s="3"/>
      <c r="H448" s="3"/>
      <c r="I448" s="3"/>
      <c r="J448" s="3"/>
      <c r="K448" s="3"/>
      <c r="L448" s="3"/>
      <c r="M448" s="3"/>
      <c r="N448" s="3"/>
      <c r="O448" s="3"/>
      <c r="P448" s="3"/>
      <c r="Q448" s="3"/>
      <c r="R448" s="3"/>
      <c r="S448" s="3"/>
      <c r="T448" s="3"/>
      <c r="U448" s="3"/>
      <c r="V448" s="3"/>
      <c r="W448" s="3"/>
    </row>
    <row r="449" spans="1:23" ht="15.75" customHeight="1">
      <c r="A449" s="3"/>
      <c r="B449" s="3"/>
      <c r="C449" s="3"/>
      <c r="D449" s="3"/>
      <c r="E449" s="3"/>
      <c r="F449" s="3"/>
      <c r="G449" s="3"/>
      <c r="H449" s="3"/>
      <c r="I449" s="3"/>
      <c r="J449" s="3"/>
      <c r="K449" s="3"/>
      <c r="L449" s="3"/>
      <c r="M449" s="3"/>
      <c r="N449" s="3"/>
      <c r="O449" s="3"/>
      <c r="P449" s="3"/>
      <c r="Q449" s="3"/>
      <c r="R449" s="3"/>
      <c r="S449" s="3"/>
      <c r="T449" s="3"/>
      <c r="U449" s="3"/>
      <c r="V449" s="3"/>
      <c r="W449" s="3"/>
    </row>
    <row r="450" spans="1:23" ht="15.75" customHeight="1">
      <c r="A450" s="3"/>
      <c r="B450" s="3"/>
      <c r="C450" s="3"/>
      <c r="D450" s="3"/>
      <c r="E450" s="3"/>
      <c r="F450" s="3"/>
      <c r="G450" s="3"/>
      <c r="H450" s="3"/>
      <c r="I450" s="3"/>
      <c r="J450" s="3"/>
      <c r="K450" s="3"/>
      <c r="L450" s="3"/>
      <c r="M450" s="3"/>
      <c r="N450" s="3"/>
      <c r="O450" s="3"/>
      <c r="P450" s="3"/>
      <c r="Q450" s="3"/>
      <c r="R450" s="3"/>
      <c r="S450" s="3"/>
      <c r="T450" s="3"/>
      <c r="U450" s="3"/>
      <c r="V450" s="3"/>
      <c r="W450" s="3"/>
    </row>
    <row r="451" spans="1:23" ht="15.75" customHeight="1">
      <c r="A451" s="3"/>
      <c r="B451" s="3"/>
      <c r="C451" s="3"/>
      <c r="D451" s="3"/>
      <c r="E451" s="3"/>
      <c r="F451" s="3"/>
      <c r="G451" s="3"/>
      <c r="H451" s="3"/>
      <c r="I451" s="3"/>
      <c r="J451" s="3"/>
      <c r="K451" s="3"/>
      <c r="L451" s="3"/>
      <c r="M451" s="3"/>
      <c r="N451" s="3"/>
      <c r="O451" s="3"/>
      <c r="P451" s="3"/>
      <c r="Q451" s="3"/>
      <c r="R451" s="3"/>
      <c r="S451" s="3"/>
      <c r="T451" s="3"/>
      <c r="U451" s="3"/>
      <c r="V451" s="3"/>
      <c r="W451" s="3"/>
    </row>
    <row r="452" spans="1:23" ht="15.75" customHeight="1">
      <c r="A452" s="3"/>
      <c r="B452" s="3"/>
      <c r="C452" s="3"/>
      <c r="D452" s="3"/>
      <c r="E452" s="3"/>
      <c r="F452" s="3"/>
      <c r="G452" s="3"/>
      <c r="H452" s="3"/>
      <c r="I452" s="3"/>
      <c r="J452" s="3"/>
      <c r="K452" s="3"/>
      <c r="L452" s="3"/>
      <c r="M452" s="3"/>
      <c r="N452" s="3"/>
      <c r="O452" s="3"/>
      <c r="P452" s="3"/>
      <c r="Q452" s="3"/>
      <c r="R452" s="3"/>
      <c r="S452" s="3"/>
      <c r="T452" s="3"/>
      <c r="U452" s="3"/>
      <c r="V452" s="3"/>
      <c r="W452" s="3"/>
    </row>
    <row r="453" spans="1:23" ht="15.75" customHeight="1">
      <c r="A453" s="3"/>
      <c r="B453" s="3"/>
      <c r="C453" s="3"/>
      <c r="D453" s="3"/>
      <c r="E453" s="3"/>
      <c r="F453" s="3"/>
      <c r="G453" s="3"/>
      <c r="H453" s="3"/>
      <c r="I453" s="3"/>
      <c r="J453" s="3"/>
      <c r="K453" s="3"/>
      <c r="L453" s="3"/>
      <c r="M453" s="3"/>
      <c r="N453" s="3"/>
      <c r="O453" s="3"/>
      <c r="P453" s="3"/>
      <c r="Q453" s="3"/>
      <c r="R453" s="3"/>
      <c r="S453" s="3"/>
      <c r="T453" s="3"/>
      <c r="U453" s="3"/>
      <c r="V453" s="3"/>
      <c r="W453" s="3"/>
    </row>
    <row r="454" spans="1:23" ht="15.75" customHeight="1">
      <c r="A454" s="3"/>
      <c r="B454" s="3"/>
      <c r="C454" s="3"/>
      <c r="D454" s="3"/>
      <c r="E454" s="3"/>
      <c r="F454" s="3"/>
      <c r="G454" s="3"/>
      <c r="H454" s="3"/>
      <c r="I454" s="3"/>
      <c r="J454" s="3"/>
      <c r="K454" s="3"/>
      <c r="L454" s="3"/>
      <c r="M454" s="3"/>
      <c r="N454" s="3"/>
      <c r="O454" s="3"/>
      <c r="P454" s="3"/>
      <c r="Q454" s="3"/>
      <c r="R454" s="3"/>
      <c r="S454" s="3"/>
      <c r="T454" s="3"/>
      <c r="U454" s="3"/>
      <c r="V454" s="3"/>
      <c r="W454" s="3"/>
    </row>
    <row r="455" spans="1:23" ht="15.75" customHeight="1">
      <c r="A455" s="3"/>
      <c r="B455" s="3"/>
      <c r="C455" s="3"/>
      <c r="D455" s="3"/>
      <c r="E455" s="3"/>
      <c r="F455" s="3"/>
      <c r="G455" s="3"/>
      <c r="H455" s="3"/>
      <c r="I455" s="3"/>
      <c r="J455" s="3"/>
      <c r="K455" s="3"/>
      <c r="L455" s="3"/>
      <c r="M455" s="3"/>
      <c r="N455" s="3"/>
      <c r="O455" s="3"/>
      <c r="P455" s="3"/>
      <c r="Q455" s="3"/>
      <c r="R455" s="3"/>
      <c r="S455" s="3"/>
      <c r="T455" s="3"/>
      <c r="U455" s="3"/>
      <c r="V455" s="3"/>
      <c r="W455" s="3"/>
    </row>
    <row r="456" spans="1:23" ht="15.75" customHeight="1">
      <c r="A456" s="3"/>
      <c r="B456" s="3"/>
      <c r="C456" s="3"/>
      <c r="D456" s="3"/>
      <c r="E456" s="3"/>
      <c r="F456" s="3"/>
      <c r="G456" s="3"/>
      <c r="H456" s="3"/>
      <c r="I456" s="3"/>
      <c r="J456" s="3"/>
      <c r="K456" s="3"/>
      <c r="L456" s="3"/>
      <c r="M456" s="3"/>
      <c r="N456" s="3"/>
      <c r="O456" s="3"/>
      <c r="P456" s="3"/>
      <c r="Q456" s="3"/>
      <c r="R456" s="3"/>
      <c r="S456" s="3"/>
      <c r="T456" s="3"/>
      <c r="U456" s="3"/>
      <c r="V456" s="3"/>
      <c r="W456" s="3"/>
    </row>
    <row r="457" spans="1:23" ht="15.75" customHeight="1">
      <c r="A457" s="3"/>
      <c r="B457" s="3"/>
      <c r="C457" s="3"/>
      <c r="D457" s="3"/>
      <c r="E457" s="3"/>
      <c r="F457" s="3"/>
      <c r="G457" s="3"/>
      <c r="H457" s="3"/>
      <c r="I457" s="3"/>
      <c r="J457" s="3"/>
      <c r="K457" s="3"/>
      <c r="L457" s="3"/>
      <c r="M457" s="3"/>
      <c r="N457" s="3"/>
      <c r="O457" s="3"/>
      <c r="P457" s="3"/>
      <c r="Q457" s="3"/>
      <c r="R457" s="3"/>
      <c r="S457" s="3"/>
      <c r="T457" s="3"/>
      <c r="U457" s="3"/>
      <c r="V457" s="3"/>
      <c r="W457" s="3"/>
    </row>
    <row r="458" spans="1:23" ht="15.75" customHeight="1">
      <c r="A458" s="3"/>
      <c r="B458" s="3"/>
      <c r="C458" s="3"/>
      <c r="D458" s="3"/>
      <c r="E458" s="3"/>
      <c r="F458" s="3"/>
      <c r="G458" s="3"/>
      <c r="H458" s="3"/>
      <c r="I458" s="3"/>
      <c r="J458" s="3"/>
      <c r="K458" s="3"/>
      <c r="L458" s="3"/>
      <c r="M458" s="3"/>
      <c r="N458" s="3"/>
      <c r="O458" s="3"/>
      <c r="P458" s="3"/>
      <c r="Q458" s="3"/>
      <c r="R458" s="3"/>
      <c r="S458" s="3"/>
      <c r="T458" s="3"/>
      <c r="U458" s="3"/>
      <c r="V458" s="3"/>
      <c r="W458" s="3"/>
    </row>
    <row r="459" spans="1:23" ht="15.75" customHeight="1">
      <c r="A459" s="3"/>
      <c r="B459" s="3"/>
      <c r="C459" s="3"/>
      <c r="D459" s="3"/>
      <c r="E459" s="3"/>
      <c r="F459" s="3"/>
      <c r="G459" s="3"/>
      <c r="H459" s="3"/>
      <c r="I459" s="3"/>
      <c r="J459" s="3"/>
      <c r="K459" s="3"/>
      <c r="L459" s="3"/>
      <c r="M459" s="3"/>
      <c r="N459" s="3"/>
      <c r="O459" s="3"/>
      <c r="P459" s="3"/>
      <c r="Q459" s="3"/>
      <c r="R459" s="3"/>
      <c r="S459" s="3"/>
      <c r="T459" s="3"/>
      <c r="U459" s="3"/>
      <c r="V459" s="3"/>
      <c r="W459" s="3"/>
    </row>
    <row r="460" spans="1:23" ht="15.75" customHeight="1">
      <c r="A460" s="3"/>
      <c r="B460" s="3"/>
      <c r="C460" s="3"/>
      <c r="D460" s="3"/>
      <c r="E460" s="3"/>
      <c r="F460" s="3"/>
      <c r="G460" s="3"/>
      <c r="H460" s="3"/>
      <c r="I460" s="3"/>
      <c r="J460" s="3"/>
      <c r="K460" s="3"/>
      <c r="L460" s="3"/>
      <c r="M460" s="3"/>
      <c r="N460" s="3"/>
      <c r="O460" s="3"/>
      <c r="P460" s="3"/>
      <c r="Q460" s="3"/>
      <c r="R460" s="3"/>
      <c r="S460" s="3"/>
      <c r="T460" s="3"/>
      <c r="U460" s="3"/>
      <c r="V460" s="3"/>
      <c r="W460" s="3"/>
    </row>
    <row r="461" spans="1:23" ht="15.75" customHeight="1">
      <c r="A461" s="3"/>
      <c r="B461" s="3"/>
      <c r="C461" s="3"/>
      <c r="D461" s="3"/>
      <c r="E461" s="3"/>
      <c r="F461" s="3"/>
      <c r="G461" s="3"/>
      <c r="H461" s="3"/>
      <c r="I461" s="3"/>
      <c r="J461" s="3"/>
      <c r="K461" s="3"/>
      <c r="L461" s="3"/>
      <c r="M461" s="3"/>
      <c r="N461" s="3"/>
      <c r="O461" s="3"/>
      <c r="P461" s="3"/>
      <c r="Q461" s="3"/>
      <c r="R461" s="3"/>
      <c r="S461" s="3"/>
      <c r="T461" s="3"/>
      <c r="U461" s="3"/>
      <c r="V461" s="3"/>
      <c r="W461" s="3"/>
    </row>
    <row r="462" spans="1:23" ht="15.75" customHeight="1">
      <c r="A462" s="3"/>
      <c r="B462" s="3"/>
      <c r="C462" s="3"/>
      <c r="D462" s="3"/>
      <c r="E462" s="3"/>
      <c r="F462" s="3"/>
      <c r="G462" s="3"/>
      <c r="H462" s="3"/>
      <c r="I462" s="3"/>
      <c r="J462" s="3"/>
      <c r="K462" s="3"/>
      <c r="L462" s="3"/>
      <c r="M462" s="3"/>
      <c r="N462" s="3"/>
      <c r="O462" s="3"/>
      <c r="P462" s="3"/>
      <c r="Q462" s="3"/>
      <c r="R462" s="3"/>
      <c r="S462" s="3"/>
      <c r="T462" s="3"/>
      <c r="U462" s="3"/>
      <c r="V462" s="3"/>
      <c r="W462" s="3"/>
    </row>
    <row r="463" spans="1:23" ht="15.75" customHeight="1">
      <c r="A463" s="3"/>
      <c r="B463" s="3"/>
      <c r="C463" s="3"/>
      <c r="D463" s="3"/>
      <c r="E463" s="3"/>
      <c r="F463" s="3"/>
      <c r="G463" s="3"/>
      <c r="H463" s="3"/>
      <c r="I463" s="3"/>
      <c r="J463" s="3"/>
      <c r="K463" s="3"/>
      <c r="L463" s="3"/>
      <c r="M463" s="3"/>
      <c r="N463" s="3"/>
      <c r="O463" s="3"/>
      <c r="P463" s="3"/>
      <c r="Q463" s="3"/>
      <c r="R463" s="3"/>
      <c r="S463" s="3"/>
      <c r="T463" s="3"/>
      <c r="U463" s="3"/>
      <c r="V463" s="3"/>
      <c r="W463" s="3"/>
    </row>
    <row r="464" spans="1:23" ht="15.75" customHeight="1">
      <c r="A464" s="3"/>
      <c r="B464" s="3"/>
      <c r="C464" s="3"/>
      <c r="D464" s="3"/>
      <c r="E464" s="3"/>
      <c r="F464" s="3"/>
      <c r="G464" s="3"/>
      <c r="H464" s="3"/>
      <c r="I464" s="3"/>
      <c r="J464" s="3"/>
      <c r="K464" s="3"/>
      <c r="L464" s="3"/>
      <c r="M464" s="3"/>
      <c r="N464" s="3"/>
      <c r="O464" s="3"/>
      <c r="P464" s="3"/>
      <c r="Q464" s="3"/>
      <c r="R464" s="3"/>
      <c r="S464" s="3"/>
      <c r="T464" s="3"/>
      <c r="U464" s="3"/>
      <c r="V464" s="3"/>
      <c r="W464" s="3"/>
    </row>
    <row r="465" spans="1:23" ht="15.75" customHeight="1">
      <c r="A465" s="3"/>
      <c r="B465" s="3"/>
      <c r="C465" s="3"/>
      <c r="D465" s="3"/>
      <c r="E465" s="3"/>
      <c r="F465" s="3"/>
      <c r="G465" s="3"/>
      <c r="H465" s="3"/>
      <c r="I465" s="3"/>
      <c r="J465" s="3"/>
      <c r="K465" s="3"/>
      <c r="L465" s="3"/>
      <c r="M465" s="3"/>
      <c r="N465" s="3"/>
      <c r="O465" s="3"/>
      <c r="P465" s="3"/>
      <c r="Q465" s="3"/>
      <c r="R465" s="3"/>
      <c r="S465" s="3"/>
      <c r="T465" s="3"/>
      <c r="U465" s="3"/>
      <c r="V465" s="3"/>
      <c r="W465" s="3"/>
    </row>
    <row r="466" spans="1:23" ht="15.75" customHeight="1">
      <c r="A466" s="3"/>
      <c r="B466" s="3"/>
      <c r="C466" s="3"/>
      <c r="D466" s="3"/>
      <c r="E466" s="3"/>
      <c r="F466" s="3"/>
      <c r="G466" s="3"/>
      <c r="H466" s="3"/>
      <c r="I466" s="3"/>
      <c r="J466" s="3"/>
      <c r="K466" s="3"/>
      <c r="L466" s="3"/>
      <c r="M466" s="3"/>
      <c r="N466" s="3"/>
      <c r="O466" s="3"/>
      <c r="P466" s="3"/>
      <c r="Q466" s="3"/>
      <c r="R466" s="3"/>
      <c r="S466" s="3"/>
      <c r="T466" s="3"/>
      <c r="U466" s="3"/>
      <c r="V466" s="3"/>
      <c r="W466" s="3"/>
    </row>
    <row r="467" spans="1:23" ht="15.75" customHeight="1">
      <c r="A467" s="3"/>
      <c r="B467" s="3"/>
      <c r="C467" s="3"/>
      <c r="D467" s="3"/>
      <c r="E467" s="3"/>
      <c r="F467" s="3"/>
      <c r="G467" s="3"/>
      <c r="H467" s="3"/>
      <c r="I467" s="3"/>
      <c r="J467" s="3"/>
      <c r="K467" s="3"/>
      <c r="L467" s="3"/>
      <c r="M467" s="3"/>
      <c r="N467" s="3"/>
      <c r="O467" s="3"/>
      <c r="P467" s="3"/>
      <c r="Q467" s="3"/>
      <c r="R467" s="3"/>
      <c r="S467" s="3"/>
      <c r="T467" s="3"/>
      <c r="U467" s="3"/>
      <c r="V467" s="3"/>
      <c r="W467" s="3"/>
    </row>
    <row r="468" spans="1:23" ht="15.75" customHeight="1">
      <c r="A468" s="3"/>
      <c r="B468" s="3"/>
      <c r="C468" s="3"/>
      <c r="D468" s="3"/>
      <c r="E468" s="3"/>
      <c r="F468" s="3"/>
      <c r="G468" s="3"/>
      <c r="H468" s="3"/>
      <c r="I468" s="3"/>
      <c r="J468" s="3"/>
      <c r="K468" s="3"/>
      <c r="L468" s="3"/>
      <c r="M468" s="3"/>
      <c r="N468" s="3"/>
      <c r="O468" s="3"/>
      <c r="P468" s="3"/>
      <c r="Q468" s="3"/>
      <c r="R468" s="3"/>
      <c r="S468" s="3"/>
      <c r="T468" s="3"/>
      <c r="U468" s="3"/>
      <c r="V468" s="3"/>
      <c r="W468" s="3"/>
    </row>
    <row r="469" spans="1:23" ht="15.75" customHeight="1">
      <c r="A469" s="3"/>
      <c r="B469" s="3"/>
      <c r="C469" s="3"/>
      <c r="D469" s="3"/>
      <c r="E469" s="3"/>
      <c r="F469" s="3"/>
      <c r="G469" s="3"/>
      <c r="H469" s="3"/>
      <c r="I469" s="3"/>
      <c r="J469" s="3"/>
      <c r="K469" s="3"/>
      <c r="L469" s="3"/>
      <c r="M469" s="3"/>
      <c r="N469" s="3"/>
      <c r="O469" s="3"/>
      <c r="P469" s="3"/>
      <c r="Q469" s="3"/>
      <c r="R469" s="3"/>
      <c r="S469" s="3"/>
      <c r="T469" s="3"/>
      <c r="U469" s="3"/>
      <c r="V469" s="3"/>
      <c r="W469" s="3"/>
    </row>
    <row r="470" spans="1:23" ht="15.75" customHeight="1">
      <c r="A470" s="3"/>
      <c r="B470" s="3"/>
      <c r="C470" s="3"/>
      <c r="D470" s="3"/>
      <c r="E470" s="3"/>
      <c r="F470" s="3"/>
      <c r="G470" s="3"/>
      <c r="H470" s="3"/>
      <c r="I470" s="3"/>
      <c r="J470" s="3"/>
      <c r="K470" s="3"/>
      <c r="L470" s="3"/>
      <c r="M470" s="3"/>
      <c r="N470" s="3"/>
      <c r="O470" s="3"/>
      <c r="P470" s="3"/>
      <c r="Q470" s="3"/>
      <c r="R470" s="3"/>
      <c r="S470" s="3"/>
      <c r="T470" s="3"/>
      <c r="U470" s="3"/>
      <c r="V470" s="3"/>
      <c r="W470" s="3"/>
    </row>
    <row r="471" spans="1:23" ht="15.75" customHeight="1">
      <c r="A471" s="3"/>
      <c r="B471" s="3"/>
      <c r="C471" s="3"/>
      <c r="D471" s="3"/>
      <c r="E471" s="3"/>
      <c r="F471" s="3"/>
      <c r="G471" s="3"/>
      <c r="H471" s="3"/>
      <c r="I471" s="3"/>
      <c r="J471" s="3"/>
      <c r="K471" s="3"/>
      <c r="L471" s="3"/>
      <c r="M471" s="3"/>
      <c r="N471" s="3"/>
      <c r="O471" s="3"/>
      <c r="P471" s="3"/>
      <c r="Q471" s="3"/>
      <c r="R471" s="3"/>
      <c r="S471" s="3"/>
      <c r="T471" s="3"/>
      <c r="U471" s="3"/>
      <c r="V471" s="3"/>
      <c r="W471" s="3"/>
    </row>
    <row r="472" spans="1:23" ht="15.75" customHeight="1">
      <c r="A472" s="3"/>
      <c r="B472" s="3"/>
      <c r="C472" s="3"/>
      <c r="D472" s="3"/>
      <c r="E472" s="3"/>
      <c r="F472" s="3"/>
      <c r="G472" s="3"/>
      <c r="H472" s="3"/>
      <c r="I472" s="3"/>
      <c r="J472" s="3"/>
      <c r="K472" s="3"/>
      <c r="L472" s="3"/>
      <c r="M472" s="3"/>
      <c r="N472" s="3"/>
      <c r="O472" s="3"/>
      <c r="P472" s="3"/>
      <c r="Q472" s="3"/>
      <c r="R472" s="3"/>
      <c r="S472" s="3"/>
      <c r="T472" s="3"/>
      <c r="U472" s="3"/>
      <c r="V472" s="3"/>
      <c r="W472" s="3"/>
    </row>
    <row r="473" spans="1:23" ht="15.75" customHeight="1">
      <c r="A473" s="3"/>
      <c r="B473" s="3"/>
      <c r="C473" s="3"/>
      <c r="D473" s="3"/>
      <c r="E473" s="3"/>
      <c r="F473" s="3"/>
      <c r="G473" s="3"/>
      <c r="H473" s="3"/>
      <c r="I473" s="3"/>
      <c r="J473" s="3"/>
      <c r="K473" s="3"/>
      <c r="L473" s="3"/>
      <c r="M473" s="3"/>
      <c r="N473" s="3"/>
      <c r="O473" s="3"/>
      <c r="P473" s="3"/>
      <c r="Q473" s="3"/>
      <c r="R473" s="3"/>
      <c r="S473" s="3"/>
      <c r="T473" s="3"/>
      <c r="U473" s="3"/>
      <c r="V473" s="3"/>
      <c r="W473" s="3"/>
    </row>
    <row r="474" spans="1:23" ht="15.75" customHeight="1">
      <c r="A474" s="3"/>
      <c r="B474" s="3"/>
      <c r="C474" s="3"/>
      <c r="D474" s="3"/>
      <c r="E474" s="3"/>
      <c r="F474" s="3"/>
      <c r="G474" s="3"/>
      <c r="H474" s="3"/>
      <c r="I474" s="3"/>
      <c r="J474" s="3"/>
      <c r="K474" s="3"/>
      <c r="L474" s="3"/>
      <c r="M474" s="3"/>
      <c r="N474" s="3"/>
      <c r="O474" s="3"/>
      <c r="P474" s="3"/>
      <c r="Q474" s="3"/>
      <c r="R474" s="3"/>
      <c r="S474" s="3"/>
      <c r="T474" s="3"/>
      <c r="U474" s="3"/>
      <c r="V474" s="3"/>
      <c r="W474" s="3"/>
    </row>
    <row r="475" spans="1:23" ht="15.75" customHeight="1">
      <c r="A475" s="3"/>
      <c r="B475" s="3"/>
      <c r="C475" s="3"/>
      <c r="D475" s="3"/>
      <c r="E475" s="3"/>
      <c r="F475" s="3"/>
      <c r="G475" s="3"/>
      <c r="H475" s="3"/>
      <c r="I475" s="3"/>
      <c r="J475" s="3"/>
      <c r="K475" s="3"/>
      <c r="L475" s="3"/>
      <c r="M475" s="3"/>
      <c r="N475" s="3"/>
      <c r="O475" s="3"/>
      <c r="P475" s="3"/>
      <c r="Q475" s="3"/>
      <c r="R475" s="3"/>
      <c r="S475" s="3"/>
      <c r="T475" s="3"/>
      <c r="U475" s="3"/>
      <c r="V475" s="3"/>
      <c r="W475" s="3"/>
    </row>
    <row r="476" spans="1:23" ht="15.75" customHeight="1">
      <c r="A476" s="3"/>
      <c r="B476" s="3"/>
      <c r="C476" s="3"/>
      <c r="D476" s="3"/>
      <c r="E476" s="3"/>
      <c r="F476" s="3"/>
      <c r="G476" s="3"/>
      <c r="H476" s="3"/>
      <c r="I476" s="3"/>
      <c r="J476" s="3"/>
      <c r="K476" s="3"/>
      <c r="L476" s="3"/>
      <c r="M476" s="3"/>
      <c r="N476" s="3"/>
      <c r="O476" s="3"/>
      <c r="P476" s="3"/>
      <c r="Q476" s="3"/>
      <c r="R476" s="3"/>
      <c r="S476" s="3"/>
      <c r="T476" s="3"/>
      <c r="U476" s="3"/>
      <c r="V476" s="3"/>
      <c r="W476" s="3"/>
    </row>
    <row r="477" spans="1:23" ht="15.75" customHeight="1">
      <c r="A477" s="3"/>
      <c r="B477" s="3"/>
      <c r="C477" s="3"/>
      <c r="D477" s="3"/>
      <c r="E477" s="3"/>
      <c r="F477" s="3"/>
      <c r="G477" s="3"/>
      <c r="H477" s="3"/>
      <c r="I477" s="3"/>
      <c r="J477" s="3"/>
      <c r="K477" s="3"/>
      <c r="L477" s="3"/>
      <c r="M477" s="3"/>
      <c r="N477" s="3"/>
      <c r="O477" s="3"/>
      <c r="P477" s="3"/>
      <c r="Q477" s="3"/>
      <c r="R477" s="3"/>
      <c r="S477" s="3"/>
      <c r="T477" s="3"/>
      <c r="U477" s="3"/>
      <c r="V477" s="3"/>
      <c r="W477" s="3"/>
    </row>
    <row r="478" spans="1:23" ht="15.75" customHeight="1">
      <c r="A478" s="3"/>
      <c r="B478" s="3"/>
      <c r="C478" s="3"/>
      <c r="D478" s="3"/>
      <c r="E478" s="3"/>
      <c r="F478" s="3"/>
      <c r="G478" s="3"/>
      <c r="H478" s="3"/>
      <c r="I478" s="3"/>
      <c r="J478" s="3"/>
      <c r="K478" s="3"/>
      <c r="L478" s="3"/>
      <c r="M478" s="3"/>
      <c r="N478" s="3"/>
      <c r="O478" s="3"/>
      <c r="P478" s="3"/>
      <c r="Q478" s="3"/>
      <c r="R478" s="3"/>
      <c r="S478" s="3"/>
      <c r="T478" s="3"/>
      <c r="U478" s="3"/>
      <c r="V478" s="3"/>
      <c r="W478" s="3"/>
    </row>
    <row r="479" spans="1:23" ht="15.75" customHeight="1">
      <c r="A479" s="3"/>
      <c r="B479" s="3"/>
      <c r="C479" s="3"/>
      <c r="D479" s="3"/>
      <c r="E479" s="3"/>
      <c r="F479" s="3"/>
      <c r="G479" s="3"/>
      <c r="H479" s="3"/>
      <c r="I479" s="3"/>
      <c r="J479" s="3"/>
      <c r="K479" s="3"/>
      <c r="L479" s="3"/>
      <c r="M479" s="3"/>
      <c r="N479" s="3"/>
      <c r="O479" s="3"/>
      <c r="P479" s="3"/>
      <c r="Q479" s="3"/>
      <c r="R479" s="3"/>
      <c r="S479" s="3"/>
      <c r="T479" s="3"/>
      <c r="U479" s="3"/>
      <c r="V479" s="3"/>
      <c r="W479" s="3"/>
    </row>
    <row r="480" spans="1:23" ht="15.75" customHeight="1">
      <c r="A480" s="3"/>
      <c r="B480" s="3"/>
      <c r="C480" s="3"/>
      <c r="D480" s="3"/>
      <c r="E480" s="3"/>
      <c r="F480" s="3"/>
      <c r="G480" s="3"/>
      <c r="H480" s="3"/>
      <c r="I480" s="3"/>
      <c r="J480" s="3"/>
      <c r="K480" s="3"/>
      <c r="L480" s="3"/>
      <c r="M480" s="3"/>
      <c r="N480" s="3"/>
      <c r="O480" s="3"/>
      <c r="P480" s="3"/>
      <c r="Q480" s="3"/>
      <c r="R480" s="3"/>
      <c r="S480" s="3"/>
      <c r="T480" s="3"/>
      <c r="U480" s="3"/>
      <c r="V480" s="3"/>
      <c r="W480" s="3"/>
    </row>
    <row r="481" spans="1:23" ht="15.75" customHeight="1">
      <c r="A481" s="3"/>
      <c r="B481" s="3"/>
      <c r="C481" s="3"/>
      <c r="D481" s="3"/>
      <c r="E481" s="3"/>
      <c r="F481" s="3"/>
      <c r="G481" s="3"/>
      <c r="H481" s="3"/>
      <c r="I481" s="3"/>
      <c r="J481" s="3"/>
      <c r="K481" s="3"/>
      <c r="L481" s="3"/>
      <c r="M481" s="3"/>
      <c r="N481" s="3"/>
      <c r="O481" s="3"/>
      <c r="P481" s="3"/>
      <c r="Q481" s="3"/>
      <c r="R481" s="3"/>
      <c r="S481" s="3"/>
      <c r="T481" s="3"/>
      <c r="U481" s="3"/>
      <c r="V481" s="3"/>
      <c r="W481" s="3"/>
    </row>
    <row r="482" spans="1:23" ht="15.75" customHeight="1">
      <c r="A482" s="3"/>
      <c r="B482" s="3"/>
      <c r="C482" s="3"/>
      <c r="D482" s="3"/>
      <c r="E482" s="3"/>
      <c r="F482" s="3"/>
      <c r="G482" s="3"/>
      <c r="H482" s="3"/>
      <c r="I482" s="3"/>
      <c r="J482" s="3"/>
      <c r="K482" s="3"/>
      <c r="L482" s="3"/>
      <c r="M482" s="3"/>
      <c r="N482" s="3"/>
      <c r="O482" s="3"/>
      <c r="P482" s="3"/>
      <c r="Q482" s="3"/>
      <c r="R482" s="3"/>
      <c r="S482" s="3"/>
      <c r="T482" s="3"/>
      <c r="U482" s="3"/>
      <c r="V482" s="3"/>
      <c r="W482" s="3"/>
    </row>
    <row r="483" spans="1:23" ht="15.75" customHeight="1">
      <c r="A483" s="3"/>
      <c r="B483" s="3"/>
      <c r="C483" s="3"/>
      <c r="D483" s="3"/>
      <c r="E483" s="3"/>
      <c r="F483" s="3"/>
      <c r="G483" s="3"/>
      <c r="H483" s="3"/>
      <c r="I483" s="3"/>
      <c r="J483" s="3"/>
      <c r="K483" s="3"/>
      <c r="L483" s="3"/>
      <c r="M483" s="3"/>
      <c r="N483" s="3"/>
      <c r="O483" s="3"/>
      <c r="P483" s="3"/>
      <c r="Q483" s="3"/>
      <c r="R483" s="3"/>
      <c r="S483" s="3"/>
      <c r="T483" s="3"/>
      <c r="U483" s="3"/>
      <c r="V483" s="3"/>
      <c r="W483" s="3"/>
    </row>
    <row r="484" spans="1:23" ht="15.75" customHeight="1">
      <c r="A484" s="3"/>
      <c r="B484" s="3"/>
      <c r="C484" s="3"/>
      <c r="D484" s="3"/>
      <c r="E484" s="3"/>
      <c r="F484" s="3"/>
      <c r="G484" s="3"/>
      <c r="H484" s="3"/>
      <c r="I484" s="3"/>
      <c r="J484" s="3"/>
      <c r="K484" s="3"/>
      <c r="L484" s="3"/>
      <c r="M484" s="3"/>
      <c r="N484" s="3"/>
      <c r="O484" s="3"/>
      <c r="P484" s="3"/>
      <c r="Q484" s="3"/>
      <c r="R484" s="3"/>
      <c r="S484" s="3"/>
      <c r="T484" s="3"/>
      <c r="U484" s="3"/>
      <c r="V484" s="3"/>
      <c r="W484" s="3"/>
    </row>
    <row r="485" spans="1:23" ht="15.75" customHeight="1">
      <c r="A485" s="3"/>
      <c r="B485" s="3"/>
      <c r="C485" s="3"/>
      <c r="D485" s="3"/>
      <c r="E485" s="3"/>
      <c r="F485" s="3"/>
      <c r="G485" s="3"/>
      <c r="H485" s="3"/>
      <c r="I485" s="3"/>
      <c r="J485" s="3"/>
      <c r="K485" s="3"/>
      <c r="L485" s="3"/>
      <c r="M485" s="3"/>
      <c r="N485" s="3"/>
      <c r="O485" s="3"/>
      <c r="P485" s="3"/>
      <c r="Q485" s="3"/>
      <c r="R485" s="3"/>
      <c r="S485" s="3"/>
      <c r="T485" s="3"/>
      <c r="U485" s="3"/>
      <c r="V485" s="3"/>
      <c r="W485" s="3"/>
    </row>
    <row r="486" spans="1:23" ht="15.75" customHeight="1">
      <c r="A486" s="3"/>
      <c r="B486" s="3"/>
      <c r="C486" s="3"/>
      <c r="D486" s="3"/>
      <c r="E486" s="3"/>
      <c r="F486" s="3"/>
      <c r="G486" s="3"/>
      <c r="H486" s="3"/>
      <c r="I486" s="3"/>
      <c r="J486" s="3"/>
      <c r="K486" s="3"/>
      <c r="L486" s="3"/>
      <c r="M486" s="3"/>
      <c r="N486" s="3"/>
      <c r="O486" s="3"/>
      <c r="P486" s="3"/>
      <c r="Q486" s="3"/>
      <c r="R486" s="3"/>
      <c r="S486" s="3"/>
      <c r="T486" s="3"/>
      <c r="U486" s="3"/>
      <c r="V486" s="3"/>
      <c r="W486" s="3"/>
    </row>
    <row r="487" spans="1:23" ht="15.75" customHeight="1">
      <c r="A487" s="3"/>
      <c r="B487" s="3"/>
      <c r="C487" s="3"/>
      <c r="D487" s="3"/>
      <c r="E487" s="3"/>
      <c r="F487" s="3"/>
      <c r="G487" s="3"/>
      <c r="H487" s="3"/>
      <c r="I487" s="3"/>
      <c r="J487" s="3"/>
      <c r="K487" s="3"/>
      <c r="L487" s="3"/>
      <c r="M487" s="3"/>
      <c r="N487" s="3"/>
      <c r="O487" s="3"/>
      <c r="P487" s="3"/>
      <c r="Q487" s="3"/>
      <c r="R487" s="3"/>
      <c r="S487" s="3"/>
      <c r="T487" s="3"/>
      <c r="U487" s="3"/>
      <c r="V487" s="3"/>
      <c r="W487" s="3"/>
    </row>
    <row r="488" spans="1:23" ht="15.75" customHeight="1">
      <c r="A488" s="3"/>
      <c r="B488" s="3"/>
      <c r="C488" s="3"/>
      <c r="D488" s="3"/>
      <c r="E488" s="3"/>
      <c r="F488" s="3"/>
      <c r="G488" s="3"/>
      <c r="H488" s="3"/>
      <c r="I488" s="3"/>
      <c r="J488" s="3"/>
      <c r="K488" s="3"/>
      <c r="L488" s="3"/>
      <c r="M488" s="3"/>
      <c r="N488" s="3"/>
      <c r="O488" s="3"/>
      <c r="P488" s="3"/>
      <c r="Q488" s="3"/>
      <c r="R488" s="3"/>
      <c r="S488" s="3"/>
      <c r="T488" s="3"/>
      <c r="U488" s="3"/>
      <c r="V488" s="3"/>
      <c r="W488" s="3"/>
    </row>
    <row r="489" spans="1:23" ht="15.75" customHeight="1">
      <c r="A489" s="3"/>
      <c r="B489" s="3"/>
      <c r="C489" s="3"/>
      <c r="D489" s="3"/>
      <c r="E489" s="3"/>
      <c r="F489" s="3"/>
      <c r="G489" s="3"/>
      <c r="H489" s="3"/>
      <c r="I489" s="3"/>
      <c r="J489" s="3"/>
      <c r="K489" s="3"/>
      <c r="L489" s="3"/>
      <c r="M489" s="3"/>
      <c r="N489" s="3"/>
      <c r="O489" s="3"/>
      <c r="P489" s="3"/>
      <c r="Q489" s="3"/>
      <c r="R489" s="3"/>
      <c r="S489" s="3"/>
      <c r="T489" s="3"/>
      <c r="U489" s="3"/>
      <c r="V489" s="3"/>
      <c r="W489" s="3"/>
    </row>
    <row r="490" spans="1:23" ht="15.75" customHeight="1">
      <c r="A490" s="3"/>
      <c r="B490" s="3"/>
      <c r="C490" s="3"/>
      <c r="D490" s="3"/>
      <c r="E490" s="3"/>
      <c r="F490" s="3"/>
      <c r="G490" s="3"/>
      <c r="H490" s="3"/>
      <c r="I490" s="3"/>
      <c r="J490" s="3"/>
      <c r="K490" s="3"/>
      <c r="L490" s="3"/>
      <c r="M490" s="3"/>
      <c r="N490" s="3"/>
      <c r="O490" s="3"/>
      <c r="P490" s="3"/>
      <c r="Q490" s="3"/>
      <c r="R490" s="3"/>
      <c r="S490" s="3"/>
      <c r="T490" s="3"/>
      <c r="U490" s="3"/>
      <c r="V490" s="3"/>
      <c r="W490" s="3"/>
    </row>
    <row r="491" spans="1:23" ht="15.75" customHeight="1">
      <c r="A491" s="3"/>
      <c r="B491" s="3"/>
      <c r="C491" s="3"/>
      <c r="D491" s="3"/>
      <c r="E491" s="3"/>
      <c r="F491" s="3"/>
      <c r="G491" s="3"/>
      <c r="H491" s="3"/>
      <c r="I491" s="3"/>
      <c r="J491" s="3"/>
      <c r="K491" s="3"/>
      <c r="L491" s="3"/>
      <c r="M491" s="3"/>
      <c r="N491" s="3"/>
      <c r="O491" s="3"/>
      <c r="P491" s="3"/>
      <c r="Q491" s="3"/>
      <c r="R491" s="3"/>
      <c r="S491" s="3"/>
      <c r="T491" s="3"/>
      <c r="U491" s="3"/>
      <c r="V491" s="3"/>
      <c r="W491" s="3"/>
    </row>
    <row r="492" spans="1:23" ht="15.75" customHeight="1">
      <c r="A492" s="3"/>
      <c r="B492" s="3"/>
      <c r="C492" s="3"/>
      <c r="D492" s="3"/>
      <c r="E492" s="3"/>
      <c r="F492" s="3"/>
      <c r="G492" s="3"/>
      <c r="H492" s="3"/>
      <c r="I492" s="3"/>
      <c r="J492" s="3"/>
      <c r="K492" s="3"/>
      <c r="L492" s="3"/>
      <c r="M492" s="3"/>
      <c r="N492" s="3"/>
      <c r="O492" s="3"/>
      <c r="P492" s="3"/>
      <c r="Q492" s="3"/>
      <c r="R492" s="3"/>
      <c r="S492" s="3"/>
      <c r="T492" s="3"/>
      <c r="U492" s="3"/>
      <c r="V492" s="3"/>
      <c r="W492" s="3"/>
    </row>
    <row r="493" spans="1:23" ht="15.75" customHeight="1">
      <c r="A493" s="3"/>
      <c r="B493" s="3"/>
      <c r="C493" s="3"/>
      <c r="D493" s="3"/>
      <c r="E493" s="3"/>
      <c r="F493" s="3"/>
      <c r="G493" s="3"/>
      <c r="H493" s="3"/>
      <c r="I493" s="3"/>
      <c r="J493" s="3"/>
      <c r="K493" s="3"/>
      <c r="L493" s="3"/>
      <c r="M493" s="3"/>
      <c r="N493" s="3"/>
      <c r="O493" s="3"/>
      <c r="P493" s="3"/>
      <c r="Q493" s="3"/>
      <c r="R493" s="3"/>
      <c r="S493" s="3"/>
      <c r="T493" s="3"/>
      <c r="U493" s="3"/>
      <c r="V493" s="3"/>
      <c r="W493" s="3"/>
    </row>
    <row r="494" spans="1:23" ht="15.75" customHeight="1">
      <c r="A494" s="3"/>
      <c r="B494" s="3"/>
      <c r="C494" s="3"/>
      <c r="D494" s="3"/>
      <c r="E494" s="3"/>
      <c r="F494" s="3"/>
      <c r="G494" s="3"/>
      <c r="H494" s="3"/>
      <c r="I494" s="3"/>
      <c r="J494" s="3"/>
      <c r="K494" s="3"/>
      <c r="L494" s="3"/>
      <c r="M494" s="3"/>
      <c r="N494" s="3"/>
      <c r="O494" s="3"/>
      <c r="P494" s="3"/>
      <c r="Q494" s="3"/>
      <c r="R494" s="3"/>
      <c r="S494" s="3"/>
      <c r="T494" s="3"/>
      <c r="U494" s="3"/>
      <c r="V494" s="3"/>
      <c r="W494" s="3"/>
    </row>
    <row r="495" spans="1:23" ht="15.75" customHeight="1">
      <c r="A495" s="3"/>
      <c r="B495" s="3"/>
      <c r="C495" s="3"/>
      <c r="D495" s="3"/>
      <c r="E495" s="3"/>
      <c r="F495" s="3"/>
      <c r="G495" s="3"/>
      <c r="H495" s="3"/>
      <c r="I495" s="3"/>
      <c r="J495" s="3"/>
      <c r="K495" s="3"/>
      <c r="L495" s="3"/>
      <c r="M495" s="3"/>
      <c r="N495" s="3"/>
      <c r="O495" s="3"/>
      <c r="P495" s="3"/>
      <c r="Q495" s="3"/>
      <c r="R495" s="3"/>
      <c r="S495" s="3"/>
      <c r="T495" s="3"/>
      <c r="U495" s="3"/>
      <c r="V495" s="3"/>
      <c r="W495" s="3"/>
    </row>
    <row r="496" spans="1:23" ht="15.75" customHeight="1">
      <c r="A496" s="3"/>
      <c r="B496" s="3"/>
      <c r="C496" s="3"/>
      <c r="D496" s="3"/>
      <c r="E496" s="3"/>
      <c r="F496" s="3"/>
      <c r="G496" s="3"/>
      <c r="H496" s="3"/>
      <c r="I496" s="3"/>
      <c r="J496" s="3"/>
      <c r="K496" s="3"/>
      <c r="L496" s="3"/>
      <c r="M496" s="3"/>
      <c r="N496" s="3"/>
      <c r="O496" s="3"/>
      <c r="P496" s="3"/>
      <c r="Q496" s="3"/>
      <c r="R496" s="3"/>
      <c r="S496" s="3"/>
      <c r="T496" s="3"/>
      <c r="U496" s="3"/>
      <c r="V496" s="3"/>
      <c r="W496" s="3"/>
    </row>
    <row r="497" spans="1:23" ht="15.75" customHeight="1">
      <c r="A497" s="3"/>
      <c r="B497" s="3"/>
      <c r="C497" s="3"/>
      <c r="D497" s="3"/>
      <c r="E497" s="3"/>
      <c r="F497" s="3"/>
      <c r="G497" s="3"/>
      <c r="H497" s="3"/>
      <c r="I497" s="3"/>
      <c r="J497" s="3"/>
      <c r="K497" s="3"/>
      <c r="L497" s="3"/>
      <c r="M497" s="3"/>
      <c r="N497" s="3"/>
      <c r="O497" s="3"/>
      <c r="P497" s="3"/>
      <c r="Q497" s="3"/>
      <c r="R497" s="3"/>
      <c r="S497" s="3"/>
      <c r="T497" s="3"/>
      <c r="U497" s="3"/>
      <c r="V497" s="3"/>
      <c r="W497" s="3"/>
    </row>
    <row r="498" spans="1:23" ht="15.75" customHeight="1">
      <c r="A498" s="3"/>
      <c r="B498" s="3"/>
      <c r="C498" s="3"/>
      <c r="D498" s="3"/>
      <c r="E498" s="3"/>
      <c r="F498" s="3"/>
      <c r="G498" s="3"/>
      <c r="H498" s="3"/>
      <c r="I498" s="3"/>
      <c r="J498" s="3"/>
      <c r="K498" s="3"/>
      <c r="L498" s="3"/>
      <c r="M498" s="3"/>
      <c r="N498" s="3"/>
      <c r="O498" s="3"/>
      <c r="P498" s="3"/>
      <c r="Q498" s="3"/>
      <c r="R498" s="3"/>
      <c r="S498" s="3"/>
      <c r="T498" s="3"/>
      <c r="U498" s="3"/>
      <c r="V498" s="3"/>
      <c r="W498" s="3"/>
    </row>
    <row r="499" spans="1:23" ht="15.75" customHeight="1">
      <c r="A499" s="3"/>
      <c r="B499" s="3"/>
      <c r="C499" s="3"/>
      <c r="D499" s="3"/>
      <c r="E499" s="3"/>
      <c r="F499" s="3"/>
      <c r="G499" s="3"/>
      <c r="H499" s="3"/>
      <c r="I499" s="3"/>
      <c r="J499" s="3"/>
      <c r="K499" s="3"/>
      <c r="L499" s="3"/>
      <c r="M499" s="3"/>
      <c r="N499" s="3"/>
      <c r="O499" s="3"/>
      <c r="P499" s="3"/>
      <c r="Q499" s="3"/>
      <c r="R499" s="3"/>
      <c r="S499" s="3"/>
      <c r="T499" s="3"/>
      <c r="U499" s="3"/>
      <c r="V499" s="3"/>
      <c r="W499" s="3"/>
    </row>
    <row r="500" spans="1:23" ht="15.75" customHeight="1">
      <c r="A500" s="3"/>
      <c r="B500" s="3"/>
      <c r="C500" s="3"/>
      <c r="D500" s="3"/>
      <c r="E500" s="3"/>
      <c r="F500" s="3"/>
      <c r="G500" s="3"/>
      <c r="H500" s="3"/>
      <c r="I500" s="3"/>
      <c r="J500" s="3"/>
      <c r="K500" s="3"/>
      <c r="L500" s="3"/>
      <c r="M500" s="3"/>
      <c r="N500" s="3"/>
      <c r="O500" s="3"/>
      <c r="P500" s="3"/>
      <c r="Q500" s="3"/>
      <c r="R500" s="3"/>
      <c r="S500" s="3"/>
      <c r="T500" s="3"/>
      <c r="U500" s="3"/>
      <c r="V500" s="3"/>
      <c r="W500" s="3"/>
    </row>
    <row r="501" spans="1:23" ht="15.75" customHeight="1">
      <c r="A501" s="3"/>
      <c r="B501" s="3"/>
      <c r="C501" s="3"/>
      <c r="D501" s="3"/>
      <c r="E501" s="3"/>
      <c r="F501" s="3"/>
      <c r="G501" s="3"/>
      <c r="H501" s="3"/>
      <c r="I501" s="3"/>
      <c r="J501" s="3"/>
      <c r="K501" s="3"/>
      <c r="L501" s="3"/>
      <c r="M501" s="3"/>
      <c r="N501" s="3"/>
      <c r="O501" s="3"/>
      <c r="P501" s="3"/>
      <c r="Q501" s="3"/>
      <c r="R501" s="3"/>
      <c r="S501" s="3"/>
      <c r="T501" s="3"/>
      <c r="U501" s="3"/>
      <c r="V501" s="3"/>
      <c r="W501" s="3"/>
    </row>
    <row r="502" spans="1:23" ht="15.75" customHeight="1">
      <c r="A502" s="3"/>
      <c r="B502" s="3"/>
      <c r="C502" s="3"/>
      <c r="D502" s="3"/>
      <c r="E502" s="3"/>
      <c r="F502" s="3"/>
      <c r="G502" s="3"/>
      <c r="H502" s="3"/>
      <c r="I502" s="3"/>
      <c r="J502" s="3"/>
      <c r="K502" s="3"/>
      <c r="L502" s="3"/>
      <c r="M502" s="3"/>
      <c r="N502" s="3"/>
      <c r="O502" s="3"/>
      <c r="P502" s="3"/>
      <c r="Q502" s="3"/>
      <c r="R502" s="3"/>
      <c r="S502" s="3"/>
      <c r="T502" s="3"/>
      <c r="U502" s="3"/>
      <c r="V502" s="3"/>
      <c r="W502" s="3"/>
    </row>
    <row r="503" spans="1:23" ht="15.75" customHeight="1">
      <c r="A503" s="3"/>
      <c r="B503" s="3"/>
      <c r="C503" s="3"/>
      <c r="D503" s="3"/>
      <c r="E503" s="3"/>
      <c r="F503" s="3"/>
      <c r="G503" s="3"/>
      <c r="H503" s="3"/>
      <c r="I503" s="3"/>
      <c r="J503" s="3"/>
      <c r="K503" s="3"/>
      <c r="L503" s="3"/>
      <c r="M503" s="3"/>
      <c r="N503" s="3"/>
      <c r="O503" s="3"/>
      <c r="P503" s="3"/>
      <c r="Q503" s="3"/>
      <c r="R503" s="3"/>
      <c r="S503" s="3"/>
      <c r="T503" s="3"/>
      <c r="U503" s="3"/>
      <c r="V503" s="3"/>
      <c r="W503" s="3"/>
    </row>
    <row r="504" spans="1:23" ht="15.75" customHeight="1">
      <c r="A504" s="3"/>
      <c r="B504" s="3"/>
      <c r="C504" s="3"/>
      <c r="D504" s="3"/>
      <c r="E504" s="3"/>
      <c r="F504" s="3"/>
      <c r="G504" s="3"/>
      <c r="H504" s="3"/>
      <c r="I504" s="3"/>
      <c r="J504" s="3"/>
      <c r="K504" s="3"/>
      <c r="L504" s="3"/>
      <c r="M504" s="3"/>
      <c r="N504" s="3"/>
      <c r="O504" s="3"/>
      <c r="P504" s="3"/>
      <c r="Q504" s="3"/>
      <c r="R504" s="3"/>
      <c r="S504" s="3"/>
      <c r="T504" s="3"/>
      <c r="U504" s="3"/>
      <c r="V504" s="3"/>
      <c r="W504" s="3"/>
    </row>
    <row r="505" spans="1:23" ht="15.75" customHeight="1">
      <c r="A505" s="3"/>
      <c r="B505" s="3"/>
      <c r="C505" s="3"/>
      <c r="D505" s="3"/>
      <c r="E505" s="3"/>
      <c r="F505" s="3"/>
      <c r="G505" s="3"/>
      <c r="H505" s="3"/>
      <c r="I505" s="3"/>
      <c r="J505" s="3"/>
      <c r="K505" s="3"/>
      <c r="L505" s="3"/>
      <c r="M505" s="3"/>
      <c r="N505" s="3"/>
      <c r="O505" s="3"/>
      <c r="P505" s="3"/>
      <c r="Q505" s="3"/>
      <c r="R505" s="3"/>
      <c r="S505" s="3"/>
      <c r="T505" s="3"/>
      <c r="U505" s="3"/>
      <c r="V505" s="3"/>
      <c r="W505" s="3"/>
    </row>
    <row r="506" spans="1:23" ht="15.75" customHeight="1">
      <c r="A506" s="3"/>
      <c r="B506" s="3"/>
      <c r="C506" s="3"/>
      <c r="D506" s="3"/>
      <c r="E506" s="3"/>
      <c r="F506" s="3"/>
      <c r="G506" s="3"/>
      <c r="H506" s="3"/>
      <c r="I506" s="3"/>
      <c r="J506" s="3"/>
      <c r="K506" s="3"/>
      <c r="L506" s="3"/>
      <c r="M506" s="3"/>
      <c r="N506" s="3"/>
      <c r="O506" s="3"/>
      <c r="P506" s="3"/>
      <c r="Q506" s="3"/>
      <c r="R506" s="3"/>
      <c r="S506" s="3"/>
      <c r="T506" s="3"/>
      <c r="U506" s="3"/>
      <c r="V506" s="3"/>
      <c r="W506" s="3"/>
    </row>
    <row r="507" spans="1:23" ht="15.75" customHeight="1">
      <c r="A507" s="3"/>
      <c r="B507" s="3"/>
      <c r="C507" s="3"/>
      <c r="D507" s="3"/>
      <c r="E507" s="3"/>
      <c r="F507" s="3"/>
      <c r="G507" s="3"/>
      <c r="H507" s="3"/>
      <c r="I507" s="3"/>
      <c r="J507" s="3"/>
      <c r="K507" s="3"/>
      <c r="L507" s="3"/>
      <c r="M507" s="3"/>
      <c r="N507" s="3"/>
      <c r="O507" s="3"/>
      <c r="P507" s="3"/>
      <c r="Q507" s="3"/>
      <c r="R507" s="3"/>
      <c r="S507" s="3"/>
      <c r="T507" s="3"/>
      <c r="U507" s="3"/>
      <c r="V507" s="3"/>
      <c r="W507" s="3"/>
    </row>
    <row r="508" spans="1:23" ht="15.75" customHeight="1">
      <c r="A508" s="3"/>
      <c r="B508" s="3"/>
      <c r="C508" s="3"/>
      <c r="D508" s="3"/>
      <c r="E508" s="3"/>
      <c r="F508" s="3"/>
      <c r="G508" s="3"/>
      <c r="H508" s="3"/>
      <c r="I508" s="3"/>
      <c r="J508" s="3"/>
      <c r="K508" s="3"/>
      <c r="L508" s="3"/>
      <c r="M508" s="3"/>
      <c r="N508" s="3"/>
      <c r="O508" s="3"/>
      <c r="P508" s="3"/>
      <c r="Q508" s="3"/>
      <c r="R508" s="3"/>
      <c r="S508" s="3"/>
      <c r="T508" s="3"/>
      <c r="U508" s="3"/>
      <c r="V508" s="3"/>
      <c r="W508" s="3"/>
    </row>
    <row r="509" spans="1:23" ht="15.75" customHeight="1">
      <c r="A509" s="3"/>
      <c r="B509" s="3"/>
      <c r="C509" s="3"/>
      <c r="D509" s="3"/>
      <c r="E509" s="3"/>
      <c r="F509" s="3"/>
      <c r="G509" s="3"/>
      <c r="H509" s="3"/>
      <c r="I509" s="3"/>
      <c r="J509" s="3"/>
      <c r="K509" s="3"/>
      <c r="L509" s="3"/>
      <c r="M509" s="3"/>
      <c r="N509" s="3"/>
      <c r="O509" s="3"/>
      <c r="P509" s="3"/>
      <c r="Q509" s="3"/>
      <c r="R509" s="3"/>
      <c r="S509" s="3"/>
      <c r="T509" s="3"/>
      <c r="U509" s="3"/>
      <c r="V509" s="3"/>
      <c r="W509" s="3"/>
    </row>
    <row r="510" spans="1:23" ht="15.75" customHeight="1">
      <c r="A510" s="3"/>
      <c r="B510" s="3"/>
      <c r="C510" s="3"/>
      <c r="D510" s="3"/>
      <c r="E510" s="3"/>
      <c r="F510" s="3"/>
      <c r="G510" s="3"/>
      <c r="H510" s="3"/>
      <c r="I510" s="3"/>
      <c r="J510" s="3"/>
      <c r="K510" s="3"/>
      <c r="L510" s="3"/>
      <c r="M510" s="3"/>
      <c r="N510" s="3"/>
      <c r="O510" s="3"/>
      <c r="P510" s="3"/>
      <c r="Q510" s="3"/>
      <c r="R510" s="3"/>
      <c r="S510" s="3"/>
      <c r="T510" s="3"/>
      <c r="U510" s="3"/>
      <c r="V510" s="3"/>
      <c r="W510" s="3"/>
    </row>
    <row r="511" spans="1:23" ht="15.75" customHeight="1">
      <c r="A511" s="3"/>
      <c r="B511" s="3"/>
      <c r="C511" s="3"/>
      <c r="D511" s="3"/>
      <c r="E511" s="3"/>
      <c r="F511" s="3"/>
      <c r="G511" s="3"/>
      <c r="H511" s="3"/>
      <c r="I511" s="3"/>
      <c r="J511" s="3"/>
      <c r="K511" s="3"/>
      <c r="L511" s="3"/>
      <c r="M511" s="3"/>
      <c r="N511" s="3"/>
      <c r="O511" s="3"/>
      <c r="P511" s="3"/>
      <c r="Q511" s="3"/>
      <c r="R511" s="3"/>
      <c r="S511" s="3"/>
      <c r="T511" s="3"/>
      <c r="U511" s="3"/>
      <c r="V511" s="3"/>
      <c r="W511" s="3"/>
    </row>
    <row r="512" spans="1:23" ht="15.75" customHeight="1">
      <c r="A512" s="3"/>
      <c r="B512" s="3"/>
      <c r="C512" s="3"/>
      <c r="D512" s="3"/>
      <c r="E512" s="3"/>
      <c r="F512" s="3"/>
      <c r="G512" s="3"/>
      <c r="H512" s="3"/>
      <c r="I512" s="3"/>
      <c r="J512" s="3"/>
      <c r="K512" s="3"/>
      <c r="L512" s="3"/>
      <c r="M512" s="3"/>
      <c r="N512" s="3"/>
      <c r="O512" s="3"/>
      <c r="P512" s="3"/>
      <c r="Q512" s="3"/>
      <c r="R512" s="3"/>
      <c r="S512" s="3"/>
      <c r="T512" s="3"/>
      <c r="U512" s="3"/>
      <c r="V512" s="3"/>
      <c r="W512" s="3"/>
    </row>
    <row r="513" spans="1:23" ht="15.75" customHeight="1">
      <c r="A513" s="3"/>
      <c r="B513" s="3"/>
      <c r="C513" s="3"/>
      <c r="D513" s="3"/>
      <c r="E513" s="3"/>
      <c r="F513" s="3"/>
      <c r="G513" s="3"/>
      <c r="H513" s="3"/>
      <c r="I513" s="3"/>
      <c r="J513" s="3"/>
      <c r="K513" s="3"/>
      <c r="L513" s="3"/>
      <c r="M513" s="3"/>
      <c r="N513" s="3"/>
      <c r="O513" s="3"/>
      <c r="P513" s="3"/>
      <c r="Q513" s="3"/>
      <c r="R513" s="3"/>
      <c r="S513" s="3"/>
      <c r="T513" s="3"/>
      <c r="U513" s="3"/>
      <c r="V513" s="3"/>
      <c r="W513" s="3"/>
    </row>
    <row r="514" spans="1:23" ht="15.75" customHeight="1">
      <c r="A514" s="3"/>
      <c r="B514" s="3"/>
      <c r="C514" s="3"/>
      <c r="D514" s="3"/>
      <c r="E514" s="3"/>
      <c r="F514" s="3"/>
      <c r="G514" s="3"/>
      <c r="H514" s="3"/>
      <c r="I514" s="3"/>
      <c r="J514" s="3"/>
      <c r="K514" s="3"/>
      <c r="L514" s="3"/>
      <c r="M514" s="3"/>
      <c r="N514" s="3"/>
      <c r="O514" s="3"/>
      <c r="P514" s="3"/>
      <c r="Q514" s="3"/>
      <c r="R514" s="3"/>
      <c r="S514" s="3"/>
      <c r="T514" s="3"/>
      <c r="U514" s="3"/>
      <c r="V514" s="3"/>
      <c r="W514" s="3"/>
    </row>
    <row r="515" spans="1:23" ht="15.75" customHeight="1">
      <c r="A515" s="3"/>
      <c r="B515" s="3"/>
      <c r="C515" s="3"/>
      <c r="D515" s="3"/>
      <c r="E515" s="3"/>
      <c r="F515" s="3"/>
      <c r="G515" s="3"/>
      <c r="H515" s="3"/>
      <c r="I515" s="3"/>
      <c r="J515" s="3"/>
      <c r="K515" s="3"/>
      <c r="L515" s="3"/>
      <c r="M515" s="3"/>
      <c r="N515" s="3"/>
      <c r="O515" s="3"/>
      <c r="P515" s="3"/>
      <c r="Q515" s="3"/>
      <c r="R515" s="3"/>
      <c r="S515" s="3"/>
      <c r="T515" s="3"/>
      <c r="U515" s="3"/>
      <c r="V515" s="3"/>
      <c r="W515" s="3"/>
    </row>
    <row r="516" spans="1:23" ht="15.75" customHeight="1">
      <c r="A516" s="3"/>
      <c r="B516" s="3"/>
      <c r="C516" s="3"/>
      <c r="D516" s="3"/>
      <c r="E516" s="3"/>
      <c r="F516" s="3"/>
      <c r="G516" s="3"/>
      <c r="H516" s="3"/>
      <c r="I516" s="3"/>
      <c r="J516" s="3"/>
      <c r="K516" s="3"/>
      <c r="L516" s="3"/>
      <c r="M516" s="3"/>
      <c r="N516" s="3"/>
      <c r="O516" s="3"/>
      <c r="P516" s="3"/>
      <c r="Q516" s="3"/>
      <c r="R516" s="3"/>
      <c r="S516" s="3"/>
      <c r="T516" s="3"/>
      <c r="U516" s="3"/>
      <c r="V516" s="3"/>
      <c r="W516" s="3"/>
    </row>
    <row r="517" spans="1:23" ht="15.75" customHeight="1">
      <c r="A517" s="3"/>
      <c r="B517" s="3"/>
      <c r="C517" s="3"/>
      <c r="D517" s="3"/>
      <c r="E517" s="3"/>
      <c r="F517" s="3"/>
      <c r="G517" s="3"/>
      <c r="H517" s="3"/>
      <c r="I517" s="3"/>
      <c r="J517" s="3"/>
      <c r="K517" s="3"/>
      <c r="L517" s="3"/>
      <c r="M517" s="3"/>
      <c r="N517" s="3"/>
      <c r="O517" s="3"/>
      <c r="P517" s="3"/>
      <c r="Q517" s="3"/>
      <c r="R517" s="3"/>
      <c r="S517" s="3"/>
      <c r="T517" s="3"/>
      <c r="U517" s="3"/>
      <c r="V517" s="3"/>
      <c r="W517" s="3"/>
    </row>
    <row r="518" spans="1:23" ht="15.75" customHeight="1">
      <c r="A518" s="3"/>
      <c r="B518" s="3"/>
      <c r="C518" s="3"/>
      <c r="D518" s="3"/>
      <c r="E518" s="3"/>
      <c r="F518" s="3"/>
      <c r="G518" s="3"/>
      <c r="H518" s="3"/>
      <c r="I518" s="3"/>
      <c r="J518" s="3"/>
      <c r="K518" s="3"/>
      <c r="L518" s="3"/>
      <c r="M518" s="3"/>
      <c r="N518" s="3"/>
      <c r="O518" s="3"/>
      <c r="P518" s="3"/>
      <c r="Q518" s="3"/>
      <c r="R518" s="3"/>
      <c r="S518" s="3"/>
      <c r="T518" s="3"/>
      <c r="U518" s="3"/>
      <c r="V518" s="3"/>
      <c r="W518" s="3"/>
    </row>
    <row r="519" spans="1:23" ht="15.75" customHeight="1">
      <c r="A519" s="3"/>
      <c r="B519" s="3"/>
      <c r="C519" s="3"/>
      <c r="D519" s="3"/>
      <c r="E519" s="3"/>
      <c r="F519" s="3"/>
      <c r="G519" s="3"/>
      <c r="H519" s="3"/>
      <c r="I519" s="3"/>
      <c r="J519" s="3"/>
      <c r="K519" s="3"/>
      <c r="L519" s="3"/>
      <c r="M519" s="3"/>
      <c r="N519" s="3"/>
      <c r="O519" s="3"/>
      <c r="P519" s="3"/>
      <c r="Q519" s="3"/>
      <c r="R519" s="3"/>
      <c r="S519" s="3"/>
      <c r="T519" s="3"/>
      <c r="U519" s="3"/>
      <c r="V519" s="3"/>
      <c r="W519" s="3"/>
    </row>
    <row r="520" spans="1:23" ht="15.75" customHeight="1">
      <c r="A520" s="3"/>
      <c r="B520" s="3"/>
      <c r="C520" s="3"/>
      <c r="D520" s="3"/>
      <c r="E520" s="3"/>
      <c r="F520" s="3"/>
      <c r="G520" s="3"/>
      <c r="H520" s="3"/>
      <c r="I520" s="3"/>
      <c r="J520" s="3"/>
      <c r="K520" s="3"/>
      <c r="L520" s="3"/>
      <c r="M520" s="3"/>
      <c r="N520" s="3"/>
      <c r="O520" s="3"/>
      <c r="P520" s="3"/>
      <c r="Q520" s="3"/>
      <c r="R520" s="3"/>
      <c r="S520" s="3"/>
      <c r="T520" s="3"/>
      <c r="U520" s="3"/>
      <c r="V520" s="3"/>
      <c r="W520" s="3"/>
    </row>
    <row r="521" spans="1:23" ht="15.75" customHeight="1">
      <c r="A521" s="3"/>
      <c r="B521" s="3"/>
      <c r="C521" s="3"/>
      <c r="D521" s="3"/>
      <c r="E521" s="3"/>
      <c r="F521" s="3"/>
      <c r="G521" s="3"/>
      <c r="H521" s="3"/>
      <c r="I521" s="3"/>
      <c r="J521" s="3"/>
      <c r="K521" s="3"/>
      <c r="L521" s="3"/>
      <c r="M521" s="3"/>
      <c r="N521" s="3"/>
      <c r="O521" s="3"/>
      <c r="P521" s="3"/>
      <c r="Q521" s="3"/>
      <c r="R521" s="3"/>
      <c r="S521" s="3"/>
      <c r="T521" s="3"/>
      <c r="U521" s="3"/>
      <c r="V521" s="3"/>
      <c r="W521" s="3"/>
    </row>
    <row r="522" spans="1:23" ht="15.75" customHeight="1">
      <c r="A522" s="3"/>
      <c r="B522" s="3"/>
      <c r="C522" s="3"/>
      <c r="D522" s="3"/>
      <c r="E522" s="3"/>
      <c r="F522" s="3"/>
      <c r="G522" s="3"/>
      <c r="H522" s="3"/>
      <c r="I522" s="3"/>
      <c r="J522" s="3"/>
      <c r="K522" s="3"/>
      <c r="L522" s="3"/>
      <c r="M522" s="3"/>
      <c r="N522" s="3"/>
      <c r="O522" s="3"/>
      <c r="P522" s="3"/>
      <c r="Q522" s="3"/>
      <c r="R522" s="3"/>
      <c r="S522" s="3"/>
      <c r="T522" s="3"/>
      <c r="U522" s="3"/>
      <c r="V522" s="3"/>
      <c r="W522" s="3"/>
    </row>
    <row r="523" spans="1:23" ht="15.75" customHeight="1">
      <c r="A523" s="3"/>
      <c r="B523" s="3"/>
      <c r="C523" s="3"/>
      <c r="D523" s="3"/>
      <c r="E523" s="3"/>
      <c r="F523" s="3"/>
      <c r="G523" s="3"/>
      <c r="H523" s="3"/>
      <c r="I523" s="3"/>
      <c r="J523" s="3"/>
      <c r="K523" s="3"/>
      <c r="L523" s="3"/>
      <c r="M523" s="3"/>
      <c r="N523" s="3"/>
      <c r="O523" s="3"/>
      <c r="P523" s="3"/>
      <c r="Q523" s="3"/>
      <c r="R523" s="3"/>
      <c r="S523" s="3"/>
      <c r="T523" s="3"/>
      <c r="U523" s="3"/>
      <c r="V523" s="3"/>
      <c r="W523" s="3"/>
    </row>
    <row r="524" spans="1:23" ht="15.75" customHeight="1">
      <c r="A524" s="3"/>
      <c r="B524" s="3"/>
      <c r="C524" s="3"/>
      <c r="D524" s="3"/>
      <c r="E524" s="3"/>
      <c r="F524" s="3"/>
      <c r="G524" s="3"/>
      <c r="H524" s="3"/>
      <c r="I524" s="3"/>
      <c r="J524" s="3"/>
      <c r="K524" s="3"/>
      <c r="L524" s="3"/>
      <c r="M524" s="3"/>
      <c r="N524" s="3"/>
      <c r="O524" s="3"/>
      <c r="P524" s="3"/>
      <c r="Q524" s="3"/>
      <c r="R524" s="3"/>
      <c r="S524" s="3"/>
      <c r="T524" s="3"/>
      <c r="U524" s="3"/>
      <c r="V524" s="3"/>
      <c r="W524" s="3"/>
    </row>
    <row r="525" spans="1:23" ht="15.75" customHeight="1">
      <c r="A525" s="3"/>
      <c r="B525" s="3"/>
      <c r="C525" s="3"/>
      <c r="D525" s="3"/>
      <c r="E525" s="3"/>
      <c r="F525" s="3"/>
      <c r="G525" s="3"/>
      <c r="H525" s="3"/>
      <c r="I525" s="3"/>
      <c r="J525" s="3"/>
      <c r="K525" s="3"/>
      <c r="L525" s="3"/>
      <c r="M525" s="3"/>
      <c r="N525" s="3"/>
      <c r="O525" s="3"/>
      <c r="P525" s="3"/>
      <c r="Q525" s="3"/>
      <c r="R525" s="3"/>
      <c r="S525" s="3"/>
      <c r="T525" s="3"/>
      <c r="U525" s="3"/>
      <c r="V525" s="3"/>
      <c r="W525" s="3"/>
    </row>
    <row r="526" spans="1:23" ht="15.75" customHeight="1">
      <c r="A526" s="3"/>
      <c r="B526" s="3"/>
      <c r="C526" s="3"/>
      <c r="D526" s="3"/>
      <c r="E526" s="3"/>
      <c r="F526" s="3"/>
      <c r="G526" s="3"/>
      <c r="H526" s="3"/>
      <c r="I526" s="3"/>
      <c r="J526" s="3"/>
      <c r="K526" s="3"/>
      <c r="L526" s="3"/>
      <c r="M526" s="3"/>
      <c r="N526" s="3"/>
      <c r="O526" s="3"/>
      <c r="P526" s="3"/>
      <c r="Q526" s="3"/>
      <c r="R526" s="3"/>
      <c r="S526" s="3"/>
      <c r="T526" s="3"/>
      <c r="U526" s="3"/>
      <c r="V526" s="3"/>
      <c r="W526" s="3"/>
    </row>
    <row r="527" spans="1:23" ht="15.75" customHeight="1">
      <c r="A527" s="3"/>
      <c r="B527" s="3"/>
      <c r="C527" s="3"/>
      <c r="D527" s="3"/>
      <c r="E527" s="3"/>
      <c r="F527" s="3"/>
      <c r="G527" s="3"/>
      <c r="H527" s="3"/>
      <c r="I527" s="3"/>
      <c r="J527" s="3"/>
      <c r="K527" s="3"/>
      <c r="L527" s="3"/>
      <c r="M527" s="3"/>
      <c r="N527" s="3"/>
      <c r="O527" s="3"/>
      <c r="P527" s="3"/>
      <c r="Q527" s="3"/>
      <c r="R527" s="3"/>
      <c r="S527" s="3"/>
      <c r="T527" s="3"/>
      <c r="U527" s="3"/>
      <c r="V527" s="3"/>
      <c r="W527" s="3"/>
    </row>
    <row r="528" spans="1:23" ht="15.75" customHeight="1">
      <c r="A528" s="3"/>
      <c r="B528" s="3"/>
      <c r="C528" s="3"/>
      <c r="D528" s="3"/>
      <c r="E528" s="3"/>
      <c r="F528" s="3"/>
      <c r="G528" s="3"/>
      <c r="H528" s="3"/>
      <c r="I528" s="3"/>
      <c r="J528" s="3"/>
      <c r="K528" s="3"/>
      <c r="L528" s="3"/>
      <c r="M528" s="3"/>
      <c r="N528" s="3"/>
      <c r="O528" s="3"/>
      <c r="P528" s="3"/>
      <c r="Q528" s="3"/>
      <c r="R528" s="3"/>
      <c r="S528" s="3"/>
      <c r="T528" s="3"/>
      <c r="U528" s="3"/>
      <c r="V528" s="3"/>
      <c r="W528" s="3"/>
    </row>
    <row r="529" spans="1:23" ht="15.75" customHeight="1">
      <c r="A529" s="3"/>
      <c r="B529" s="3"/>
      <c r="C529" s="3"/>
      <c r="D529" s="3"/>
      <c r="E529" s="3"/>
      <c r="F529" s="3"/>
      <c r="G529" s="3"/>
      <c r="H529" s="3"/>
      <c r="I529" s="3"/>
      <c r="J529" s="3"/>
      <c r="K529" s="3"/>
      <c r="L529" s="3"/>
      <c r="M529" s="3"/>
      <c r="N529" s="3"/>
      <c r="O529" s="3"/>
      <c r="P529" s="3"/>
      <c r="Q529" s="3"/>
      <c r="R529" s="3"/>
      <c r="S529" s="3"/>
      <c r="T529" s="3"/>
      <c r="U529" s="3"/>
      <c r="V529" s="3"/>
      <c r="W529" s="3"/>
    </row>
    <row r="530" spans="1:23" ht="15.75" customHeight="1">
      <c r="A530" s="3"/>
      <c r="B530" s="3"/>
      <c r="C530" s="3"/>
      <c r="D530" s="3"/>
      <c r="E530" s="3"/>
      <c r="F530" s="3"/>
      <c r="G530" s="3"/>
      <c r="H530" s="3"/>
      <c r="I530" s="3"/>
      <c r="J530" s="3"/>
      <c r="K530" s="3"/>
      <c r="L530" s="3"/>
      <c r="M530" s="3"/>
      <c r="N530" s="3"/>
      <c r="O530" s="3"/>
      <c r="P530" s="3"/>
      <c r="Q530" s="3"/>
      <c r="R530" s="3"/>
      <c r="S530" s="3"/>
      <c r="T530" s="3"/>
      <c r="U530" s="3"/>
      <c r="V530" s="3"/>
      <c r="W530" s="3"/>
    </row>
    <row r="531" spans="1:23" ht="15.75" customHeight="1">
      <c r="A531" s="3"/>
      <c r="B531" s="3"/>
      <c r="C531" s="3"/>
      <c r="D531" s="3"/>
      <c r="E531" s="3"/>
      <c r="F531" s="3"/>
      <c r="G531" s="3"/>
      <c r="H531" s="3"/>
      <c r="I531" s="3"/>
      <c r="J531" s="3"/>
      <c r="K531" s="3"/>
      <c r="L531" s="3"/>
      <c r="M531" s="3"/>
      <c r="N531" s="3"/>
      <c r="O531" s="3"/>
      <c r="P531" s="3"/>
      <c r="Q531" s="3"/>
      <c r="R531" s="3"/>
      <c r="S531" s="3"/>
      <c r="T531" s="3"/>
      <c r="U531" s="3"/>
      <c r="V531" s="3"/>
      <c r="W531" s="3"/>
    </row>
    <row r="532" spans="1:23" ht="15.75" customHeight="1">
      <c r="A532" s="3"/>
      <c r="B532" s="3"/>
      <c r="C532" s="3"/>
      <c r="D532" s="3"/>
      <c r="E532" s="3"/>
      <c r="F532" s="3"/>
      <c r="G532" s="3"/>
      <c r="H532" s="3"/>
      <c r="I532" s="3"/>
      <c r="J532" s="3"/>
      <c r="K532" s="3"/>
      <c r="L532" s="3"/>
      <c r="M532" s="3"/>
      <c r="N532" s="3"/>
      <c r="O532" s="3"/>
      <c r="P532" s="3"/>
      <c r="Q532" s="3"/>
      <c r="R532" s="3"/>
      <c r="S532" s="3"/>
      <c r="T532" s="3"/>
      <c r="U532" s="3"/>
      <c r="V532" s="3"/>
      <c r="W532" s="3"/>
    </row>
    <row r="533" spans="1:23" ht="15.75" customHeight="1">
      <c r="A533" s="3"/>
      <c r="B533" s="3"/>
      <c r="C533" s="3"/>
      <c r="D533" s="3"/>
      <c r="E533" s="3"/>
      <c r="F533" s="3"/>
      <c r="G533" s="3"/>
      <c r="H533" s="3"/>
      <c r="I533" s="3"/>
      <c r="J533" s="3"/>
      <c r="K533" s="3"/>
      <c r="L533" s="3"/>
      <c r="M533" s="3"/>
      <c r="N533" s="3"/>
      <c r="O533" s="3"/>
      <c r="P533" s="3"/>
      <c r="Q533" s="3"/>
      <c r="R533" s="3"/>
      <c r="S533" s="3"/>
      <c r="T533" s="3"/>
      <c r="U533" s="3"/>
      <c r="V533" s="3"/>
      <c r="W533" s="3"/>
    </row>
    <row r="534" spans="1:23" ht="15.75" customHeight="1">
      <c r="A534" s="3"/>
      <c r="B534" s="3"/>
      <c r="C534" s="3"/>
      <c r="D534" s="3"/>
      <c r="E534" s="3"/>
      <c r="F534" s="3"/>
      <c r="G534" s="3"/>
      <c r="H534" s="3"/>
      <c r="I534" s="3"/>
      <c r="J534" s="3"/>
      <c r="K534" s="3"/>
      <c r="L534" s="3"/>
      <c r="M534" s="3"/>
      <c r="N534" s="3"/>
      <c r="O534" s="3"/>
      <c r="P534" s="3"/>
      <c r="Q534" s="3"/>
      <c r="R534" s="3"/>
      <c r="S534" s="3"/>
      <c r="T534" s="3"/>
      <c r="U534" s="3"/>
      <c r="V534" s="3"/>
      <c r="W534" s="3"/>
    </row>
    <row r="535" spans="1:23" ht="15.75" customHeight="1">
      <c r="A535" s="3"/>
      <c r="B535" s="3"/>
      <c r="C535" s="3"/>
      <c r="D535" s="3"/>
      <c r="E535" s="3"/>
      <c r="F535" s="3"/>
      <c r="G535" s="3"/>
      <c r="H535" s="3"/>
      <c r="I535" s="3"/>
      <c r="J535" s="3"/>
      <c r="K535" s="3"/>
      <c r="L535" s="3"/>
      <c r="M535" s="3"/>
      <c r="N535" s="3"/>
      <c r="O535" s="3"/>
      <c r="P535" s="3"/>
      <c r="Q535" s="3"/>
      <c r="R535" s="3"/>
      <c r="S535" s="3"/>
      <c r="T535" s="3"/>
      <c r="U535" s="3"/>
      <c r="V535" s="3"/>
      <c r="W535" s="3"/>
    </row>
    <row r="536" spans="1:23" ht="15.75" customHeight="1">
      <c r="A536" s="3"/>
      <c r="B536" s="3"/>
      <c r="C536" s="3"/>
      <c r="D536" s="3"/>
      <c r="E536" s="3"/>
      <c r="F536" s="3"/>
      <c r="G536" s="3"/>
      <c r="H536" s="3"/>
      <c r="I536" s="3"/>
      <c r="J536" s="3"/>
      <c r="K536" s="3"/>
      <c r="L536" s="3"/>
      <c r="M536" s="3"/>
      <c r="N536" s="3"/>
      <c r="O536" s="3"/>
      <c r="P536" s="3"/>
      <c r="Q536" s="3"/>
      <c r="R536" s="3"/>
      <c r="S536" s="3"/>
      <c r="T536" s="3"/>
      <c r="U536" s="3"/>
      <c r="V536" s="3"/>
      <c r="W536" s="3"/>
    </row>
    <row r="537" spans="1:23" ht="15.75" customHeight="1">
      <c r="A537" s="3"/>
      <c r="B537" s="3"/>
      <c r="C537" s="3"/>
      <c r="D537" s="3"/>
      <c r="E537" s="3"/>
      <c r="F537" s="3"/>
      <c r="G537" s="3"/>
      <c r="H537" s="3"/>
      <c r="I537" s="3"/>
      <c r="J537" s="3"/>
      <c r="K537" s="3"/>
      <c r="L537" s="3"/>
      <c r="M537" s="3"/>
      <c r="N537" s="3"/>
      <c r="O537" s="3"/>
      <c r="P537" s="3"/>
      <c r="Q537" s="3"/>
      <c r="R537" s="3"/>
      <c r="S537" s="3"/>
      <c r="T537" s="3"/>
      <c r="U537" s="3"/>
      <c r="V537" s="3"/>
      <c r="W537" s="3"/>
    </row>
    <row r="538" spans="1:23" ht="15.75" customHeight="1">
      <c r="A538" s="3"/>
      <c r="B538" s="3"/>
      <c r="C538" s="3"/>
      <c r="D538" s="3"/>
      <c r="E538" s="3"/>
      <c r="F538" s="3"/>
      <c r="G538" s="3"/>
      <c r="H538" s="3"/>
      <c r="I538" s="3"/>
      <c r="J538" s="3"/>
      <c r="K538" s="3"/>
      <c r="L538" s="3"/>
      <c r="M538" s="3"/>
      <c r="N538" s="3"/>
      <c r="O538" s="3"/>
      <c r="P538" s="3"/>
      <c r="Q538" s="3"/>
      <c r="R538" s="3"/>
      <c r="S538" s="3"/>
      <c r="T538" s="3"/>
      <c r="U538" s="3"/>
      <c r="V538" s="3"/>
      <c r="W538" s="3"/>
    </row>
    <row r="539" spans="1:23" ht="15.75" customHeight="1">
      <c r="A539" s="3"/>
      <c r="B539" s="3"/>
      <c r="C539" s="3"/>
      <c r="D539" s="3"/>
      <c r="E539" s="3"/>
      <c r="F539" s="3"/>
      <c r="G539" s="3"/>
      <c r="H539" s="3"/>
      <c r="I539" s="3"/>
      <c r="J539" s="3"/>
      <c r="K539" s="3"/>
      <c r="L539" s="3"/>
      <c r="M539" s="3"/>
      <c r="N539" s="3"/>
      <c r="O539" s="3"/>
      <c r="P539" s="3"/>
      <c r="Q539" s="3"/>
      <c r="R539" s="3"/>
      <c r="S539" s="3"/>
      <c r="T539" s="3"/>
      <c r="U539" s="3"/>
      <c r="V539" s="3"/>
      <c r="W539" s="3"/>
    </row>
    <row r="540" spans="1:23" ht="15.75" customHeight="1">
      <c r="A540" s="3"/>
      <c r="B540" s="3"/>
      <c r="C540" s="3"/>
      <c r="D540" s="3"/>
      <c r="E540" s="3"/>
      <c r="F540" s="3"/>
      <c r="G540" s="3"/>
      <c r="H540" s="3"/>
      <c r="I540" s="3"/>
      <c r="J540" s="3"/>
      <c r="K540" s="3"/>
      <c r="L540" s="3"/>
      <c r="M540" s="3"/>
      <c r="N540" s="3"/>
      <c r="O540" s="3"/>
      <c r="P540" s="3"/>
      <c r="Q540" s="3"/>
      <c r="R540" s="3"/>
      <c r="S540" s="3"/>
      <c r="T540" s="3"/>
      <c r="U540" s="3"/>
      <c r="V540" s="3"/>
      <c r="W540" s="3"/>
    </row>
    <row r="541" spans="1:23" ht="15.75" customHeight="1">
      <c r="A541" s="3"/>
      <c r="B541" s="3"/>
      <c r="C541" s="3"/>
      <c r="D541" s="3"/>
      <c r="E541" s="3"/>
      <c r="F541" s="3"/>
      <c r="G541" s="3"/>
      <c r="H541" s="3"/>
      <c r="I541" s="3"/>
      <c r="J541" s="3"/>
      <c r="K541" s="3"/>
      <c r="L541" s="3"/>
      <c r="M541" s="3"/>
      <c r="N541" s="3"/>
      <c r="O541" s="3"/>
      <c r="P541" s="3"/>
      <c r="Q541" s="3"/>
      <c r="R541" s="3"/>
      <c r="S541" s="3"/>
      <c r="T541" s="3"/>
      <c r="U541" s="3"/>
      <c r="V541" s="3"/>
      <c r="W541" s="3"/>
    </row>
    <row r="542" spans="1:23" ht="15.75" customHeight="1">
      <c r="A542" s="3"/>
      <c r="B542" s="3"/>
      <c r="C542" s="3"/>
      <c r="D542" s="3"/>
      <c r="E542" s="3"/>
      <c r="F542" s="3"/>
      <c r="G542" s="3"/>
      <c r="H542" s="3"/>
      <c r="I542" s="3"/>
      <c r="J542" s="3"/>
      <c r="K542" s="3"/>
      <c r="L542" s="3"/>
      <c r="M542" s="3"/>
      <c r="N542" s="3"/>
      <c r="O542" s="3"/>
      <c r="P542" s="3"/>
      <c r="Q542" s="3"/>
      <c r="R542" s="3"/>
      <c r="S542" s="3"/>
      <c r="T542" s="3"/>
      <c r="U542" s="3"/>
      <c r="V542" s="3"/>
      <c r="W542" s="3"/>
    </row>
    <row r="543" spans="1:23" ht="15.75" customHeight="1">
      <c r="A543" s="3"/>
      <c r="B543" s="3"/>
      <c r="C543" s="3"/>
      <c r="D543" s="3"/>
      <c r="E543" s="3"/>
      <c r="F543" s="3"/>
      <c r="G543" s="3"/>
      <c r="H543" s="3"/>
      <c r="I543" s="3"/>
      <c r="J543" s="3"/>
      <c r="K543" s="3"/>
      <c r="L543" s="3"/>
      <c r="M543" s="3"/>
      <c r="N543" s="3"/>
      <c r="O543" s="3"/>
      <c r="P543" s="3"/>
      <c r="Q543" s="3"/>
      <c r="R543" s="3"/>
      <c r="S543" s="3"/>
      <c r="T543" s="3"/>
      <c r="U543" s="3"/>
      <c r="V543" s="3"/>
      <c r="W543" s="3"/>
    </row>
    <row r="544" spans="1:23" ht="15.75" customHeight="1">
      <c r="A544" s="3"/>
      <c r="B544" s="3"/>
      <c r="C544" s="3"/>
      <c r="D544" s="3"/>
      <c r="E544" s="3"/>
      <c r="F544" s="3"/>
      <c r="G544" s="3"/>
      <c r="H544" s="3"/>
      <c r="I544" s="3"/>
      <c r="J544" s="3"/>
      <c r="K544" s="3"/>
      <c r="L544" s="3"/>
      <c r="M544" s="3"/>
      <c r="N544" s="3"/>
      <c r="O544" s="3"/>
      <c r="P544" s="3"/>
      <c r="Q544" s="3"/>
      <c r="R544" s="3"/>
      <c r="S544" s="3"/>
      <c r="T544" s="3"/>
      <c r="U544" s="3"/>
      <c r="V544" s="3"/>
      <c r="W544" s="3"/>
    </row>
    <row r="545" spans="1:23" ht="15.75" customHeight="1">
      <c r="A545" s="3"/>
      <c r="B545" s="3"/>
      <c r="C545" s="3"/>
      <c r="D545" s="3"/>
      <c r="E545" s="3"/>
      <c r="F545" s="3"/>
      <c r="G545" s="3"/>
      <c r="H545" s="3"/>
      <c r="I545" s="3"/>
      <c r="J545" s="3"/>
      <c r="K545" s="3"/>
      <c r="L545" s="3"/>
      <c r="M545" s="3"/>
      <c r="N545" s="3"/>
      <c r="O545" s="3"/>
      <c r="P545" s="3"/>
      <c r="Q545" s="3"/>
      <c r="R545" s="3"/>
      <c r="S545" s="3"/>
      <c r="T545" s="3"/>
      <c r="U545" s="3"/>
      <c r="V545" s="3"/>
      <c r="W545" s="3"/>
    </row>
    <row r="546" spans="1:23" ht="15.75" customHeight="1">
      <c r="A546" s="3"/>
      <c r="B546" s="3"/>
      <c r="C546" s="3"/>
      <c r="D546" s="3"/>
      <c r="E546" s="3"/>
      <c r="F546" s="3"/>
      <c r="G546" s="3"/>
      <c r="H546" s="3"/>
      <c r="I546" s="3"/>
      <c r="J546" s="3"/>
      <c r="K546" s="3"/>
      <c r="L546" s="3"/>
      <c r="M546" s="3"/>
      <c r="N546" s="3"/>
      <c r="O546" s="3"/>
      <c r="P546" s="3"/>
      <c r="Q546" s="3"/>
      <c r="R546" s="3"/>
      <c r="S546" s="3"/>
      <c r="T546" s="3"/>
      <c r="U546" s="3"/>
      <c r="V546" s="3"/>
      <c r="W546" s="3"/>
    </row>
    <row r="547" spans="1:23" ht="15.75" customHeight="1">
      <c r="A547" s="3"/>
      <c r="B547" s="3"/>
      <c r="C547" s="3"/>
      <c r="D547" s="3"/>
      <c r="E547" s="3"/>
      <c r="F547" s="3"/>
      <c r="G547" s="3"/>
      <c r="H547" s="3"/>
      <c r="I547" s="3"/>
      <c r="J547" s="3"/>
      <c r="K547" s="3"/>
      <c r="L547" s="3"/>
      <c r="M547" s="3"/>
      <c r="N547" s="3"/>
      <c r="O547" s="3"/>
      <c r="P547" s="3"/>
      <c r="Q547" s="3"/>
      <c r="R547" s="3"/>
      <c r="S547" s="3"/>
      <c r="T547" s="3"/>
      <c r="U547" s="3"/>
      <c r="V547" s="3"/>
      <c r="W547" s="3"/>
    </row>
    <row r="548" spans="1:23" ht="15.75" customHeight="1">
      <c r="A548" s="3"/>
      <c r="B548" s="3"/>
      <c r="C548" s="3"/>
      <c r="D548" s="3"/>
      <c r="E548" s="3"/>
      <c r="F548" s="3"/>
      <c r="G548" s="3"/>
      <c r="H548" s="3"/>
      <c r="I548" s="3"/>
      <c r="J548" s="3"/>
      <c r="K548" s="3"/>
      <c r="L548" s="3"/>
      <c r="M548" s="3"/>
      <c r="N548" s="3"/>
      <c r="O548" s="3"/>
      <c r="P548" s="3"/>
      <c r="Q548" s="3"/>
      <c r="R548" s="3"/>
      <c r="S548" s="3"/>
      <c r="T548" s="3"/>
      <c r="U548" s="3"/>
      <c r="V548" s="3"/>
      <c r="W548" s="3"/>
    </row>
    <row r="549" spans="1:23" ht="15.75" customHeight="1">
      <c r="A549" s="3"/>
      <c r="B549" s="3"/>
      <c r="C549" s="3"/>
      <c r="D549" s="3"/>
      <c r="E549" s="3"/>
      <c r="F549" s="3"/>
      <c r="G549" s="3"/>
      <c r="H549" s="3"/>
      <c r="I549" s="3"/>
      <c r="J549" s="3"/>
      <c r="K549" s="3"/>
      <c r="L549" s="3"/>
      <c r="M549" s="3"/>
      <c r="N549" s="3"/>
      <c r="O549" s="3"/>
      <c r="P549" s="3"/>
      <c r="Q549" s="3"/>
      <c r="R549" s="3"/>
      <c r="S549" s="3"/>
      <c r="T549" s="3"/>
      <c r="U549" s="3"/>
      <c r="V549" s="3"/>
      <c r="W549" s="3"/>
    </row>
    <row r="550" spans="1:23" ht="15.75" customHeight="1">
      <c r="A550" s="3"/>
      <c r="B550" s="3"/>
      <c r="C550" s="3"/>
      <c r="D550" s="3"/>
      <c r="E550" s="3"/>
      <c r="F550" s="3"/>
      <c r="G550" s="3"/>
      <c r="H550" s="3"/>
      <c r="I550" s="3"/>
      <c r="J550" s="3"/>
      <c r="K550" s="3"/>
      <c r="L550" s="3"/>
      <c r="M550" s="3"/>
      <c r="N550" s="3"/>
      <c r="O550" s="3"/>
      <c r="P550" s="3"/>
      <c r="Q550" s="3"/>
      <c r="R550" s="3"/>
      <c r="S550" s="3"/>
      <c r="T550" s="3"/>
      <c r="U550" s="3"/>
      <c r="V550" s="3"/>
      <c r="W550" s="3"/>
    </row>
    <row r="551" spans="1:23" ht="15.75" customHeight="1">
      <c r="A551" s="3"/>
      <c r="B551" s="3"/>
      <c r="C551" s="3"/>
      <c r="D551" s="3"/>
      <c r="E551" s="3"/>
      <c r="F551" s="3"/>
      <c r="G551" s="3"/>
      <c r="H551" s="3"/>
      <c r="I551" s="3"/>
      <c r="J551" s="3"/>
      <c r="K551" s="3"/>
      <c r="L551" s="3"/>
      <c r="M551" s="3"/>
      <c r="N551" s="3"/>
      <c r="O551" s="3"/>
      <c r="P551" s="3"/>
      <c r="Q551" s="3"/>
      <c r="R551" s="3"/>
      <c r="S551" s="3"/>
      <c r="T551" s="3"/>
      <c r="U551" s="3"/>
      <c r="V551" s="3"/>
      <c r="W551" s="3"/>
    </row>
    <row r="552" spans="1:23" ht="15.75" customHeight="1">
      <c r="A552" s="3"/>
      <c r="B552" s="3"/>
      <c r="C552" s="3"/>
      <c r="D552" s="3"/>
      <c r="E552" s="3"/>
      <c r="F552" s="3"/>
      <c r="G552" s="3"/>
      <c r="H552" s="3"/>
      <c r="I552" s="3"/>
      <c r="J552" s="3"/>
      <c r="K552" s="3"/>
      <c r="L552" s="3"/>
      <c r="M552" s="3"/>
      <c r="N552" s="3"/>
      <c r="O552" s="3"/>
      <c r="P552" s="3"/>
      <c r="Q552" s="3"/>
      <c r="R552" s="3"/>
      <c r="S552" s="3"/>
      <c r="T552" s="3"/>
      <c r="U552" s="3"/>
      <c r="V552" s="3"/>
      <c r="W552" s="3"/>
    </row>
    <row r="553" spans="1:23" ht="15.75" customHeight="1">
      <c r="A553" s="3"/>
      <c r="B553" s="3"/>
      <c r="C553" s="3"/>
      <c r="D553" s="3"/>
      <c r="E553" s="3"/>
      <c r="F553" s="3"/>
      <c r="G553" s="3"/>
      <c r="H553" s="3"/>
      <c r="I553" s="3"/>
      <c r="J553" s="3"/>
      <c r="K553" s="3"/>
      <c r="L553" s="3"/>
      <c r="M553" s="3"/>
      <c r="N553" s="3"/>
      <c r="O553" s="3"/>
      <c r="P553" s="3"/>
      <c r="Q553" s="3"/>
      <c r="R553" s="3"/>
      <c r="S553" s="3"/>
      <c r="T553" s="3"/>
      <c r="U553" s="3"/>
      <c r="V553" s="3"/>
      <c r="W553" s="3"/>
    </row>
    <row r="554" spans="1:23" ht="15.75" customHeight="1">
      <c r="A554" s="3"/>
      <c r="B554" s="3"/>
      <c r="C554" s="3"/>
      <c r="D554" s="3"/>
      <c r="E554" s="3"/>
      <c r="F554" s="3"/>
      <c r="G554" s="3"/>
      <c r="H554" s="3"/>
      <c r="I554" s="3"/>
      <c r="J554" s="3"/>
      <c r="K554" s="3"/>
      <c r="L554" s="3"/>
      <c r="M554" s="3"/>
      <c r="N554" s="3"/>
      <c r="O554" s="3"/>
      <c r="P554" s="3"/>
      <c r="Q554" s="3"/>
      <c r="R554" s="3"/>
      <c r="S554" s="3"/>
      <c r="T554" s="3"/>
      <c r="U554" s="3"/>
      <c r="V554" s="3"/>
      <c r="W554" s="3"/>
    </row>
    <row r="555" spans="1:23" ht="15.75" customHeight="1">
      <c r="A555" s="3"/>
      <c r="B555" s="3"/>
      <c r="C555" s="3"/>
      <c r="D555" s="3"/>
      <c r="E555" s="3"/>
      <c r="F555" s="3"/>
      <c r="G555" s="3"/>
      <c r="H555" s="3"/>
      <c r="I555" s="3"/>
      <c r="J555" s="3"/>
      <c r="K555" s="3"/>
      <c r="L555" s="3"/>
      <c r="M555" s="3"/>
      <c r="N555" s="3"/>
      <c r="O555" s="3"/>
      <c r="P555" s="3"/>
      <c r="Q555" s="3"/>
      <c r="R555" s="3"/>
      <c r="S555" s="3"/>
      <c r="T555" s="3"/>
      <c r="U555" s="3"/>
      <c r="V555" s="3"/>
      <c r="W555" s="3"/>
    </row>
    <row r="556" spans="1:23" ht="15.75" customHeight="1">
      <c r="A556" s="3"/>
      <c r="B556" s="3"/>
      <c r="C556" s="3"/>
      <c r="D556" s="3"/>
      <c r="E556" s="3"/>
      <c r="F556" s="3"/>
      <c r="G556" s="3"/>
      <c r="H556" s="3"/>
      <c r="I556" s="3"/>
      <c r="J556" s="3"/>
      <c r="K556" s="3"/>
      <c r="L556" s="3"/>
      <c r="M556" s="3"/>
      <c r="N556" s="3"/>
      <c r="O556" s="3"/>
      <c r="P556" s="3"/>
      <c r="Q556" s="3"/>
      <c r="R556" s="3"/>
      <c r="S556" s="3"/>
      <c r="T556" s="3"/>
      <c r="U556" s="3"/>
      <c r="V556" s="3"/>
      <c r="W556" s="3"/>
    </row>
    <row r="557" spans="1:23" ht="15.75" customHeight="1">
      <c r="A557" s="3"/>
      <c r="B557" s="3"/>
      <c r="C557" s="3"/>
      <c r="D557" s="3"/>
      <c r="E557" s="3"/>
      <c r="F557" s="3"/>
      <c r="G557" s="3"/>
      <c r="H557" s="3"/>
      <c r="I557" s="3"/>
      <c r="J557" s="3"/>
      <c r="K557" s="3"/>
      <c r="L557" s="3"/>
      <c r="M557" s="3"/>
      <c r="N557" s="3"/>
      <c r="O557" s="3"/>
      <c r="P557" s="3"/>
      <c r="Q557" s="3"/>
      <c r="R557" s="3"/>
      <c r="S557" s="3"/>
      <c r="T557" s="3"/>
      <c r="U557" s="3"/>
      <c r="V557" s="3"/>
      <c r="W557" s="3"/>
    </row>
    <row r="558" spans="1:23" ht="15.75" customHeight="1">
      <c r="A558" s="3"/>
      <c r="B558" s="3"/>
      <c r="C558" s="3"/>
      <c r="D558" s="3"/>
      <c r="E558" s="3"/>
      <c r="F558" s="3"/>
      <c r="G558" s="3"/>
      <c r="H558" s="3"/>
      <c r="I558" s="3"/>
      <c r="J558" s="3"/>
      <c r="K558" s="3"/>
      <c r="L558" s="3"/>
      <c r="M558" s="3"/>
      <c r="N558" s="3"/>
      <c r="O558" s="3"/>
      <c r="P558" s="3"/>
      <c r="Q558" s="3"/>
      <c r="R558" s="3"/>
      <c r="S558" s="3"/>
      <c r="T558" s="3"/>
      <c r="U558" s="3"/>
      <c r="V558" s="3"/>
      <c r="W558" s="3"/>
    </row>
    <row r="559" spans="1:23" ht="15.75" customHeight="1">
      <c r="A559" s="3"/>
      <c r="B559" s="3"/>
      <c r="C559" s="3"/>
      <c r="D559" s="3"/>
      <c r="E559" s="3"/>
      <c r="F559" s="3"/>
      <c r="G559" s="3"/>
      <c r="H559" s="3"/>
      <c r="I559" s="3"/>
      <c r="J559" s="3"/>
      <c r="K559" s="3"/>
      <c r="L559" s="3"/>
      <c r="M559" s="3"/>
      <c r="N559" s="3"/>
      <c r="O559" s="3"/>
      <c r="P559" s="3"/>
      <c r="Q559" s="3"/>
      <c r="R559" s="3"/>
      <c r="S559" s="3"/>
      <c r="T559" s="3"/>
      <c r="U559" s="3"/>
      <c r="V559" s="3"/>
      <c r="W559" s="3"/>
    </row>
    <row r="560" spans="1:23" ht="15.75" customHeight="1">
      <c r="A560" s="3"/>
      <c r="B560" s="3"/>
      <c r="C560" s="3"/>
      <c r="D560" s="3"/>
      <c r="E560" s="3"/>
      <c r="F560" s="3"/>
      <c r="G560" s="3"/>
      <c r="H560" s="3"/>
      <c r="I560" s="3"/>
      <c r="J560" s="3"/>
      <c r="K560" s="3"/>
      <c r="L560" s="3"/>
      <c r="M560" s="3"/>
      <c r="N560" s="3"/>
      <c r="O560" s="3"/>
      <c r="P560" s="3"/>
      <c r="Q560" s="3"/>
      <c r="R560" s="3"/>
      <c r="S560" s="3"/>
      <c r="T560" s="3"/>
      <c r="U560" s="3"/>
      <c r="V560" s="3"/>
      <c r="W560" s="3"/>
    </row>
    <row r="561" spans="1:23" ht="15.75" customHeight="1">
      <c r="A561" s="3"/>
      <c r="B561" s="3"/>
      <c r="C561" s="3"/>
      <c r="D561" s="3"/>
      <c r="E561" s="3"/>
      <c r="F561" s="3"/>
      <c r="G561" s="3"/>
      <c r="H561" s="3"/>
      <c r="I561" s="3"/>
      <c r="J561" s="3"/>
      <c r="K561" s="3"/>
      <c r="L561" s="3"/>
      <c r="M561" s="3"/>
      <c r="N561" s="3"/>
      <c r="O561" s="3"/>
      <c r="P561" s="3"/>
      <c r="Q561" s="3"/>
      <c r="R561" s="3"/>
      <c r="S561" s="3"/>
      <c r="T561" s="3"/>
      <c r="U561" s="3"/>
      <c r="V561" s="3"/>
      <c r="W561" s="3"/>
    </row>
    <row r="562" spans="1:23" ht="15.75" customHeight="1">
      <c r="A562" s="3"/>
      <c r="B562" s="3"/>
      <c r="C562" s="3"/>
      <c r="D562" s="3"/>
      <c r="E562" s="3"/>
      <c r="F562" s="3"/>
      <c r="G562" s="3"/>
      <c r="H562" s="3"/>
      <c r="I562" s="3"/>
      <c r="J562" s="3"/>
      <c r="K562" s="3"/>
      <c r="L562" s="3"/>
      <c r="M562" s="3"/>
      <c r="N562" s="3"/>
      <c r="O562" s="3"/>
      <c r="P562" s="3"/>
      <c r="Q562" s="3"/>
      <c r="R562" s="3"/>
      <c r="S562" s="3"/>
      <c r="T562" s="3"/>
      <c r="U562" s="3"/>
      <c r="V562" s="3"/>
      <c r="W562" s="3"/>
    </row>
    <row r="563" spans="1:23" ht="15.75" customHeight="1">
      <c r="A563" s="3"/>
      <c r="B563" s="3"/>
      <c r="C563" s="3"/>
      <c r="D563" s="3"/>
      <c r="E563" s="3"/>
      <c r="F563" s="3"/>
      <c r="G563" s="3"/>
      <c r="H563" s="3"/>
      <c r="I563" s="3"/>
      <c r="J563" s="3"/>
      <c r="K563" s="3"/>
      <c r="L563" s="3"/>
      <c r="M563" s="3"/>
      <c r="N563" s="3"/>
      <c r="O563" s="3"/>
      <c r="P563" s="3"/>
      <c r="Q563" s="3"/>
      <c r="R563" s="3"/>
      <c r="S563" s="3"/>
      <c r="T563" s="3"/>
      <c r="U563" s="3"/>
      <c r="V563" s="3"/>
      <c r="W563" s="3"/>
    </row>
    <row r="564" spans="1:23" ht="15.75" customHeight="1">
      <c r="A564" s="3"/>
      <c r="B564" s="3"/>
      <c r="C564" s="3"/>
      <c r="D564" s="3"/>
      <c r="E564" s="3"/>
      <c r="F564" s="3"/>
      <c r="G564" s="3"/>
      <c r="H564" s="3"/>
      <c r="I564" s="3"/>
      <c r="J564" s="3"/>
      <c r="K564" s="3"/>
      <c r="L564" s="3"/>
      <c r="M564" s="3"/>
      <c r="N564" s="3"/>
      <c r="O564" s="3"/>
      <c r="P564" s="3"/>
      <c r="Q564" s="3"/>
      <c r="R564" s="3"/>
      <c r="S564" s="3"/>
      <c r="T564" s="3"/>
      <c r="U564" s="3"/>
      <c r="V564" s="3"/>
      <c r="W564" s="3"/>
    </row>
    <row r="565" spans="1:23" ht="15.75" customHeight="1">
      <c r="A565" s="3"/>
      <c r="B565" s="3"/>
      <c r="C565" s="3"/>
      <c r="D565" s="3"/>
      <c r="E565" s="3"/>
      <c r="F565" s="3"/>
      <c r="G565" s="3"/>
      <c r="H565" s="3"/>
      <c r="I565" s="3"/>
      <c r="J565" s="3"/>
      <c r="K565" s="3"/>
      <c r="L565" s="3"/>
      <c r="M565" s="3"/>
      <c r="N565" s="3"/>
      <c r="O565" s="3"/>
      <c r="P565" s="3"/>
      <c r="Q565" s="3"/>
      <c r="R565" s="3"/>
      <c r="S565" s="3"/>
      <c r="T565" s="3"/>
      <c r="U565" s="3"/>
      <c r="V565" s="3"/>
      <c r="W565" s="3"/>
    </row>
    <row r="566" spans="1:23" ht="15.75" customHeight="1">
      <c r="A566" s="3"/>
      <c r="B566" s="3"/>
      <c r="C566" s="3"/>
      <c r="D566" s="3"/>
      <c r="E566" s="3"/>
      <c r="F566" s="3"/>
      <c r="G566" s="3"/>
      <c r="H566" s="3"/>
      <c r="I566" s="3"/>
      <c r="J566" s="3"/>
      <c r="K566" s="3"/>
      <c r="L566" s="3"/>
      <c r="M566" s="3"/>
      <c r="N566" s="3"/>
      <c r="O566" s="3"/>
      <c r="P566" s="3"/>
      <c r="Q566" s="3"/>
      <c r="R566" s="3"/>
      <c r="S566" s="3"/>
      <c r="T566" s="3"/>
      <c r="U566" s="3"/>
      <c r="V566" s="3"/>
      <c r="W566" s="3"/>
    </row>
    <row r="567" spans="1:23" ht="15.75" customHeight="1">
      <c r="A567" s="3"/>
      <c r="B567" s="3"/>
      <c r="C567" s="3"/>
      <c r="D567" s="3"/>
      <c r="E567" s="3"/>
      <c r="F567" s="3"/>
      <c r="G567" s="3"/>
      <c r="H567" s="3"/>
      <c r="I567" s="3"/>
      <c r="J567" s="3"/>
      <c r="K567" s="3"/>
      <c r="L567" s="3"/>
      <c r="M567" s="3"/>
      <c r="N567" s="3"/>
      <c r="O567" s="3"/>
      <c r="P567" s="3"/>
      <c r="Q567" s="3"/>
      <c r="R567" s="3"/>
      <c r="S567" s="3"/>
      <c r="T567" s="3"/>
      <c r="U567" s="3"/>
      <c r="V567" s="3"/>
      <c r="W567" s="3"/>
    </row>
    <row r="568" spans="1:23" ht="15.75" customHeight="1">
      <c r="A568" s="3"/>
      <c r="B568" s="3"/>
      <c r="C568" s="3"/>
      <c r="D568" s="3"/>
      <c r="E568" s="3"/>
      <c r="F568" s="3"/>
      <c r="G568" s="3"/>
      <c r="H568" s="3"/>
      <c r="I568" s="3"/>
      <c r="J568" s="3"/>
      <c r="K568" s="3"/>
      <c r="L568" s="3"/>
      <c r="M568" s="3"/>
      <c r="N568" s="3"/>
      <c r="O568" s="3"/>
      <c r="P568" s="3"/>
      <c r="Q568" s="3"/>
      <c r="R568" s="3"/>
      <c r="S568" s="3"/>
      <c r="T568" s="3"/>
      <c r="U568" s="3"/>
      <c r="V568" s="3"/>
      <c r="W568" s="3"/>
    </row>
    <row r="569" spans="1:23" ht="15.75" customHeight="1">
      <c r="A569" s="3"/>
      <c r="B569" s="3"/>
      <c r="C569" s="3"/>
      <c r="D569" s="3"/>
      <c r="E569" s="3"/>
      <c r="F569" s="3"/>
      <c r="G569" s="3"/>
      <c r="H569" s="3"/>
      <c r="I569" s="3"/>
      <c r="J569" s="3"/>
      <c r="K569" s="3"/>
      <c r="L569" s="3"/>
      <c r="M569" s="3"/>
      <c r="N569" s="3"/>
      <c r="O569" s="3"/>
      <c r="P569" s="3"/>
      <c r="Q569" s="3"/>
      <c r="R569" s="3"/>
      <c r="S569" s="3"/>
      <c r="T569" s="3"/>
      <c r="U569" s="3"/>
      <c r="V569" s="3"/>
      <c r="W569" s="3"/>
    </row>
    <row r="570" spans="1:23" ht="15.75" customHeight="1">
      <c r="A570" s="3"/>
      <c r="B570" s="3"/>
      <c r="C570" s="3"/>
      <c r="D570" s="3"/>
      <c r="E570" s="3"/>
      <c r="F570" s="3"/>
      <c r="G570" s="3"/>
      <c r="H570" s="3"/>
      <c r="I570" s="3"/>
      <c r="J570" s="3"/>
      <c r="K570" s="3"/>
      <c r="L570" s="3"/>
      <c r="M570" s="3"/>
      <c r="N570" s="3"/>
      <c r="O570" s="3"/>
      <c r="P570" s="3"/>
      <c r="Q570" s="3"/>
      <c r="R570" s="3"/>
      <c r="S570" s="3"/>
      <c r="T570" s="3"/>
      <c r="U570" s="3"/>
      <c r="V570" s="3"/>
      <c r="W570" s="3"/>
    </row>
    <row r="571" spans="1:23" ht="15.75" customHeight="1">
      <c r="A571" s="3"/>
      <c r="B571" s="3"/>
      <c r="C571" s="3"/>
      <c r="D571" s="3"/>
      <c r="E571" s="3"/>
      <c r="F571" s="3"/>
      <c r="G571" s="3"/>
      <c r="H571" s="3"/>
      <c r="I571" s="3"/>
      <c r="J571" s="3"/>
      <c r="K571" s="3"/>
      <c r="L571" s="3"/>
      <c r="M571" s="3"/>
      <c r="N571" s="3"/>
      <c r="O571" s="3"/>
      <c r="P571" s="3"/>
      <c r="Q571" s="3"/>
      <c r="R571" s="3"/>
      <c r="S571" s="3"/>
      <c r="T571" s="3"/>
      <c r="U571" s="3"/>
      <c r="V571" s="3"/>
      <c r="W571" s="3"/>
    </row>
    <row r="572" spans="1:23" ht="15.75" customHeight="1">
      <c r="A572" s="3"/>
      <c r="B572" s="3"/>
      <c r="C572" s="3"/>
      <c r="D572" s="3"/>
      <c r="E572" s="3"/>
      <c r="F572" s="3"/>
      <c r="G572" s="3"/>
      <c r="H572" s="3"/>
      <c r="I572" s="3"/>
      <c r="J572" s="3"/>
      <c r="K572" s="3"/>
      <c r="L572" s="3"/>
      <c r="M572" s="3"/>
      <c r="N572" s="3"/>
      <c r="O572" s="3"/>
      <c r="P572" s="3"/>
      <c r="Q572" s="3"/>
      <c r="R572" s="3"/>
      <c r="S572" s="3"/>
      <c r="T572" s="3"/>
      <c r="U572" s="3"/>
      <c r="V572" s="3"/>
      <c r="W572" s="3"/>
    </row>
    <row r="573" spans="1:23" ht="15.75" customHeight="1">
      <c r="A573" s="3"/>
      <c r="B573" s="3"/>
      <c r="C573" s="3"/>
      <c r="D573" s="3"/>
      <c r="E573" s="3"/>
      <c r="F573" s="3"/>
      <c r="G573" s="3"/>
      <c r="H573" s="3"/>
      <c r="I573" s="3"/>
      <c r="J573" s="3"/>
      <c r="K573" s="3"/>
      <c r="L573" s="3"/>
      <c r="M573" s="3"/>
      <c r="N573" s="3"/>
      <c r="O573" s="3"/>
      <c r="P573" s="3"/>
      <c r="Q573" s="3"/>
      <c r="R573" s="3"/>
      <c r="S573" s="3"/>
      <c r="T573" s="3"/>
      <c r="U573" s="3"/>
      <c r="V573" s="3"/>
      <c r="W573" s="3"/>
    </row>
    <row r="574" spans="1:23" ht="15.75" customHeight="1">
      <c r="A574" s="3"/>
      <c r="B574" s="3"/>
      <c r="C574" s="3"/>
      <c r="D574" s="3"/>
      <c r="E574" s="3"/>
      <c r="F574" s="3"/>
      <c r="G574" s="3"/>
      <c r="H574" s="3"/>
      <c r="I574" s="3"/>
      <c r="J574" s="3"/>
      <c r="K574" s="3"/>
      <c r="L574" s="3"/>
      <c r="M574" s="3"/>
      <c r="N574" s="3"/>
      <c r="O574" s="3"/>
      <c r="P574" s="3"/>
      <c r="Q574" s="3"/>
      <c r="R574" s="3"/>
      <c r="S574" s="3"/>
      <c r="T574" s="3"/>
      <c r="U574" s="3"/>
      <c r="V574" s="3"/>
      <c r="W574" s="3"/>
    </row>
    <row r="575" spans="1:23" ht="15.75" customHeight="1">
      <c r="A575" s="3"/>
      <c r="B575" s="3"/>
      <c r="C575" s="3"/>
      <c r="D575" s="3"/>
      <c r="E575" s="3"/>
      <c r="F575" s="3"/>
      <c r="G575" s="3"/>
      <c r="H575" s="3"/>
      <c r="I575" s="3"/>
      <c r="J575" s="3"/>
      <c r="K575" s="3"/>
      <c r="L575" s="3"/>
      <c r="M575" s="3"/>
      <c r="N575" s="3"/>
      <c r="O575" s="3"/>
      <c r="P575" s="3"/>
      <c r="Q575" s="3"/>
      <c r="R575" s="3"/>
      <c r="S575" s="3"/>
      <c r="T575" s="3"/>
      <c r="U575" s="3"/>
      <c r="V575" s="3"/>
      <c r="W575" s="3"/>
    </row>
    <row r="576" spans="1:23" ht="15.75" customHeight="1">
      <c r="A576" s="3"/>
      <c r="B576" s="3"/>
      <c r="C576" s="3"/>
      <c r="D576" s="3"/>
      <c r="E576" s="3"/>
      <c r="F576" s="3"/>
      <c r="G576" s="3"/>
      <c r="H576" s="3"/>
      <c r="I576" s="3"/>
      <c r="J576" s="3"/>
      <c r="K576" s="3"/>
      <c r="L576" s="3"/>
      <c r="M576" s="3"/>
      <c r="N576" s="3"/>
      <c r="O576" s="3"/>
      <c r="P576" s="3"/>
      <c r="Q576" s="3"/>
      <c r="R576" s="3"/>
      <c r="S576" s="3"/>
      <c r="T576" s="3"/>
      <c r="U576" s="3"/>
      <c r="V576" s="3"/>
      <c r="W576" s="3"/>
    </row>
    <row r="577" spans="1:23" ht="15.75" customHeight="1">
      <c r="A577" s="3"/>
      <c r="B577" s="3"/>
      <c r="C577" s="3"/>
      <c r="D577" s="3"/>
      <c r="E577" s="3"/>
      <c r="F577" s="3"/>
      <c r="G577" s="3"/>
      <c r="H577" s="3"/>
      <c r="I577" s="3"/>
      <c r="J577" s="3"/>
      <c r="K577" s="3"/>
      <c r="L577" s="3"/>
      <c r="M577" s="3"/>
      <c r="N577" s="3"/>
      <c r="O577" s="3"/>
      <c r="P577" s="3"/>
      <c r="Q577" s="3"/>
      <c r="R577" s="3"/>
      <c r="S577" s="3"/>
      <c r="T577" s="3"/>
      <c r="U577" s="3"/>
      <c r="V577" s="3"/>
      <c r="W577" s="3"/>
    </row>
    <row r="578" spans="1:23" ht="15.75" customHeight="1">
      <c r="A578" s="3"/>
      <c r="B578" s="3"/>
      <c r="C578" s="3"/>
      <c r="D578" s="3"/>
      <c r="E578" s="3"/>
      <c r="F578" s="3"/>
      <c r="G578" s="3"/>
      <c r="H578" s="3"/>
      <c r="I578" s="3"/>
      <c r="J578" s="3"/>
      <c r="K578" s="3"/>
      <c r="L578" s="3"/>
      <c r="M578" s="3"/>
      <c r="N578" s="3"/>
      <c r="O578" s="3"/>
      <c r="P578" s="3"/>
      <c r="Q578" s="3"/>
      <c r="R578" s="3"/>
      <c r="S578" s="3"/>
      <c r="T578" s="3"/>
      <c r="U578" s="3"/>
      <c r="V578" s="3"/>
      <c r="W578" s="3"/>
    </row>
    <row r="579" spans="1:23" ht="15.75" customHeight="1">
      <c r="A579" s="3"/>
      <c r="B579" s="3"/>
      <c r="C579" s="3"/>
      <c r="D579" s="3"/>
      <c r="E579" s="3"/>
      <c r="F579" s="3"/>
      <c r="G579" s="3"/>
      <c r="H579" s="3"/>
      <c r="I579" s="3"/>
      <c r="J579" s="3"/>
      <c r="K579" s="3"/>
      <c r="L579" s="3"/>
      <c r="M579" s="3"/>
      <c r="N579" s="3"/>
      <c r="O579" s="3"/>
      <c r="P579" s="3"/>
      <c r="Q579" s="3"/>
      <c r="R579" s="3"/>
      <c r="S579" s="3"/>
      <c r="T579" s="3"/>
      <c r="U579" s="3"/>
      <c r="V579" s="3"/>
      <c r="W579" s="3"/>
    </row>
    <row r="580" spans="1:23" ht="15.75" customHeight="1">
      <c r="A580" s="3"/>
      <c r="B580" s="3"/>
      <c r="C580" s="3"/>
      <c r="D580" s="3"/>
      <c r="E580" s="3"/>
      <c r="F580" s="3"/>
      <c r="G580" s="3"/>
      <c r="H580" s="3"/>
      <c r="I580" s="3"/>
      <c r="J580" s="3"/>
      <c r="K580" s="3"/>
      <c r="L580" s="3"/>
      <c r="M580" s="3"/>
      <c r="N580" s="3"/>
      <c r="O580" s="3"/>
      <c r="P580" s="3"/>
      <c r="Q580" s="3"/>
      <c r="R580" s="3"/>
      <c r="S580" s="3"/>
      <c r="T580" s="3"/>
      <c r="U580" s="3"/>
      <c r="V580" s="3"/>
      <c r="W580" s="3"/>
    </row>
    <row r="581" spans="1:23" ht="15.75" customHeight="1">
      <c r="A581" s="3"/>
      <c r="B581" s="3"/>
      <c r="C581" s="3"/>
      <c r="D581" s="3"/>
      <c r="E581" s="3"/>
      <c r="F581" s="3"/>
      <c r="G581" s="3"/>
      <c r="H581" s="3"/>
      <c r="I581" s="3"/>
      <c r="J581" s="3"/>
      <c r="K581" s="3"/>
      <c r="L581" s="3"/>
      <c r="M581" s="3"/>
      <c r="N581" s="3"/>
      <c r="O581" s="3"/>
      <c r="P581" s="3"/>
      <c r="Q581" s="3"/>
      <c r="R581" s="3"/>
      <c r="S581" s="3"/>
      <c r="T581" s="3"/>
      <c r="U581" s="3"/>
      <c r="V581" s="3"/>
      <c r="W581" s="3"/>
    </row>
    <row r="582" spans="1:23" ht="15.75" customHeight="1">
      <c r="A582" s="3"/>
      <c r="B582" s="3"/>
      <c r="C582" s="3"/>
      <c r="D582" s="3"/>
      <c r="E582" s="3"/>
      <c r="F582" s="3"/>
      <c r="G582" s="3"/>
      <c r="H582" s="3"/>
      <c r="I582" s="3"/>
      <c r="J582" s="3"/>
      <c r="K582" s="3"/>
      <c r="L582" s="3"/>
      <c r="M582" s="3"/>
      <c r="N582" s="3"/>
      <c r="O582" s="3"/>
      <c r="P582" s="3"/>
      <c r="Q582" s="3"/>
      <c r="R582" s="3"/>
      <c r="S582" s="3"/>
      <c r="T582" s="3"/>
      <c r="U582" s="3"/>
      <c r="V582" s="3"/>
      <c r="W582" s="3"/>
    </row>
    <row r="583" spans="1:23" ht="15.75" customHeight="1">
      <c r="A583" s="3"/>
      <c r="B583" s="3"/>
      <c r="C583" s="3"/>
      <c r="D583" s="3"/>
      <c r="E583" s="3"/>
      <c r="F583" s="3"/>
      <c r="G583" s="3"/>
      <c r="H583" s="3"/>
      <c r="I583" s="3"/>
      <c r="J583" s="3"/>
      <c r="K583" s="3"/>
      <c r="L583" s="3"/>
      <c r="M583" s="3"/>
      <c r="N583" s="3"/>
      <c r="O583" s="3"/>
      <c r="P583" s="3"/>
      <c r="Q583" s="3"/>
      <c r="R583" s="3"/>
      <c r="S583" s="3"/>
      <c r="T583" s="3"/>
      <c r="U583" s="3"/>
      <c r="V583" s="3"/>
      <c r="W583" s="3"/>
    </row>
    <row r="584" spans="1:23" ht="15.75" customHeight="1">
      <c r="A584" s="3"/>
      <c r="B584" s="3"/>
      <c r="C584" s="3"/>
      <c r="D584" s="3"/>
      <c r="E584" s="3"/>
      <c r="F584" s="3"/>
      <c r="G584" s="3"/>
      <c r="H584" s="3"/>
      <c r="I584" s="3"/>
      <c r="J584" s="3"/>
      <c r="K584" s="3"/>
      <c r="L584" s="3"/>
      <c r="M584" s="3"/>
      <c r="N584" s="3"/>
      <c r="O584" s="3"/>
      <c r="P584" s="3"/>
      <c r="Q584" s="3"/>
      <c r="R584" s="3"/>
      <c r="S584" s="3"/>
      <c r="T584" s="3"/>
      <c r="U584" s="3"/>
      <c r="V584" s="3"/>
      <c r="W584" s="3"/>
    </row>
    <row r="585" spans="1:23" ht="15.75" customHeight="1">
      <c r="A585" s="3"/>
      <c r="B585" s="3"/>
      <c r="C585" s="3"/>
      <c r="D585" s="3"/>
      <c r="E585" s="3"/>
      <c r="F585" s="3"/>
      <c r="G585" s="3"/>
      <c r="H585" s="3"/>
      <c r="I585" s="3"/>
      <c r="J585" s="3"/>
      <c r="K585" s="3"/>
      <c r="L585" s="3"/>
      <c r="M585" s="3"/>
      <c r="N585" s="3"/>
      <c r="O585" s="3"/>
      <c r="P585" s="3"/>
      <c r="Q585" s="3"/>
      <c r="R585" s="3"/>
      <c r="S585" s="3"/>
      <c r="T585" s="3"/>
      <c r="U585" s="3"/>
      <c r="V585" s="3"/>
      <c r="W585" s="3"/>
    </row>
    <row r="586" spans="1:23" ht="15.75" customHeight="1">
      <c r="A586" s="3"/>
      <c r="B586" s="3"/>
      <c r="C586" s="3"/>
      <c r="D586" s="3"/>
      <c r="E586" s="3"/>
      <c r="F586" s="3"/>
      <c r="G586" s="3"/>
      <c r="H586" s="3"/>
      <c r="I586" s="3"/>
      <c r="J586" s="3"/>
      <c r="K586" s="3"/>
      <c r="L586" s="3"/>
      <c r="M586" s="3"/>
      <c r="N586" s="3"/>
      <c r="O586" s="3"/>
      <c r="P586" s="3"/>
      <c r="Q586" s="3"/>
      <c r="R586" s="3"/>
      <c r="S586" s="3"/>
      <c r="T586" s="3"/>
      <c r="U586" s="3"/>
      <c r="V586" s="3"/>
      <c r="W586" s="3"/>
    </row>
    <row r="587" spans="1:23" ht="15.75" customHeight="1">
      <c r="A587" s="3"/>
      <c r="B587" s="3"/>
      <c r="C587" s="3"/>
      <c r="D587" s="3"/>
      <c r="E587" s="3"/>
      <c r="F587" s="3"/>
      <c r="G587" s="3"/>
      <c r="H587" s="3"/>
      <c r="I587" s="3"/>
      <c r="J587" s="3"/>
      <c r="K587" s="3"/>
      <c r="L587" s="3"/>
      <c r="M587" s="3"/>
      <c r="N587" s="3"/>
      <c r="O587" s="3"/>
      <c r="P587" s="3"/>
      <c r="Q587" s="3"/>
      <c r="R587" s="3"/>
      <c r="S587" s="3"/>
      <c r="T587" s="3"/>
      <c r="U587" s="3"/>
      <c r="V587" s="3"/>
      <c r="W587" s="3"/>
    </row>
    <row r="588" spans="1:23" ht="15.75" customHeight="1">
      <c r="A588" s="3"/>
      <c r="B588" s="3"/>
      <c r="C588" s="3"/>
      <c r="D588" s="3"/>
      <c r="E588" s="3"/>
      <c r="F588" s="3"/>
      <c r="G588" s="3"/>
      <c r="H588" s="3"/>
      <c r="I588" s="3"/>
      <c r="J588" s="3"/>
      <c r="K588" s="3"/>
      <c r="L588" s="3"/>
      <c r="M588" s="3"/>
      <c r="N588" s="3"/>
      <c r="O588" s="3"/>
      <c r="P588" s="3"/>
      <c r="Q588" s="3"/>
      <c r="R588" s="3"/>
      <c r="S588" s="3"/>
      <c r="T588" s="3"/>
      <c r="U588" s="3"/>
      <c r="V588" s="3"/>
      <c r="W588" s="3"/>
    </row>
    <row r="589" spans="1:23" ht="15.75" customHeight="1">
      <c r="A589" s="3"/>
      <c r="B589" s="3"/>
      <c r="C589" s="3"/>
      <c r="D589" s="3"/>
      <c r="E589" s="3"/>
      <c r="F589" s="3"/>
      <c r="G589" s="3"/>
      <c r="H589" s="3"/>
      <c r="I589" s="3"/>
      <c r="J589" s="3"/>
      <c r="K589" s="3"/>
      <c r="L589" s="3"/>
      <c r="M589" s="3"/>
      <c r="N589" s="3"/>
      <c r="O589" s="3"/>
      <c r="P589" s="3"/>
      <c r="Q589" s="3"/>
      <c r="R589" s="3"/>
      <c r="S589" s="3"/>
      <c r="T589" s="3"/>
      <c r="U589" s="3"/>
      <c r="V589" s="3"/>
      <c r="W589" s="3"/>
    </row>
    <row r="590" spans="1:23" ht="15.75" customHeight="1">
      <c r="A590" s="3"/>
      <c r="B590" s="3"/>
      <c r="C590" s="3"/>
      <c r="D590" s="3"/>
      <c r="E590" s="3"/>
      <c r="F590" s="3"/>
      <c r="G590" s="3"/>
      <c r="H590" s="3"/>
      <c r="I590" s="3"/>
      <c r="J590" s="3"/>
      <c r="K590" s="3"/>
      <c r="L590" s="3"/>
      <c r="M590" s="3"/>
      <c r="N590" s="3"/>
      <c r="O590" s="3"/>
      <c r="P590" s="3"/>
      <c r="Q590" s="3"/>
      <c r="R590" s="3"/>
      <c r="S590" s="3"/>
      <c r="T590" s="3"/>
      <c r="U590" s="3"/>
      <c r="V590" s="3"/>
      <c r="W590" s="3"/>
    </row>
    <row r="591" spans="1:23" ht="15.75" customHeight="1">
      <c r="A591" s="3"/>
      <c r="B591" s="3"/>
      <c r="C591" s="3"/>
      <c r="D591" s="3"/>
      <c r="E591" s="3"/>
      <c r="F591" s="3"/>
      <c r="G591" s="3"/>
      <c r="H591" s="3"/>
      <c r="I591" s="3"/>
      <c r="J591" s="3"/>
      <c r="K591" s="3"/>
      <c r="L591" s="3"/>
      <c r="M591" s="3"/>
      <c r="N591" s="3"/>
      <c r="O591" s="3"/>
      <c r="P591" s="3"/>
      <c r="Q591" s="3"/>
      <c r="R591" s="3"/>
      <c r="S591" s="3"/>
      <c r="T591" s="3"/>
      <c r="U591" s="3"/>
      <c r="V591" s="3"/>
      <c r="W591" s="3"/>
    </row>
    <row r="592" spans="1:23" ht="15.75" customHeight="1">
      <c r="A592" s="3"/>
      <c r="B592" s="3"/>
      <c r="C592" s="3"/>
      <c r="D592" s="3"/>
      <c r="E592" s="3"/>
      <c r="F592" s="3"/>
      <c r="G592" s="3"/>
      <c r="H592" s="3"/>
      <c r="I592" s="3"/>
      <c r="J592" s="3"/>
      <c r="K592" s="3"/>
      <c r="L592" s="3"/>
      <c r="M592" s="3"/>
      <c r="N592" s="3"/>
      <c r="O592" s="3"/>
      <c r="P592" s="3"/>
      <c r="Q592" s="3"/>
      <c r="R592" s="3"/>
      <c r="S592" s="3"/>
      <c r="T592" s="3"/>
      <c r="U592" s="3"/>
      <c r="V592" s="3"/>
      <c r="W592" s="3"/>
    </row>
    <row r="593" spans="1:23" ht="15.75" customHeight="1">
      <c r="A593" s="3"/>
      <c r="B593" s="3"/>
      <c r="C593" s="3"/>
      <c r="D593" s="3"/>
      <c r="E593" s="3"/>
      <c r="F593" s="3"/>
      <c r="G593" s="3"/>
      <c r="H593" s="3"/>
      <c r="I593" s="3"/>
      <c r="J593" s="3"/>
      <c r="K593" s="3"/>
      <c r="L593" s="3"/>
      <c r="M593" s="3"/>
      <c r="N593" s="3"/>
      <c r="O593" s="3"/>
      <c r="P593" s="3"/>
      <c r="Q593" s="3"/>
      <c r="R593" s="3"/>
      <c r="S593" s="3"/>
      <c r="T593" s="3"/>
      <c r="U593" s="3"/>
      <c r="V593" s="3"/>
      <c r="W593" s="3"/>
    </row>
    <row r="594" spans="1:23" ht="15.75" customHeight="1">
      <c r="A594" s="3"/>
      <c r="B594" s="3"/>
      <c r="C594" s="3"/>
      <c r="D594" s="3"/>
      <c r="E594" s="3"/>
      <c r="F594" s="3"/>
      <c r="G594" s="3"/>
      <c r="H594" s="3"/>
      <c r="I594" s="3"/>
      <c r="J594" s="3"/>
      <c r="K594" s="3"/>
      <c r="L594" s="3"/>
      <c r="M594" s="3"/>
      <c r="N594" s="3"/>
      <c r="O594" s="3"/>
      <c r="P594" s="3"/>
      <c r="Q594" s="3"/>
      <c r="R594" s="3"/>
      <c r="S594" s="3"/>
      <c r="T594" s="3"/>
      <c r="U594" s="3"/>
      <c r="V594" s="3"/>
      <c r="W594" s="3"/>
    </row>
    <row r="595" spans="1:23" ht="15.75" customHeight="1">
      <c r="A595" s="3"/>
      <c r="B595" s="3"/>
      <c r="C595" s="3"/>
      <c r="D595" s="3"/>
      <c r="E595" s="3"/>
      <c r="F595" s="3"/>
      <c r="G595" s="3"/>
      <c r="H595" s="3"/>
      <c r="I595" s="3"/>
      <c r="J595" s="3"/>
      <c r="K595" s="3"/>
      <c r="L595" s="3"/>
      <c r="M595" s="3"/>
      <c r="N595" s="3"/>
      <c r="O595" s="3"/>
      <c r="P595" s="3"/>
      <c r="Q595" s="3"/>
      <c r="R595" s="3"/>
      <c r="S595" s="3"/>
      <c r="T595" s="3"/>
      <c r="U595" s="3"/>
      <c r="V595" s="3"/>
      <c r="W595" s="3"/>
    </row>
    <row r="596" spans="1:23" ht="15.75" customHeight="1">
      <c r="A596" s="3"/>
      <c r="B596" s="3"/>
      <c r="C596" s="3"/>
      <c r="D596" s="3"/>
      <c r="E596" s="3"/>
      <c r="F596" s="3"/>
      <c r="G596" s="3"/>
      <c r="H596" s="3"/>
      <c r="I596" s="3"/>
      <c r="J596" s="3"/>
      <c r="K596" s="3"/>
      <c r="L596" s="3"/>
      <c r="M596" s="3"/>
      <c r="N596" s="3"/>
      <c r="O596" s="3"/>
      <c r="P596" s="3"/>
      <c r="Q596" s="3"/>
      <c r="R596" s="3"/>
      <c r="S596" s="3"/>
      <c r="T596" s="3"/>
      <c r="U596" s="3"/>
      <c r="V596" s="3"/>
      <c r="W596" s="3"/>
    </row>
    <row r="597" spans="1:23" ht="15.75" customHeight="1">
      <c r="A597" s="3"/>
      <c r="B597" s="3"/>
      <c r="C597" s="3"/>
      <c r="D597" s="3"/>
      <c r="E597" s="3"/>
      <c r="F597" s="3"/>
      <c r="G597" s="3"/>
      <c r="H597" s="3"/>
      <c r="I597" s="3"/>
      <c r="J597" s="3"/>
      <c r="K597" s="3"/>
      <c r="L597" s="3"/>
      <c r="M597" s="3"/>
      <c r="N597" s="3"/>
      <c r="O597" s="3"/>
      <c r="P597" s="3"/>
      <c r="Q597" s="3"/>
      <c r="R597" s="3"/>
      <c r="S597" s="3"/>
      <c r="T597" s="3"/>
      <c r="U597" s="3"/>
      <c r="V597" s="3"/>
      <c r="W597" s="3"/>
    </row>
    <row r="598" spans="1:23" ht="15.75" customHeight="1">
      <c r="A598" s="3"/>
      <c r="B598" s="3"/>
      <c r="C598" s="3"/>
      <c r="D598" s="3"/>
      <c r="E598" s="3"/>
      <c r="F598" s="3"/>
      <c r="G598" s="3"/>
      <c r="H598" s="3"/>
      <c r="I598" s="3"/>
      <c r="J598" s="3"/>
      <c r="K598" s="3"/>
      <c r="L598" s="3"/>
      <c r="M598" s="3"/>
      <c r="N598" s="3"/>
      <c r="O598" s="3"/>
      <c r="P598" s="3"/>
      <c r="Q598" s="3"/>
      <c r="R598" s="3"/>
      <c r="S598" s="3"/>
      <c r="T598" s="3"/>
      <c r="U598" s="3"/>
      <c r="V598" s="3"/>
      <c r="W598" s="3"/>
    </row>
    <row r="599" spans="1:23" ht="15.75" customHeight="1">
      <c r="A599" s="3"/>
      <c r="B599" s="3"/>
      <c r="C599" s="3"/>
      <c r="D599" s="3"/>
      <c r="E599" s="3"/>
      <c r="F599" s="3"/>
      <c r="G599" s="3"/>
      <c r="H599" s="3"/>
      <c r="I599" s="3"/>
      <c r="J599" s="3"/>
      <c r="K599" s="3"/>
      <c r="L599" s="3"/>
      <c r="M599" s="3"/>
      <c r="N599" s="3"/>
      <c r="O599" s="3"/>
      <c r="P599" s="3"/>
      <c r="Q599" s="3"/>
      <c r="R599" s="3"/>
      <c r="S599" s="3"/>
      <c r="T599" s="3"/>
      <c r="U599" s="3"/>
      <c r="V599" s="3"/>
      <c r="W599" s="3"/>
    </row>
    <row r="600" spans="1:23" ht="15.75" customHeight="1">
      <c r="A600" s="3"/>
      <c r="B600" s="3"/>
      <c r="C600" s="3"/>
      <c r="D600" s="3"/>
      <c r="E600" s="3"/>
      <c r="F600" s="3"/>
      <c r="G600" s="3"/>
      <c r="H600" s="3"/>
      <c r="I600" s="3"/>
      <c r="J600" s="3"/>
      <c r="K600" s="3"/>
      <c r="L600" s="3"/>
      <c r="M600" s="3"/>
      <c r="N600" s="3"/>
      <c r="O600" s="3"/>
      <c r="P600" s="3"/>
      <c r="Q600" s="3"/>
      <c r="R600" s="3"/>
      <c r="S600" s="3"/>
      <c r="T600" s="3"/>
      <c r="U600" s="3"/>
      <c r="V600" s="3"/>
      <c r="W600" s="3"/>
    </row>
    <row r="601" spans="1:23" ht="15.75" customHeight="1">
      <c r="A601" s="3"/>
      <c r="B601" s="3"/>
      <c r="C601" s="3"/>
      <c r="D601" s="3"/>
      <c r="E601" s="3"/>
      <c r="F601" s="3"/>
      <c r="G601" s="3"/>
      <c r="H601" s="3"/>
      <c r="I601" s="3"/>
      <c r="J601" s="3"/>
      <c r="K601" s="3"/>
      <c r="L601" s="3"/>
      <c r="M601" s="3"/>
      <c r="N601" s="3"/>
      <c r="O601" s="3"/>
      <c r="P601" s="3"/>
      <c r="Q601" s="3"/>
      <c r="R601" s="3"/>
      <c r="S601" s="3"/>
      <c r="T601" s="3"/>
      <c r="U601" s="3"/>
      <c r="V601" s="3"/>
      <c r="W601" s="3"/>
    </row>
    <row r="602" spans="1:23" ht="15.75" customHeight="1">
      <c r="A602" s="3"/>
      <c r="B602" s="3"/>
      <c r="C602" s="3"/>
      <c r="D602" s="3"/>
      <c r="E602" s="3"/>
      <c r="F602" s="3"/>
      <c r="G602" s="3"/>
      <c r="H602" s="3"/>
      <c r="I602" s="3"/>
      <c r="J602" s="3"/>
      <c r="K602" s="3"/>
      <c r="L602" s="3"/>
      <c r="M602" s="3"/>
      <c r="N602" s="3"/>
      <c r="O602" s="3"/>
      <c r="P602" s="3"/>
      <c r="Q602" s="3"/>
      <c r="R602" s="3"/>
      <c r="S602" s="3"/>
      <c r="T602" s="3"/>
      <c r="U602" s="3"/>
      <c r="V602" s="3"/>
      <c r="W602" s="3"/>
    </row>
    <row r="603" spans="1:23" ht="15.75" customHeight="1">
      <c r="A603" s="3"/>
      <c r="B603" s="3"/>
      <c r="C603" s="3"/>
      <c r="D603" s="3"/>
      <c r="E603" s="3"/>
      <c r="F603" s="3"/>
      <c r="G603" s="3"/>
      <c r="H603" s="3"/>
      <c r="I603" s="3"/>
      <c r="J603" s="3"/>
      <c r="K603" s="3"/>
      <c r="L603" s="3"/>
      <c r="M603" s="3"/>
      <c r="N603" s="3"/>
      <c r="O603" s="3"/>
      <c r="P603" s="3"/>
      <c r="Q603" s="3"/>
      <c r="R603" s="3"/>
      <c r="S603" s="3"/>
      <c r="T603" s="3"/>
      <c r="U603" s="3"/>
      <c r="V603" s="3"/>
      <c r="W603" s="3"/>
    </row>
    <row r="604" spans="1:23" ht="15.75" customHeight="1">
      <c r="A604" s="3"/>
      <c r="B604" s="3"/>
      <c r="C604" s="3"/>
      <c r="D604" s="3"/>
      <c r="E604" s="3"/>
      <c r="F604" s="3"/>
      <c r="G604" s="3"/>
      <c r="H604" s="3"/>
      <c r="I604" s="3"/>
      <c r="J604" s="3"/>
      <c r="K604" s="3"/>
      <c r="L604" s="3"/>
      <c r="M604" s="3"/>
      <c r="N604" s="3"/>
      <c r="O604" s="3"/>
      <c r="P604" s="3"/>
      <c r="Q604" s="3"/>
      <c r="R604" s="3"/>
      <c r="S604" s="3"/>
      <c r="T604" s="3"/>
      <c r="U604" s="3"/>
      <c r="V604" s="3"/>
      <c r="W604" s="3"/>
    </row>
    <row r="605" spans="1:23" ht="15.75" customHeight="1">
      <c r="A605" s="3"/>
      <c r="B605" s="3"/>
      <c r="C605" s="3"/>
      <c r="D605" s="3"/>
      <c r="E605" s="3"/>
      <c r="F605" s="3"/>
      <c r="G605" s="3"/>
      <c r="H605" s="3"/>
      <c r="I605" s="3"/>
      <c r="J605" s="3"/>
      <c r="K605" s="3"/>
      <c r="L605" s="3"/>
      <c r="M605" s="3"/>
      <c r="N605" s="3"/>
      <c r="O605" s="3"/>
      <c r="P605" s="3"/>
      <c r="Q605" s="3"/>
      <c r="R605" s="3"/>
      <c r="S605" s="3"/>
      <c r="T605" s="3"/>
      <c r="U605" s="3"/>
      <c r="V605" s="3"/>
      <c r="W605" s="3"/>
    </row>
    <row r="606" spans="1:23" ht="15.75" customHeight="1">
      <c r="A606" s="3"/>
      <c r="B606" s="3"/>
      <c r="C606" s="3"/>
      <c r="D606" s="3"/>
      <c r="E606" s="3"/>
      <c r="F606" s="3"/>
      <c r="G606" s="3"/>
      <c r="H606" s="3"/>
      <c r="I606" s="3"/>
      <c r="J606" s="3"/>
      <c r="K606" s="3"/>
      <c r="L606" s="3"/>
      <c r="M606" s="3"/>
      <c r="N606" s="3"/>
      <c r="O606" s="3"/>
      <c r="P606" s="3"/>
      <c r="Q606" s="3"/>
      <c r="R606" s="3"/>
      <c r="S606" s="3"/>
      <c r="T606" s="3"/>
      <c r="U606" s="3"/>
      <c r="V606" s="3"/>
      <c r="W606" s="3"/>
    </row>
    <row r="607" spans="1:23" ht="15.75" customHeight="1">
      <c r="A607" s="3"/>
      <c r="B607" s="3"/>
      <c r="C607" s="3"/>
      <c r="D607" s="3"/>
      <c r="E607" s="3"/>
      <c r="F607" s="3"/>
      <c r="G607" s="3"/>
      <c r="H607" s="3"/>
      <c r="I607" s="3"/>
      <c r="J607" s="3"/>
      <c r="K607" s="3"/>
      <c r="L607" s="3"/>
      <c r="M607" s="3"/>
      <c r="N607" s="3"/>
      <c r="O607" s="3"/>
      <c r="P607" s="3"/>
      <c r="Q607" s="3"/>
      <c r="R607" s="3"/>
      <c r="S607" s="3"/>
      <c r="T607" s="3"/>
      <c r="U607" s="3"/>
      <c r="V607" s="3"/>
      <c r="W607" s="3"/>
    </row>
    <row r="608" spans="1:23" ht="15.75" customHeight="1">
      <c r="A608" s="3"/>
      <c r="B608" s="3"/>
      <c r="C608" s="3"/>
      <c r="D608" s="3"/>
      <c r="E608" s="3"/>
      <c r="F608" s="3"/>
      <c r="G608" s="3"/>
      <c r="H608" s="3"/>
      <c r="I608" s="3"/>
      <c r="J608" s="3"/>
      <c r="K608" s="3"/>
      <c r="L608" s="3"/>
      <c r="M608" s="3"/>
      <c r="N608" s="3"/>
      <c r="O608" s="3"/>
      <c r="P608" s="3"/>
      <c r="Q608" s="3"/>
      <c r="R608" s="3"/>
      <c r="S608" s="3"/>
      <c r="T608" s="3"/>
      <c r="U608" s="3"/>
      <c r="V608" s="3"/>
      <c r="W608" s="3"/>
    </row>
    <row r="609" spans="1:23" ht="15.75" customHeight="1">
      <c r="A609" s="3"/>
      <c r="B609" s="3"/>
      <c r="C609" s="3"/>
      <c r="D609" s="3"/>
      <c r="E609" s="3"/>
      <c r="F609" s="3"/>
      <c r="G609" s="3"/>
      <c r="H609" s="3"/>
      <c r="I609" s="3"/>
      <c r="J609" s="3"/>
      <c r="K609" s="3"/>
      <c r="L609" s="3"/>
      <c r="M609" s="3"/>
      <c r="N609" s="3"/>
      <c r="O609" s="3"/>
      <c r="P609" s="3"/>
      <c r="Q609" s="3"/>
      <c r="R609" s="3"/>
      <c r="S609" s="3"/>
      <c r="T609" s="3"/>
      <c r="U609" s="3"/>
      <c r="V609" s="3"/>
      <c r="W609" s="3"/>
    </row>
    <row r="610" spans="1:23" ht="15.75" customHeight="1">
      <c r="A610" s="3"/>
      <c r="B610" s="3"/>
      <c r="C610" s="3"/>
      <c r="D610" s="3"/>
      <c r="E610" s="3"/>
      <c r="F610" s="3"/>
      <c r="G610" s="3"/>
      <c r="H610" s="3"/>
      <c r="I610" s="3"/>
      <c r="J610" s="3"/>
      <c r="K610" s="3"/>
      <c r="L610" s="3"/>
      <c r="M610" s="3"/>
      <c r="N610" s="3"/>
      <c r="O610" s="3"/>
      <c r="P610" s="3"/>
      <c r="Q610" s="3"/>
      <c r="R610" s="3"/>
      <c r="S610" s="3"/>
      <c r="T610" s="3"/>
      <c r="U610" s="3"/>
      <c r="V610" s="3"/>
      <c r="W610" s="3"/>
    </row>
    <row r="611" spans="1:23" ht="15.75" customHeight="1">
      <c r="A611" s="3"/>
      <c r="B611" s="3"/>
      <c r="C611" s="3"/>
      <c r="D611" s="3"/>
      <c r="E611" s="3"/>
      <c r="F611" s="3"/>
      <c r="G611" s="3"/>
      <c r="H611" s="3"/>
      <c r="I611" s="3"/>
      <c r="J611" s="3"/>
      <c r="K611" s="3"/>
      <c r="L611" s="3"/>
      <c r="M611" s="3"/>
      <c r="N611" s="3"/>
      <c r="O611" s="3"/>
      <c r="P611" s="3"/>
      <c r="Q611" s="3"/>
      <c r="R611" s="3"/>
      <c r="S611" s="3"/>
      <c r="T611" s="3"/>
      <c r="U611" s="3"/>
      <c r="V611" s="3"/>
      <c r="W611" s="3"/>
    </row>
    <row r="612" spans="1:23" ht="15.75" customHeight="1">
      <c r="A612" s="3"/>
      <c r="B612" s="3"/>
      <c r="C612" s="3"/>
      <c r="D612" s="3"/>
      <c r="E612" s="3"/>
      <c r="F612" s="3"/>
      <c r="G612" s="3"/>
      <c r="H612" s="3"/>
      <c r="I612" s="3"/>
      <c r="J612" s="3"/>
      <c r="K612" s="3"/>
      <c r="L612" s="3"/>
      <c r="M612" s="3"/>
      <c r="N612" s="3"/>
      <c r="O612" s="3"/>
      <c r="P612" s="3"/>
      <c r="Q612" s="3"/>
      <c r="R612" s="3"/>
      <c r="S612" s="3"/>
      <c r="T612" s="3"/>
      <c r="U612" s="3"/>
      <c r="V612" s="3"/>
      <c r="W612" s="3"/>
    </row>
    <row r="613" spans="1:23" ht="15.75" customHeight="1">
      <c r="A613" s="3"/>
      <c r="B613" s="3"/>
      <c r="C613" s="3"/>
      <c r="D613" s="3"/>
      <c r="E613" s="3"/>
      <c r="F613" s="3"/>
      <c r="G613" s="3"/>
      <c r="H613" s="3"/>
      <c r="I613" s="3"/>
      <c r="J613" s="3"/>
      <c r="K613" s="3"/>
      <c r="L613" s="3"/>
      <c r="M613" s="3"/>
      <c r="N613" s="3"/>
      <c r="O613" s="3"/>
      <c r="P613" s="3"/>
      <c r="Q613" s="3"/>
      <c r="R613" s="3"/>
      <c r="S613" s="3"/>
      <c r="T613" s="3"/>
      <c r="U613" s="3"/>
      <c r="V613" s="3"/>
      <c r="W613" s="3"/>
    </row>
    <row r="614" spans="1:23" ht="15.75" customHeight="1">
      <c r="A614" s="3"/>
      <c r="B614" s="3"/>
      <c r="C614" s="3"/>
      <c r="D614" s="3"/>
      <c r="E614" s="3"/>
      <c r="F614" s="3"/>
      <c r="G614" s="3"/>
      <c r="H614" s="3"/>
      <c r="I614" s="3"/>
      <c r="J614" s="3"/>
      <c r="K614" s="3"/>
      <c r="L614" s="3"/>
      <c r="M614" s="3"/>
      <c r="N614" s="3"/>
      <c r="O614" s="3"/>
      <c r="P614" s="3"/>
      <c r="Q614" s="3"/>
      <c r="R614" s="3"/>
      <c r="S614" s="3"/>
      <c r="T614" s="3"/>
      <c r="U614" s="3"/>
      <c r="V614" s="3"/>
      <c r="W614" s="3"/>
    </row>
    <row r="615" spans="1:23" ht="15.75" customHeight="1">
      <c r="A615" s="3"/>
      <c r="B615" s="3"/>
      <c r="C615" s="3"/>
      <c r="D615" s="3"/>
      <c r="E615" s="3"/>
      <c r="F615" s="3"/>
      <c r="G615" s="3"/>
      <c r="H615" s="3"/>
      <c r="I615" s="3"/>
      <c r="J615" s="3"/>
      <c r="K615" s="3"/>
      <c r="L615" s="3"/>
      <c r="M615" s="3"/>
      <c r="N615" s="3"/>
      <c r="O615" s="3"/>
      <c r="P615" s="3"/>
      <c r="Q615" s="3"/>
      <c r="R615" s="3"/>
      <c r="S615" s="3"/>
      <c r="T615" s="3"/>
      <c r="U615" s="3"/>
      <c r="V615" s="3"/>
      <c r="W615" s="3"/>
    </row>
    <row r="616" spans="1:23" ht="15.75" customHeight="1">
      <c r="A616" s="3"/>
      <c r="B616" s="3"/>
      <c r="C616" s="3"/>
      <c r="D616" s="3"/>
      <c r="E616" s="3"/>
      <c r="F616" s="3"/>
      <c r="G616" s="3"/>
      <c r="H616" s="3"/>
      <c r="I616" s="3"/>
      <c r="J616" s="3"/>
      <c r="K616" s="3"/>
      <c r="L616" s="3"/>
      <c r="M616" s="3"/>
      <c r="N616" s="3"/>
      <c r="O616" s="3"/>
      <c r="P616" s="3"/>
      <c r="Q616" s="3"/>
      <c r="R616" s="3"/>
      <c r="S616" s="3"/>
      <c r="T616" s="3"/>
      <c r="U616" s="3"/>
      <c r="V616" s="3"/>
      <c r="W616" s="3"/>
    </row>
    <row r="617" spans="1:23" ht="15.75" customHeight="1">
      <c r="A617" s="3"/>
      <c r="B617" s="3"/>
      <c r="C617" s="3"/>
      <c r="D617" s="3"/>
      <c r="E617" s="3"/>
      <c r="F617" s="3"/>
      <c r="G617" s="3"/>
      <c r="H617" s="3"/>
      <c r="I617" s="3"/>
      <c r="J617" s="3"/>
      <c r="K617" s="3"/>
      <c r="L617" s="3"/>
      <c r="M617" s="3"/>
      <c r="N617" s="3"/>
      <c r="O617" s="3"/>
      <c r="P617" s="3"/>
      <c r="Q617" s="3"/>
      <c r="R617" s="3"/>
      <c r="S617" s="3"/>
      <c r="T617" s="3"/>
      <c r="U617" s="3"/>
      <c r="V617" s="3"/>
      <c r="W617" s="3"/>
    </row>
    <row r="618" spans="1:23" ht="15.75" customHeight="1">
      <c r="A618" s="3"/>
      <c r="B618" s="3"/>
      <c r="C618" s="3"/>
      <c r="D618" s="3"/>
      <c r="E618" s="3"/>
      <c r="F618" s="3"/>
      <c r="G618" s="3"/>
      <c r="H618" s="3"/>
      <c r="I618" s="3"/>
      <c r="J618" s="3"/>
      <c r="K618" s="3"/>
      <c r="L618" s="3"/>
      <c r="M618" s="3"/>
      <c r="N618" s="3"/>
      <c r="O618" s="3"/>
      <c r="P618" s="3"/>
      <c r="Q618" s="3"/>
      <c r="R618" s="3"/>
      <c r="S618" s="3"/>
      <c r="T618" s="3"/>
      <c r="U618" s="3"/>
      <c r="V618" s="3"/>
      <c r="W618" s="3"/>
    </row>
    <row r="619" spans="1:23" ht="15.75" customHeight="1">
      <c r="A619" s="3"/>
      <c r="B619" s="3"/>
      <c r="C619" s="3"/>
      <c r="D619" s="3"/>
      <c r="E619" s="3"/>
      <c r="F619" s="3"/>
      <c r="G619" s="3"/>
      <c r="H619" s="3"/>
      <c r="I619" s="3"/>
      <c r="J619" s="3"/>
      <c r="K619" s="3"/>
      <c r="L619" s="3"/>
      <c r="M619" s="3"/>
      <c r="N619" s="3"/>
      <c r="O619" s="3"/>
      <c r="P619" s="3"/>
      <c r="Q619" s="3"/>
      <c r="R619" s="3"/>
      <c r="S619" s="3"/>
      <c r="T619" s="3"/>
      <c r="U619" s="3"/>
      <c r="V619" s="3"/>
      <c r="W619" s="3"/>
    </row>
    <row r="620" spans="1:23" ht="15.75" customHeight="1">
      <c r="A620" s="3"/>
      <c r="B620" s="3"/>
      <c r="C620" s="3"/>
      <c r="D620" s="3"/>
      <c r="E620" s="3"/>
      <c r="F620" s="3"/>
      <c r="G620" s="3"/>
      <c r="H620" s="3"/>
      <c r="I620" s="3"/>
      <c r="J620" s="3"/>
      <c r="K620" s="3"/>
      <c r="L620" s="3"/>
      <c r="M620" s="3"/>
      <c r="N620" s="3"/>
      <c r="O620" s="3"/>
      <c r="P620" s="3"/>
      <c r="Q620" s="3"/>
      <c r="R620" s="3"/>
      <c r="S620" s="3"/>
      <c r="T620" s="3"/>
      <c r="U620" s="3"/>
      <c r="V620" s="3"/>
      <c r="W620" s="3"/>
    </row>
    <row r="621" spans="1:23" ht="15.75" customHeight="1">
      <c r="A621" s="3"/>
      <c r="B621" s="3"/>
      <c r="C621" s="3"/>
      <c r="D621" s="3"/>
      <c r="E621" s="3"/>
      <c r="F621" s="3"/>
      <c r="G621" s="3"/>
      <c r="H621" s="3"/>
      <c r="I621" s="3"/>
      <c r="J621" s="3"/>
      <c r="K621" s="3"/>
      <c r="L621" s="3"/>
      <c r="M621" s="3"/>
      <c r="N621" s="3"/>
      <c r="O621" s="3"/>
      <c r="P621" s="3"/>
      <c r="Q621" s="3"/>
      <c r="R621" s="3"/>
      <c r="S621" s="3"/>
      <c r="T621" s="3"/>
      <c r="U621" s="3"/>
      <c r="V621" s="3"/>
      <c r="W621" s="3"/>
    </row>
    <row r="622" spans="1:23" ht="15.75" customHeight="1">
      <c r="A622" s="3"/>
      <c r="B622" s="3"/>
      <c r="C622" s="3"/>
      <c r="D622" s="3"/>
      <c r="E622" s="3"/>
      <c r="F622" s="3"/>
      <c r="G622" s="3"/>
      <c r="H622" s="3"/>
      <c r="I622" s="3"/>
      <c r="J622" s="3"/>
      <c r="K622" s="3"/>
      <c r="L622" s="3"/>
      <c r="M622" s="3"/>
      <c r="N622" s="3"/>
      <c r="O622" s="3"/>
      <c r="P622" s="3"/>
      <c r="Q622" s="3"/>
      <c r="R622" s="3"/>
      <c r="S622" s="3"/>
      <c r="T622" s="3"/>
      <c r="U622" s="3"/>
      <c r="V622" s="3"/>
      <c r="W622" s="3"/>
    </row>
    <row r="623" spans="1:23" ht="15.75" customHeight="1">
      <c r="A623" s="3"/>
      <c r="B623" s="3"/>
      <c r="C623" s="3"/>
      <c r="D623" s="3"/>
      <c r="E623" s="3"/>
      <c r="F623" s="3"/>
      <c r="G623" s="3"/>
      <c r="H623" s="3"/>
      <c r="I623" s="3"/>
      <c r="J623" s="3"/>
      <c r="K623" s="3"/>
      <c r="L623" s="3"/>
      <c r="M623" s="3"/>
      <c r="N623" s="3"/>
      <c r="O623" s="3"/>
      <c r="P623" s="3"/>
      <c r="Q623" s="3"/>
      <c r="R623" s="3"/>
      <c r="S623" s="3"/>
      <c r="T623" s="3"/>
      <c r="U623" s="3"/>
      <c r="V623" s="3"/>
      <c r="W623" s="3"/>
    </row>
    <row r="624" spans="1:23" ht="15.75" customHeight="1">
      <c r="A624" s="3"/>
      <c r="B624" s="3"/>
      <c r="C624" s="3"/>
      <c r="D624" s="3"/>
      <c r="E624" s="3"/>
      <c r="F624" s="3"/>
      <c r="G624" s="3"/>
      <c r="H624" s="3"/>
      <c r="I624" s="3"/>
      <c r="J624" s="3"/>
      <c r="K624" s="3"/>
      <c r="L624" s="3"/>
      <c r="M624" s="3"/>
      <c r="N624" s="3"/>
      <c r="O624" s="3"/>
      <c r="P624" s="3"/>
      <c r="Q624" s="3"/>
      <c r="R624" s="3"/>
      <c r="S624" s="3"/>
      <c r="T624" s="3"/>
      <c r="U624" s="3"/>
      <c r="V624" s="3"/>
      <c r="W624" s="3"/>
    </row>
    <row r="625" spans="1:23" ht="15.75" customHeight="1">
      <c r="A625" s="3"/>
      <c r="B625" s="3"/>
      <c r="C625" s="3"/>
      <c r="D625" s="3"/>
      <c r="E625" s="3"/>
      <c r="F625" s="3"/>
      <c r="G625" s="3"/>
      <c r="H625" s="3"/>
      <c r="I625" s="3"/>
      <c r="J625" s="3"/>
      <c r="K625" s="3"/>
      <c r="L625" s="3"/>
      <c r="M625" s="3"/>
      <c r="N625" s="3"/>
      <c r="O625" s="3"/>
      <c r="P625" s="3"/>
      <c r="Q625" s="3"/>
      <c r="R625" s="3"/>
      <c r="S625" s="3"/>
      <c r="T625" s="3"/>
      <c r="U625" s="3"/>
      <c r="V625" s="3"/>
      <c r="W625" s="3"/>
    </row>
    <row r="626" spans="1:23" ht="15.75" customHeight="1">
      <c r="A626" s="3"/>
      <c r="B626" s="3"/>
      <c r="C626" s="3"/>
      <c r="D626" s="3"/>
      <c r="E626" s="3"/>
      <c r="F626" s="3"/>
      <c r="G626" s="3"/>
      <c r="H626" s="3"/>
      <c r="I626" s="3"/>
      <c r="J626" s="3"/>
      <c r="K626" s="3"/>
      <c r="L626" s="3"/>
      <c r="M626" s="3"/>
      <c r="N626" s="3"/>
      <c r="O626" s="3"/>
      <c r="P626" s="3"/>
      <c r="Q626" s="3"/>
      <c r="R626" s="3"/>
      <c r="S626" s="3"/>
      <c r="T626" s="3"/>
      <c r="U626" s="3"/>
      <c r="V626" s="3"/>
      <c r="W626" s="3"/>
    </row>
    <row r="627" spans="1:23" ht="15.75" customHeight="1">
      <c r="A627" s="3"/>
      <c r="B627" s="3"/>
      <c r="C627" s="3"/>
      <c r="D627" s="3"/>
      <c r="E627" s="3"/>
      <c r="F627" s="3"/>
      <c r="G627" s="3"/>
      <c r="H627" s="3"/>
      <c r="I627" s="3"/>
      <c r="J627" s="3"/>
      <c r="K627" s="3"/>
      <c r="L627" s="3"/>
      <c r="M627" s="3"/>
      <c r="N627" s="3"/>
      <c r="O627" s="3"/>
      <c r="P627" s="3"/>
      <c r="Q627" s="3"/>
      <c r="R627" s="3"/>
      <c r="S627" s="3"/>
      <c r="T627" s="3"/>
      <c r="U627" s="3"/>
      <c r="V627" s="3"/>
      <c r="W627" s="3"/>
    </row>
    <row r="628" spans="1:23" ht="15.75" customHeight="1">
      <c r="A628" s="3"/>
      <c r="B628" s="3"/>
      <c r="C628" s="3"/>
      <c r="D628" s="3"/>
      <c r="E628" s="3"/>
      <c r="F628" s="3"/>
      <c r="G628" s="3"/>
      <c r="H628" s="3"/>
      <c r="I628" s="3"/>
      <c r="J628" s="3"/>
      <c r="K628" s="3"/>
      <c r="L628" s="3"/>
      <c r="M628" s="3"/>
      <c r="N628" s="3"/>
      <c r="O628" s="3"/>
      <c r="P628" s="3"/>
      <c r="Q628" s="3"/>
      <c r="R628" s="3"/>
      <c r="S628" s="3"/>
      <c r="T628" s="3"/>
      <c r="U628" s="3"/>
      <c r="V628" s="3"/>
      <c r="W628" s="3"/>
    </row>
    <row r="629" spans="1:23" ht="15.75" customHeight="1">
      <c r="A629" s="3"/>
      <c r="B629" s="3"/>
      <c r="C629" s="3"/>
      <c r="D629" s="3"/>
      <c r="E629" s="3"/>
      <c r="F629" s="3"/>
      <c r="G629" s="3"/>
      <c r="H629" s="3"/>
      <c r="I629" s="3"/>
      <c r="J629" s="3"/>
      <c r="K629" s="3"/>
      <c r="L629" s="3"/>
      <c r="M629" s="3"/>
      <c r="N629" s="3"/>
      <c r="O629" s="3"/>
      <c r="P629" s="3"/>
      <c r="Q629" s="3"/>
      <c r="R629" s="3"/>
      <c r="S629" s="3"/>
      <c r="T629" s="3"/>
      <c r="U629" s="3"/>
      <c r="V629" s="3"/>
      <c r="W629" s="3"/>
    </row>
    <row r="630" spans="1:23" ht="15.75" customHeight="1">
      <c r="A630" s="3"/>
      <c r="B630" s="3"/>
      <c r="C630" s="3"/>
      <c r="D630" s="3"/>
      <c r="E630" s="3"/>
      <c r="F630" s="3"/>
      <c r="G630" s="3"/>
      <c r="H630" s="3"/>
      <c r="I630" s="3"/>
      <c r="J630" s="3"/>
      <c r="K630" s="3"/>
      <c r="L630" s="3"/>
      <c r="M630" s="3"/>
      <c r="N630" s="3"/>
      <c r="O630" s="3"/>
      <c r="P630" s="3"/>
      <c r="Q630" s="3"/>
      <c r="R630" s="3"/>
      <c r="S630" s="3"/>
      <c r="T630" s="3"/>
      <c r="U630" s="3"/>
      <c r="V630" s="3"/>
      <c r="W630" s="3"/>
    </row>
    <row r="631" spans="1:23" ht="15.75" customHeight="1">
      <c r="A631" s="3"/>
      <c r="B631" s="3"/>
      <c r="C631" s="3"/>
      <c r="D631" s="3"/>
      <c r="E631" s="3"/>
      <c r="F631" s="3"/>
      <c r="G631" s="3"/>
      <c r="H631" s="3"/>
      <c r="I631" s="3"/>
      <c r="J631" s="3"/>
      <c r="K631" s="3"/>
      <c r="L631" s="3"/>
      <c r="M631" s="3"/>
      <c r="N631" s="3"/>
      <c r="O631" s="3"/>
      <c r="P631" s="3"/>
      <c r="Q631" s="3"/>
      <c r="R631" s="3"/>
      <c r="S631" s="3"/>
      <c r="T631" s="3"/>
      <c r="U631" s="3"/>
      <c r="V631" s="3"/>
      <c r="W631" s="3"/>
    </row>
    <row r="632" spans="1:23" ht="15.75" customHeight="1">
      <c r="A632" s="3"/>
      <c r="B632" s="3"/>
      <c r="C632" s="3"/>
      <c r="D632" s="3"/>
      <c r="E632" s="3"/>
      <c r="F632" s="3"/>
      <c r="G632" s="3"/>
      <c r="H632" s="3"/>
      <c r="I632" s="3"/>
      <c r="J632" s="3"/>
      <c r="K632" s="3"/>
      <c r="L632" s="3"/>
      <c r="M632" s="3"/>
      <c r="N632" s="3"/>
      <c r="O632" s="3"/>
      <c r="P632" s="3"/>
      <c r="Q632" s="3"/>
      <c r="R632" s="3"/>
      <c r="S632" s="3"/>
      <c r="T632" s="3"/>
      <c r="U632" s="3"/>
      <c r="V632" s="3"/>
      <c r="W632" s="3"/>
    </row>
    <row r="633" spans="1:23" ht="15.75" customHeight="1">
      <c r="A633" s="3"/>
      <c r="B633" s="3"/>
      <c r="C633" s="3"/>
      <c r="D633" s="3"/>
      <c r="E633" s="3"/>
      <c r="F633" s="3"/>
      <c r="G633" s="3"/>
      <c r="H633" s="3"/>
      <c r="I633" s="3"/>
      <c r="J633" s="3"/>
      <c r="K633" s="3"/>
      <c r="L633" s="3"/>
      <c r="M633" s="3"/>
      <c r="N633" s="3"/>
      <c r="O633" s="3"/>
      <c r="P633" s="3"/>
      <c r="Q633" s="3"/>
      <c r="R633" s="3"/>
      <c r="S633" s="3"/>
      <c r="T633" s="3"/>
      <c r="U633" s="3"/>
      <c r="V633" s="3"/>
      <c r="W633" s="3"/>
    </row>
    <row r="634" spans="1:23" ht="15.75" customHeight="1">
      <c r="A634" s="3"/>
      <c r="B634" s="3"/>
      <c r="C634" s="3"/>
      <c r="D634" s="3"/>
      <c r="E634" s="3"/>
      <c r="F634" s="3"/>
      <c r="G634" s="3"/>
      <c r="H634" s="3"/>
      <c r="I634" s="3"/>
      <c r="J634" s="3"/>
      <c r="K634" s="3"/>
      <c r="L634" s="3"/>
      <c r="M634" s="3"/>
      <c r="N634" s="3"/>
      <c r="O634" s="3"/>
      <c r="P634" s="3"/>
      <c r="Q634" s="3"/>
      <c r="R634" s="3"/>
      <c r="S634" s="3"/>
      <c r="T634" s="3"/>
      <c r="U634" s="3"/>
      <c r="V634" s="3"/>
      <c r="W634" s="3"/>
    </row>
    <row r="635" spans="1:23" ht="15.75" customHeight="1">
      <c r="A635" s="3"/>
      <c r="B635" s="3"/>
      <c r="C635" s="3"/>
      <c r="D635" s="3"/>
      <c r="E635" s="3"/>
      <c r="F635" s="3"/>
      <c r="G635" s="3"/>
      <c r="H635" s="3"/>
      <c r="I635" s="3"/>
      <c r="J635" s="3"/>
      <c r="K635" s="3"/>
      <c r="L635" s="3"/>
      <c r="M635" s="3"/>
      <c r="N635" s="3"/>
      <c r="O635" s="3"/>
      <c r="P635" s="3"/>
      <c r="Q635" s="3"/>
      <c r="R635" s="3"/>
      <c r="S635" s="3"/>
      <c r="T635" s="3"/>
      <c r="U635" s="3"/>
      <c r="V635" s="3"/>
      <c r="W635" s="3"/>
    </row>
    <row r="636" spans="1:23" ht="15.75" customHeight="1">
      <c r="A636" s="3"/>
      <c r="B636" s="3"/>
      <c r="C636" s="3"/>
      <c r="D636" s="3"/>
      <c r="E636" s="3"/>
      <c r="F636" s="3"/>
      <c r="G636" s="3"/>
      <c r="H636" s="3"/>
      <c r="I636" s="3"/>
      <c r="J636" s="3"/>
      <c r="K636" s="3"/>
      <c r="L636" s="3"/>
      <c r="M636" s="3"/>
      <c r="N636" s="3"/>
      <c r="O636" s="3"/>
      <c r="P636" s="3"/>
      <c r="Q636" s="3"/>
      <c r="R636" s="3"/>
      <c r="S636" s="3"/>
      <c r="T636" s="3"/>
      <c r="U636" s="3"/>
      <c r="V636" s="3"/>
      <c r="W636" s="3"/>
    </row>
    <row r="637" spans="1:23" ht="15.75" customHeight="1">
      <c r="A637" s="3"/>
      <c r="B637" s="3"/>
      <c r="C637" s="3"/>
      <c r="D637" s="3"/>
      <c r="E637" s="3"/>
      <c r="F637" s="3"/>
      <c r="G637" s="3"/>
      <c r="H637" s="3"/>
      <c r="I637" s="3"/>
      <c r="J637" s="3"/>
      <c r="K637" s="3"/>
      <c r="L637" s="3"/>
      <c r="M637" s="3"/>
      <c r="N637" s="3"/>
      <c r="O637" s="3"/>
      <c r="P637" s="3"/>
      <c r="Q637" s="3"/>
      <c r="R637" s="3"/>
      <c r="S637" s="3"/>
      <c r="T637" s="3"/>
      <c r="U637" s="3"/>
      <c r="V637" s="3"/>
      <c r="W637" s="3"/>
    </row>
    <row r="638" spans="1:23" ht="15.75" customHeight="1">
      <c r="A638" s="3"/>
      <c r="B638" s="3"/>
      <c r="C638" s="3"/>
      <c r="D638" s="3"/>
      <c r="E638" s="3"/>
      <c r="F638" s="3"/>
      <c r="G638" s="3"/>
      <c r="H638" s="3"/>
      <c r="I638" s="3"/>
      <c r="J638" s="3"/>
      <c r="K638" s="3"/>
      <c r="L638" s="3"/>
      <c r="M638" s="3"/>
      <c r="N638" s="3"/>
      <c r="O638" s="3"/>
      <c r="P638" s="3"/>
      <c r="Q638" s="3"/>
      <c r="R638" s="3"/>
      <c r="S638" s="3"/>
      <c r="T638" s="3"/>
      <c r="U638" s="3"/>
      <c r="V638" s="3"/>
      <c r="W638" s="3"/>
    </row>
    <row r="639" spans="1:23" ht="15.75" customHeight="1">
      <c r="A639" s="3"/>
      <c r="B639" s="3"/>
      <c r="C639" s="3"/>
      <c r="D639" s="3"/>
      <c r="E639" s="3"/>
      <c r="F639" s="3"/>
      <c r="G639" s="3"/>
      <c r="H639" s="3"/>
      <c r="I639" s="3"/>
      <c r="J639" s="3"/>
      <c r="K639" s="3"/>
      <c r="L639" s="3"/>
      <c r="M639" s="3"/>
      <c r="N639" s="3"/>
      <c r="O639" s="3"/>
      <c r="P639" s="3"/>
      <c r="Q639" s="3"/>
      <c r="R639" s="3"/>
      <c r="S639" s="3"/>
      <c r="T639" s="3"/>
      <c r="U639" s="3"/>
      <c r="V639" s="3"/>
      <c r="W639" s="3"/>
    </row>
    <row r="640" spans="1:23" ht="15.75" customHeight="1">
      <c r="A640" s="3"/>
      <c r="B640" s="3"/>
      <c r="C640" s="3"/>
      <c r="D640" s="3"/>
      <c r="E640" s="3"/>
      <c r="F640" s="3"/>
      <c r="G640" s="3"/>
      <c r="H640" s="3"/>
      <c r="I640" s="3"/>
      <c r="J640" s="3"/>
      <c r="K640" s="3"/>
      <c r="L640" s="3"/>
      <c r="M640" s="3"/>
      <c r="N640" s="3"/>
      <c r="O640" s="3"/>
      <c r="P640" s="3"/>
      <c r="Q640" s="3"/>
      <c r="R640" s="3"/>
      <c r="S640" s="3"/>
      <c r="T640" s="3"/>
      <c r="U640" s="3"/>
      <c r="V640" s="3"/>
      <c r="W640" s="3"/>
    </row>
    <row r="641" spans="1:23" ht="15.75" customHeight="1">
      <c r="A641" s="3"/>
      <c r="B641" s="3"/>
      <c r="C641" s="3"/>
      <c r="D641" s="3"/>
      <c r="E641" s="3"/>
      <c r="F641" s="3"/>
      <c r="G641" s="3"/>
      <c r="H641" s="3"/>
      <c r="I641" s="3"/>
      <c r="J641" s="3"/>
      <c r="K641" s="3"/>
      <c r="L641" s="3"/>
      <c r="M641" s="3"/>
      <c r="N641" s="3"/>
      <c r="O641" s="3"/>
      <c r="P641" s="3"/>
      <c r="Q641" s="3"/>
      <c r="R641" s="3"/>
      <c r="S641" s="3"/>
      <c r="T641" s="3"/>
      <c r="U641" s="3"/>
      <c r="V641" s="3"/>
      <c r="W641" s="3"/>
    </row>
    <row r="642" spans="1:23" ht="15.75" customHeight="1">
      <c r="A642" s="3"/>
      <c r="B642" s="3"/>
      <c r="C642" s="3"/>
      <c r="D642" s="3"/>
      <c r="E642" s="3"/>
      <c r="F642" s="3"/>
      <c r="G642" s="3"/>
      <c r="H642" s="3"/>
      <c r="I642" s="3"/>
      <c r="J642" s="3"/>
      <c r="K642" s="3"/>
      <c r="L642" s="3"/>
      <c r="M642" s="3"/>
      <c r="N642" s="3"/>
      <c r="O642" s="3"/>
      <c r="P642" s="3"/>
      <c r="Q642" s="3"/>
      <c r="R642" s="3"/>
      <c r="S642" s="3"/>
      <c r="T642" s="3"/>
      <c r="U642" s="3"/>
      <c r="V642" s="3"/>
      <c r="W642" s="3"/>
    </row>
    <row r="643" spans="1:23" ht="15.75" customHeight="1">
      <c r="A643" s="3"/>
      <c r="B643" s="3"/>
      <c r="C643" s="3"/>
      <c r="D643" s="3"/>
      <c r="E643" s="3"/>
      <c r="F643" s="3"/>
      <c r="G643" s="3"/>
      <c r="H643" s="3"/>
      <c r="I643" s="3"/>
      <c r="J643" s="3"/>
      <c r="K643" s="3"/>
      <c r="L643" s="3"/>
      <c r="M643" s="3"/>
      <c r="N643" s="3"/>
      <c r="O643" s="3"/>
      <c r="P643" s="3"/>
      <c r="Q643" s="3"/>
      <c r="R643" s="3"/>
      <c r="S643" s="3"/>
      <c r="T643" s="3"/>
      <c r="U643" s="3"/>
      <c r="V643" s="3"/>
      <c r="W643" s="3"/>
    </row>
    <row r="644" spans="1:23" ht="15.75" customHeight="1">
      <c r="A644" s="3"/>
      <c r="B644" s="3"/>
      <c r="C644" s="3"/>
      <c r="D644" s="3"/>
      <c r="E644" s="3"/>
      <c r="F644" s="3"/>
      <c r="G644" s="3"/>
      <c r="H644" s="3"/>
      <c r="I644" s="3"/>
      <c r="J644" s="3"/>
      <c r="K644" s="3"/>
      <c r="L644" s="3"/>
      <c r="M644" s="3"/>
      <c r="N644" s="3"/>
      <c r="O644" s="3"/>
      <c r="P644" s="3"/>
      <c r="Q644" s="3"/>
      <c r="R644" s="3"/>
      <c r="S644" s="3"/>
      <c r="T644" s="3"/>
      <c r="U644" s="3"/>
      <c r="V644" s="3"/>
      <c r="W644" s="3"/>
    </row>
    <row r="645" spans="1:23" ht="15.75" customHeight="1">
      <c r="A645" s="3"/>
      <c r="B645" s="3"/>
      <c r="C645" s="3"/>
      <c r="D645" s="3"/>
      <c r="E645" s="3"/>
      <c r="F645" s="3"/>
      <c r="G645" s="3"/>
      <c r="H645" s="3"/>
      <c r="I645" s="3"/>
      <c r="J645" s="3"/>
      <c r="K645" s="3"/>
      <c r="L645" s="3"/>
      <c r="M645" s="3"/>
      <c r="N645" s="3"/>
      <c r="O645" s="3"/>
      <c r="P645" s="3"/>
      <c r="Q645" s="3"/>
      <c r="R645" s="3"/>
      <c r="S645" s="3"/>
      <c r="T645" s="3"/>
      <c r="U645" s="3"/>
      <c r="V645" s="3"/>
      <c r="W645" s="3"/>
    </row>
    <row r="646" spans="1:23" ht="15.75" customHeight="1">
      <c r="A646" s="3"/>
      <c r="B646" s="3"/>
      <c r="C646" s="3"/>
      <c r="D646" s="3"/>
      <c r="E646" s="3"/>
      <c r="F646" s="3"/>
      <c r="G646" s="3"/>
      <c r="H646" s="3"/>
      <c r="I646" s="3"/>
      <c r="J646" s="3"/>
      <c r="K646" s="3"/>
      <c r="L646" s="3"/>
      <c r="M646" s="3"/>
      <c r="N646" s="3"/>
      <c r="O646" s="3"/>
      <c r="P646" s="3"/>
      <c r="Q646" s="3"/>
      <c r="R646" s="3"/>
      <c r="S646" s="3"/>
      <c r="T646" s="3"/>
      <c r="U646" s="3"/>
      <c r="V646" s="3"/>
      <c r="W646" s="3"/>
    </row>
    <row r="647" spans="1:23" ht="15.75" customHeight="1">
      <c r="A647" s="3"/>
      <c r="B647" s="3"/>
      <c r="C647" s="3"/>
      <c r="D647" s="3"/>
      <c r="E647" s="3"/>
      <c r="F647" s="3"/>
      <c r="G647" s="3"/>
      <c r="H647" s="3"/>
      <c r="I647" s="3"/>
      <c r="J647" s="3"/>
      <c r="K647" s="3"/>
      <c r="L647" s="3"/>
      <c r="M647" s="3"/>
      <c r="N647" s="3"/>
      <c r="O647" s="3"/>
      <c r="P647" s="3"/>
      <c r="Q647" s="3"/>
      <c r="R647" s="3"/>
      <c r="S647" s="3"/>
      <c r="T647" s="3"/>
      <c r="U647" s="3"/>
      <c r="V647" s="3"/>
      <c r="W647" s="3"/>
    </row>
    <row r="648" spans="1:23" ht="15.75" customHeight="1">
      <c r="A648" s="3"/>
      <c r="B648" s="3"/>
      <c r="C648" s="3"/>
      <c r="D648" s="3"/>
      <c r="E648" s="3"/>
      <c r="F648" s="3"/>
      <c r="G648" s="3"/>
      <c r="H648" s="3"/>
      <c r="I648" s="3"/>
      <c r="J648" s="3"/>
      <c r="K648" s="3"/>
      <c r="L648" s="3"/>
      <c r="M648" s="3"/>
      <c r="N648" s="3"/>
      <c r="O648" s="3"/>
      <c r="P648" s="3"/>
      <c r="Q648" s="3"/>
      <c r="R648" s="3"/>
      <c r="S648" s="3"/>
      <c r="T648" s="3"/>
      <c r="U648" s="3"/>
      <c r="V648" s="3"/>
      <c r="W648" s="3"/>
    </row>
    <row r="649" spans="1:23" ht="15.75" customHeight="1">
      <c r="A649" s="3"/>
      <c r="B649" s="3"/>
      <c r="C649" s="3"/>
      <c r="D649" s="3"/>
      <c r="E649" s="3"/>
      <c r="F649" s="3"/>
      <c r="G649" s="3"/>
      <c r="H649" s="3"/>
      <c r="I649" s="3"/>
      <c r="J649" s="3"/>
      <c r="K649" s="3"/>
      <c r="L649" s="3"/>
      <c r="M649" s="3"/>
      <c r="N649" s="3"/>
      <c r="O649" s="3"/>
      <c r="P649" s="3"/>
      <c r="Q649" s="3"/>
      <c r="R649" s="3"/>
      <c r="S649" s="3"/>
      <c r="T649" s="3"/>
      <c r="U649" s="3"/>
      <c r="V649" s="3"/>
      <c r="W649" s="3"/>
    </row>
    <row r="650" spans="1:23" ht="15.75" customHeight="1">
      <c r="A650" s="3"/>
      <c r="B650" s="3"/>
      <c r="C650" s="3"/>
      <c r="D650" s="3"/>
      <c r="E650" s="3"/>
      <c r="F650" s="3"/>
      <c r="G650" s="3"/>
      <c r="H650" s="3"/>
      <c r="I650" s="3"/>
      <c r="J650" s="3"/>
      <c r="K650" s="3"/>
      <c r="L650" s="3"/>
      <c r="M650" s="3"/>
      <c r="N650" s="3"/>
      <c r="O650" s="3"/>
      <c r="P650" s="3"/>
      <c r="Q650" s="3"/>
      <c r="R650" s="3"/>
      <c r="S650" s="3"/>
      <c r="T650" s="3"/>
      <c r="U650" s="3"/>
      <c r="V650" s="3"/>
      <c r="W650" s="3"/>
    </row>
    <row r="651" spans="1:23" ht="15.75" customHeight="1">
      <c r="A651" s="3"/>
      <c r="B651" s="3"/>
      <c r="C651" s="3"/>
      <c r="D651" s="3"/>
      <c r="E651" s="3"/>
      <c r="F651" s="3"/>
      <c r="G651" s="3"/>
      <c r="H651" s="3"/>
      <c r="I651" s="3"/>
      <c r="J651" s="3"/>
      <c r="K651" s="3"/>
      <c r="L651" s="3"/>
      <c r="M651" s="3"/>
      <c r="N651" s="3"/>
      <c r="O651" s="3"/>
      <c r="P651" s="3"/>
      <c r="Q651" s="3"/>
      <c r="R651" s="3"/>
      <c r="S651" s="3"/>
      <c r="T651" s="3"/>
      <c r="U651" s="3"/>
      <c r="V651" s="3"/>
      <c r="W651" s="3"/>
    </row>
    <row r="652" spans="1:23" ht="15.75" customHeight="1">
      <c r="A652" s="3"/>
      <c r="B652" s="3"/>
      <c r="C652" s="3"/>
      <c r="D652" s="3"/>
      <c r="E652" s="3"/>
      <c r="F652" s="3"/>
      <c r="G652" s="3"/>
      <c r="H652" s="3"/>
      <c r="I652" s="3"/>
      <c r="J652" s="3"/>
      <c r="K652" s="3"/>
      <c r="L652" s="3"/>
      <c r="M652" s="3"/>
      <c r="N652" s="3"/>
      <c r="O652" s="3"/>
      <c r="P652" s="3"/>
      <c r="Q652" s="3"/>
      <c r="R652" s="3"/>
      <c r="S652" s="3"/>
      <c r="T652" s="3"/>
      <c r="U652" s="3"/>
      <c r="V652" s="3"/>
      <c r="W652" s="3"/>
    </row>
    <row r="653" spans="1:23" ht="15.75" customHeight="1">
      <c r="A653" s="3"/>
      <c r="B653" s="3"/>
      <c r="C653" s="3"/>
      <c r="D653" s="3"/>
      <c r="E653" s="3"/>
      <c r="F653" s="3"/>
      <c r="G653" s="3"/>
      <c r="H653" s="3"/>
      <c r="I653" s="3"/>
      <c r="J653" s="3"/>
      <c r="K653" s="3"/>
      <c r="L653" s="3"/>
      <c r="M653" s="3"/>
      <c r="N653" s="3"/>
      <c r="O653" s="3"/>
      <c r="P653" s="3"/>
      <c r="Q653" s="3"/>
      <c r="R653" s="3"/>
      <c r="S653" s="3"/>
      <c r="T653" s="3"/>
      <c r="U653" s="3"/>
      <c r="V653" s="3"/>
      <c r="W653" s="3"/>
    </row>
    <row r="654" spans="1:23" ht="15.75" customHeight="1">
      <c r="A654" s="3"/>
      <c r="B654" s="3"/>
      <c r="C654" s="3"/>
      <c r="D654" s="3"/>
      <c r="E654" s="3"/>
      <c r="F654" s="3"/>
      <c r="G654" s="3"/>
      <c r="H654" s="3"/>
      <c r="I654" s="3"/>
      <c r="J654" s="3"/>
      <c r="K654" s="3"/>
      <c r="L654" s="3"/>
      <c r="M654" s="3"/>
      <c r="N654" s="3"/>
      <c r="O654" s="3"/>
      <c r="P654" s="3"/>
      <c r="Q654" s="3"/>
      <c r="R654" s="3"/>
      <c r="S654" s="3"/>
      <c r="T654" s="3"/>
      <c r="U654" s="3"/>
      <c r="V654" s="3"/>
      <c r="W654" s="3"/>
    </row>
    <row r="655" spans="1:23" ht="15.75" customHeight="1">
      <c r="A655" s="3"/>
      <c r="B655" s="3"/>
      <c r="C655" s="3"/>
      <c r="D655" s="3"/>
      <c r="E655" s="3"/>
      <c r="F655" s="3"/>
      <c r="G655" s="3"/>
      <c r="H655" s="3"/>
      <c r="I655" s="3"/>
      <c r="J655" s="3"/>
      <c r="K655" s="3"/>
      <c r="L655" s="3"/>
      <c r="M655" s="3"/>
      <c r="N655" s="3"/>
      <c r="O655" s="3"/>
      <c r="P655" s="3"/>
      <c r="Q655" s="3"/>
      <c r="R655" s="3"/>
      <c r="S655" s="3"/>
      <c r="T655" s="3"/>
      <c r="U655" s="3"/>
      <c r="V655" s="3"/>
      <c r="W655" s="3"/>
    </row>
    <row r="656" spans="1:23" ht="15.75" customHeight="1">
      <c r="A656" s="3"/>
      <c r="B656" s="3"/>
      <c r="C656" s="3"/>
      <c r="D656" s="3"/>
      <c r="E656" s="3"/>
      <c r="F656" s="3"/>
      <c r="G656" s="3"/>
      <c r="H656" s="3"/>
      <c r="I656" s="3"/>
      <c r="J656" s="3"/>
      <c r="K656" s="3"/>
      <c r="L656" s="3"/>
      <c r="M656" s="3"/>
      <c r="N656" s="3"/>
      <c r="O656" s="3"/>
      <c r="P656" s="3"/>
      <c r="Q656" s="3"/>
      <c r="R656" s="3"/>
      <c r="S656" s="3"/>
      <c r="T656" s="3"/>
      <c r="U656" s="3"/>
      <c r="V656" s="3"/>
      <c r="W656" s="3"/>
    </row>
    <row r="657" spans="1:23" ht="15.75" customHeight="1">
      <c r="A657" s="3"/>
      <c r="B657" s="3"/>
      <c r="C657" s="3"/>
      <c r="D657" s="3"/>
      <c r="E657" s="3"/>
      <c r="F657" s="3"/>
      <c r="G657" s="3"/>
      <c r="H657" s="3"/>
      <c r="I657" s="3"/>
      <c r="J657" s="3"/>
      <c r="K657" s="3"/>
      <c r="L657" s="3"/>
      <c r="M657" s="3"/>
      <c r="N657" s="3"/>
      <c r="O657" s="3"/>
      <c r="P657" s="3"/>
      <c r="Q657" s="3"/>
      <c r="R657" s="3"/>
      <c r="S657" s="3"/>
      <c r="T657" s="3"/>
      <c r="U657" s="3"/>
      <c r="V657" s="3"/>
      <c r="W657" s="3"/>
    </row>
    <row r="658" spans="1:23" ht="15.75" customHeight="1">
      <c r="A658" s="3"/>
      <c r="B658" s="3"/>
      <c r="C658" s="3"/>
      <c r="D658" s="3"/>
      <c r="E658" s="3"/>
      <c r="F658" s="3"/>
      <c r="G658" s="3"/>
      <c r="H658" s="3"/>
      <c r="I658" s="3"/>
      <c r="J658" s="3"/>
      <c r="K658" s="3"/>
      <c r="L658" s="3"/>
      <c r="M658" s="3"/>
      <c r="N658" s="3"/>
      <c r="O658" s="3"/>
      <c r="P658" s="3"/>
      <c r="Q658" s="3"/>
      <c r="R658" s="3"/>
      <c r="S658" s="3"/>
      <c r="T658" s="3"/>
      <c r="U658" s="3"/>
      <c r="V658" s="3"/>
      <c r="W658" s="3"/>
    </row>
    <row r="659" spans="1:23" ht="15.75" customHeight="1">
      <c r="A659" s="3"/>
      <c r="B659" s="3"/>
      <c r="C659" s="3"/>
      <c r="D659" s="3"/>
      <c r="E659" s="3"/>
      <c r="F659" s="3"/>
      <c r="G659" s="3"/>
      <c r="H659" s="3"/>
      <c r="I659" s="3"/>
      <c r="J659" s="3"/>
      <c r="K659" s="3"/>
      <c r="L659" s="3"/>
      <c r="M659" s="3"/>
      <c r="N659" s="3"/>
      <c r="O659" s="3"/>
      <c r="P659" s="3"/>
      <c r="Q659" s="3"/>
      <c r="R659" s="3"/>
      <c r="S659" s="3"/>
      <c r="T659" s="3"/>
      <c r="U659" s="3"/>
      <c r="V659" s="3"/>
      <c r="W659" s="3"/>
    </row>
    <row r="660" spans="1:23" ht="15.75" customHeight="1">
      <c r="A660" s="3"/>
      <c r="B660" s="3"/>
      <c r="C660" s="3"/>
      <c r="D660" s="3"/>
      <c r="E660" s="3"/>
      <c r="F660" s="3"/>
      <c r="G660" s="3"/>
      <c r="H660" s="3"/>
      <c r="I660" s="3"/>
      <c r="J660" s="3"/>
      <c r="K660" s="3"/>
      <c r="L660" s="3"/>
      <c r="M660" s="3"/>
      <c r="N660" s="3"/>
      <c r="O660" s="3"/>
      <c r="P660" s="3"/>
      <c r="Q660" s="3"/>
      <c r="R660" s="3"/>
      <c r="S660" s="3"/>
      <c r="T660" s="3"/>
      <c r="U660" s="3"/>
      <c r="V660" s="3"/>
      <c r="W660" s="3"/>
    </row>
    <row r="661" spans="1:23" ht="15.75" customHeight="1">
      <c r="A661" s="3"/>
      <c r="B661" s="3"/>
      <c r="C661" s="3"/>
      <c r="D661" s="3"/>
      <c r="E661" s="3"/>
      <c r="F661" s="3"/>
      <c r="G661" s="3"/>
      <c r="H661" s="3"/>
      <c r="I661" s="3"/>
      <c r="J661" s="3"/>
      <c r="K661" s="3"/>
      <c r="L661" s="3"/>
      <c r="M661" s="3"/>
      <c r="N661" s="3"/>
      <c r="O661" s="3"/>
      <c r="P661" s="3"/>
      <c r="Q661" s="3"/>
      <c r="R661" s="3"/>
      <c r="S661" s="3"/>
      <c r="T661" s="3"/>
      <c r="U661" s="3"/>
      <c r="V661" s="3"/>
      <c r="W661" s="3"/>
    </row>
    <row r="662" spans="1:23" ht="15.75" customHeight="1">
      <c r="A662" s="3"/>
      <c r="B662" s="3"/>
      <c r="C662" s="3"/>
      <c r="D662" s="3"/>
      <c r="E662" s="3"/>
      <c r="F662" s="3"/>
      <c r="G662" s="3"/>
      <c r="H662" s="3"/>
      <c r="I662" s="3"/>
      <c r="J662" s="3"/>
      <c r="K662" s="3"/>
      <c r="L662" s="3"/>
      <c r="M662" s="3"/>
      <c r="N662" s="3"/>
      <c r="O662" s="3"/>
      <c r="P662" s="3"/>
      <c r="Q662" s="3"/>
      <c r="R662" s="3"/>
      <c r="S662" s="3"/>
      <c r="T662" s="3"/>
      <c r="U662" s="3"/>
      <c r="V662" s="3"/>
      <c r="W662" s="3"/>
    </row>
    <row r="663" spans="1:23" ht="15.75" customHeight="1">
      <c r="A663" s="3"/>
      <c r="B663" s="3"/>
      <c r="C663" s="3"/>
      <c r="D663" s="3"/>
      <c r="E663" s="3"/>
      <c r="F663" s="3"/>
      <c r="G663" s="3"/>
      <c r="H663" s="3"/>
      <c r="I663" s="3"/>
      <c r="J663" s="3"/>
      <c r="K663" s="3"/>
      <c r="L663" s="3"/>
      <c r="M663" s="3"/>
      <c r="N663" s="3"/>
      <c r="O663" s="3"/>
      <c r="P663" s="3"/>
      <c r="Q663" s="3"/>
      <c r="R663" s="3"/>
      <c r="S663" s="3"/>
      <c r="T663" s="3"/>
      <c r="U663" s="3"/>
      <c r="V663" s="3"/>
      <c r="W663" s="3"/>
    </row>
    <row r="664" spans="1:23" ht="15.75" customHeight="1">
      <c r="A664" s="3"/>
      <c r="B664" s="3"/>
      <c r="C664" s="3"/>
      <c r="D664" s="3"/>
      <c r="E664" s="3"/>
      <c r="F664" s="3"/>
      <c r="G664" s="3"/>
      <c r="H664" s="3"/>
      <c r="I664" s="3"/>
      <c r="J664" s="3"/>
      <c r="K664" s="3"/>
      <c r="L664" s="3"/>
      <c r="M664" s="3"/>
      <c r="N664" s="3"/>
      <c r="O664" s="3"/>
      <c r="P664" s="3"/>
      <c r="Q664" s="3"/>
      <c r="R664" s="3"/>
      <c r="S664" s="3"/>
      <c r="T664" s="3"/>
      <c r="U664" s="3"/>
      <c r="V664" s="3"/>
      <c r="W664" s="3"/>
    </row>
    <row r="665" spans="1:23" ht="15.75" customHeight="1">
      <c r="A665" s="3"/>
      <c r="B665" s="3"/>
      <c r="C665" s="3"/>
      <c r="D665" s="3"/>
      <c r="E665" s="3"/>
      <c r="F665" s="3"/>
      <c r="G665" s="3"/>
      <c r="H665" s="3"/>
      <c r="I665" s="3"/>
      <c r="J665" s="3"/>
      <c r="K665" s="3"/>
      <c r="L665" s="3"/>
      <c r="M665" s="3"/>
      <c r="N665" s="3"/>
      <c r="O665" s="3"/>
      <c r="P665" s="3"/>
      <c r="Q665" s="3"/>
      <c r="R665" s="3"/>
      <c r="S665" s="3"/>
      <c r="T665" s="3"/>
      <c r="U665" s="3"/>
      <c r="V665" s="3"/>
      <c r="W665" s="3"/>
    </row>
    <row r="666" spans="1:23" ht="15.75" customHeight="1">
      <c r="A666" s="3"/>
      <c r="B666" s="3"/>
      <c r="C666" s="3"/>
      <c r="D666" s="3"/>
      <c r="E666" s="3"/>
      <c r="F666" s="3"/>
      <c r="G666" s="3"/>
      <c r="H666" s="3"/>
      <c r="I666" s="3"/>
      <c r="J666" s="3"/>
      <c r="K666" s="3"/>
      <c r="L666" s="3"/>
      <c r="M666" s="3"/>
      <c r="N666" s="3"/>
      <c r="O666" s="3"/>
      <c r="P666" s="3"/>
      <c r="Q666" s="3"/>
      <c r="R666" s="3"/>
      <c r="S666" s="3"/>
      <c r="T666" s="3"/>
      <c r="U666" s="3"/>
      <c r="V666" s="3"/>
      <c r="W666" s="3"/>
    </row>
    <row r="667" spans="1:23" ht="15.75" customHeight="1">
      <c r="A667" s="3"/>
      <c r="B667" s="3"/>
      <c r="C667" s="3"/>
      <c r="D667" s="3"/>
      <c r="E667" s="3"/>
      <c r="F667" s="3"/>
      <c r="G667" s="3"/>
      <c r="H667" s="3"/>
      <c r="I667" s="3"/>
      <c r="J667" s="3"/>
      <c r="K667" s="3"/>
      <c r="L667" s="3"/>
      <c r="M667" s="3"/>
      <c r="N667" s="3"/>
      <c r="O667" s="3"/>
      <c r="P667" s="3"/>
      <c r="Q667" s="3"/>
      <c r="R667" s="3"/>
      <c r="S667" s="3"/>
      <c r="T667" s="3"/>
      <c r="U667" s="3"/>
      <c r="V667" s="3"/>
      <c r="W667" s="3"/>
    </row>
    <row r="668" spans="1:23" ht="15.75" customHeight="1">
      <c r="A668" s="3"/>
      <c r="B668" s="3"/>
      <c r="C668" s="3"/>
      <c r="D668" s="3"/>
      <c r="E668" s="3"/>
      <c r="F668" s="3"/>
      <c r="G668" s="3"/>
      <c r="H668" s="3"/>
      <c r="I668" s="3"/>
      <c r="J668" s="3"/>
      <c r="K668" s="3"/>
      <c r="L668" s="3"/>
      <c r="M668" s="3"/>
      <c r="N668" s="3"/>
      <c r="O668" s="3"/>
      <c r="P668" s="3"/>
      <c r="Q668" s="3"/>
      <c r="R668" s="3"/>
      <c r="S668" s="3"/>
      <c r="T668" s="3"/>
      <c r="U668" s="3"/>
      <c r="V668" s="3"/>
      <c r="W668" s="3"/>
    </row>
    <row r="669" spans="1:23" ht="15.75" customHeight="1">
      <c r="A669" s="3"/>
      <c r="B669" s="3"/>
      <c r="C669" s="3"/>
      <c r="D669" s="3"/>
      <c r="E669" s="3"/>
      <c r="F669" s="3"/>
      <c r="G669" s="3"/>
      <c r="H669" s="3"/>
      <c r="I669" s="3"/>
      <c r="J669" s="3"/>
      <c r="K669" s="3"/>
      <c r="L669" s="3"/>
      <c r="M669" s="3"/>
      <c r="N669" s="3"/>
      <c r="O669" s="3"/>
      <c r="P669" s="3"/>
      <c r="Q669" s="3"/>
      <c r="R669" s="3"/>
      <c r="S669" s="3"/>
      <c r="T669" s="3"/>
      <c r="U669" s="3"/>
      <c r="V669" s="3"/>
      <c r="W669" s="3"/>
    </row>
    <row r="670" spans="1:23" ht="15.75" customHeight="1">
      <c r="A670" s="3"/>
      <c r="B670" s="3"/>
      <c r="C670" s="3"/>
      <c r="D670" s="3"/>
      <c r="E670" s="3"/>
      <c r="F670" s="3"/>
      <c r="G670" s="3"/>
      <c r="H670" s="3"/>
      <c r="I670" s="3"/>
      <c r="J670" s="3"/>
      <c r="K670" s="3"/>
      <c r="L670" s="3"/>
      <c r="M670" s="3"/>
      <c r="N670" s="3"/>
      <c r="O670" s="3"/>
      <c r="P670" s="3"/>
      <c r="Q670" s="3"/>
      <c r="R670" s="3"/>
      <c r="S670" s="3"/>
      <c r="T670" s="3"/>
      <c r="U670" s="3"/>
      <c r="V670" s="3"/>
      <c r="W670" s="3"/>
    </row>
    <row r="671" spans="1:23" ht="15.75" customHeight="1">
      <c r="A671" s="3"/>
      <c r="B671" s="3"/>
      <c r="C671" s="3"/>
      <c r="D671" s="3"/>
      <c r="E671" s="3"/>
      <c r="F671" s="3"/>
      <c r="G671" s="3"/>
      <c r="H671" s="3"/>
      <c r="I671" s="3"/>
      <c r="J671" s="3"/>
      <c r="K671" s="3"/>
      <c r="L671" s="3"/>
      <c r="M671" s="3"/>
      <c r="N671" s="3"/>
      <c r="O671" s="3"/>
      <c r="P671" s="3"/>
      <c r="Q671" s="3"/>
      <c r="R671" s="3"/>
      <c r="S671" s="3"/>
      <c r="T671" s="3"/>
      <c r="U671" s="3"/>
      <c r="V671" s="3"/>
      <c r="W671" s="3"/>
    </row>
    <row r="672" spans="1:23" ht="15.75" customHeight="1">
      <c r="A672" s="3"/>
      <c r="B672" s="3"/>
      <c r="C672" s="3"/>
      <c r="D672" s="3"/>
      <c r="E672" s="3"/>
      <c r="F672" s="3"/>
      <c r="G672" s="3"/>
      <c r="H672" s="3"/>
      <c r="I672" s="3"/>
      <c r="J672" s="3"/>
      <c r="K672" s="3"/>
      <c r="L672" s="3"/>
      <c r="M672" s="3"/>
      <c r="N672" s="3"/>
      <c r="O672" s="3"/>
      <c r="P672" s="3"/>
      <c r="Q672" s="3"/>
      <c r="R672" s="3"/>
      <c r="S672" s="3"/>
      <c r="T672" s="3"/>
      <c r="U672" s="3"/>
      <c r="V672" s="3"/>
      <c r="W672" s="3"/>
    </row>
    <row r="673" spans="1:23" ht="15.75" customHeight="1">
      <c r="A673" s="3"/>
      <c r="B673" s="3"/>
      <c r="C673" s="3"/>
      <c r="D673" s="3"/>
      <c r="E673" s="3"/>
      <c r="F673" s="3"/>
      <c r="G673" s="3"/>
      <c r="H673" s="3"/>
      <c r="I673" s="3"/>
      <c r="J673" s="3"/>
      <c r="K673" s="3"/>
      <c r="L673" s="3"/>
      <c r="M673" s="3"/>
      <c r="N673" s="3"/>
      <c r="O673" s="3"/>
      <c r="P673" s="3"/>
      <c r="Q673" s="3"/>
      <c r="R673" s="3"/>
      <c r="S673" s="3"/>
      <c r="T673" s="3"/>
      <c r="U673" s="3"/>
      <c r="V673" s="3"/>
      <c r="W673" s="3"/>
    </row>
    <row r="674" spans="1:23" ht="15.75" customHeight="1">
      <c r="A674" s="3"/>
      <c r="B674" s="3"/>
      <c r="C674" s="3"/>
      <c r="D674" s="3"/>
      <c r="E674" s="3"/>
      <c r="F674" s="3"/>
      <c r="G674" s="3"/>
      <c r="H674" s="3"/>
      <c r="I674" s="3"/>
      <c r="J674" s="3"/>
      <c r="K674" s="3"/>
      <c r="L674" s="3"/>
      <c r="M674" s="3"/>
      <c r="N674" s="3"/>
      <c r="O674" s="3"/>
      <c r="P674" s="3"/>
      <c r="Q674" s="3"/>
      <c r="R674" s="3"/>
      <c r="S674" s="3"/>
      <c r="T674" s="3"/>
      <c r="U674" s="3"/>
      <c r="V674" s="3"/>
      <c r="W674" s="3"/>
    </row>
    <row r="675" spans="1:23" ht="15.75" customHeight="1">
      <c r="A675" s="3"/>
      <c r="B675" s="3"/>
      <c r="C675" s="3"/>
      <c r="D675" s="3"/>
      <c r="E675" s="3"/>
      <c r="F675" s="3"/>
      <c r="G675" s="3"/>
      <c r="H675" s="3"/>
      <c r="I675" s="3"/>
      <c r="J675" s="3"/>
      <c r="K675" s="3"/>
      <c r="L675" s="3"/>
      <c r="M675" s="3"/>
      <c r="N675" s="3"/>
      <c r="O675" s="3"/>
      <c r="P675" s="3"/>
      <c r="Q675" s="3"/>
      <c r="R675" s="3"/>
      <c r="S675" s="3"/>
      <c r="T675" s="3"/>
      <c r="U675" s="3"/>
      <c r="V675" s="3"/>
      <c r="W675" s="3"/>
    </row>
    <row r="676" spans="1:23" ht="15.75" customHeight="1">
      <c r="A676" s="3"/>
      <c r="B676" s="3"/>
      <c r="C676" s="3"/>
      <c r="D676" s="3"/>
      <c r="E676" s="3"/>
      <c r="F676" s="3"/>
      <c r="G676" s="3"/>
      <c r="H676" s="3"/>
      <c r="I676" s="3"/>
      <c r="J676" s="3"/>
      <c r="K676" s="3"/>
      <c r="L676" s="3"/>
      <c r="M676" s="3"/>
      <c r="N676" s="3"/>
      <c r="O676" s="3"/>
      <c r="P676" s="3"/>
      <c r="Q676" s="3"/>
      <c r="R676" s="3"/>
      <c r="S676" s="3"/>
      <c r="T676" s="3"/>
      <c r="U676" s="3"/>
      <c r="V676" s="3"/>
      <c r="W676" s="3"/>
    </row>
    <row r="677" spans="1:23" ht="15.75" customHeight="1">
      <c r="A677" s="3"/>
      <c r="B677" s="3"/>
      <c r="C677" s="3"/>
      <c r="D677" s="3"/>
      <c r="E677" s="3"/>
      <c r="F677" s="3"/>
      <c r="G677" s="3"/>
      <c r="H677" s="3"/>
      <c r="I677" s="3"/>
      <c r="J677" s="3"/>
      <c r="K677" s="3"/>
      <c r="L677" s="3"/>
      <c r="M677" s="3"/>
      <c r="N677" s="3"/>
      <c r="O677" s="3"/>
      <c r="P677" s="3"/>
      <c r="Q677" s="3"/>
      <c r="R677" s="3"/>
      <c r="S677" s="3"/>
      <c r="T677" s="3"/>
      <c r="U677" s="3"/>
      <c r="V677" s="3"/>
      <c r="W677" s="3"/>
    </row>
    <row r="678" spans="1:23" ht="15.75" customHeight="1">
      <c r="A678" s="3"/>
      <c r="B678" s="3"/>
      <c r="C678" s="3"/>
      <c r="D678" s="3"/>
      <c r="E678" s="3"/>
      <c r="F678" s="3"/>
      <c r="G678" s="3"/>
      <c r="H678" s="3"/>
      <c r="I678" s="3"/>
      <c r="J678" s="3"/>
      <c r="K678" s="3"/>
      <c r="L678" s="3"/>
      <c r="M678" s="3"/>
      <c r="N678" s="3"/>
      <c r="O678" s="3"/>
      <c r="P678" s="3"/>
      <c r="Q678" s="3"/>
      <c r="R678" s="3"/>
      <c r="S678" s="3"/>
      <c r="T678" s="3"/>
      <c r="U678" s="3"/>
      <c r="V678" s="3"/>
      <c r="W678" s="3"/>
    </row>
    <row r="679" spans="1:23" ht="15.75" customHeight="1">
      <c r="A679" s="3"/>
      <c r="B679" s="3"/>
      <c r="C679" s="3"/>
      <c r="D679" s="3"/>
      <c r="E679" s="3"/>
      <c r="F679" s="3"/>
      <c r="G679" s="3"/>
      <c r="H679" s="3"/>
      <c r="I679" s="3"/>
      <c r="J679" s="3"/>
      <c r="K679" s="3"/>
      <c r="L679" s="3"/>
      <c r="M679" s="3"/>
      <c r="N679" s="3"/>
      <c r="O679" s="3"/>
      <c r="P679" s="3"/>
      <c r="Q679" s="3"/>
      <c r="R679" s="3"/>
      <c r="S679" s="3"/>
      <c r="T679" s="3"/>
      <c r="U679" s="3"/>
      <c r="V679" s="3"/>
      <c r="W679" s="3"/>
    </row>
    <row r="680" spans="1:23" ht="15.75" customHeight="1">
      <c r="A680" s="3"/>
      <c r="B680" s="3"/>
      <c r="C680" s="3"/>
      <c r="D680" s="3"/>
      <c r="E680" s="3"/>
      <c r="F680" s="3"/>
      <c r="G680" s="3"/>
      <c r="H680" s="3"/>
      <c r="I680" s="3"/>
      <c r="J680" s="3"/>
      <c r="K680" s="3"/>
      <c r="L680" s="3"/>
      <c r="M680" s="3"/>
      <c r="N680" s="3"/>
      <c r="O680" s="3"/>
      <c r="P680" s="3"/>
      <c r="Q680" s="3"/>
      <c r="R680" s="3"/>
      <c r="S680" s="3"/>
      <c r="T680" s="3"/>
      <c r="U680" s="3"/>
      <c r="V680" s="3"/>
      <c r="W680" s="3"/>
    </row>
    <row r="681" spans="1:23" ht="15.75" customHeight="1">
      <c r="A681" s="3"/>
      <c r="B681" s="3"/>
      <c r="C681" s="3"/>
      <c r="D681" s="3"/>
      <c r="E681" s="3"/>
      <c r="F681" s="3"/>
      <c r="G681" s="3"/>
      <c r="H681" s="3"/>
      <c r="I681" s="3"/>
      <c r="J681" s="3"/>
      <c r="K681" s="3"/>
      <c r="L681" s="3"/>
      <c r="M681" s="3"/>
      <c r="N681" s="3"/>
      <c r="O681" s="3"/>
      <c r="P681" s="3"/>
      <c r="Q681" s="3"/>
      <c r="R681" s="3"/>
      <c r="S681" s="3"/>
      <c r="T681" s="3"/>
      <c r="U681" s="3"/>
      <c r="V681" s="3"/>
      <c r="W681" s="3"/>
    </row>
    <row r="682" spans="1:23" ht="15.75" customHeight="1">
      <c r="A682" s="3"/>
      <c r="B682" s="3"/>
      <c r="C682" s="3"/>
      <c r="D682" s="3"/>
      <c r="E682" s="3"/>
      <c r="F682" s="3"/>
      <c r="G682" s="3"/>
      <c r="H682" s="3"/>
      <c r="I682" s="3"/>
      <c r="J682" s="3"/>
      <c r="K682" s="3"/>
      <c r="L682" s="3"/>
      <c r="M682" s="3"/>
      <c r="N682" s="3"/>
      <c r="O682" s="3"/>
      <c r="P682" s="3"/>
      <c r="Q682" s="3"/>
      <c r="R682" s="3"/>
      <c r="S682" s="3"/>
      <c r="T682" s="3"/>
      <c r="U682" s="3"/>
      <c r="V682" s="3"/>
      <c r="W682" s="3"/>
    </row>
    <row r="683" spans="1:23" ht="15.75" customHeight="1">
      <c r="A683" s="3"/>
      <c r="B683" s="3"/>
      <c r="C683" s="3"/>
      <c r="D683" s="3"/>
      <c r="E683" s="3"/>
      <c r="F683" s="3"/>
      <c r="G683" s="3"/>
      <c r="H683" s="3"/>
      <c r="I683" s="3"/>
      <c r="J683" s="3"/>
      <c r="K683" s="3"/>
      <c r="L683" s="3"/>
      <c r="M683" s="3"/>
      <c r="N683" s="3"/>
      <c r="O683" s="3"/>
      <c r="P683" s="3"/>
      <c r="Q683" s="3"/>
      <c r="R683" s="3"/>
      <c r="S683" s="3"/>
      <c r="T683" s="3"/>
      <c r="U683" s="3"/>
      <c r="V683" s="3"/>
      <c r="W683" s="3"/>
    </row>
    <row r="684" spans="1:23" ht="15.75" customHeight="1">
      <c r="A684" s="3"/>
      <c r="B684" s="3"/>
      <c r="C684" s="3"/>
      <c r="D684" s="3"/>
      <c r="E684" s="3"/>
      <c r="F684" s="3"/>
      <c r="G684" s="3"/>
      <c r="H684" s="3"/>
      <c r="I684" s="3"/>
      <c r="J684" s="3"/>
      <c r="K684" s="3"/>
      <c r="L684" s="3"/>
      <c r="M684" s="3"/>
      <c r="N684" s="3"/>
      <c r="O684" s="3"/>
      <c r="P684" s="3"/>
      <c r="Q684" s="3"/>
      <c r="R684" s="3"/>
      <c r="S684" s="3"/>
      <c r="T684" s="3"/>
      <c r="U684" s="3"/>
      <c r="V684" s="3"/>
      <c r="W684" s="3"/>
    </row>
    <row r="685" spans="1:23" ht="15.75" customHeight="1">
      <c r="A685" s="3"/>
      <c r="B685" s="3"/>
      <c r="C685" s="3"/>
      <c r="D685" s="3"/>
      <c r="E685" s="3"/>
      <c r="F685" s="3"/>
      <c r="G685" s="3"/>
      <c r="H685" s="3"/>
      <c r="I685" s="3"/>
      <c r="J685" s="3"/>
      <c r="K685" s="3"/>
      <c r="L685" s="3"/>
      <c r="M685" s="3"/>
      <c r="N685" s="3"/>
      <c r="O685" s="3"/>
      <c r="P685" s="3"/>
      <c r="Q685" s="3"/>
      <c r="R685" s="3"/>
      <c r="S685" s="3"/>
      <c r="T685" s="3"/>
      <c r="U685" s="3"/>
      <c r="V685" s="3"/>
      <c r="W685" s="3"/>
    </row>
    <row r="686" spans="1:23" ht="15.75" customHeight="1">
      <c r="A686" s="3"/>
      <c r="B686" s="3"/>
      <c r="C686" s="3"/>
      <c r="D686" s="3"/>
      <c r="E686" s="3"/>
      <c r="F686" s="3"/>
      <c r="G686" s="3"/>
      <c r="H686" s="3"/>
      <c r="I686" s="3"/>
      <c r="J686" s="3"/>
      <c r="K686" s="3"/>
      <c r="L686" s="3"/>
      <c r="M686" s="3"/>
      <c r="N686" s="3"/>
      <c r="O686" s="3"/>
      <c r="P686" s="3"/>
      <c r="Q686" s="3"/>
      <c r="R686" s="3"/>
      <c r="S686" s="3"/>
      <c r="T686" s="3"/>
      <c r="U686" s="3"/>
      <c r="V686" s="3"/>
      <c r="W686" s="3"/>
    </row>
    <row r="687" spans="1:23" ht="15.75" customHeight="1">
      <c r="A687" s="3"/>
      <c r="B687" s="3"/>
      <c r="C687" s="3"/>
      <c r="D687" s="3"/>
      <c r="E687" s="3"/>
      <c r="F687" s="3"/>
      <c r="G687" s="3"/>
      <c r="H687" s="3"/>
      <c r="I687" s="3"/>
      <c r="J687" s="3"/>
      <c r="K687" s="3"/>
      <c r="L687" s="3"/>
      <c r="M687" s="3"/>
      <c r="N687" s="3"/>
      <c r="O687" s="3"/>
      <c r="P687" s="3"/>
      <c r="Q687" s="3"/>
      <c r="R687" s="3"/>
      <c r="S687" s="3"/>
      <c r="T687" s="3"/>
      <c r="U687" s="3"/>
      <c r="V687" s="3"/>
      <c r="W687" s="3"/>
    </row>
    <row r="688" spans="1:23" ht="15.75" customHeight="1">
      <c r="A688" s="3"/>
      <c r="B688" s="3"/>
      <c r="C688" s="3"/>
      <c r="D688" s="3"/>
      <c r="E688" s="3"/>
      <c r="F688" s="3"/>
      <c r="G688" s="3"/>
      <c r="H688" s="3"/>
      <c r="I688" s="3"/>
      <c r="J688" s="3"/>
      <c r="K688" s="3"/>
      <c r="L688" s="3"/>
      <c r="M688" s="3"/>
      <c r="N688" s="3"/>
      <c r="O688" s="3"/>
      <c r="P688" s="3"/>
      <c r="Q688" s="3"/>
      <c r="R688" s="3"/>
      <c r="S688" s="3"/>
      <c r="T688" s="3"/>
      <c r="U688" s="3"/>
      <c r="V688" s="3"/>
      <c r="W688" s="3"/>
    </row>
    <row r="689" spans="1:23" ht="15.75" customHeight="1">
      <c r="A689" s="3"/>
      <c r="B689" s="3"/>
      <c r="C689" s="3"/>
      <c r="D689" s="3"/>
      <c r="E689" s="3"/>
      <c r="F689" s="3"/>
      <c r="G689" s="3"/>
      <c r="H689" s="3"/>
      <c r="I689" s="3"/>
      <c r="J689" s="3"/>
      <c r="K689" s="3"/>
      <c r="L689" s="3"/>
      <c r="M689" s="3"/>
      <c r="N689" s="3"/>
      <c r="O689" s="3"/>
      <c r="P689" s="3"/>
      <c r="Q689" s="3"/>
      <c r="R689" s="3"/>
      <c r="S689" s="3"/>
      <c r="T689" s="3"/>
      <c r="U689" s="3"/>
      <c r="V689" s="3"/>
      <c r="W689" s="3"/>
    </row>
    <row r="690" spans="1:23" ht="15.75" customHeight="1">
      <c r="A690" s="3"/>
      <c r="B690" s="3"/>
      <c r="C690" s="3"/>
      <c r="D690" s="3"/>
      <c r="E690" s="3"/>
      <c r="F690" s="3"/>
      <c r="G690" s="3"/>
      <c r="H690" s="3"/>
      <c r="I690" s="3"/>
      <c r="J690" s="3"/>
      <c r="K690" s="3"/>
      <c r="L690" s="3"/>
      <c r="M690" s="3"/>
      <c r="N690" s="3"/>
      <c r="O690" s="3"/>
      <c r="P690" s="3"/>
      <c r="Q690" s="3"/>
      <c r="R690" s="3"/>
      <c r="S690" s="3"/>
      <c r="T690" s="3"/>
      <c r="U690" s="3"/>
      <c r="V690" s="3"/>
      <c r="W690" s="3"/>
    </row>
    <row r="691" spans="1:23" ht="15.75" customHeight="1">
      <c r="A691" s="3"/>
      <c r="B691" s="3"/>
      <c r="C691" s="3"/>
      <c r="D691" s="3"/>
      <c r="E691" s="3"/>
      <c r="F691" s="3"/>
      <c r="G691" s="3"/>
      <c r="H691" s="3"/>
      <c r="I691" s="3"/>
      <c r="J691" s="3"/>
      <c r="K691" s="3"/>
      <c r="L691" s="3"/>
      <c r="M691" s="3"/>
      <c r="N691" s="3"/>
      <c r="O691" s="3"/>
      <c r="P691" s="3"/>
      <c r="Q691" s="3"/>
      <c r="R691" s="3"/>
      <c r="S691" s="3"/>
      <c r="T691" s="3"/>
      <c r="U691" s="3"/>
      <c r="V691" s="3"/>
      <c r="W691" s="3"/>
    </row>
    <row r="692" spans="1:23" ht="15.75" customHeight="1">
      <c r="A692" s="3"/>
      <c r="B692" s="3"/>
      <c r="C692" s="3"/>
      <c r="D692" s="3"/>
      <c r="E692" s="3"/>
      <c r="F692" s="3"/>
      <c r="G692" s="3"/>
      <c r="H692" s="3"/>
      <c r="I692" s="3"/>
      <c r="J692" s="3"/>
      <c r="K692" s="3"/>
      <c r="L692" s="3"/>
      <c r="M692" s="3"/>
      <c r="N692" s="3"/>
      <c r="O692" s="3"/>
      <c r="P692" s="3"/>
      <c r="Q692" s="3"/>
      <c r="R692" s="3"/>
      <c r="S692" s="3"/>
      <c r="T692" s="3"/>
      <c r="U692" s="3"/>
      <c r="V692" s="3"/>
      <c r="W692" s="3"/>
    </row>
    <row r="693" spans="1:23" ht="15.75" customHeight="1">
      <c r="A693" s="3"/>
      <c r="B693" s="3"/>
      <c r="C693" s="3"/>
      <c r="D693" s="3"/>
      <c r="E693" s="3"/>
      <c r="F693" s="3"/>
      <c r="G693" s="3"/>
      <c r="H693" s="3"/>
      <c r="I693" s="3"/>
      <c r="J693" s="3"/>
      <c r="K693" s="3"/>
      <c r="L693" s="3"/>
      <c r="M693" s="3"/>
      <c r="N693" s="3"/>
      <c r="O693" s="3"/>
      <c r="P693" s="3"/>
      <c r="Q693" s="3"/>
      <c r="R693" s="3"/>
      <c r="S693" s="3"/>
      <c r="T693" s="3"/>
      <c r="U693" s="3"/>
      <c r="V693" s="3"/>
      <c r="W693" s="3"/>
    </row>
    <row r="694" spans="1:23" ht="15.75" customHeight="1">
      <c r="A694" s="3"/>
      <c r="B694" s="3"/>
      <c r="C694" s="3"/>
      <c r="D694" s="3"/>
      <c r="E694" s="3"/>
      <c r="F694" s="3"/>
      <c r="G694" s="3"/>
      <c r="H694" s="3"/>
      <c r="I694" s="3"/>
      <c r="J694" s="3"/>
      <c r="K694" s="3"/>
      <c r="L694" s="3"/>
      <c r="M694" s="3"/>
      <c r="N694" s="3"/>
      <c r="O694" s="3"/>
      <c r="P694" s="3"/>
      <c r="Q694" s="3"/>
      <c r="R694" s="3"/>
      <c r="S694" s="3"/>
      <c r="T694" s="3"/>
      <c r="U694" s="3"/>
      <c r="V694" s="3"/>
      <c r="W694" s="3"/>
    </row>
    <row r="695" spans="1:23" ht="15.75" customHeight="1">
      <c r="A695" s="3"/>
      <c r="B695" s="3"/>
      <c r="C695" s="3"/>
      <c r="D695" s="3"/>
      <c r="E695" s="3"/>
      <c r="F695" s="3"/>
      <c r="G695" s="3"/>
      <c r="H695" s="3"/>
      <c r="I695" s="3"/>
      <c r="J695" s="3"/>
      <c r="K695" s="3"/>
      <c r="L695" s="3"/>
      <c r="M695" s="3"/>
      <c r="N695" s="3"/>
      <c r="O695" s="3"/>
      <c r="P695" s="3"/>
      <c r="Q695" s="3"/>
      <c r="R695" s="3"/>
      <c r="S695" s="3"/>
      <c r="T695" s="3"/>
      <c r="U695" s="3"/>
      <c r="V695" s="3"/>
      <c r="W695" s="3"/>
    </row>
    <row r="696" spans="1:23" ht="15.75" customHeight="1">
      <c r="A696" s="3"/>
      <c r="B696" s="3"/>
      <c r="C696" s="3"/>
      <c r="D696" s="3"/>
      <c r="E696" s="3"/>
      <c r="F696" s="3"/>
      <c r="G696" s="3"/>
      <c r="H696" s="3"/>
      <c r="I696" s="3"/>
      <c r="J696" s="3"/>
      <c r="K696" s="3"/>
      <c r="L696" s="3"/>
      <c r="M696" s="3"/>
      <c r="N696" s="3"/>
      <c r="O696" s="3"/>
      <c r="P696" s="3"/>
      <c r="Q696" s="3"/>
      <c r="R696" s="3"/>
      <c r="S696" s="3"/>
      <c r="T696" s="3"/>
      <c r="U696" s="3"/>
      <c r="V696" s="3"/>
      <c r="W696" s="3"/>
    </row>
    <row r="697" spans="1:23" ht="15.75" customHeight="1">
      <c r="A697" s="3"/>
      <c r="B697" s="3"/>
      <c r="C697" s="3"/>
      <c r="D697" s="3"/>
      <c r="E697" s="3"/>
      <c r="F697" s="3"/>
      <c r="G697" s="3"/>
      <c r="H697" s="3"/>
      <c r="I697" s="3"/>
      <c r="J697" s="3"/>
      <c r="K697" s="3"/>
      <c r="L697" s="3"/>
      <c r="M697" s="3"/>
      <c r="N697" s="3"/>
      <c r="O697" s="3"/>
      <c r="P697" s="3"/>
      <c r="Q697" s="3"/>
      <c r="R697" s="3"/>
      <c r="S697" s="3"/>
      <c r="T697" s="3"/>
      <c r="U697" s="3"/>
      <c r="V697" s="3"/>
      <c r="W697" s="3"/>
    </row>
    <row r="698" spans="1:23" ht="15.75" customHeight="1">
      <c r="A698" s="3"/>
      <c r="B698" s="3"/>
      <c r="C698" s="3"/>
      <c r="D698" s="3"/>
      <c r="E698" s="3"/>
      <c r="F698" s="3"/>
      <c r="G698" s="3"/>
      <c r="H698" s="3"/>
      <c r="I698" s="3"/>
      <c r="J698" s="3"/>
      <c r="K698" s="3"/>
      <c r="L698" s="3"/>
      <c r="M698" s="3"/>
      <c r="N698" s="3"/>
      <c r="O698" s="3"/>
      <c r="P698" s="3"/>
      <c r="Q698" s="3"/>
      <c r="R698" s="3"/>
      <c r="S698" s="3"/>
      <c r="T698" s="3"/>
      <c r="U698" s="3"/>
      <c r="V698" s="3"/>
      <c r="W698" s="3"/>
    </row>
    <row r="699" spans="1:23" ht="15.75" customHeight="1">
      <c r="A699" s="3"/>
      <c r="B699" s="3"/>
      <c r="C699" s="3"/>
      <c r="D699" s="3"/>
      <c r="E699" s="3"/>
      <c r="F699" s="3"/>
      <c r="G699" s="3"/>
      <c r="H699" s="3"/>
      <c r="I699" s="3"/>
      <c r="J699" s="3"/>
      <c r="K699" s="3"/>
      <c r="L699" s="3"/>
      <c r="M699" s="3"/>
      <c r="N699" s="3"/>
      <c r="O699" s="3"/>
      <c r="P699" s="3"/>
      <c r="Q699" s="3"/>
      <c r="R699" s="3"/>
      <c r="S699" s="3"/>
      <c r="T699" s="3"/>
      <c r="U699" s="3"/>
      <c r="V699" s="3"/>
      <c r="W699" s="3"/>
    </row>
    <row r="700" spans="1:23" ht="15.75" customHeight="1">
      <c r="A700" s="3"/>
      <c r="B700" s="3"/>
      <c r="C700" s="3"/>
      <c r="D700" s="3"/>
      <c r="E700" s="3"/>
      <c r="F700" s="3"/>
      <c r="G700" s="3"/>
      <c r="H700" s="3"/>
      <c r="I700" s="3"/>
      <c r="J700" s="3"/>
      <c r="K700" s="3"/>
      <c r="L700" s="3"/>
      <c r="M700" s="3"/>
      <c r="N700" s="3"/>
      <c r="O700" s="3"/>
      <c r="P700" s="3"/>
      <c r="Q700" s="3"/>
      <c r="R700" s="3"/>
      <c r="S700" s="3"/>
      <c r="T700" s="3"/>
      <c r="U700" s="3"/>
      <c r="V700" s="3"/>
      <c r="W700" s="3"/>
    </row>
    <row r="701" spans="1:23" ht="15.75" customHeight="1">
      <c r="A701" s="3"/>
      <c r="B701" s="3"/>
      <c r="C701" s="3"/>
      <c r="D701" s="3"/>
      <c r="E701" s="3"/>
      <c r="F701" s="3"/>
      <c r="G701" s="3"/>
      <c r="H701" s="3"/>
      <c r="I701" s="3"/>
      <c r="J701" s="3"/>
      <c r="K701" s="3"/>
      <c r="L701" s="3"/>
      <c r="M701" s="3"/>
      <c r="N701" s="3"/>
      <c r="O701" s="3"/>
      <c r="P701" s="3"/>
      <c r="Q701" s="3"/>
      <c r="R701" s="3"/>
      <c r="S701" s="3"/>
      <c r="T701" s="3"/>
      <c r="U701" s="3"/>
      <c r="V701" s="3"/>
      <c r="W701" s="3"/>
    </row>
    <row r="702" spans="1:23" ht="15.75" customHeight="1">
      <c r="A702" s="3"/>
      <c r="B702" s="3"/>
      <c r="C702" s="3"/>
      <c r="D702" s="3"/>
      <c r="E702" s="3"/>
      <c r="F702" s="3"/>
      <c r="G702" s="3"/>
      <c r="H702" s="3"/>
      <c r="I702" s="3"/>
      <c r="J702" s="3"/>
      <c r="K702" s="3"/>
      <c r="L702" s="3"/>
      <c r="M702" s="3"/>
      <c r="N702" s="3"/>
      <c r="O702" s="3"/>
      <c r="P702" s="3"/>
      <c r="Q702" s="3"/>
      <c r="R702" s="3"/>
      <c r="S702" s="3"/>
      <c r="T702" s="3"/>
      <c r="U702" s="3"/>
      <c r="V702" s="3"/>
      <c r="W702" s="3"/>
    </row>
    <row r="703" spans="1:23" ht="15.75" customHeight="1">
      <c r="A703" s="3"/>
      <c r="B703" s="3"/>
      <c r="C703" s="3"/>
      <c r="D703" s="3"/>
      <c r="E703" s="3"/>
      <c r="F703" s="3"/>
      <c r="G703" s="3"/>
      <c r="H703" s="3"/>
      <c r="I703" s="3"/>
      <c r="J703" s="3"/>
      <c r="K703" s="3"/>
      <c r="L703" s="3"/>
      <c r="M703" s="3"/>
      <c r="N703" s="3"/>
      <c r="O703" s="3"/>
      <c r="P703" s="3"/>
      <c r="Q703" s="3"/>
      <c r="R703" s="3"/>
      <c r="S703" s="3"/>
      <c r="T703" s="3"/>
      <c r="U703" s="3"/>
      <c r="V703" s="3"/>
      <c r="W703" s="3"/>
    </row>
    <row r="704" spans="1:23" ht="15.75" customHeight="1">
      <c r="A704" s="3"/>
      <c r="B704" s="3"/>
      <c r="C704" s="3"/>
      <c r="D704" s="3"/>
      <c r="E704" s="3"/>
      <c r="F704" s="3"/>
      <c r="G704" s="3"/>
      <c r="H704" s="3"/>
      <c r="I704" s="3"/>
      <c r="J704" s="3"/>
      <c r="K704" s="3"/>
      <c r="L704" s="3"/>
      <c r="M704" s="3"/>
      <c r="N704" s="3"/>
      <c r="O704" s="3"/>
      <c r="P704" s="3"/>
      <c r="Q704" s="3"/>
      <c r="R704" s="3"/>
      <c r="S704" s="3"/>
      <c r="T704" s="3"/>
      <c r="U704" s="3"/>
      <c r="V704" s="3"/>
      <c r="W704" s="3"/>
    </row>
    <row r="705" spans="1:23" ht="15.75" customHeight="1">
      <c r="A705" s="3"/>
      <c r="B705" s="3"/>
      <c r="C705" s="3"/>
      <c r="D705" s="3"/>
      <c r="E705" s="3"/>
      <c r="F705" s="3"/>
      <c r="G705" s="3"/>
      <c r="H705" s="3"/>
      <c r="I705" s="3"/>
      <c r="J705" s="3"/>
      <c r="K705" s="3"/>
      <c r="L705" s="3"/>
      <c r="M705" s="3"/>
      <c r="N705" s="3"/>
      <c r="O705" s="3"/>
      <c r="P705" s="3"/>
      <c r="Q705" s="3"/>
      <c r="R705" s="3"/>
      <c r="S705" s="3"/>
      <c r="T705" s="3"/>
      <c r="U705" s="3"/>
      <c r="V705" s="3"/>
      <c r="W705" s="3"/>
    </row>
    <row r="706" spans="1:23" ht="15.75" customHeight="1">
      <c r="A706" s="3"/>
      <c r="B706" s="3"/>
      <c r="C706" s="3"/>
      <c r="D706" s="3"/>
      <c r="E706" s="3"/>
      <c r="F706" s="3"/>
      <c r="G706" s="3"/>
      <c r="H706" s="3"/>
      <c r="I706" s="3"/>
      <c r="J706" s="3"/>
      <c r="K706" s="3"/>
      <c r="L706" s="3"/>
      <c r="M706" s="3"/>
      <c r="N706" s="3"/>
      <c r="O706" s="3"/>
      <c r="P706" s="3"/>
      <c r="Q706" s="3"/>
      <c r="R706" s="3"/>
      <c r="S706" s="3"/>
      <c r="T706" s="3"/>
      <c r="U706" s="3"/>
      <c r="V706" s="3"/>
      <c r="W706" s="3"/>
    </row>
    <row r="707" spans="1:23" ht="15.75" customHeight="1">
      <c r="A707" s="3"/>
      <c r="B707" s="3"/>
      <c r="C707" s="3"/>
      <c r="D707" s="3"/>
      <c r="E707" s="3"/>
      <c r="F707" s="3"/>
      <c r="G707" s="3"/>
      <c r="H707" s="3"/>
      <c r="I707" s="3"/>
      <c r="J707" s="3"/>
      <c r="K707" s="3"/>
      <c r="L707" s="3"/>
      <c r="M707" s="3"/>
      <c r="N707" s="3"/>
      <c r="O707" s="3"/>
      <c r="P707" s="3"/>
      <c r="Q707" s="3"/>
      <c r="R707" s="3"/>
      <c r="S707" s="3"/>
      <c r="T707" s="3"/>
      <c r="U707" s="3"/>
      <c r="V707" s="3"/>
      <c r="W707" s="3"/>
    </row>
    <row r="708" spans="1:23" ht="15.75" customHeight="1">
      <c r="A708" s="3"/>
      <c r="B708" s="3"/>
      <c r="C708" s="3"/>
      <c r="D708" s="3"/>
      <c r="E708" s="3"/>
      <c r="F708" s="3"/>
      <c r="G708" s="3"/>
      <c r="H708" s="3"/>
      <c r="I708" s="3"/>
      <c r="J708" s="3"/>
      <c r="K708" s="3"/>
      <c r="L708" s="3"/>
      <c r="M708" s="3"/>
      <c r="N708" s="3"/>
      <c r="O708" s="3"/>
      <c r="P708" s="3"/>
      <c r="Q708" s="3"/>
      <c r="R708" s="3"/>
      <c r="S708" s="3"/>
      <c r="T708" s="3"/>
      <c r="U708" s="3"/>
      <c r="V708" s="3"/>
      <c r="W708" s="3"/>
    </row>
    <row r="709" spans="1:23" ht="15.75" customHeight="1">
      <c r="A709" s="3"/>
      <c r="B709" s="3"/>
      <c r="C709" s="3"/>
      <c r="D709" s="3"/>
      <c r="E709" s="3"/>
      <c r="F709" s="3"/>
      <c r="G709" s="3"/>
      <c r="H709" s="3"/>
      <c r="I709" s="3"/>
      <c r="J709" s="3"/>
      <c r="K709" s="3"/>
      <c r="L709" s="3"/>
      <c r="M709" s="3"/>
      <c r="N709" s="3"/>
      <c r="O709" s="3"/>
      <c r="P709" s="3"/>
      <c r="Q709" s="3"/>
      <c r="R709" s="3"/>
      <c r="S709" s="3"/>
      <c r="T709" s="3"/>
      <c r="U709" s="3"/>
      <c r="V709" s="3"/>
      <c r="W709" s="3"/>
    </row>
    <row r="710" spans="1:23" ht="15.75" customHeight="1">
      <c r="A710" s="3"/>
      <c r="B710" s="3"/>
      <c r="C710" s="3"/>
      <c r="D710" s="3"/>
      <c r="E710" s="3"/>
      <c r="F710" s="3"/>
      <c r="G710" s="3"/>
      <c r="H710" s="3"/>
      <c r="I710" s="3"/>
      <c r="J710" s="3"/>
      <c r="K710" s="3"/>
      <c r="L710" s="3"/>
      <c r="M710" s="3"/>
      <c r="N710" s="3"/>
      <c r="O710" s="3"/>
      <c r="P710" s="3"/>
      <c r="Q710" s="3"/>
      <c r="R710" s="3"/>
      <c r="S710" s="3"/>
      <c r="T710" s="3"/>
      <c r="U710" s="3"/>
      <c r="V710" s="3"/>
      <c r="W710" s="3"/>
    </row>
    <row r="711" spans="1:23" ht="15.75" customHeight="1">
      <c r="A711" s="3"/>
      <c r="B711" s="3"/>
      <c r="C711" s="3"/>
      <c r="D711" s="3"/>
      <c r="E711" s="3"/>
      <c r="F711" s="3"/>
      <c r="G711" s="3"/>
      <c r="H711" s="3"/>
      <c r="I711" s="3"/>
      <c r="J711" s="3"/>
      <c r="K711" s="3"/>
      <c r="L711" s="3"/>
      <c r="M711" s="3"/>
      <c r="N711" s="3"/>
      <c r="O711" s="3"/>
      <c r="P711" s="3"/>
      <c r="Q711" s="3"/>
      <c r="R711" s="3"/>
      <c r="S711" s="3"/>
      <c r="T711" s="3"/>
      <c r="U711" s="3"/>
      <c r="V711" s="3"/>
      <c r="W711" s="3"/>
    </row>
    <row r="712" spans="1:23" ht="15.75" customHeight="1">
      <c r="A712" s="3"/>
      <c r="B712" s="3"/>
      <c r="C712" s="3"/>
      <c r="D712" s="3"/>
      <c r="E712" s="3"/>
      <c r="F712" s="3"/>
      <c r="G712" s="3"/>
      <c r="H712" s="3"/>
      <c r="I712" s="3"/>
      <c r="J712" s="3"/>
      <c r="K712" s="3"/>
      <c r="L712" s="3"/>
      <c r="M712" s="3"/>
      <c r="N712" s="3"/>
      <c r="O712" s="3"/>
      <c r="P712" s="3"/>
      <c r="Q712" s="3"/>
      <c r="R712" s="3"/>
      <c r="S712" s="3"/>
      <c r="T712" s="3"/>
      <c r="U712" s="3"/>
      <c r="V712" s="3"/>
      <c r="W712" s="3"/>
    </row>
    <row r="713" spans="1:23" ht="15.75" customHeight="1">
      <c r="A713" s="3"/>
      <c r="B713" s="3"/>
      <c r="C713" s="3"/>
      <c r="D713" s="3"/>
      <c r="E713" s="3"/>
      <c r="F713" s="3"/>
      <c r="G713" s="3"/>
      <c r="H713" s="3"/>
      <c r="I713" s="3"/>
      <c r="J713" s="3"/>
      <c r="K713" s="3"/>
      <c r="L713" s="3"/>
      <c r="M713" s="3"/>
      <c r="N713" s="3"/>
      <c r="O713" s="3"/>
      <c r="P713" s="3"/>
      <c r="Q713" s="3"/>
      <c r="R713" s="3"/>
      <c r="S713" s="3"/>
      <c r="T713" s="3"/>
      <c r="U713" s="3"/>
      <c r="V713" s="3"/>
      <c r="W713" s="3"/>
    </row>
    <row r="714" spans="1:23" ht="15.75" customHeight="1">
      <c r="A714" s="3"/>
      <c r="B714" s="3"/>
      <c r="C714" s="3"/>
      <c r="D714" s="3"/>
      <c r="E714" s="3"/>
      <c r="F714" s="3"/>
      <c r="G714" s="3"/>
      <c r="H714" s="3"/>
      <c r="I714" s="3"/>
      <c r="J714" s="3"/>
      <c r="K714" s="3"/>
      <c r="L714" s="3"/>
      <c r="M714" s="3"/>
      <c r="N714" s="3"/>
      <c r="O714" s="3"/>
      <c r="P714" s="3"/>
      <c r="Q714" s="3"/>
      <c r="R714" s="3"/>
      <c r="S714" s="3"/>
      <c r="T714" s="3"/>
      <c r="U714" s="3"/>
      <c r="V714" s="3"/>
      <c r="W714" s="3"/>
    </row>
    <row r="715" spans="1:23" ht="15.75" customHeight="1">
      <c r="A715" s="3"/>
      <c r="B715" s="3"/>
      <c r="C715" s="3"/>
      <c r="D715" s="3"/>
      <c r="E715" s="3"/>
      <c r="F715" s="3"/>
      <c r="G715" s="3"/>
      <c r="H715" s="3"/>
      <c r="I715" s="3"/>
      <c r="J715" s="3"/>
      <c r="K715" s="3"/>
      <c r="L715" s="3"/>
      <c r="M715" s="3"/>
      <c r="N715" s="3"/>
      <c r="O715" s="3"/>
      <c r="P715" s="3"/>
      <c r="Q715" s="3"/>
      <c r="R715" s="3"/>
      <c r="S715" s="3"/>
      <c r="T715" s="3"/>
      <c r="U715" s="3"/>
      <c r="V715" s="3"/>
      <c r="W715" s="3"/>
    </row>
    <row r="716" spans="1:23" ht="15.75" customHeight="1">
      <c r="A716" s="3"/>
      <c r="B716" s="3"/>
      <c r="C716" s="3"/>
      <c r="D716" s="3"/>
      <c r="E716" s="3"/>
      <c r="F716" s="3"/>
      <c r="G716" s="3"/>
      <c r="H716" s="3"/>
      <c r="I716" s="3"/>
      <c r="J716" s="3"/>
      <c r="K716" s="3"/>
      <c r="L716" s="3"/>
      <c r="M716" s="3"/>
      <c r="N716" s="3"/>
      <c r="O716" s="3"/>
      <c r="P716" s="3"/>
      <c r="Q716" s="3"/>
      <c r="R716" s="3"/>
      <c r="S716" s="3"/>
      <c r="T716" s="3"/>
      <c r="U716" s="3"/>
      <c r="V716" s="3"/>
      <c r="W716" s="3"/>
    </row>
    <row r="717" spans="1:23" ht="15.75" customHeight="1">
      <c r="A717" s="3"/>
      <c r="B717" s="3"/>
      <c r="C717" s="3"/>
      <c r="D717" s="3"/>
      <c r="E717" s="3"/>
      <c r="F717" s="3"/>
      <c r="G717" s="3"/>
      <c r="H717" s="3"/>
      <c r="I717" s="3"/>
      <c r="J717" s="3"/>
      <c r="K717" s="3"/>
      <c r="L717" s="3"/>
      <c r="M717" s="3"/>
      <c r="N717" s="3"/>
      <c r="O717" s="3"/>
      <c r="P717" s="3"/>
      <c r="Q717" s="3"/>
      <c r="R717" s="3"/>
      <c r="S717" s="3"/>
      <c r="T717" s="3"/>
      <c r="U717" s="3"/>
      <c r="V717" s="3"/>
      <c r="W717" s="3"/>
    </row>
    <row r="718" spans="1:23" ht="15.75" customHeight="1">
      <c r="A718" s="3"/>
      <c r="B718" s="3"/>
      <c r="C718" s="3"/>
      <c r="D718" s="3"/>
      <c r="E718" s="3"/>
      <c r="F718" s="3"/>
      <c r="G718" s="3"/>
      <c r="H718" s="3"/>
      <c r="I718" s="3"/>
      <c r="J718" s="3"/>
      <c r="K718" s="3"/>
      <c r="L718" s="3"/>
      <c r="M718" s="3"/>
      <c r="N718" s="3"/>
      <c r="O718" s="3"/>
      <c r="P718" s="3"/>
      <c r="Q718" s="3"/>
      <c r="R718" s="3"/>
      <c r="S718" s="3"/>
      <c r="T718" s="3"/>
      <c r="U718" s="3"/>
      <c r="V718" s="3"/>
      <c r="W718" s="3"/>
    </row>
    <row r="719" spans="1:23" ht="15.75" customHeight="1">
      <c r="A719" s="3"/>
      <c r="B719" s="3"/>
      <c r="C719" s="3"/>
      <c r="D719" s="3"/>
      <c r="E719" s="3"/>
      <c r="F719" s="3"/>
      <c r="G719" s="3"/>
      <c r="H719" s="3"/>
      <c r="I719" s="3"/>
      <c r="J719" s="3"/>
      <c r="K719" s="3"/>
      <c r="L719" s="3"/>
      <c r="M719" s="3"/>
      <c r="N719" s="3"/>
      <c r="O719" s="3"/>
      <c r="P719" s="3"/>
      <c r="Q719" s="3"/>
      <c r="R719" s="3"/>
      <c r="S719" s="3"/>
      <c r="T719" s="3"/>
      <c r="U719" s="3"/>
      <c r="V719" s="3"/>
      <c r="W719" s="3"/>
    </row>
    <row r="720" spans="1:23" ht="15.75" customHeight="1">
      <c r="A720" s="3"/>
      <c r="B720" s="3"/>
      <c r="C720" s="3"/>
      <c r="D720" s="3"/>
      <c r="E720" s="3"/>
      <c r="F720" s="3"/>
      <c r="G720" s="3"/>
      <c r="H720" s="3"/>
      <c r="I720" s="3"/>
      <c r="J720" s="3"/>
      <c r="K720" s="3"/>
      <c r="L720" s="3"/>
      <c r="M720" s="3"/>
      <c r="N720" s="3"/>
      <c r="O720" s="3"/>
      <c r="P720" s="3"/>
      <c r="Q720" s="3"/>
      <c r="R720" s="3"/>
      <c r="S720" s="3"/>
      <c r="T720" s="3"/>
      <c r="U720" s="3"/>
      <c r="V720" s="3"/>
      <c r="W720" s="3"/>
    </row>
    <row r="721" spans="1:23" ht="15.75" customHeight="1">
      <c r="A721" s="3"/>
      <c r="B721" s="3"/>
      <c r="C721" s="3"/>
      <c r="D721" s="3"/>
      <c r="E721" s="3"/>
      <c r="F721" s="3"/>
      <c r="G721" s="3"/>
      <c r="H721" s="3"/>
      <c r="I721" s="3"/>
      <c r="J721" s="3"/>
      <c r="K721" s="3"/>
      <c r="L721" s="3"/>
      <c r="M721" s="3"/>
      <c r="N721" s="3"/>
      <c r="O721" s="3"/>
      <c r="P721" s="3"/>
      <c r="Q721" s="3"/>
      <c r="R721" s="3"/>
      <c r="S721" s="3"/>
      <c r="T721" s="3"/>
      <c r="U721" s="3"/>
      <c r="V721" s="3"/>
      <c r="W721" s="3"/>
    </row>
    <row r="722" spans="1:23" ht="15.75" customHeight="1">
      <c r="A722" s="3"/>
      <c r="B722" s="3"/>
      <c r="C722" s="3"/>
      <c r="D722" s="3"/>
      <c r="E722" s="3"/>
      <c r="F722" s="3"/>
      <c r="G722" s="3"/>
      <c r="H722" s="3"/>
      <c r="I722" s="3"/>
      <c r="J722" s="3"/>
      <c r="K722" s="3"/>
      <c r="L722" s="3"/>
      <c r="M722" s="3"/>
      <c r="N722" s="3"/>
      <c r="O722" s="3"/>
      <c r="P722" s="3"/>
      <c r="Q722" s="3"/>
      <c r="R722" s="3"/>
      <c r="S722" s="3"/>
      <c r="T722" s="3"/>
      <c r="U722" s="3"/>
      <c r="V722" s="3"/>
      <c r="W722" s="3"/>
    </row>
    <row r="723" spans="1:23" ht="15.75" customHeight="1">
      <c r="A723" s="3"/>
      <c r="B723" s="3"/>
      <c r="C723" s="3"/>
      <c r="D723" s="3"/>
      <c r="E723" s="3"/>
      <c r="F723" s="3"/>
      <c r="G723" s="3"/>
      <c r="H723" s="3"/>
      <c r="I723" s="3"/>
      <c r="J723" s="3"/>
      <c r="K723" s="3"/>
      <c r="L723" s="3"/>
      <c r="M723" s="3"/>
      <c r="N723" s="3"/>
      <c r="O723" s="3"/>
      <c r="P723" s="3"/>
      <c r="Q723" s="3"/>
      <c r="R723" s="3"/>
      <c r="S723" s="3"/>
      <c r="T723" s="3"/>
      <c r="U723" s="3"/>
      <c r="V723" s="3"/>
      <c r="W723" s="3"/>
    </row>
    <row r="724" spans="1:23" ht="15.75" customHeight="1">
      <c r="A724" s="3"/>
      <c r="B724" s="3"/>
      <c r="C724" s="3"/>
      <c r="D724" s="3"/>
      <c r="E724" s="3"/>
      <c r="F724" s="3"/>
      <c r="G724" s="3"/>
      <c r="H724" s="3"/>
      <c r="I724" s="3"/>
      <c r="J724" s="3"/>
      <c r="K724" s="3"/>
      <c r="L724" s="3"/>
      <c r="M724" s="3"/>
      <c r="N724" s="3"/>
      <c r="O724" s="3"/>
      <c r="P724" s="3"/>
      <c r="Q724" s="3"/>
      <c r="R724" s="3"/>
      <c r="S724" s="3"/>
      <c r="T724" s="3"/>
      <c r="U724" s="3"/>
      <c r="V724" s="3"/>
      <c r="W724" s="3"/>
    </row>
    <row r="725" spans="1:23" ht="15.75" customHeight="1">
      <c r="A725" s="3"/>
      <c r="B725" s="3"/>
      <c r="C725" s="3"/>
      <c r="D725" s="3"/>
      <c r="E725" s="3"/>
      <c r="F725" s="3"/>
      <c r="G725" s="3"/>
      <c r="H725" s="3"/>
      <c r="I725" s="3"/>
      <c r="J725" s="3"/>
      <c r="K725" s="3"/>
      <c r="L725" s="3"/>
      <c r="M725" s="3"/>
      <c r="N725" s="3"/>
      <c r="O725" s="3"/>
      <c r="P725" s="3"/>
      <c r="Q725" s="3"/>
      <c r="R725" s="3"/>
      <c r="S725" s="3"/>
      <c r="T725" s="3"/>
      <c r="U725" s="3"/>
      <c r="V725" s="3"/>
      <c r="W725" s="3"/>
    </row>
    <row r="726" spans="1:23" ht="15.75" customHeight="1">
      <c r="A726" s="3"/>
      <c r="B726" s="3"/>
      <c r="C726" s="3"/>
      <c r="D726" s="3"/>
      <c r="E726" s="3"/>
      <c r="F726" s="3"/>
      <c r="G726" s="3"/>
      <c r="H726" s="3"/>
      <c r="I726" s="3"/>
      <c r="J726" s="3"/>
      <c r="K726" s="3"/>
      <c r="L726" s="3"/>
      <c r="M726" s="3"/>
      <c r="N726" s="3"/>
      <c r="O726" s="3"/>
      <c r="P726" s="3"/>
      <c r="Q726" s="3"/>
      <c r="R726" s="3"/>
      <c r="S726" s="3"/>
      <c r="T726" s="3"/>
      <c r="U726" s="3"/>
      <c r="V726" s="3"/>
      <c r="W726" s="3"/>
    </row>
    <row r="727" spans="1:23" ht="15.75" customHeight="1">
      <c r="A727" s="3"/>
      <c r="B727" s="3"/>
      <c r="C727" s="3"/>
      <c r="D727" s="3"/>
      <c r="E727" s="3"/>
      <c r="F727" s="3"/>
      <c r="G727" s="3"/>
      <c r="H727" s="3"/>
      <c r="I727" s="3"/>
      <c r="J727" s="3"/>
      <c r="K727" s="3"/>
      <c r="L727" s="3"/>
      <c r="M727" s="3"/>
      <c r="N727" s="3"/>
      <c r="O727" s="3"/>
      <c r="P727" s="3"/>
      <c r="Q727" s="3"/>
      <c r="R727" s="3"/>
      <c r="S727" s="3"/>
      <c r="T727" s="3"/>
      <c r="U727" s="3"/>
      <c r="V727" s="3"/>
      <c r="W727" s="3"/>
    </row>
    <row r="728" spans="1:23" ht="15.75" customHeight="1">
      <c r="A728" s="3"/>
      <c r="B728" s="3"/>
      <c r="C728" s="3"/>
      <c r="D728" s="3"/>
      <c r="E728" s="3"/>
      <c r="F728" s="3"/>
      <c r="G728" s="3"/>
      <c r="H728" s="3"/>
      <c r="I728" s="3"/>
      <c r="J728" s="3"/>
      <c r="K728" s="3"/>
      <c r="L728" s="3"/>
      <c r="M728" s="3"/>
      <c r="N728" s="3"/>
      <c r="O728" s="3"/>
      <c r="P728" s="3"/>
      <c r="Q728" s="3"/>
      <c r="R728" s="3"/>
      <c r="S728" s="3"/>
      <c r="T728" s="3"/>
      <c r="U728" s="3"/>
      <c r="V728" s="3"/>
      <c r="W728" s="3"/>
    </row>
    <row r="729" spans="1:23" ht="15.75" customHeight="1">
      <c r="A729" s="3"/>
      <c r="B729" s="3"/>
      <c r="C729" s="3"/>
      <c r="D729" s="3"/>
      <c r="E729" s="3"/>
      <c r="F729" s="3"/>
      <c r="G729" s="3"/>
      <c r="H729" s="3"/>
      <c r="I729" s="3"/>
      <c r="J729" s="3"/>
      <c r="K729" s="3"/>
      <c r="L729" s="3"/>
      <c r="M729" s="3"/>
      <c r="N729" s="3"/>
      <c r="O729" s="3"/>
      <c r="P729" s="3"/>
      <c r="Q729" s="3"/>
      <c r="R729" s="3"/>
      <c r="S729" s="3"/>
      <c r="T729" s="3"/>
      <c r="U729" s="3"/>
      <c r="V729" s="3"/>
      <c r="W729" s="3"/>
    </row>
    <row r="730" spans="1:23" ht="15.75" customHeight="1">
      <c r="A730" s="3"/>
      <c r="B730" s="3"/>
      <c r="C730" s="3"/>
      <c r="D730" s="3"/>
      <c r="E730" s="3"/>
      <c r="F730" s="3"/>
      <c r="G730" s="3"/>
      <c r="H730" s="3"/>
      <c r="I730" s="3"/>
      <c r="J730" s="3"/>
      <c r="K730" s="3"/>
      <c r="L730" s="3"/>
      <c r="M730" s="3"/>
      <c r="N730" s="3"/>
      <c r="O730" s="3"/>
      <c r="P730" s="3"/>
      <c r="Q730" s="3"/>
      <c r="R730" s="3"/>
      <c r="S730" s="3"/>
      <c r="T730" s="3"/>
      <c r="U730" s="3"/>
      <c r="V730" s="3"/>
      <c r="W730" s="3"/>
    </row>
    <row r="731" spans="1:23" ht="15.75" customHeight="1">
      <c r="A731" s="3"/>
      <c r="B731" s="3"/>
      <c r="C731" s="3"/>
      <c r="D731" s="3"/>
      <c r="E731" s="3"/>
      <c r="F731" s="3"/>
      <c r="G731" s="3"/>
      <c r="H731" s="3"/>
      <c r="I731" s="3"/>
      <c r="J731" s="3"/>
      <c r="K731" s="3"/>
      <c r="L731" s="3"/>
      <c r="M731" s="3"/>
      <c r="N731" s="3"/>
      <c r="O731" s="3"/>
      <c r="P731" s="3"/>
      <c r="Q731" s="3"/>
      <c r="R731" s="3"/>
      <c r="S731" s="3"/>
      <c r="T731" s="3"/>
      <c r="U731" s="3"/>
      <c r="V731" s="3"/>
      <c r="W731" s="3"/>
    </row>
    <row r="732" spans="1:23" ht="15.75" customHeight="1">
      <c r="A732" s="3"/>
      <c r="B732" s="3"/>
      <c r="C732" s="3"/>
      <c r="D732" s="3"/>
      <c r="E732" s="3"/>
      <c r="F732" s="3"/>
      <c r="G732" s="3"/>
      <c r="H732" s="3"/>
      <c r="I732" s="3"/>
      <c r="J732" s="3"/>
      <c r="K732" s="3"/>
      <c r="L732" s="3"/>
      <c r="M732" s="3"/>
      <c r="N732" s="3"/>
      <c r="O732" s="3"/>
      <c r="P732" s="3"/>
      <c r="Q732" s="3"/>
      <c r="R732" s="3"/>
      <c r="S732" s="3"/>
      <c r="T732" s="3"/>
      <c r="U732" s="3"/>
      <c r="V732" s="3"/>
      <c r="W732" s="3"/>
    </row>
    <row r="733" spans="1:23" ht="15.75" customHeight="1">
      <c r="A733" s="3"/>
      <c r="B733" s="3"/>
      <c r="C733" s="3"/>
      <c r="D733" s="3"/>
      <c r="E733" s="3"/>
      <c r="F733" s="3"/>
      <c r="G733" s="3"/>
      <c r="H733" s="3"/>
      <c r="I733" s="3"/>
      <c r="J733" s="3"/>
      <c r="K733" s="3"/>
      <c r="L733" s="3"/>
      <c r="M733" s="3"/>
      <c r="N733" s="3"/>
      <c r="O733" s="3"/>
      <c r="P733" s="3"/>
      <c r="Q733" s="3"/>
      <c r="R733" s="3"/>
      <c r="S733" s="3"/>
      <c r="T733" s="3"/>
      <c r="U733" s="3"/>
      <c r="V733" s="3"/>
      <c r="W733" s="3"/>
    </row>
    <row r="734" spans="1:23" ht="15.75" customHeight="1">
      <c r="A734" s="3"/>
      <c r="B734" s="3"/>
      <c r="C734" s="3"/>
      <c r="D734" s="3"/>
      <c r="E734" s="3"/>
      <c r="F734" s="3"/>
      <c r="G734" s="3"/>
      <c r="H734" s="3"/>
      <c r="I734" s="3"/>
      <c r="J734" s="3"/>
      <c r="K734" s="3"/>
      <c r="L734" s="3"/>
      <c r="M734" s="3"/>
      <c r="N734" s="3"/>
      <c r="O734" s="3"/>
      <c r="P734" s="3"/>
      <c r="Q734" s="3"/>
      <c r="R734" s="3"/>
      <c r="S734" s="3"/>
      <c r="T734" s="3"/>
      <c r="U734" s="3"/>
      <c r="V734" s="3"/>
      <c r="W734" s="3"/>
    </row>
    <row r="735" spans="1:23" ht="15.75" customHeight="1">
      <c r="A735" s="3"/>
      <c r="B735" s="3"/>
      <c r="C735" s="3"/>
      <c r="D735" s="3"/>
      <c r="E735" s="3"/>
      <c r="F735" s="3"/>
      <c r="G735" s="3"/>
      <c r="H735" s="3"/>
      <c r="I735" s="3"/>
      <c r="J735" s="3"/>
      <c r="K735" s="3"/>
      <c r="L735" s="3"/>
      <c r="M735" s="3"/>
      <c r="N735" s="3"/>
      <c r="O735" s="3"/>
      <c r="P735" s="3"/>
      <c r="Q735" s="3"/>
      <c r="R735" s="3"/>
      <c r="S735" s="3"/>
      <c r="T735" s="3"/>
      <c r="U735" s="3"/>
      <c r="V735" s="3"/>
      <c r="W735" s="3"/>
    </row>
    <row r="736" spans="1:23" ht="15.75" customHeight="1">
      <c r="A736" s="3"/>
      <c r="B736" s="3"/>
      <c r="C736" s="3"/>
      <c r="D736" s="3"/>
      <c r="E736" s="3"/>
      <c r="F736" s="3"/>
      <c r="G736" s="3"/>
      <c r="H736" s="3"/>
      <c r="I736" s="3"/>
      <c r="J736" s="3"/>
      <c r="K736" s="3"/>
      <c r="L736" s="3"/>
      <c r="M736" s="3"/>
      <c r="N736" s="3"/>
      <c r="O736" s="3"/>
      <c r="P736" s="3"/>
      <c r="Q736" s="3"/>
      <c r="R736" s="3"/>
      <c r="S736" s="3"/>
      <c r="T736" s="3"/>
      <c r="U736" s="3"/>
      <c r="V736" s="3"/>
      <c r="W736" s="3"/>
    </row>
    <row r="737" spans="1:23" ht="15.75" customHeight="1">
      <c r="A737" s="3"/>
      <c r="B737" s="3"/>
      <c r="C737" s="3"/>
      <c r="D737" s="3"/>
      <c r="E737" s="3"/>
      <c r="F737" s="3"/>
      <c r="G737" s="3"/>
      <c r="H737" s="3"/>
      <c r="I737" s="3"/>
      <c r="J737" s="3"/>
      <c r="K737" s="3"/>
      <c r="L737" s="3"/>
      <c r="M737" s="3"/>
      <c r="N737" s="3"/>
      <c r="O737" s="3"/>
      <c r="P737" s="3"/>
      <c r="Q737" s="3"/>
      <c r="R737" s="3"/>
      <c r="S737" s="3"/>
      <c r="T737" s="3"/>
      <c r="U737" s="3"/>
      <c r="V737" s="3"/>
      <c r="W737" s="3"/>
    </row>
    <row r="738" spans="1:23" ht="15.75" customHeight="1">
      <c r="A738" s="3"/>
      <c r="B738" s="3"/>
      <c r="C738" s="3"/>
      <c r="D738" s="3"/>
      <c r="E738" s="3"/>
      <c r="F738" s="3"/>
      <c r="G738" s="3"/>
      <c r="H738" s="3"/>
      <c r="I738" s="3"/>
      <c r="J738" s="3"/>
      <c r="K738" s="3"/>
      <c r="L738" s="3"/>
      <c r="M738" s="3"/>
      <c r="N738" s="3"/>
      <c r="O738" s="3"/>
      <c r="P738" s="3"/>
      <c r="Q738" s="3"/>
      <c r="R738" s="3"/>
      <c r="S738" s="3"/>
      <c r="T738" s="3"/>
      <c r="U738" s="3"/>
      <c r="V738" s="3"/>
      <c r="W738" s="3"/>
    </row>
    <row r="739" spans="1:23" ht="15.75" customHeight="1">
      <c r="A739" s="3"/>
      <c r="B739" s="3"/>
      <c r="C739" s="3"/>
      <c r="D739" s="3"/>
      <c r="E739" s="3"/>
      <c r="F739" s="3"/>
      <c r="G739" s="3"/>
      <c r="H739" s="3"/>
      <c r="I739" s="3"/>
      <c r="J739" s="3"/>
      <c r="K739" s="3"/>
      <c r="L739" s="3"/>
      <c r="M739" s="3"/>
      <c r="N739" s="3"/>
      <c r="O739" s="3"/>
      <c r="P739" s="3"/>
      <c r="Q739" s="3"/>
      <c r="R739" s="3"/>
      <c r="S739" s="3"/>
      <c r="T739" s="3"/>
      <c r="U739" s="3"/>
      <c r="V739" s="3"/>
      <c r="W739" s="3"/>
    </row>
    <row r="740" spans="1:23" ht="15.75" customHeight="1">
      <c r="A740" s="3"/>
      <c r="B740" s="3"/>
      <c r="C740" s="3"/>
      <c r="D740" s="3"/>
      <c r="E740" s="3"/>
      <c r="F740" s="3"/>
      <c r="G740" s="3"/>
      <c r="H740" s="3"/>
      <c r="I740" s="3"/>
      <c r="J740" s="3"/>
      <c r="K740" s="3"/>
      <c r="L740" s="3"/>
      <c r="M740" s="3"/>
      <c r="N740" s="3"/>
      <c r="O740" s="3"/>
      <c r="P740" s="3"/>
      <c r="Q740" s="3"/>
      <c r="R740" s="3"/>
      <c r="S740" s="3"/>
      <c r="T740" s="3"/>
      <c r="U740" s="3"/>
      <c r="V740" s="3"/>
      <c r="W740" s="3"/>
    </row>
    <row r="741" spans="1:23" ht="15.75" customHeight="1">
      <c r="A741" s="3"/>
      <c r="B741" s="3"/>
      <c r="C741" s="3"/>
      <c r="D741" s="3"/>
      <c r="E741" s="3"/>
      <c r="F741" s="3"/>
      <c r="G741" s="3"/>
      <c r="H741" s="3"/>
      <c r="I741" s="3"/>
      <c r="J741" s="3"/>
      <c r="K741" s="3"/>
      <c r="L741" s="3"/>
      <c r="M741" s="3"/>
      <c r="N741" s="3"/>
      <c r="O741" s="3"/>
      <c r="P741" s="3"/>
      <c r="Q741" s="3"/>
      <c r="R741" s="3"/>
      <c r="S741" s="3"/>
      <c r="T741" s="3"/>
      <c r="U741" s="3"/>
      <c r="V741" s="3"/>
      <c r="W741" s="3"/>
    </row>
    <row r="742" spans="1:23" ht="15.75" customHeight="1">
      <c r="A742" s="3"/>
      <c r="B742" s="3"/>
      <c r="C742" s="3"/>
      <c r="D742" s="3"/>
      <c r="E742" s="3"/>
      <c r="F742" s="3"/>
      <c r="G742" s="3"/>
      <c r="H742" s="3"/>
      <c r="I742" s="3"/>
      <c r="J742" s="3"/>
      <c r="K742" s="3"/>
      <c r="L742" s="3"/>
      <c r="M742" s="3"/>
      <c r="N742" s="3"/>
      <c r="O742" s="3"/>
      <c r="P742" s="3"/>
      <c r="Q742" s="3"/>
      <c r="R742" s="3"/>
      <c r="S742" s="3"/>
      <c r="T742" s="3"/>
      <c r="U742" s="3"/>
      <c r="V742" s="3"/>
      <c r="W742" s="3"/>
    </row>
    <row r="743" spans="1:23" ht="15.75" customHeight="1">
      <c r="A743" s="3"/>
      <c r="B743" s="3"/>
      <c r="C743" s="3"/>
      <c r="D743" s="3"/>
      <c r="E743" s="3"/>
      <c r="F743" s="3"/>
      <c r="G743" s="3"/>
      <c r="H743" s="3"/>
      <c r="I743" s="3"/>
      <c r="J743" s="3"/>
      <c r="K743" s="3"/>
      <c r="L743" s="3"/>
      <c r="M743" s="3"/>
      <c r="N743" s="3"/>
      <c r="O743" s="3"/>
      <c r="P743" s="3"/>
      <c r="Q743" s="3"/>
      <c r="R743" s="3"/>
      <c r="S743" s="3"/>
      <c r="T743" s="3"/>
      <c r="U743" s="3"/>
      <c r="V743" s="3"/>
      <c r="W743" s="3"/>
    </row>
    <row r="744" spans="1:23" ht="15.75" customHeight="1">
      <c r="A744" s="3"/>
      <c r="B744" s="3"/>
      <c r="C744" s="3"/>
      <c r="D744" s="3"/>
      <c r="E744" s="3"/>
      <c r="F744" s="3"/>
      <c r="G744" s="3"/>
      <c r="H744" s="3"/>
      <c r="I744" s="3"/>
      <c r="J744" s="3"/>
      <c r="K744" s="3"/>
      <c r="L744" s="3"/>
      <c r="M744" s="3"/>
      <c r="N744" s="3"/>
      <c r="O744" s="3"/>
      <c r="P744" s="3"/>
      <c r="Q744" s="3"/>
      <c r="R744" s="3"/>
      <c r="S744" s="3"/>
      <c r="T744" s="3"/>
      <c r="U744" s="3"/>
      <c r="V744" s="3"/>
      <c r="W744" s="3"/>
    </row>
    <row r="745" spans="1:23" ht="15.75" customHeight="1">
      <c r="A745" s="3"/>
      <c r="B745" s="3"/>
      <c r="C745" s="3"/>
      <c r="D745" s="3"/>
      <c r="E745" s="3"/>
      <c r="F745" s="3"/>
      <c r="G745" s="3"/>
      <c r="H745" s="3"/>
      <c r="I745" s="3"/>
      <c r="J745" s="3"/>
      <c r="K745" s="3"/>
      <c r="L745" s="3"/>
      <c r="M745" s="3"/>
      <c r="N745" s="3"/>
      <c r="O745" s="3"/>
      <c r="P745" s="3"/>
      <c r="Q745" s="3"/>
      <c r="R745" s="3"/>
      <c r="S745" s="3"/>
      <c r="T745" s="3"/>
      <c r="U745" s="3"/>
      <c r="V745" s="3"/>
      <c r="W745" s="3"/>
    </row>
    <row r="746" spans="1:23" ht="15.75" customHeight="1">
      <c r="A746" s="3"/>
      <c r="B746" s="3"/>
      <c r="C746" s="3"/>
      <c r="D746" s="3"/>
      <c r="E746" s="3"/>
      <c r="F746" s="3"/>
      <c r="G746" s="3"/>
      <c r="H746" s="3"/>
      <c r="I746" s="3"/>
      <c r="J746" s="3"/>
      <c r="K746" s="3"/>
      <c r="L746" s="3"/>
      <c r="M746" s="3"/>
      <c r="N746" s="3"/>
      <c r="O746" s="3"/>
      <c r="P746" s="3"/>
      <c r="Q746" s="3"/>
      <c r="R746" s="3"/>
      <c r="S746" s="3"/>
      <c r="T746" s="3"/>
      <c r="U746" s="3"/>
      <c r="V746" s="3"/>
      <c r="W746" s="3"/>
    </row>
    <row r="747" spans="1:23" ht="15.75" customHeight="1">
      <c r="A747" s="3"/>
      <c r="B747" s="3"/>
      <c r="C747" s="3"/>
      <c r="D747" s="3"/>
      <c r="E747" s="3"/>
      <c r="F747" s="3"/>
      <c r="G747" s="3"/>
      <c r="H747" s="3"/>
      <c r="I747" s="3"/>
      <c r="J747" s="3"/>
      <c r="K747" s="3"/>
      <c r="L747" s="3"/>
      <c r="M747" s="3"/>
      <c r="N747" s="3"/>
      <c r="O747" s="3"/>
      <c r="P747" s="3"/>
      <c r="Q747" s="3"/>
      <c r="R747" s="3"/>
      <c r="S747" s="3"/>
      <c r="T747" s="3"/>
      <c r="U747" s="3"/>
      <c r="V747" s="3"/>
      <c r="W747" s="3"/>
    </row>
    <row r="748" spans="1:23" ht="15.75" customHeight="1">
      <c r="A748" s="3"/>
      <c r="B748" s="3"/>
      <c r="C748" s="3"/>
      <c r="D748" s="3"/>
      <c r="E748" s="3"/>
      <c r="F748" s="3"/>
      <c r="G748" s="3"/>
      <c r="H748" s="3"/>
      <c r="I748" s="3"/>
      <c r="J748" s="3"/>
      <c r="K748" s="3"/>
      <c r="L748" s="3"/>
      <c r="M748" s="3"/>
      <c r="N748" s="3"/>
      <c r="O748" s="3"/>
      <c r="P748" s="3"/>
      <c r="Q748" s="3"/>
      <c r="R748" s="3"/>
      <c r="S748" s="3"/>
      <c r="T748" s="3"/>
      <c r="U748" s="3"/>
      <c r="V748" s="3"/>
      <c r="W748" s="3"/>
    </row>
    <row r="749" spans="1:23" ht="15.75" customHeight="1">
      <c r="A749" s="3"/>
      <c r="B749" s="3"/>
      <c r="C749" s="3"/>
      <c r="D749" s="3"/>
      <c r="E749" s="3"/>
      <c r="F749" s="3"/>
      <c r="G749" s="3"/>
      <c r="H749" s="3"/>
      <c r="I749" s="3"/>
      <c r="J749" s="3"/>
      <c r="K749" s="3"/>
      <c r="L749" s="3"/>
      <c r="M749" s="3"/>
      <c r="N749" s="3"/>
      <c r="O749" s="3"/>
      <c r="P749" s="3"/>
      <c r="Q749" s="3"/>
      <c r="R749" s="3"/>
      <c r="S749" s="3"/>
      <c r="T749" s="3"/>
      <c r="U749" s="3"/>
      <c r="V749" s="3"/>
      <c r="W749" s="3"/>
    </row>
    <row r="750" spans="1:23" ht="15.75" customHeight="1">
      <c r="A750" s="3"/>
      <c r="B750" s="3"/>
      <c r="C750" s="3"/>
      <c r="D750" s="3"/>
      <c r="E750" s="3"/>
      <c r="F750" s="3"/>
      <c r="G750" s="3"/>
      <c r="H750" s="3"/>
      <c r="I750" s="3"/>
      <c r="J750" s="3"/>
      <c r="K750" s="3"/>
      <c r="L750" s="3"/>
      <c r="M750" s="3"/>
      <c r="N750" s="3"/>
      <c r="O750" s="3"/>
      <c r="P750" s="3"/>
      <c r="Q750" s="3"/>
      <c r="R750" s="3"/>
      <c r="S750" s="3"/>
      <c r="T750" s="3"/>
      <c r="U750" s="3"/>
      <c r="V750" s="3"/>
      <c r="W750" s="3"/>
    </row>
    <row r="751" spans="1:23" ht="15.75" customHeight="1">
      <c r="A751" s="3"/>
      <c r="B751" s="3"/>
      <c r="C751" s="3"/>
      <c r="D751" s="3"/>
      <c r="E751" s="3"/>
      <c r="F751" s="3"/>
      <c r="G751" s="3"/>
      <c r="H751" s="3"/>
      <c r="I751" s="3"/>
      <c r="J751" s="3"/>
      <c r="K751" s="3"/>
      <c r="L751" s="3"/>
      <c r="M751" s="3"/>
      <c r="N751" s="3"/>
      <c r="O751" s="3"/>
      <c r="P751" s="3"/>
      <c r="Q751" s="3"/>
      <c r="R751" s="3"/>
      <c r="S751" s="3"/>
      <c r="T751" s="3"/>
      <c r="U751" s="3"/>
      <c r="V751" s="3"/>
      <c r="W751" s="3"/>
    </row>
    <row r="752" spans="1:23" ht="15.75" customHeight="1">
      <c r="A752" s="3"/>
      <c r="B752" s="3"/>
      <c r="C752" s="3"/>
      <c r="D752" s="3"/>
      <c r="E752" s="3"/>
      <c r="F752" s="3"/>
      <c r="G752" s="3"/>
      <c r="H752" s="3"/>
      <c r="I752" s="3"/>
      <c r="J752" s="3"/>
      <c r="K752" s="3"/>
      <c r="L752" s="3"/>
      <c r="M752" s="3"/>
      <c r="N752" s="3"/>
      <c r="O752" s="3"/>
      <c r="P752" s="3"/>
      <c r="Q752" s="3"/>
      <c r="R752" s="3"/>
      <c r="S752" s="3"/>
      <c r="T752" s="3"/>
      <c r="U752" s="3"/>
      <c r="V752" s="3"/>
      <c r="W752" s="3"/>
    </row>
    <row r="753" spans="1:23" ht="15.75" customHeight="1">
      <c r="A753" s="3"/>
      <c r="B753" s="3"/>
      <c r="C753" s="3"/>
      <c r="D753" s="3"/>
      <c r="E753" s="3"/>
      <c r="F753" s="3"/>
      <c r="G753" s="3"/>
      <c r="H753" s="3"/>
      <c r="I753" s="3"/>
      <c r="J753" s="3"/>
      <c r="K753" s="3"/>
      <c r="L753" s="3"/>
      <c r="M753" s="3"/>
      <c r="N753" s="3"/>
      <c r="O753" s="3"/>
      <c r="P753" s="3"/>
      <c r="Q753" s="3"/>
      <c r="R753" s="3"/>
      <c r="S753" s="3"/>
      <c r="T753" s="3"/>
      <c r="U753" s="3"/>
      <c r="V753" s="3"/>
      <c r="W753" s="3"/>
    </row>
    <row r="754" spans="1:23" ht="15.75" customHeight="1">
      <c r="A754" s="3"/>
      <c r="B754" s="3"/>
      <c r="C754" s="3"/>
      <c r="D754" s="3"/>
      <c r="E754" s="3"/>
      <c r="F754" s="3"/>
      <c r="G754" s="3"/>
      <c r="H754" s="3"/>
      <c r="I754" s="3"/>
      <c r="J754" s="3"/>
      <c r="K754" s="3"/>
      <c r="L754" s="3"/>
      <c r="M754" s="3"/>
      <c r="N754" s="3"/>
      <c r="O754" s="3"/>
      <c r="P754" s="3"/>
      <c r="Q754" s="3"/>
      <c r="R754" s="3"/>
      <c r="S754" s="3"/>
      <c r="T754" s="3"/>
      <c r="U754" s="3"/>
      <c r="V754" s="3"/>
      <c r="W754" s="3"/>
    </row>
    <row r="755" spans="1:23" ht="15.75" customHeight="1">
      <c r="A755" s="3"/>
      <c r="B755" s="3"/>
      <c r="C755" s="3"/>
      <c r="D755" s="3"/>
      <c r="E755" s="3"/>
      <c r="F755" s="3"/>
      <c r="G755" s="3"/>
      <c r="H755" s="3"/>
      <c r="I755" s="3"/>
      <c r="J755" s="3"/>
      <c r="K755" s="3"/>
      <c r="L755" s="3"/>
      <c r="M755" s="3"/>
      <c r="N755" s="3"/>
      <c r="O755" s="3"/>
      <c r="P755" s="3"/>
      <c r="Q755" s="3"/>
      <c r="R755" s="3"/>
      <c r="S755" s="3"/>
      <c r="T755" s="3"/>
      <c r="U755" s="3"/>
      <c r="V755" s="3"/>
      <c r="W755" s="3"/>
    </row>
    <row r="756" spans="1:23" ht="15.75" customHeight="1">
      <c r="A756" s="3"/>
      <c r="B756" s="3"/>
      <c r="C756" s="3"/>
      <c r="D756" s="3"/>
      <c r="E756" s="3"/>
      <c r="F756" s="3"/>
      <c r="G756" s="3"/>
      <c r="H756" s="3"/>
      <c r="I756" s="3"/>
      <c r="J756" s="3"/>
      <c r="K756" s="3"/>
      <c r="L756" s="3"/>
      <c r="M756" s="3"/>
      <c r="N756" s="3"/>
      <c r="O756" s="3"/>
      <c r="P756" s="3"/>
      <c r="Q756" s="3"/>
      <c r="R756" s="3"/>
      <c r="S756" s="3"/>
      <c r="T756" s="3"/>
      <c r="U756" s="3"/>
      <c r="V756" s="3"/>
      <c r="W756" s="3"/>
    </row>
    <row r="757" spans="1:23" ht="15.75" customHeight="1">
      <c r="A757" s="3"/>
      <c r="B757" s="3"/>
      <c r="C757" s="3"/>
      <c r="D757" s="3"/>
      <c r="E757" s="3"/>
      <c r="F757" s="3"/>
      <c r="G757" s="3"/>
      <c r="H757" s="3"/>
      <c r="I757" s="3"/>
      <c r="J757" s="3"/>
      <c r="K757" s="3"/>
      <c r="L757" s="3"/>
      <c r="M757" s="3"/>
      <c r="N757" s="3"/>
      <c r="O757" s="3"/>
      <c r="P757" s="3"/>
      <c r="Q757" s="3"/>
      <c r="R757" s="3"/>
      <c r="S757" s="3"/>
      <c r="T757" s="3"/>
      <c r="U757" s="3"/>
      <c r="V757" s="3"/>
      <c r="W757" s="3"/>
    </row>
    <row r="758" spans="1:23" ht="15.75" customHeight="1">
      <c r="A758" s="3"/>
      <c r="B758" s="3"/>
      <c r="C758" s="3"/>
      <c r="D758" s="3"/>
      <c r="E758" s="3"/>
      <c r="F758" s="3"/>
      <c r="G758" s="3"/>
      <c r="H758" s="3"/>
      <c r="I758" s="3"/>
      <c r="J758" s="3"/>
      <c r="K758" s="3"/>
      <c r="L758" s="3"/>
      <c r="M758" s="3"/>
      <c r="N758" s="3"/>
      <c r="O758" s="3"/>
      <c r="P758" s="3"/>
      <c r="Q758" s="3"/>
      <c r="R758" s="3"/>
      <c r="S758" s="3"/>
      <c r="T758" s="3"/>
      <c r="U758" s="3"/>
      <c r="V758" s="3"/>
      <c r="W758" s="3"/>
    </row>
    <row r="759" spans="1:23" ht="15.75" customHeight="1">
      <c r="A759" s="3"/>
      <c r="B759" s="3"/>
      <c r="C759" s="3"/>
      <c r="D759" s="3"/>
      <c r="E759" s="3"/>
      <c r="F759" s="3"/>
      <c r="G759" s="3"/>
      <c r="H759" s="3"/>
      <c r="I759" s="3"/>
      <c r="J759" s="3"/>
      <c r="K759" s="3"/>
      <c r="L759" s="3"/>
      <c r="M759" s="3"/>
      <c r="N759" s="3"/>
      <c r="O759" s="3"/>
      <c r="P759" s="3"/>
      <c r="Q759" s="3"/>
      <c r="R759" s="3"/>
      <c r="S759" s="3"/>
      <c r="T759" s="3"/>
      <c r="U759" s="3"/>
      <c r="V759" s="3"/>
      <c r="W759" s="3"/>
    </row>
    <row r="760" spans="1:23" ht="15.75" customHeight="1">
      <c r="A760" s="3"/>
      <c r="B760" s="3"/>
      <c r="C760" s="3"/>
      <c r="D760" s="3"/>
      <c r="E760" s="3"/>
      <c r="F760" s="3"/>
      <c r="G760" s="3"/>
      <c r="H760" s="3"/>
      <c r="I760" s="3"/>
      <c r="J760" s="3"/>
      <c r="K760" s="3"/>
      <c r="L760" s="3"/>
      <c r="M760" s="3"/>
      <c r="N760" s="3"/>
      <c r="O760" s="3"/>
      <c r="P760" s="3"/>
      <c r="Q760" s="3"/>
      <c r="R760" s="3"/>
      <c r="S760" s="3"/>
      <c r="T760" s="3"/>
      <c r="U760" s="3"/>
      <c r="V760" s="3"/>
      <c r="W760" s="3"/>
    </row>
    <row r="761" spans="1:23" ht="15.75" customHeight="1">
      <c r="A761" s="3"/>
      <c r="B761" s="3"/>
      <c r="C761" s="3"/>
      <c r="D761" s="3"/>
      <c r="E761" s="3"/>
      <c r="F761" s="3"/>
      <c r="G761" s="3"/>
      <c r="H761" s="3"/>
      <c r="I761" s="3"/>
      <c r="J761" s="3"/>
      <c r="K761" s="3"/>
      <c r="L761" s="3"/>
      <c r="M761" s="3"/>
      <c r="N761" s="3"/>
      <c r="O761" s="3"/>
      <c r="P761" s="3"/>
      <c r="Q761" s="3"/>
      <c r="R761" s="3"/>
      <c r="S761" s="3"/>
      <c r="T761" s="3"/>
      <c r="U761" s="3"/>
      <c r="V761" s="3"/>
      <c r="W761" s="3"/>
    </row>
    <row r="762" spans="1:23" ht="15.75" customHeight="1">
      <c r="A762" s="3"/>
      <c r="B762" s="3"/>
      <c r="C762" s="3"/>
      <c r="D762" s="3"/>
      <c r="E762" s="3"/>
      <c r="F762" s="3"/>
      <c r="G762" s="3"/>
      <c r="H762" s="3"/>
      <c r="I762" s="3"/>
      <c r="J762" s="3"/>
      <c r="K762" s="3"/>
      <c r="L762" s="3"/>
      <c r="M762" s="3"/>
      <c r="N762" s="3"/>
      <c r="O762" s="3"/>
      <c r="P762" s="3"/>
      <c r="Q762" s="3"/>
      <c r="R762" s="3"/>
      <c r="S762" s="3"/>
      <c r="T762" s="3"/>
      <c r="U762" s="3"/>
      <c r="V762" s="3"/>
      <c r="W762" s="3"/>
    </row>
    <row r="763" spans="1:23" ht="15.75" customHeight="1">
      <c r="A763" s="3"/>
      <c r="B763" s="3"/>
      <c r="C763" s="3"/>
      <c r="D763" s="3"/>
      <c r="E763" s="3"/>
      <c r="F763" s="3"/>
      <c r="G763" s="3"/>
      <c r="H763" s="3"/>
      <c r="I763" s="3"/>
      <c r="J763" s="3"/>
      <c r="K763" s="3"/>
      <c r="L763" s="3"/>
      <c r="M763" s="3"/>
      <c r="N763" s="3"/>
      <c r="O763" s="3"/>
      <c r="P763" s="3"/>
      <c r="Q763" s="3"/>
      <c r="R763" s="3"/>
      <c r="S763" s="3"/>
      <c r="T763" s="3"/>
      <c r="U763" s="3"/>
      <c r="V763" s="3"/>
      <c r="W763" s="3"/>
    </row>
    <row r="764" spans="1:23" ht="15.75" customHeight="1">
      <c r="A764" s="3"/>
      <c r="B764" s="3"/>
      <c r="C764" s="3"/>
      <c r="D764" s="3"/>
      <c r="E764" s="3"/>
      <c r="F764" s="3"/>
      <c r="G764" s="3"/>
      <c r="H764" s="3"/>
      <c r="I764" s="3"/>
      <c r="J764" s="3"/>
      <c r="K764" s="3"/>
      <c r="L764" s="3"/>
      <c r="M764" s="3"/>
      <c r="N764" s="3"/>
      <c r="O764" s="3"/>
      <c r="P764" s="3"/>
      <c r="Q764" s="3"/>
      <c r="R764" s="3"/>
      <c r="S764" s="3"/>
      <c r="T764" s="3"/>
      <c r="U764" s="3"/>
      <c r="V764" s="3"/>
      <c r="W764" s="3"/>
    </row>
    <row r="765" spans="1:23" ht="15.75" customHeight="1">
      <c r="A765" s="3"/>
      <c r="B765" s="3"/>
      <c r="C765" s="3"/>
      <c r="D765" s="3"/>
      <c r="E765" s="3"/>
      <c r="F765" s="3"/>
      <c r="G765" s="3"/>
      <c r="H765" s="3"/>
      <c r="I765" s="3"/>
      <c r="J765" s="3"/>
      <c r="K765" s="3"/>
      <c r="L765" s="3"/>
      <c r="M765" s="3"/>
      <c r="N765" s="3"/>
      <c r="O765" s="3"/>
      <c r="P765" s="3"/>
      <c r="Q765" s="3"/>
      <c r="R765" s="3"/>
      <c r="S765" s="3"/>
      <c r="T765" s="3"/>
      <c r="U765" s="3"/>
      <c r="V765" s="3"/>
      <c r="W765" s="3"/>
    </row>
    <row r="766" spans="1:23" ht="15.75" customHeight="1">
      <c r="A766" s="3"/>
      <c r="B766" s="3"/>
      <c r="C766" s="3"/>
      <c r="D766" s="3"/>
      <c r="E766" s="3"/>
      <c r="F766" s="3"/>
      <c r="G766" s="3"/>
      <c r="H766" s="3"/>
      <c r="I766" s="3"/>
      <c r="J766" s="3"/>
      <c r="K766" s="3"/>
      <c r="L766" s="3"/>
      <c r="M766" s="3"/>
      <c r="N766" s="3"/>
      <c r="O766" s="3"/>
      <c r="P766" s="3"/>
      <c r="Q766" s="3"/>
      <c r="R766" s="3"/>
      <c r="S766" s="3"/>
      <c r="T766" s="3"/>
      <c r="U766" s="3"/>
      <c r="V766" s="3"/>
      <c r="W766" s="3"/>
    </row>
    <row r="767" spans="1:23" ht="15.75" customHeight="1">
      <c r="A767" s="3"/>
      <c r="B767" s="3"/>
      <c r="C767" s="3"/>
      <c r="D767" s="3"/>
      <c r="E767" s="3"/>
      <c r="F767" s="3"/>
      <c r="G767" s="3"/>
      <c r="H767" s="3"/>
      <c r="I767" s="3"/>
      <c r="J767" s="3"/>
      <c r="K767" s="3"/>
      <c r="L767" s="3"/>
      <c r="M767" s="3"/>
      <c r="N767" s="3"/>
      <c r="O767" s="3"/>
      <c r="P767" s="3"/>
      <c r="Q767" s="3"/>
      <c r="R767" s="3"/>
      <c r="S767" s="3"/>
      <c r="T767" s="3"/>
      <c r="U767" s="3"/>
      <c r="V767" s="3"/>
      <c r="W767" s="3"/>
    </row>
    <row r="768" spans="1:23" ht="15.75" customHeight="1">
      <c r="A768" s="3"/>
      <c r="B768" s="3"/>
      <c r="C768" s="3"/>
      <c r="D768" s="3"/>
      <c r="E768" s="3"/>
      <c r="F768" s="3"/>
      <c r="G768" s="3"/>
      <c r="H768" s="3"/>
      <c r="I768" s="3"/>
      <c r="J768" s="3"/>
      <c r="K768" s="3"/>
      <c r="L768" s="3"/>
      <c r="M768" s="3"/>
      <c r="N768" s="3"/>
      <c r="O768" s="3"/>
      <c r="P768" s="3"/>
      <c r="Q768" s="3"/>
      <c r="R768" s="3"/>
      <c r="S768" s="3"/>
      <c r="T768" s="3"/>
      <c r="U768" s="3"/>
      <c r="V768" s="3"/>
      <c r="W768" s="3"/>
    </row>
    <row r="769" spans="1:23" ht="15.75" customHeight="1">
      <c r="A769" s="3"/>
      <c r="B769" s="3"/>
      <c r="C769" s="3"/>
      <c r="D769" s="3"/>
      <c r="E769" s="3"/>
      <c r="F769" s="3"/>
      <c r="G769" s="3"/>
      <c r="H769" s="3"/>
      <c r="I769" s="3"/>
      <c r="J769" s="3"/>
      <c r="K769" s="3"/>
      <c r="L769" s="3"/>
      <c r="M769" s="3"/>
      <c r="N769" s="3"/>
      <c r="O769" s="3"/>
      <c r="P769" s="3"/>
      <c r="Q769" s="3"/>
      <c r="R769" s="3"/>
      <c r="S769" s="3"/>
      <c r="T769" s="3"/>
      <c r="U769" s="3"/>
      <c r="V769" s="3"/>
      <c r="W769" s="3"/>
    </row>
    <row r="770" spans="1:23" ht="15.75" customHeight="1">
      <c r="A770" s="3"/>
      <c r="B770" s="3"/>
      <c r="C770" s="3"/>
      <c r="D770" s="3"/>
      <c r="E770" s="3"/>
      <c r="F770" s="3"/>
      <c r="G770" s="3"/>
      <c r="H770" s="3"/>
      <c r="I770" s="3"/>
      <c r="J770" s="3"/>
      <c r="K770" s="3"/>
      <c r="L770" s="3"/>
      <c r="M770" s="3"/>
      <c r="N770" s="3"/>
      <c r="O770" s="3"/>
      <c r="P770" s="3"/>
      <c r="Q770" s="3"/>
      <c r="R770" s="3"/>
      <c r="S770" s="3"/>
      <c r="T770" s="3"/>
      <c r="U770" s="3"/>
      <c r="V770" s="3"/>
      <c r="W770" s="3"/>
    </row>
    <row r="771" spans="1:23" ht="15.75" customHeight="1">
      <c r="A771" s="3"/>
      <c r="B771" s="3"/>
      <c r="C771" s="3"/>
      <c r="D771" s="3"/>
      <c r="E771" s="3"/>
      <c r="F771" s="3"/>
      <c r="G771" s="3"/>
      <c r="H771" s="3"/>
      <c r="I771" s="3"/>
      <c r="J771" s="3"/>
      <c r="K771" s="3"/>
      <c r="L771" s="3"/>
      <c r="M771" s="3"/>
      <c r="N771" s="3"/>
      <c r="O771" s="3"/>
      <c r="P771" s="3"/>
      <c r="Q771" s="3"/>
      <c r="R771" s="3"/>
      <c r="S771" s="3"/>
      <c r="T771" s="3"/>
      <c r="U771" s="3"/>
      <c r="V771" s="3"/>
      <c r="W771" s="3"/>
    </row>
    <row r="772" spans="1:23" ht="15.75" customHeight="1">
      <c r="A772" s="3"/>
      <c r="B772" s="3"/>
      <c r="C772" s="3"/>
      <c r="D772" s="3"/>
      <c r="E772" s="3"/>
      <c r="F772" s="3"/>
      <c r="G772" s="3"/>
      <c r="H772" s="3"/>
      <c r="I772" s="3"/>
      <c r="J772" s="3"/>
      <c r="K772" s="3"/>
      <c r="L772" s="3"/>
      <c r="M772" s="3"/>
      <c r="N772" s="3"/>
      <c r="O772" s="3"/>
      <c r="P772" s="3"/>
      <c r="Q772" s="3"/>
      <c r="R772" s="3"/>
      <c r="S772" s="3"/>
      <c r="T772" s="3"/>
      <c r="U772" s="3"/>
      <c r="V772" s="3"/>
      <c r="W772" s="3"/>
    </row>
    <row r="773" spans="1:23" ht="15.75" customHeight="1">
      <c r="A773" s="3"/>
      <c r="B773" s="3"/>
      <c r="C773" s="3"/>
      <c r="D773" s="3"/>
      <c r="E773" s="3"/>
      <c r="F773" s="3"/>
      <c r="G773" s="3"/>
      <c r="H773" s="3"/>
      <c r="I773" s="3"/>
      <c r="J773" s="3"/>
      <c r="K773" s="3"/>
      <c r="L773" s="3"/>
      <c r="M773" s="3"/>
      <c r="N773" s="3"/>
      <c r="O773" s="3"/>
      <c r="P773" s="3"/>
      <c r="Q773" s="3"/>
      <c r="R773" s="3"/>
      <c r="S773" s="3"/>
      <c r="T773" s="3"/>
      <c r="U773" s="3"/>
      <c r="V773" s="3"/>
      <c r="W773" s="3"/>
    </row>
    <row r="774" spans="1:23" ht="15.75" customHeight="1">
      <c r="A774" s="3"/>
      <c r="B774" s="3"/>
      <c r="C774" s="3"/>
      <c r="D774" s="3"/>
      <c r="E774" s="3"/>
      <c r="F774" s="3"/>
      <c r="G774" s="3"/>
      <c r="H774" s="3"/>
      <c r="I774" s="3"/>
      <c r="J774" s="3"/>
      <c r="K774" s="3"/>
      <c r="L774" s="3"/>
      <c r="M774" s="3"/>
      <c r="N774" s="3"/>
      <c r="O774" s="3"/>
      <c r="P774" s="3"/>
      <c r="Q774" s="3"/>
      <c r="R774" s="3"/>
      <c r="S774" s="3"/>
      <c r="T774" s="3"/>
      <c r="U774" s="3"/>
      <c r="V774" s="3"/>
      <c r="W774" s="3"/>
    </row>
    <row r="775" spans="1:23" ht="15.75" customHeight="1">
      <c r="A775" s="3"/>
      <c r="B775" s="3"/>
      <c r="C775" s="3"/>
      <c r="D775" s="3"/>
      <c r="E775" s="3"/>
      <c r="F775" s="3"/>
      <c r="G775" s="3"/>
      <c r="H775" s="3"/>
      <c r="I775" s="3"/>
      <c r="J775" s="3"/>
      <c r="K775" s="3"/>
      <c r="L775" s="3"/>
      <c r="M775" s="3"/>
      <c r="N775" s="3"/>
      <c r="O775" s="3"/>
      <c r="P775" s="3"/>
      <c r="Q775" s="3"/>
      <c r="R775" s="3"/>
      <c r="S775" s="3"/>
      <c r="T775" s="3"/>
      <c r="U775" s="3"/>
      <c r="V775" s="3"/>
      <c r="W775" s="3"/>
    </row>
    <row r="776" spans="1:23" ht="15.75" customHeight="1">
      <c r="A776" s="3"/>
      <c r="B776" s="3"/>
      <c r="C776" s="3"/>
      <c r="D776" s="3"/>
      <c r="E776" s="3"/>
      <c r="F776" s="3"/>
      <c r="G776" s="3"/>
      <c r="H776" s="3"/>
      <c r="I776" s="3"/>
      <c r="J776" s="3"/>
      <c r="K776" s="3"/>
      <c r="L776" s="3"/>
      <c r="M776" s="3"/>
      <c r="N776" s="3"/>
      <c r="O776" s="3"/>
      <c r="P776" s="3"/>
      <c r="Q776" s="3"/>
      <c r="R776" s="3"/>
      <c r="S776" s="3"/>
      <c r="T776" s="3"/>
      <c r="U776" s="3"/>
      <c r="V776" s="3"/>
      <c r="W776" s="3"/>
    </row>
    <row r="777" spans="1:23" ht="15.75" customHeight="1">
      <c r="A777" s="3"/>
      <c r="B777" s="3"/>
      <c r="C777" s="3"/>
      <c r="D777" s="3"/>
      <c r="E777" s="3"/>
      <c r="F777" s="3"/>
      <c r="G777" s="3"/>
      <c r="H777" s="3"/>
      <c r="I777" s="3"/>
      <c r="J777" s="3"/>
      <c r="K777" s="3"/>
      <c r="L777" s="3"/>
      <c r="M777" s="3"/>
      <c r="N777" s="3"/>
      <c r="O777" s="3"/>
      <c r="P777" s="3"/>
      <c r="Q777" s="3"/>
      <c r="R777" s="3"/>
      <c r="S777" s="3"/>
      <c r="T777" s="3"/>
      <c r="U777" s="3"/>
      <c r="V777" s="3"/>
      <c r="W777" s="3"/>
    </row>
    <row r="778" spans="1:23" ht="15.75" customHeight="1">
      <c r="A778" s="3"/>
      <c r="B778" s="3"/>
      <c r="C778" s="3"/>
      <c r="D778" s="3"/>
      <c r="E778" s="3"/>
      <c r="F778" s="3"/>
      <c r="G778" s="3"/>
      <c r="H778" s="3"/>
      <c r="I778" s="3"/>
      <c r="J778" s="3"/>
      <c r="K778" s="3"/>
      <c r="L778" s="3"/>
      <c r="M778" s="3"/>
      <c r="N778" s="3"/>
      <c r="O778" s="3"/>
      <c r="P778" s="3"/>
      <c r="Q778" s="3"/>
      <c r="R778" s="3"/>
      <c r="S778" s="3"/>
      <c r="T778" s="3"/>
      <c r="U778" s="3"/>
      <c r="V778" s="3"/>
      <c r="W778" s="3"/>
    </row>
    <row r="779" spans="1:23" ht="15.75" customHeight="1">
      <c r="A779" s="3"/>
      <c r="B779" s="3"/>
      <c r="C779" s="3"/>
      <c r="D779" s="3"/>
      <c r="E779" s="3"/>
      <c r="F779" s="3"/>
      <c r="G779" s="3"/>
      <c r="H779" s="3"/>
      <c r="I779" s="3"/>
      <c r="J779" s="3"/>
      <c r="K779" s="3"/>
      <c r="L779" s="3"/>
      <c r="M779" s="3"/>
      <c r="N779" s="3"/>
      <c r="O779" s="3"/>
      <c r="P779" s="3"/>
      <c r="Q779" s="3"/>
      <c r="R779" s="3"/>
      <c r="S779" s="3"/>
      <c r="T779" s="3"/>
      <c r="U779" s="3"/>
      <c r="V779" s="3"/>
      <c r="W779" s="3"/>
    </row>
    <row r="780" spans="1:23" ht="15.75" customHeight="1">
      <c r="A780" s="3"/>
      <c r="B780" s="3"/>
      <c r="C780" s="3"/>
      <c r="D780" s="3"/>
      <c r="E780" s="3"/>
      <c r="F780" s="3"/>
      <c r="G780" s="3"/>
      <c r="H780" s="3"/>
      <c r="I780" s="3"/>
      <c r="J780" s="3"/>
      <c r="K780" s="3"/>
      <c r="L780" s="3"/>
      <c r="M780" s="3"/>
      <c r="N780" s="3"/>
      <c r="O780" s="3"/>
      <c r="P780" s="3"/>
      <c r="Q780" s="3"/>
      <c r="R780" s="3"/>
      <c r="S780" s="3"/>
      <c r="T780" s="3"/>
      <c r="U780" s="3"/>
      <c r="V780" s="3"/>
      <c r="W780" s="3"/>
    </row>
    <row r="781" spans="1:23" ht="15.75" customHeight="1">
      <c r="A781" s="3"/>
      <c r="B781" s="3"/>
      <c r="C781" s="3"/>
      <c r="D781" s="3"/>
      <c r="E781" s="3"/>
      <c r="F781" s="3"/>
      <c r="G781" s="3"/>
      <c r="H781" s="3"/>
      <c r="I781" s="3"/>
      <c r="J781" s="3"/>
      <c r="K781" s="3"/>
      <c r="L781" s="3"/>
      <c r="M781" s="3"/>
      <c r="N781" s="3"/>
      <c r="O781" s="3"/>
      <c r="P781" s="3"/>
      <c r="Q781" s="3"/>
      <c r="R781" s="3"/>
      <c r="S781" s="3"/>
      <c r="T781" s="3"/>
      <c r="U781" s="3"/>
      <c r="V781" s="3"/>
      <c r="W781" s="3"/>
    </row>
    <row r="782" spans="1:23" ht="15.75" customHeight="1">
      <c r="A782" s="3"/>
      <c r="B782" s="3"/>
      <c r="C782" s="3"/>
      <c r="D782" s="3"/>
      <c r="E782" s="3"/>
      <c r="F782" s="3"/>
      <c r="G782" s="3"/>
      <c r="H782" s="3"/>
      <c r="I782" s="3"/>
      <c r="J782" s="3"/>
      <c r="K782" s="3"/>
      <c r="L782" s="3"/>
      <c r="M782" s="3"/>
      <c r="N782" s="3"/>
      <c r="O782" s="3"/>
      <c r="P782" s="3"/>
      <c r="Q782" s="3"/>
      <c r="R782" s="3"/>
      <c r="S782" s="3"/>
      <c r="T782" s="3"/>
      <c r="U782" s="3"/>
      <c r="V782" s="3"/>
      <c r="W782" s="3"/>
    </row>
    <row r="783" spans="1:23" ht="15.75" customHeight="1">
      <c r="A783" s="3"/>
      <c r="B783" s="3"/>
      <c r="C783" s="3"/>
      <c r="D783" s="3"/>
      <c r="E783" s="3"/>
      <c r="F783" s="3"/>
      <c r="G783" s="3"/>
      <c r="H783" s="3"/>
      <c r="I783" s="3"/>
      <c r="J783" s="3"/>
      <c r="K783" s="3"/>
      <c r="L783" s="3"/>
      <c r="M783" s="3"/>
      <c r="N783" s="3"/>
      <c r="O783" s="3"/>
      <c r="P783" s="3"/>
      <c r="Q783" s="3"/>
      <c r="R783" s="3"/>
      <c r="S783" s="3"/>
      <c r="T783" s="3"/>
      <c r="U783" s="3"/>
      <c r="V783" s="3"/>
      <c r="W783" s="3"/>
    </row>
    <row r="784" spans="1:23" ht="15.75" customHeight="1">
      <c r="A784" s="3"/>
      <c r="B784" s="3"/>
      <c r="C784" s="3"/>
      <c r="D784" s="3"/>
      <c r="E784" s="3"/>
      <c r="F784" s="3"/>
      <c r="G784" s="3"/>
      <c r="H784" s="3"/>
      <c r="I784" s="3"/>
      <c r="J784" s="3"/>
      <c r="K784" s="3"/>
      <c r="L784" s="3"/>
      <c r="M784" s="3"/>
      <c r="N784" s="3"/>
      <c r="O784" s="3"/>
      <c r="P784" s="3"/>
      <c r="Q784" s="3"/>
      <c r="R784" s="3"/>
      <c r="S784" s="3"/>
      <c r="T784" s="3"/>
      <c r="U784" s="3"/>
      <c r="V784" s="3"/>
      <c r="W784" s="3"/>
    </row>
    <row r="785" spans="1:23" ht="15.75" customHeight="1">
      <c r="A785" s="3"/>
      <c r="B785" s="3"/>
      <c r="C785" s="3"/>
      <c r="D785" s="3"/>
      <c r="E785" s="3"/>
      <c r="F785" s="3"/>
      <c r="G785" s="3"/>
      <c r="H785" s="3"/>
      <c r="I785" s="3"/>
      <c r="J785" s="3"/>
      <c r="K785" s="3"/>
      <c r="L785" s="3"/>
      <c r="M785" s="3"/>
      <c r="N785" s="3"/>
      <c r="O785" s="3"/>
      <c r="P785" s="3"/>
      <c r="Q785" s="3"/>
      <c r="R785" s="3"/>
      <c r="S785" s="3"/>
      <c r="T785" s="3"/>
      <c r="U785" s="3"/>
      <c r="V785" s="3"/>
      <c r="W785" s="3"/>
    </row>
    <row r="786" spans="1:23" ht="15.75" customHeight="1">
      <c r="A786" s="3"/>
      <c r="B786" s="3"/>
      <c r="C786" s="3"/>
      <c r="D786" s="3"/>
      <c r="E786" s="3"/>
      <c r="F786" s="3"/>
      <c r="G786" s="3"/>
      <c r="H786" s="3"/>
      <c r="I786" s="3"/>
      <c r="J786" s="3"/>
      <c r="K786" s="3"/>
      <c r="L786" s="3"/>
      <c r="M786" s="3"/>
      <c r="N786" s="3"/>
      <c r="O786" s="3"/>
      <c r="P786" s="3"/>
      <c r="Q786" s="3"/>
      <c r="R786" s="3"/>
      <c r="S786" s="3"/>
      <c r="T786" s="3"/>
      <c r="U786" s="3"/>
      <c r="V786" s="3"/>
      <c r="W786" s="3"/>
    </row>
    <row r="787" spans="1:23" ht="15.75" customHeight="1">
      <c r="A787" s="3"/>
      <c r="B787" s="3"/>
      <c r="C787" s="3"/>
      <c r="D787" s="3"/>
      <c r="E787" s="3"/>
      <c r="F787" s="3"/>
      <c r="G787" s="3"/>
      <c r="H787" s="3"/>
      <c r="I787" s="3"/>
      <c r="J787" s="3"/>
      <c r="K787" s="3"/>
      <c r="L787" s="3"/>
      <c r="M787" s="3"/>
      <c r="N787" s="3"/>
      <c r="O787" s="3"/>
      <c r="P787" s="3"/>
      <c r="Q787" s="3"/>
      <c r="R787" s="3"/>
      <c r="S787" s="3"/>
      <c r="T787" s="3"/>
      <c r="U787" s="3"/>
      <c r="V787" s="3"/>
      <c r="W787" s="3"/>
    </row>
    <row r="788" spans="1:23" ht="15.75" customHeight="1">
      <c r="A788" s="3"/>
      <c r="B788" s="3"/>
      <c r="C788" s="3"/>
      <c r="D788" s="3"/>
      <c r="E788" s="3"/>
      <c r="F788" s="3"/>
      <c r="G788" s="3"/>
      <c r="H788" s="3"/>
      <c r="I788" s="3"/>
      <c r="J788" s="3"/>
      <c r="K788" s="3"/>
      <c r="L788" s="3"/>
      <c r="M788" s="3"/>
      <c r="N788" s="3"/>
      <c r="O788" s="3"/>
      <c r="P788" s="3"/>
      <c r="Q788" s="3"/>
      <c r="R788" s="3"/>
      <c r="S788" s="3"/>
      <c r="T788" s="3"/>
      <c r="U788" s="3"/>
      <c r="V788" s="3"/>
      <c r="W788" s="3"/>
    </row>
    <row r="789" spans="1:23" ht="15.75" customHeight="1">
      <c r="A789" s="3"/>
      <c r="B789" s="3"/>
      <c r="C789" s="3"/>
      <c r="D789" s="3"/>
      <c r="E789" s="3"/>
      <c r="F789" s="3"/>
      <c r="G789" s="3"/>
      <c r="H789" s="3"/>
      <c r="I789" s="3"/>
      <c r="J789" s="3"/>
      <c r="K789" s="3"/>
      <c r="L789" s="3"/>
      <c r="M789" s="3"/>
      <c r="N789" s="3"/>
      <c r="O789" s="3"/>
      <c r="P789" s="3"/>
      <c r="Q789" s="3"/>
      <c r="R789" s="3"/>
      <c r="S789" s="3"/>
      <c r="T789" s="3"/>
      <c r="U789" s="3"/>
      <c r="V789" s="3"/>
      <c r="W789" s="3"/>
    </row>
    <row r="790" spans="1:23" ht="15.75" customHeight="1">
      <c r="A790" s="3"/>
      <c r="B790" s="3"/>
      <c r="C790" s="3"/>
      <c r="D790" s="3"/>
      <c r="E790" s="3"/>
      <c r="F790" s="3"/>
      <c r="G790" s="3"/>
      <c r="H790" s="3"/>
      <c r="I790" s="3"/>
      <c r="J790" s="3"/>
      <c r="K790" s="3"/>
      <c r="L790" s="3"/>
      <c r="M790" s="3"/>
      <c r="N790" s="3"/>
      <c r="O790" s="3"/>
      <c r="P790" s="3"/>
      <c r="Q790" s="3"/>
      <c r="R790" s="3"/>
      <c r="S790" s="3"/>
      <c r="T790" s="3"/>
      <c r="U790" s="3"/>
      <c r="V790" s="3"/>
      <c r="W790" s="3"/>
    </row>
    <row r="791" spans="1:23" ht="15.75" customHeight="1">
      <c r="A791" s="3"/>
      <c r="B791" s="3"/>
      <c r="C791" s="3"/>
      <c r="D791" s="3"/>
      <c r="E791" s="3"/>
      <c r="F791" s="3"/>
      <c r="G791" s="3"/>
      <c r="H791" s="3"/>
      <c r="I791" s="3"/>
      <c r="J791" s="3"/>
      <c r="K791" s="3"/>
      <c r="L791" s="3"/>
      <c r="M791" s="3"/>
      <c r="N791" s="3"/>
      <c r="O791" s="3"/>
      <c r="P791" s="3"/>
      <c r="Q791" s="3"/>
      <c r="R791" s="3"/>
      <c r="S791" s="3"/>
      <c r="T791" s="3"/>
      <c r="U791" s="3"/>
      <c r="V791" s="3"/>
      <c r="W791" s="3"/>
    </row>
    <row r="792" spans="1:23" ht="15.75" customHeight="1">
      <c r="A792" s="3"/>
      <c r="B792" s="3"/>
      <c r="C792" s="3"/>
      <c r="D792" s="3"/>
      <c r="E792" s="3"/>
      <c r="F792" s="3"/>
      <c r="G792" s="3"/>
      <c r="H792" s="3"/>
      <c r="I792" s="3"/>
      <c r="J792" s="3"/>
      <c r="K792" s="3"/>
      <c r="L792" s="3"/>
      <c r="M792" s="3"/>
      <c r="N792" s="3"/>
      <c r="O792" s="3"/>
      <c r="P792" s="3"/>
      <c r="Q792" s="3"/>
      <c r="R792" s="3"/>
      <c r="S792" s="3"/>
      <c r="T792" s="3"/>
      <c r="U792" s="3"/>
      <c r="V792" s="3"/>
      <c r="W792" s="3"/>
    </row>
    <row r="793" spans="1:23" ht="15.75" customHeight="1">
      <c r="A793" s="3"/>
      <c r="B793" s="3"/>
      <c r="C793" s="3"/>
      <c r="D793" s="3"/>
      <c r="E793" s="3"/>
      <c r="F793" s="3"/>
      <c r="G793" s="3"/>
      <c r="H793" s="3"/>
      <c r="I793" s="3"/>
      <c r="J793" s="3"/>
      <c r="K793" s="3"/>
      <c r="L793" s="3"/>
      <c r="M793" s="3"/>
      <c r="N793" s="3"/>
      <c r="O793" s="3"/>
      <c r="P793" s="3"/>
      <c r="Q793" s="3"/>
      <c r="R793" s="3"/>
      <c r="S793" s="3"/>
      <c r="T793" s="3"/>
      <c r="U793" s="3"/>
      <c r="V793" s="3"/>
      <c r="W793" s="3"/>
    </row>
    <row r="794" spans="1:23" ht="15.75" customHeight="1">
      <c r="A794" s="3"/>
      <c r="B794" s="3"/>
      <c r="C794" s="3"/>
      <c r="D794" s="3"/>
      <c r="E794" s="3"/>
      <c r="F794" s="3"/>
      <c r="G794" s="3"/>
      <c r="H794" s="3"/>
      <c r="I794" s="3"/>
      <c r="J794" s="3"/>
      <c r="K794" s="3"/>
      <c r="L794" s="3"/>
      <c r="M794" s="3"/>
      <c r="N794" s="3"/>
      <c r="O794" s="3"/>
      <c r="P794" s="3"/>
      <c r="Q794" s="3"/>
      <c r="R794" s="3"/>
      <c r="S794" s="3"/>
      <c r="T794" s="3"/>
      <c r="U794" s="3"/>
      <c r="V794" s="3"/>
      <c r="W794" s="3"/>
    </row>
    <row r="795" spans="1:23" ht="15.75" customHeight="1">
      <c r="A795" s="3"/>
      <c r="B795" s="3"/>
      <c r="C795" s="3"/>
      <c r="D795" s="3"/>
      <c r="E795" s="3"/>
      <c r="F795" s="3"/>
      <c r="G795" s="3"/>
      <c r="H795" s="3"/>
      <c r="I795" s="3"/>
      <c r="J795" s="3"/>
      <c r="K795" s="3"/>
      <c r="L795" s="3"/>
      <c r="M795" s="3"/>
      <c r="N795" s="3"/>
      <c r="O795" s="3"/>
      <c r="P795" s="3"/>
      <c r="Q795" s="3"/>
      <c r="R795" s="3"/>
      <c r="S795" s="3"/>
      <c r="T795" s="3"/>
      <c r="U795" s="3"/>
      <c r="V795" s="3"/>
      <c r="W795" s="3"/>
    </row>
    <row r="796" spans="1:23" ht="15.75" customHeight="1">
      <c r="A796" s="3"/>
      <c r="B796" s="3"/>
      <c r="C796" s="3"/>
      <c r="D796" s="3"/>
      <c r="E796" s="3"/>
      <c r="F796" s="3"/>
      <c r="G796" s="3"/>
      <c r="H796" s="3"/>
      <c r="I796" s="3"/>
      <c r="J796" s="3"/>
      <c r="K796" s="3"/>
      <c r="L796" s="3"/>
      <c r="M796" s="3"/>
      <c r="N796" s="3"/>
      <c r="O796" s="3"/>
      <c r="P796" s="3"/>
      <c r="Q796" s="3"/>
      <c r="R796" s="3"/>
      <c r="S796" s="3"/>
      <c r="T796" s="3"/>
      <c r="U796" s="3"/>
      <c r="V796" s="3"/>
      <c r="W796" s="3"/>
    </row>
    <row r="797" spans="1:23" ht="15.75" customHeight="1">
      <c r="A797" s="3"/>
      <c r="B797" s="3"/>
      <c r="C797" s="3"/>
      <c r="D797" s="3"/>
      <c r="E797" s="3"/>
      <c r="F797" s="3"/>
      <c r="G797" s="3"/>
      <c r="H797" s="3"/>
      <c r="I797" s="3"/>
      <c r="J797" s="3"/>
      <c r="K797" s="3"/>
      <c r="L797" s="3"/>
      <c r="M797" s="3"/>
      <c r="N797" s="3"/>
      <c r="O797" s="3"/>
      <c r="P797" s="3"/>
      <c r="Q797" s="3"/>
      <c r="R797" s="3"/>
      <c r="S797" s="3"/>
      <c r="T797" s="3"/>
      <c r="U797" s="3"/>
      <c r="V797" s="3"/>
      <c r="W797" s="3"/>
    </row>
    <row r="798" spans="1:23" ht="15.75" customHeight="1">
      <c r="A798" s="3"/>
      <c r="B798" s="3"/>
      <c r="C798" s="3"/>
      <c r="D798" s="3"/>
      <c r="E798" s="3"/>
      <c r="F798" s="3"/>
      <c r="G798" s="3"/>
      <c r="H798" s="3"/>
      <c r="I798" s="3"/>
      <c r="J798" s="3"/>
      <c r="K798" s="3"/>
      <c r="L798" s="3"/>
      <c r="M798" s="3"/>
      <c r="N798" s="3"/>
      <c r="O798" s="3"/>
      <c r="P798" s="3"/>
      <c r="Q798" s="3"/>
      <c r="R798" s="3"/>
      <c r="S798" s="3"/>
      <c r="T798" s="3"/>
      <c r="U798" s="3"/>
      <c r="V798" s="3"/>
      <c r="W798" s="3"/>
    </row>
    <row r="799" spans="1:23" ht="15.75" customHeight="1">
      <c r="A799" s="3"/>
      <c r="B799" s="3"/>
      <c r="C799" s="3"/>
      <c r="D799" s="3"/>
      <c r="E799" s="3"/>
      <c r="F799" s="3"/>
      <c r="G799" s="3"/>
      <c r="H799" s="3"/>
      <c r="I799" s="3"/>
      <c r="J799" s="3"/>
      <c r="K799" s="3"/>
      <c r="L799" s="3"/>
      <c r="M799" s="3"/>
      <c r="N799" s="3"/>
      <c r="O799" s="3"/>
      <c r="P799" s="3"/>
      <c r="Q799" s="3"/>
      <c r="R799" s="3"/>
      <c r="S799" s="3"/>
      <c r="T799" s="3"/>
      <c r="U799" s="3"/>
      <c r="V799" s="3"/>
      <c r="W799" s="3"/>
    </row>
    <row r="800" spans="1:23" ht="15.75" customHeight="1">
      <c r="A800" s="3"/>
      <c r="B800" s="3"/>
      <c r="C800" s="3"/>
      <c r="D800" s="3"/>
      <c r="E800" s="3"/>
      <c r="F800" s="3"/>
      <c r="G800" s="3"/>
      <c r="H800" s="3"/>
      <c r="I800" s="3"/>
      <c r="J800" s="3"/>
      <c r="K800" s="3"/>
      <c r="L800" s="3"/>
      <c r="M800" s="3"/>
      <c r="N800" s="3"/>
      <c r="O800" s="3"/>
      <c r="P800" s="3"/>
      <c r="Q800" s="3"/>
      <c r="R800" s="3"/>
      <c r="S800" s="3"/>
      <c r="T800" s="3"/>
      <c r="U800" s="3"/>
      <c r="V800" s="3"/>
      <c r="W800" s="3"/>
    </row>
    <row r="801" spans="1:23" ht="15.75" customHeight="1">
      <c r="A801" s="3"/>
      <c r="B801" s="3"/>
      <c r="C801" s="3"/>
      <c r="D801" s="3"/>
      <c r="E801" s="3"/>
      <c r="F801" s="3"/>
      <c r="G801" s="3"/>
      <c r="H801" s="3"/>
      <c r="I801" s="3"/>
      <c r="J801" s="3"/>
      <c r="K801" s="3"/>
      <c r="L801" s="3"/>
      <c r="M801" s="3"/>
      <c r="N801" s="3"/>
      <c r="O801" s="3"/>
      <c r="P801" s="3"/>
      <c r="Q801" s="3"/>
      <c r="R801" s="3"/>
      <c r="S801" s="3"/>
      <c r="T801" s="3"/>
      <c r="U801" s="3"/>
      <c r="V801" s="3"/>
      <c r="W801" s="3"/>
    </row>
    <row r="802" spans="1:23" ht="15.75" customHeight="1">
      <c r="A802" s="3"/>
      <c r="B802" s="3"/>
      <c r="C802" s="3"/>
      <c r="D802" s="3"/>
      <c r="E802" s="3"/>
      <c r="F802" s="3"/>
      <c r="G802" s="3"/>
      <c r="H802" s="3"/>
      <c r="I802" s="3"/>
      <c r="J802" s="3"/>
      <c r="K802" s="3"/>
      <c r="L802" s="3"/>
      <c r="M802" s="3"/>
      <c r="N802" s="3"/>
      <c r="O802" s="3"/>
      <c r="P802" s="3"/>
      <c r="Q802" s="3"/>
      <c r="R802" s="3"/>
      <c r="S802" s="3"/>
      <c r="T802" s="3"/>
      <c r="U802" s="3"/>
      <c r="V802" s="3"/>
      <c r="W802" s="3"/>
    </row>
    <row r="803" spans="1:23" ht="15.75" customHeight="1">
      <c r="A803" s="3"/>
      <c r="B803" s="3"/>
      <c r="C803" s="3"/>
      <c r="D803" s="3"/>
      <c r="E803" s="3"/>
      <c r="F803" s="3"/>
      <c r="G803" s="3"/>
      <c r="H803" s="3"/>
      <c r="I803" s="3"/>
      <c r="J803" s="3"/>
      <c r="K803" s="3"/>
      <c r="L803" s="3"/>
      <c r="M803" s="3"/>
      <c r="N803" s="3"/>
      <c r="O803" s="3"/>
      <c r="P803" s="3"/>
      <c r="Q803" s="3"/>
      <c r="R803" s="3"/>
      <c r="S803" s="3"/>
      <c r="T803" s="3"/>
      <c r="U803" s="3"/>
      <c r="V803" s="3"/>
      <c r="W803" s="3"/>
    </row>
    <row r="804" spans="1:23" ht="15.75" customHeight="1">
      <c r="A804" s="3"/>
      <c r="B804" s="3"/>
      <c r="C804" s="3"/>
      <c r="D804" s="3"/>
      <c r="E804" s="3"/>
      <c r="F804" s="3"/>
      <c r="G804" s="3"/>
      <c r="H804" s="3"/>
      <c r="I804" s="3"/>
      <c r="J804" s="3"/>
      <c r="K804" s="3"/>
      <c r="L804" s="3"/>
      <c r="M804" s="3"/>
      <c r="N804" s="3"/>
      <c r="O804" s="3"/>
      <c r="P804" s="3"/>
      <c r="Q804" s="3"/>
      <c r="R804" s="3"/>
      <c r="S804" s="3"/>
      <c r="T804" s="3"/>
      <c r="U804" s="3"/>
      <c r="V804" s="3"/>
      <c r="W804" s="3"/>
    </row>
    <row r="805" spans="1:23" ht="15.75" customHeight="1">
      <c r="A805" s="3"/>
      <c r="B805" s="3"/>
      <c r="C805" s="3"/>
      <c r="D805" s="3"/>
      <c r="E805" s="3"/>
      <c r="F805" s="3"/>
      <c r="G805" s="3"/>
      <c r="H805" s="3"/>
      <c r="I805" s="3"/>
      <c r="J805" s="3"/>
      <c r="K805" s="3"/>
      <c r="L805" s="3"/>
      <c r="M805" s="3"/>
      <c r="N805" s="3"/>
      <c r="O805" s="3"/>
      <c r="P805" s="3"/>
      <c r="Q805" s="3"/>
      <c r="R805" s="3"/>
      <c r="S805" s="3"/>
      <c r="T805" s="3"/>
      <c r="U805" s="3"/>
      <c r="V805" s="3"/>
      <c r="W805" s="3"/>
    </row>
    <row r="806" spans="1:23" ht="15.75" customHeight="1">
      <c r="A806" s="3"/>
      <c r="B806" s="3"/>
      <c r="C806" s="3"/>
      <c r="D806" s="3"/>
      <c r="E806" s="3"/>
      <c r="F806" s="3"/>
      <c r="G806" s="3"/>
      <c r="H806" s="3"/>
      <c r="I806" s="3"/>
      <c r="J806" s="3"/>
      <c r="K806" s="3"/>
      <c r="L806" s="3"/>
      <c r="M806" s="3"/>
      <c r="N806" s="3"/>
      <c r="O806" s="3"/>
      <c r="P806" s="3"/>
      <c r="Q806" s="3"/>
      <c r="R806" s="3"/>
      <c r="S806" s="3"/>
      <c r="T806" s="3"/>
      <c r="U806" s="3"/>
      <c r="V806" s="3"/>
      <c r="W806" s="3"/>
    </row>
    <row r="807" spans="1:23" ht="15.75" customHeight="1">
      <c r="A807" s="3"/>
      <c r="B807" s="3"/>
      <c r="C807" s="3"/>
      <c r="D807" s="3"/>
      <c r="E807" s="3"/>
      <c r="F807" s="3"/>
      <c r="G807" s="3"/>
      <c r="H807" s="3"/>
      <c r="I807" s="3"/>
      <c r="J807" s="3"/>
      <c r="K807" s="3"/>
      <c r="L807" s="3"/>
      <c r="M807" s="3"/>
      <c r="N807" s="3"/>
      <c r="O807" s="3"/>
      <c r="P807" s="3"/>
      <c r="Q807" s="3"/>
      <c r="R807" s="3"/>
      <c r="S807" s="3"/>
      <c r="T807" s="3"/>
      <c r="U807" s="3"/>
      <c r="V807" s="3"/>
      <c r="W807" s="3"/>
    </row>
    <row r="808" spans="1:23" ht="15.75" customHeight="1">
      <c r="A808" s="3"/>
      <c r="B808" s="3"/>
      <c r="C808" s="3"/>
      <c r="D808" s="3"/>
      <c r="E808" s="3"/>
      <c r="F808" s="3"/>
      <c r="G808" s="3"/>
      <c r="H808" s="3"/>
      <c r="I808" s="3"/>
      <c r="J808" s="3"/>
      <c r="K808" s="3"/>
      <c r="L808" s="3"/>
      <c r="M808" s="3"/>
      <c r="N808" s="3"/>
      <c r="O808" s="3"/>
      <c r="P808" s="3"/>
      <c r="Q808" s="3"/>
      <c r="R808" s="3"/>
      <c r="S808" s="3"/>
      <c r="T808" s="3"/>
      <c r="U808" s="3"/>
      <c r="V808" s="3"/>
      <c r="W808" s="3"/>
    </row>
    <row r="809" spans="1:23" ht="15.75" customHeight="1">
      <c r="A809" s="3"/>
      <c r="B809" s="3"/>
      <c r="C809" s="3"/>
      <c r="D809" s="3"/>
      <c r="E809" s="3"/>
      <c r="F809" s="3"/>
      <c r="G809" s="3"/>
      <c r="H809" s="3"/>
      <c r="I809" s="3"/>
      <c r="J809" s="3"/>
      <c r="K809" s="3"/>
      <c r="L809" s="3"/>
      <c r="M809" s="3"/>
      <c r="N809" s="3"/>
      <c r="O809" s="3"/>
      <c r="P809" s="3"/>
      <c r="Q809" s="3"/>
      <c r="R809" s="3"/>
      <c r="S809" s="3"/>
      <c r="T809" s="3"/>
      <c r="U809" s="3"/>
      <c r="V809" s="3"/>
      <c r="W809" s="3"/>
    </row>
    <row r="810" spans="1:23" ht="15.75" customHeight="1">
      <c r="A810" s="3"/>
      <c r="B810" s="3"/>
      <c r="C810" s="3"/>
      <c r="D810" s="3"/>
      <c r="E810" s="3"/>
      <c r="F810" s="3"/>
      <c r="G810" s="3"/>
      <c r="H810" s="3"/>
      <c r="I810" s="3"/>
      <c r="J810" s="3"/>
      <c r="K810" s="3"/>
      <c r="L810" s="3"/>
      <c r="M810" s="3"/>
      <c r="N810" s="3"/>
      <c r="O810" s="3"/>
      <c r="P810" s="3"/>
      <c r="Q810" s="3"/>
      <c r="R810" s="3"/>
      <c r="S810" s="3"/>
      <c r="T810" s="3"/>
      <c r="U810" s="3"/>
      <c r="V810" s="3"/>
      <c r="W810" s="3"/>
    </row>
    <row r="811" spans="1:23" ht="15.75" customHeight="1">
      <c r="A811" s="3"/>
      <c r="B811" s="3"/>
      <c r="C811" s="3"/>
      <c r="D811" s="3"/>
      <c r="E811" s="3"/>
      <c r="F811" s="3"/>
      <c r="G811" s="3"/>
      <c r="H811" s="3"/>
      <c r="I811" s="3"/>
      <c r="J811" s="3"/>
      <c r="K811" s="3"/>
      <c r="L811" s="3"/>
      <c r="M811" s="3"/>
      <c r="N811" s="3"/>
      <c r="O811" s="3"/>
      <c r="P811" s="3"/>
      <c r="Q811" s="3"/>
      <c r="R811" s="3"/>
      <c r="S811" s="3"/>
      <c r="T811" s="3"/>
      <c r="U811" s="3"/>
      <c r="V811" s="3"/>
      <c r="W811" s="3"/>
    </row>
    <row r="812" spans="1:23" ht="15.75" customHeight="1">
      <c r="A812" s="3"/>
      <c r="B812" s="3"/>
      <c r="C812" s="3"/>
      <c r="D812" s="3"/>
      <c r="E812" s="3"/>
      <c r="F812" s="3"/>
      <c r="G812" s="3"/>
      <c r="H812" s="3"/>
      <c r="I812" s="3"/>
      <c r="J812" s="3"/>
      <c r="K812" s="3"/>
      <c r="L812" s="3"/>
      <c r="M812" s="3"/>
      <c r="N812" s="3"/>
      <c r="O812" s="3"/>
      <c r="P812" s="3"/>
      <c r="Q812" s="3"/>
      <c r="R812" s="3"/>
      <c r="S812" s="3"/>
      <c r="T812" s="3"/>
      <c r="U812" s="3"/>
      <c r="V812" s="3"/>
      <c r="W812" s="3"/>
    </row>
    <row r="813" spans="1:23" ht="15.75" customHeight="1">
      <c r="A813" s="3"/>
      <c r="B813" s="3"/>
      <c r="C813" s="3"/>
      <c r="D813" s="3"/>
      <c r="E813" s="3"/>
      <c r="F813" s="3"/>
      <c r="G813" s="3"/>
      <c r="H813" s="3"/>
      <c r="I813" s="3"/>
      <c r="J813" s="3"/>
      <c r="K813" s="3"/>
      <c r="L813" s="3"/>
      <c r="M813" s="3"/>
      <c r="N813" s="3"/>
      <c r="O813" s="3"/>
      <c r="P813" s="3"/>
      <c r="Q813" s="3"/>
      <c r="R813" s="3"/>
      <c r="S813" s="3"/>
      <c r="T813" s="3"/>
      <c r="U813" s="3"/>
      <c r="V813" s="3"/>
      <c r="W813" s="3"/>
    </row>
    <row r="814" spans="1:23" ht="15.75" customHeight="1">
      <c r="A814" s="3"/>
      <c r="B814" s="3"/>
      <c r="C814" s="3"/>
      <c r="D814" s="3"/>
      <c r="E814" s="3"/>
      <c r="F814" s="3"/>
      <c r="G814" s="3"/>
      <c r="H814" s="3"/>
      <c r="I814" s="3"/>
      <c r="J814" s="3"/>
      <c r="K814" s="3"/>
      <c r="L814" s="3"/>
      <c r="M814" s="3"/>
      <c r="N814" s="3"/>
      <c r="O814" s="3"/>
      <c r="P814" s="3"/>
      <c r="Q814" s="3"/>
      <c r="R814" s="3"/>
      <c r="S814" s="3"/>
      <c r="T814" s="3"/>
      <c r="U814" s="3"/>
      <c r="V814" s="3"/>
      <c r="W814" s="3"/>
    </row>
    <row r="815" spans="1:23" ht="15.75" customHeight="1">
      <c r="A815" s="3"/>
      <c r="B815" s="3"/>
      <c r="C815" s="3"/>
      <c r="D815" s="3"/>
      <c r="E815" s="3"/>
      <c r="F815" s="3"/>
      <c r="G815" s="3"/>
      <c r="H815" s="3"/>
      <c r="I815" s="3"/>
      <c r="J815" s="3"/>
      <c r="K815" s="3"/>
      <c r="L815" s="3"/>
      <c r="M815" s="3"/>
      <c r="N815" s="3"/>
      <c r="O815" s="3"/>
      <c r="P815" s="3"/>
      <c r="Q815" s="3"/>
      <c r="R815" s="3"/>
      <c r="S815" s="3"/>
      <c r="T815" s="3"/>
      <c r="U815" s="3"/>
      <c r="V815" s="3"/>
      <c r="W815" s="3"/>
    </row>
    <row r="816" spans="1:23" ht="15.75" customHeight="1">
      <c r="A816" s="3"/>
      <c r="B816" s="3"/>
      <c r="C816" s="3"/>
      <c r="D816" s="3"/>
      <c r="E816" s="3"/>
      <c r="F816" s="3"/>
      <c r="G816" s="3"/>
      <c r="H816" s="3"/>
      <c r="I816" s="3"/>
      <c r="J816" s="3"/>
      <c r="K816" s="3"/>
      <c r="L816" s="3"/>
      <c r="M816" s="3"/>
      <c r="N816" s="3"/>
      <c r="O816" s="3"/>
      <c r="P816" s="3"/>
      <c r="Q816" s="3"/>
      <c r="R816" s="3"/>
      <c r="S816" s="3"/>
      <c r="T816" s="3"/>
      <c r="U816" s="3"/>
      <c r="V816" s="3"/>
      <c r="W816" s="3"/>
    </row>
    <row r="817" spans="1:23" ht="15.75" customHeight="1">
      <c r="A817" s="3"/>
      <c r="B817" s="3"/>
      <c r="C817" s="3"/>
      <c r="D817" s="3"/>
      <c r="E817" s="3"/>
      <c r="F817" s="3"/>
      <c r="G817" s="3"/>
      <c r="H817" s="3"/>
      <c r="I817" s="3"/>
      <c r="J817" s="3"/>
      <c r="K817" s="3"/>
      <c r="L817" s="3"/>
      <c r="M817" s="3"/>
      <c r="N817" s="3"/>
      <c r="O817" s="3"/>
      <c r="P817" s="3"/>
      <c r="Q817" s="3"/>
      <c r="R817" s="3"/>
      <c r="S817" s="3"/>
      <c r="T817" s="3"/>
      <c r="U817" s="3"/>
      <c r="V817" s="3"/>
      <c r="W817" s="3"/>
    </row>
    <row r="818" spans="1:23" ht="15.75" customHeight="1">
      <c r="A818" s="3"/>
      <c r="B818" s="3"/>
      <c r="C818" s="3"/>
      <c r="D818" s="3"/>
      <c r="E818" s="3"/>
      <c r="F818" s="3"/>
      <c r="G818" s="3"/>
      <c r="H818" s="3"/>
      <c r="I818" s="3"/>
      <c r="J818" s="3"/>
      <c r="K818" s="3"/>
      <c r="L818" s="3"/>
      <c r="M818" s="3"/>
      <c r="N818" s="3"/>
      <c r="O818" s="3"/>
      <c r="P818" s="3"/>
      <c r="Q818" s="3"/>
      <c r="R818" s="3"/>
      <c r="S818" s="3"/>
      <c r="T818" s="3"/>
      <c r="U818" s="3"/>
      <c r="V818" s="3"/>
      <c r="W818" s="3"/>
    </row>
    <row r="819" spans="1:23" ht="15.75" customHeight="1">
      <c r="A819" s="3"/>
      <c r="B819" s="3"/>
      <c r="C819" s="3"/>
      <c r="D819" s="3"/>
      <c r="E819" s="3"/>
      <c r="F819" s="3"/>
      <c r="G819" s="3"/>
      <c r="H819" s="3"/>
      <c r="I819" s="3"/>
      <c r="J819" s="3"/>
      <c r="K819" s="3"/>
      <c r="L819" s="3"/>
      <c r="M819" s="3"/>
      <c r="N819" s="3"/>
      <c r="O819" s="3"/>
      <c r="P819" s="3"/>
      <c r="Q819" s="3"/>
      <c r="R819" s="3"/>
      <c r="S819" s="3"/>
      <c r="T819" s="3"/>
      <c r="U819" s="3"/>
      <c r="V819" s="3"/>
      <c r="W819" s="3"/>
    </row>
    <row r="820" spans="1:23" ht="15.75" customHeight="1">
      <c r="A820" s="3"/>
      <c r="B820" s="3"/>
      <c r="C820" s="3"/>
      <c r="D820" s="3"/>
      <c r="E820" s="3"/>
      <c r="F820" s="3"/>
      <c r="G820" s="3"/>
      <c r="H820" s="3"/>
      <c r="I820" s="3"/>
      <c r="J820" s="3"/>
      <c r="K820" s="3"/>
      <c r="L820" s="3"/>
      <c r="M820" s="3"/>
      <c r="N820" s="3"/>
      <c r="O820" s="3"/>
      <c r="P820" s="3"/>
      <c r="Q820" s="3"/>
      <c r="R820" s="3"/>
      <c r="S820" s="3"/>
      <c r="T820" s="3"/>
      <c r="U820" s="3"/>
      <c r="V820" s="3"/>
      <c r="W820" s="3"/>
    </row>
    <row r="821" spans="1:23" ht="15.75" customHeight="1">
      <c r="A821" s="3"/>
      <c r="B821" s="3"/>
      <c r="C821" s="3"/>
      <c r="D821" s="3"/>
      <c r="E821" s="3"/>
      <c r="F821" s="3"/>
      <c r="G821" s="3"/>
      <c r="H821" s="3"/>
      <c r="I821" s="3"/>
      <c r="J821" s="3"/>
      <c r="K821" s="3"/>
      <c r="L821" s="3"/>
      <c r="M821" s="3"/>
      <c r="N821" s="3"/>
      <c r="O821" s="3"/>
      <c r="P821" s="3"/>
      <c r="Q821" s="3"/>
      <c r="R821" s="3"/>
      <c r="S821" s="3"/>
      <c r="T821" s="3"/>
      <c r="U821" s="3"/>
      <c r="V821" s="3"/>
      <c r="W821" s="3"/>
    </row>
    <row r="822" spans="1:23" ht="15.75" customHeight="1">
      <c r="A822" s="3"/>
      <c r="B822" s="3"/>
      <c r="C822" s="3"/>
      <c r="D822" s="3"/>
      <c r="E822" s="3"/>
      <c r="F822" s="3"/>
      <c r="G822" s="3"/>
      <c r="H822" s="3"/>
      <c r="I822" s="3"/>
      <c r="J822" s="3"/>
      <c r="K822" s="3"/>
      <c r="L822" s="3"/>
      <c r="M822" s="3"/>
      <c r="N822" s="3"/>
      <c r="O822" s="3"/>
      <c r="P822" s="3"/>
      <c r="Q822" s="3"/>
      <c r="R822" s="3"/>
      <c r="S822" s="3"/>
      <c r="T822" s="3"/>
      <c r="U822" s="3"/>
      <c r="V822" s="3"/>
      <c r="W822" s="3"/>
    </row>
    <row r="823" spans="1:23" ht="15.75" customHeight="1">
      <c r="A823" s="3"/>
      <c r="B823" s="3"/>
      <c r="C823" s="3"/>
      <c r="D823" s="3"/>
      <c r="E823" s="3"/>
      <c r="F823" s="3"/>
      <c r="G823" s="3"/>
      <c r="H823" s="3"/>
      <c r="I823" s="3"/>
      <c r="J823" s="3"/>
      <c r="K823" s="3"/>
      <c r="L823" s="3"/>
      <c r="M823" s="3"/>
      <c r="N823" s="3"/>
      <c r="O823" s="3"/>
      <c r="P823" s="3"/>
      <c r="Q823" s="3"/>
      <c r="R823" s="3"/>
      <c r="S823" s="3"/>
      <c r="T823" s="3"/>
      <c r="U823" s="3"/>
      <c r="V823" s="3"/>
      <c r="W823" s="3"/>
    </row>
    <row r="824" spans="1:23" ht="15.75" customHeight="1">
      <c r="A824" s="3"/>
      <c r="B824" s="3"/>
      <c r="C824" s="3"/>
      <c r="D824" s="3"/>
      <c r="E824" s="3"/>
      <c r="F824" s="3"/>
      <c r="G824" s="3"/>
      <c r="H824" s="3"/>
      <c r="I824" s="3"/>
      <c r="J824" s="3"/>
      <c r="K824" s="3"/>
      <c r="L824" s="3"/>
      <c r="M824" s="3"/>
      <c r="N824" s="3"/>
      <c r="O824" s="3"/>
      <c r="P824" s="3"/>
      <c r="Q824" s="3"/>
      <c r="R824" s="3"/>
      <c r="S824" s="3"/>
      <c r="T824" s="3"/>
      <c r="U824" s="3"/>
      <c r="V824" s="3"/>
      <c r="W824" s="3"/>
    </row>
    <row r="825" spans="1:23" ht="15.75" customHeight="1">
      <c r="A825" s="3"/>
      <c r="B825" s="3"/>
      <c r="C825" s="3"/>
      <c r="D825" s="3"/>
      <c r="E825" s="3"/>
      <c r="F825" s="3"/>
      <c r="G825" s="3"/>
      <c r="H825" s="3"/>
      <c r="I825" s="3"/>
      <c r="J825" s="3"/>
      <c r="K825" s="3"/>
      <c r="L825" s="3"/>
      <c r="M825" s="3"/>
      <c r="N825" s="3"/>
      <c r="O825" s="3"/>
      <c r="P825" s="3"/>
      <c r="Q825" s="3"/>
      <c r="R825" s="3"/>
      <c r="S825" s="3"/>
      <c r="T825" s="3"/>
      <c r="U825" s="3"/>
      <c r="V825" s="3"/>
      <c r="W825" s="3"/>
    </row>
    <row r="826" spans="1:23" ht="15.75" customHeight="1">
      <c r="A826" s="3"/>
      <c r="B826" s="3"/>
      <c r="C826" s="3"/>
      <c r="D826" s="3"/>
      <c r="E826" s="3"/>
      <c r="F826" s="3"/>
      <c r="G826" s="3"/>
      <c r="H826" s="3"/>
      <c r="I826" s="3"/>
      <c r="J826" s="3"/>
      <c r="K826" s="3"/>
      <c r="L826" s="3"/>
      <c r="M826" s="3"/>
      <c r="N826" s="3"/>
      <c r="O826" s="3"/>
      <c r="P826" s="3"/>
      <c r="Q826" s="3"/>
      <c r="R826" s="3"/>
      <c r="S826" s="3"/>
      <c r="T826" s="3"/>
      <c r="U826" s="3"/>
      <c r="V826" s="3"/>
      <c r="W826" s="3"/>
    </row>
    <row r="827" spans="1:23" ht="15.75" customHeight="1">
      <c r="A827" s="3"/>
      <c r="B827" s="3"/>
      <c r="C827" s="3"/>
      <c r="D827" s="3"/>
      <c r="E827" s="3"/>
      <c r="F827" s="3"/>
      <c r="G827" s="3"/>
      <c r="H827" s="3"/>
      <c r="I827" s="3"/>
      <c r="J827" s="3"/>
      <c r="K827" s="3"/>
      <c r="L827" s="3"/>
      <c r="M827" s="3"/>
      <c r="N827" s="3"/>
      <c r="O827" s="3"/>
      <c r="P827" s="3"/>
      <c r="Q827" s="3"/>
      <c r="R827" s="3"/>
      <c r="S827" s="3"/>
      <c r="T827" s="3"/>
      <c r="U827" s="3"/>
      <c r="V827" s="3"/>
      <c r="W827" s="3"/>
    </row>
    <row r="828" spans="1:23" ht="15.75" customHeight="1">
      <c r="A828" s="3"/>
      <c r="B828" s="3"/>
      <c r="C828" s="3"/>
      <c r="D828" s="3"/>
      <c r="E828" s="3"/>
      <c r="F828" s="3"/>
      <c r="G828" s="3"/>
      <c r="H828" s="3"/>
      <c r="I828" s="3"/>
      <c r="J828" s="3"/>
      <c r="K828" s="3"/>
      <c r="L828" s="3"/>
      <c r="M828" s="3"/>
      <c r="N828" s="3"/>
      <c r="O828" s="3"/>
      <c r="P828" s="3"/>
      <c r="Q828" s="3"/>
      <c r="R828" s="3"/>
      <c r="S828" s="3"/>
      <c r="T828" s="3"/>
      <c r="U828" s="3"/>
      <c r="V828" s="3"/>
      <c r="W828" s="3"/>
    </row>
    <row r="829" spans="1:23" ht="15.75" customHeight="1">
      <c r="A829" s="3"/>
      <c r="B829" s="3"/>
      <c r="C829" s="3"/>
      <c r="D829" s="3"/>
      <c r="E829" s="3"/>
      <c r="F829" s="3"/>
      <c r="G829" s="3"/>
      <c r="H829" s="3"/>
      <c r="I829" s="3"/>
      <c r="J829" s="3"/>
      <c r="K829" s="3"/>
      <c r="L829" s="3"/>
      <c r="M829" s="3"/>
      <c r="N829" s="3"/>
      <c r="O829" s="3"/>
      <c r="P829" s="3"/>
      <c r="Q829" s="3"/>
      <c r="R829" s="3"/>
      <c r="S829" s="3"/>
      <c r="T829" s="3"/>
      <c r="U829" s="3"/>
      <c r="V829" s="3"/>
      <c r="W829" s="3"/>
    </row>
    <row r="830" spans="1:23" ht="15.75" customHeight="1">
      <c r="A830" s="3"/>
      <c r="B830" s="3"/>
      <c r="C830" s="3"/>
      <c r="D830" s="3"/>
      <c r="E830" s="3"/>
      <c r="F830" s="3"/>
      <c r="G830" s="3"/>
      <c r="H830" s="3"/>
      <c r="I830" s="3"/>
      <c r="J830" s="3"/>
      <c r="K830" s="3"/>
      <c r="L830" s="3"/>
      <c r="M830" s="3"/>
      <c r="N830" s="3"/>
      <c r="O830" s="3"/>
      <c r="P830" s="3"/>
      <c r="Q830" s="3"/>
      <c r="R830" s="3"/>
      <c r="S830" s="3"/>
      <c r="T830" s="3"/>
      <c r="U830" s="3"/>
      <c r="V830" s="3"/>
      <c r="W830" s="3"/>
    </row>
    <row r="831" spans="1:23" ht="15.75" customHeight="1">
      <c r="A831" s="3"/>
      <c r="B831" s="3"/>
      <c r="C831" s="3"/>
      <c r="D831" s="3"/>
      <c r="E831" s="3"/>
      <c r="F831" s="3"/>
      <c r="G831" s="3"/>
      <c r="H831" s="3"/>
      <c r="I831" s="3"/>
      <c r="J831" s="3"/>
      <c r="K831" s="3"/>
      <c r="L831" s="3"/>
      <c r="M831" s="3"/>
      <c r="N831" s="3"/>
      <c r="O831" s="3"/>
      <c r="P831" s="3"/>
      <c r="Q831" s="3"/>
      <c r="R831" s="3"/>
      <c r="S831" s="3"/>
      <c r="T831" s="3"/>
      <c r="U831" s="3"/>
      <c r="V831" s="3"/>
      <c r="W831" s="3"/>
    </row>
    <row r="832" spans="1:23" ht="15.75" customHeight="1">
      <c r="A832" s="3"/>
      <c r="B832" s="3"/>
      <c r="C832" s="3"/>
      <c r="D832" s="3"/>
      <c r="E832" s="3"/>
      <c r="F832" s="3"/>
      <c r="G832" s="3"/>
      <c r="H832" s="3"/>
      <c r="I832" s="3"/>
      <c r="J832" s="3"/>
      <c r="K832" s="3"/>
      <c r="L832" s="3"/>
      <c r="M832" s="3"/>
      <c r="N832" s="3"/>
      <c r="O832" s="3"/>
      <c r="P832" s="3"/>
      <c r="Q832" s="3"/>
      <c r="R832" s="3"/>
      <c r="S832" s="3"/>
      <c r="T832" s="3"/>
      <c r="U832" s="3"/>
      <c r="V832" s="3"/>
      <c r="W832" s="3"/>
    </row>
    <row r="833" spans="1:23" ht="15.75" customHeight="1">
      <c r="A833" s="3"/>
      <c r="B833" s="3"/>
      <c r="C833" s="3"/>
      <c r="D833" s="3"/>
      <c r="E833" s="3"/>
      <c r="F833" s="3"/>
      <c r="G833" s="3"/>
      <c r="H833" s="3"/>
      <c r="I833" s="3"/>
      <c r="J833" s="3"/>
      <c r="K833" s="3"/>
      <c r="L833" s="3"/>
      <c r="M833" s="3"/>
      <c r="N833" s="3"/>
      <c r="O833" s="3"/>
      <c r="P833" s="3"/>
      <c r="Q833" s="3"/>
      <c r="R833" s="3"/>
      <c r="S833" s="3"/>
      <c r="T833" s="3"/>
      <c r="U833" s="3"/>
      <c r="V833" s="3"/>
      <c r="W833" s="3"/>
    </row>
    <row r="834" spans="1:23" ht="15.75" customHeight="1">
      <c r="A834" s="3"/>
      <c r="B834" s="3"/>
      <c r="C834" s="3"/>
      <c r="D834" s="3"/>
      <c r="E834" s="3"/>
      <c r="F834" s="3"/>
      <c r="G834" s="3"/>
      <c r="H834" s="3"/>
      <c r="I834" s="3"/>
      <c r="J834" s="3"/>
      <c r="K834" s="3"/>
      <c r="L834" s="3"/>
      <c r="M834" s="3"/>
      <c r="N834" s="3"/>
      <c r="O834" s="3"/>
      <c r="P834" s="3"/>
      <c r="Q834" s="3"/>
      <c r="R834" s="3"/>
      <c r="S834" s="3"/>
      <c r="T834" s="3"/>
      <c r="U834" s="3"/>
      <c r="V834" s="3"/>
      <c r="W834" s="3"/>
    </row>
    <row r="835" spans="1:23" ht="15.75" customHeight="1">
      <c r="A835" s="3"/>
      <c r="B835" s="3"/>
      <c r="C835" s="3"/>
      <c r="D835" s="3"/>
      <c r="E835" s="3"/>
      <c r="F835" s="3"/>
      <c r="G835" s="3"/>
      <c r="H835" s="3"/>
      <c r="I835" s="3"/>
      <c r="J835" s="3"/>
      <c r="K835" s="3"/>
      <c r="L835" s="3"/>
      <c r="M835" s="3"/>
      <c r="N835" s="3"/>
      <c r="O835" s="3"/>
      <c r="P835" s="3"/>
      <c r="Q835" s="3"/>
      <c r="R835" s="3"/>
      <c r="S835" s="3"/>
      <c r="T835" s="3"/>
      <c r="U835" s="3"/>
      <c r="V835" s="3"/>
      <c r="W835" s="3"/>
    </row>
    <row r="836" spans="1:23" ht="15.75" customHeight="1">
      <c r="A836" s="3"/>
      <c r="B836" s="3"/>
      <c r="C836" s="3"/>
      <c r="D836" s="3"/>
      <c r="E836" s="3"/>
      <c r="F836" s="3"/>
      <c r="G836" s="3"/>
      <c r="H836" s="3"/>
      <c r="I836" s="3"/>
      <c r="J836" s="3"/>
      <c r="K836" s="3"/>
      <c r="L836" s="3"/>
      <c r="M836" s="3"/>
      <c r="N836" s="3"/>
      <c r="O836" s="3"/>
      <c r="P836" s="3"/>
      <c r="Q836" s="3"/>
      <c r="R836" s="3"/>
      <c r="S836" s="3"/>
      <c r="T836" s="3"/>
      <c r="U836" s="3"/>
      <c r="V836" s="3"/>
      <c r="W836" s="3"/>
    </row>
    <row r="837" spans="1:23" ht="15.75" customHeight="1">
      <c r="A837" s="3"/>
      <c r="B837" s="3"/>
      <c r="C837" s="3"/>
      <c r="D837" s="3"/>
      <c r="E837" s="3"/>
      <c r="F837" s="3"/>
      <c r="G837" s="3"/>
      <c r="H837" s="3"/>
      <c r="I837" s="3"/>
      <c r="J837" s="3"/>
      <c r="K837" s="3"/>
      <c r="L837" s="3"/>
      <c r="M837" s="3"/>
      <c r="N837" s="3"/>
      <c r="O837" s="3"/>
      <c r="P837" s="3"/>
      <c r="Q837" s="3"/>
      <c r="R837" s="3"/>
      <c r="S837" s="3"/>
      <c r="T837" s="3"/>
      <c r="U837" s="3"/>
      <c r="V837" s="3"/>
      <c r="W837" s="3"/>
    </row>
    <row r="838" spans="1:23" ht="15.75" customHeight="1">
      <c r="A838" s="3"/>
      <c r="B838" s="3"/>
      <c r="C838" s="3"/>
      <c r="D838" s="3"/>
      <c r="E838" s="3"/>
      <c r="F838" s="3"/>
      <c r="G838" s="3"/>
      <c r="H838" s="3"/>
      <c r="I838" s="3"/>
      <c r="J838" s="3"/>
      <c r="K838" s="3"/>
      <c r="L838" s="3"/>
      <c r="M838" s="3"/>
      <c r="N838" s="3"/>
      <c r="O838" s="3"/>
      <c r="P838" s="3"/>
      <c r="Q838" s="3"/>
      <c r="R838" s="3"/>
      <c r="S838" s="3"/>
      <c r="T838" s="3"/>
      <c r="U838" s="3"/>
      <c r="V838" s="3"/>
      <c r="W838" s="3"/>
    </row>
    <row r="839" spans="1:23" ht="15.75" customHeight="1">
      <c r="A839" s="3"/>
      <c r="B839" s="3"/>
      <c r="C839" s="3"/>
      <c r="D839" s="3"/>
      <c r="E839" s="3"/>
      <c r="F839" s="3"/>
      <c r="G839" s="3"/>
      <c r="H839" s="3"/>
      <c r="I839" s="3"/>
      <c r="J839" s="3"/>
      <c r="K839" s="3"/>
      <c r="L839" s="3"/>
      <c r="M839" s="3"/>
      <c r="N839" s="3"/>
      <c r="O839" s="3"/>
      <c r="P839" s="3"/>
      <c r="Q839" s="3"/>
      <c r="R839" s="3"/>
      <c r="S839" s="3"/>
      <c r="T839" s="3"/>
      <c r="U839" s="3"/>
      <c r="V839" s="3"/>
      <c r="W839" s="3"/>
    </row>
    <row r="840" spans="1:23" ht="15.75" customHeight="1">
      <c r="A840" s="3"/>
      <c r="B840" s="3"/>
      <c r="C840" s="3"/>
      <c r="D840" s="3"/>
      <c r="E840" s="3"/>
      <c r="F840" s="3"/>
      <c r="G840" s="3"/>
      <c r="H840" s="3"/>
      <c r="I840" s="3"/>
      <c r="J840" s="3"/>
      <c r="K840" s="3"/>
      <c r="L840" s="3"/>
      <c r="M840" s="3"/>
      <c r="N840" s="3"/>
      <c r="O840" s="3"/>
      <c r="P840" s="3"/>
      <c r="Q840" s="3"/>
      <c r="R840" s="3"/>
      <c r="S840" s="3"/>
      <c r="T840" s="3"/>
      <c r="U840" s="3"/>
      <c r="V840" s="3"/>
      <c r="W840" s="3"/>
    </row>
    <row r="841" spans="1:23" ht="15.75" customHeight="1">
      <c r="A841" s="3"/>
      <c r="B841" s="3"/>
      <c r="C841" s="3"/>
      <c r="D841" s="3"/>
      <c r="E841" s="3"/>
      <c r="F841" s="3"/>
      <c r="G841" s="3"/>
      <c r="H841" s="3"/>
      <c r="I841" s="3"/>
      <c r="J841" s="3"/>
      <c r="K841" s="3"/>
      <c r="L841" s="3"/>
      <c r="M841" s="3"/>
      <c r="N841" s="3"/>
      <c r="O841" s="3"/>
      <c r="P841" s="3"/>
      <c r="Q841" s="3"/>
      <c r="R841" s="3"/>
      <c r="S841" s="3"/>
      <c r="T841" s="3"/>
      <c r="U841" s="3"/>
      <c r="V841" s="3"/>
      <c r="W841" s="3"/>
    </row>
    <row r="842" spans="1:23" ht="15.75" customHeight="1">
      <c r="A842" s="3"/>
      <c r="B842" s="3"/>
      <c r="C842" s="3"/>
      <c r="D842" s="3"/>
      <c r="E842" s="3"/>
      <c r="F842" s="3"/>
      <c r="G842" s="3"/>
      <c r="H842" s="3"/>
      <c r="I842" s="3"/>
      <c r="J842" s="3"/>
      <c r="K842" s="3"/>
      <c r="L842" s="3"/>
      <c r="M842" s="3"/>
      <c r="N842" s="3"/>
      <c r="O842" s="3"/>
      <c r="P842" s="3"/>
      <c r="Q842" s="3"/>
      <c r="R842" s="3"/>
      <c r="S842" s="3"/>
      <c r="T842" s="3"/>
      <c r="U842" s="3"/>
      <c r="V842" s="3"/>
      <c r="W842" s="3"/>
    </row>
    <row r="843" spans="1:23" ht="15.75" customHeight="1">
      <c r="A843" s="3"/>
      <c r="B843" s="3"/>
      <c r="C843" s="3"/>
      <c r="D843" s="3"/>
      <c r="E843" s="3"/>
      <c r="F843" s="3"/>
      <c r="G843" s="3"/>
      <c r="H843" s="3"/>
      <c r="I843" s="3"/>
      <c r="J843" s="3"/>
      <c r="K843" s="3"/>
      <c r="L843" s="3"/>
      <c r="M843" s="3"/>
      <c r="N843" s="3"/>
      <c r="O843" s="3"/>
      <c r="P843" s="3"/>
      <c r="Q843" s="3"/>
      <c r="R843" s="3"/>
      <c r="S843" s="3"/>
      <c r="T843" s="3"/>
      <c r="U843" s="3"/>
      <c r="V843" s="3"/>
      <c r="W843" s="3"/>
    </row>
    <row r="844" spans="1:23" ht="15.75" customHeight="1">
      <c r="A844" s="3"/>
      <c r="B844" s="3"/>
      <c r="C844" s="3"/>
      <c r="D844" s="3"/>
      <c r="E844" s="3"/>
      <c r="F844" s="3"/>
      <c r="G844" s="3"/>
      <c r="H844" s="3"/>
      <c r="I844" s="3"/>
      <c r="J844" s="3"/>
      <c r="K844" s="3"/>
      <c r="L844" s="3"/>
      <c r="M844" s="3"/>
      <c r="N844" s="3"/>
      <c r="O844" s="3"/>
      <c r="P844" s="3"/>
      <c r="Q844" s="3"/>
      <c r="R844" s="3"/>
      <c r="S844" s="3"/>
      <c r="T844" s="3"/>
      <c r="U844" s="3"/>
      <c r="V844" s="3"/>
      <c r="W844" s="3"/>
    </row>
    <row r="845" spans="1:23" ht="15.75" customHeight="1">
      <c r="A845" s="3"/>
      <c r="B845" s="3"/>
      <c r="C845" s="3"/>
      <c r="D845" s="3"/>
      <c r="E845" s="3"/>
      <c r="F845" s="3"/>
      <c r="G845" s="3"/>
      <c r="H845" s="3"/>
      <c r="I845" s="3"/>
      <c r="J845" s="3"/>
      <c r="K845" s="3"/>
      <c r="L845" s="3"/>
      <c r="M845" s="3"/>
      <c r="N845" s="3"/>
      <c r="O845" s="3"/>
      <c r="P845" s="3"/>
      <c r="Q845" s="3"/>
      <c r="R845" s="3"/>
      <c r="S845" s="3"/>
      <c r="T845" s="3"/>
      <c r="U845" s="3"/>
      <c r="V845" s="3"/>
      <c r="W845" s="3"/>
    </row>
    <row r="846" spans="1:23" ht="15.75" customHeight="1">
      <c r="A846" s="3"/>
      <c r="B846" s="3"/>
      <c r="C846" s="3"/>
      <c r="D846" s="3"/>
      <c r="E846" s="3"/>
      <c r="F846" s="3"/>
      <c r="G846" s="3"/>
      <c r="H846" s="3"/>
      <c r="I846" s="3"/>
      <c r="J846" s="3"/>
      <c r="K846" s="3"/>
      <c r="L846" s="3"/>
      <c r="M846" s="3"/>
      <c r="N846" s="3"/>
      <c r="O846" s="3"/>
      <c r="P846" s="3"/>
      <c r="Q846" s="3"/>
      <c r="R846" s="3"/>
      <c r="S846" s="3"/>
      <c r="T846" s="3"/>
      <c r="U846" s="3"/>
      <c r="V846" s="3"/>
      <c r="W846" s="3"/>
    </row>
    <row r="847" spans="1:23" ht="15.75" customHeight="1">
      <c r="A847" s="3"/>
      <c r="B847" s="3"/>
      <c r="C847" s="3"/>
      <c r="D847" s="3"/>
      <c r="E847" s="3"/>
      <c r="F847" s="3"/>
      <c r="G847" s="3"/>
      <c r="H847" s="3"/>
      <c r="I847" s="3"/>
      <c r="J847" s="3"/>
      <c r="K847" s="3"/>
      <c r="L847" s="3"/>
      <c r="M847" s="3"/>
      <c r="N847" s="3"/>
      <c r="O847" s="3"/>
      <c r="P847" s="3"/>
      <c r="Q847" s="3"/>
      <c r="R847" s="3"/>
      <c r="S847" s="3"/>
      <c r="T847" s="3"/>
      <c r="U847" s="3"/>
      <c r="V847" s="3"/>
      <c r="W847" s="3"/>
    </row>
    <row r="848" spans="1:23" ht="15.75" customHeight="1">
      <c r="A848" s="3"/>
      <c r="B848" s="3"/>
      <c r="C848" s="3"/>
      <c r="D848" s="3"/>
      <c r="E848" s="3"/>
      <c r="F848" s="3"/>
      <c r="G848" s="3"/>
      <c r="H848" s="3"/>
      <c r="I848" s="3"/>
      <c r="J848" s="3"/>
      <c r="K848" s="3"/>
      <c r="L848" s="3"/>
      <c r="M848" s="3"/>
      <c r="N848" s="3"/>
      <c r="O848" s="3"/>
      <c r="P848" s="3"/>
      <c r="Q848" s="3"/>
      <c r="R848" s="3"/>
      <c r="S848" s="3"/>
      <c r="T848" s="3"/>
      <c r="U848" s="3"/>
      <c r="V848" s="3"/>
      <c r="W848" s="3"/>
    </row>
    <row r="849" spans="1:23" ht="15.75" customHeight="1">
      <c r="A849" s="3"/>
      <c r="B849" s="3"/>
      <c r="C849" s="3"/>
      <c r="D849" s="3"/>
      <c r="E849" s="3"/>
      <c r="F849" s="3"/>
      <c r="G849" s="3"/>
      <c r="H849" s="3"/>
      <c r="I849" s="3"/>
      <c r="J849" s="3"/>
      <c r="K849" s="3"/>
      <c r="L849" s="3"/>
      <c r="M849" s="3"/>
      <c r="N849" s="3"/>
      <c r="O849" s="3"/>
      <c r="P849" s="3"/>
      <c r="Q849" s="3"/>
      <c r="R849" s="3"/>
      <c r="S849" s="3"/>
      <c r="T849" s="3"/>
      <c r="U849" s="3"/>
      <c r="V849" s="3"/>
      <c r="W849" s="3"/>
    </row>
    <row r="850" spans="1:23" ht="15.75" customHeight="1">
      <c r="A850" s="3"/>
      <c r="B850" s="3"/>
      <c r="C850" s="3"/>
      <c r="D850" s="3"/>
      <c r="E850" s="3"/>
      <c r="F850" s="3"/>
      <c r="G850" s="3"/>
      <c r="H850" s="3"/>
      <c r="I850" s="3"/>
      <c r="J850" s="3"/>
      <c r="K850" s="3"/>
      <c r="L850" s="3"/>
      <c r="M850" s="3"/>
      <c r="N850" s="3"/>
      <c r="O850" s="3"/>
      <c r="P850" s="3"/>
      <c r="Q850" s="3"/>
      <c r="R850" s="3"/>
      <c r="S850" s="3"/>
      <c r="T850" s="3"/>
      <c r="U850" s="3"/>
      <c r="V850" s="3"/>
      <c r="W850" s="3"/>
    </row>
    <row r="851" spans="1:23" ht="15.75" customHeight="1">
      <c r="A851" s="3"/>
      <c r="B851" s="3"/>
      <c r="C851" s="3"/>
      <c r="D851" s="3"/>
      <c r="E851" s="3"/>
      <c r="F851" s="3"/>
      <c r="G851" s="3"/>
      <c r="H851" s="3"/>
      <c r="I851" s="3"/>
      <c r="J851" s="3"/>
      <c r="K851" s="3"/>
      <c r="L851" s="3"/>
      <c r="M851" s="3"/>
      <c r="N851" s="3"/>
      <c r="O851" s="3"/>
      <c r="P851" s="3"/>
      <c r="Q851" s="3"/>
      <c r="R851" s="3"/>
      <c r="S851" s="3"/>
      <c r="T851" s="3"/>
      <c r="U851" s="3"/>
      <c r="V851" s="3"/>
      <c r="W851" s="3"/>
    </row>
    <row r="852" spans="1:23" ht="15.75" customHeight="1">
      <c r="A852" s="3"/>
      <c r="B852" s="3"/>
      <c r="C852" s="3"/>
      <c r="D852" s="3"/>
      <c r="E852" s="3"/>
      <c r="F852" s="3"/>
      <c r="G852" s="3"/>
      <c r="H852" s="3"/>
      <c r="I852" s="3"/>
      <c r="J852" s="3"/>
      <c r="K852" s="3"/>
      <c r="L852" s="3"/>
      <c r="M852" s="3"/>
      <c r="N852" s="3"/>
      <c r="O852" s="3"/>
      <c r="P852" s="3"/>
      <c r="Q852" s="3"/>
      <c r="R852" s="3"/>
      <c r="S852" s="3"/>
      <c r="T852" s="3"/>
      <c r="U852" s="3"/>
      <c r="V852" s="3"/>
      <c r="W852" s="3"/>
    </row>
    <row r="853" spans="1:23" ht="15.75" customHeight="1">
      <c r="A853" s="3"/>
      <c r="B853" s="3"/>
      <c r="C853" s="3"/>
      <c r="D853" s="3"/>
      <c r="E853" s="3"/>
      <c r="F853" s="3"/>
      <c r="G853" s="3"/>
      <c r="H853" s="3"/>
      <c r="I853" s="3"/>
      <c r="J853" s="3"/>
      <c r="K853" s="3"/>
      <c r="L853" s="3"/>
      <c r="M853" s="3"/>
      <c r="N853" s="3"/>
      <c r="O853" s="3"/>
      <c r="P853" s="3"/>
      <c r="Q853" s="3"/>
      <c r="R853" s="3"/>
      <c r="S853" s="3"/>
      <c r="T853" s="3"/>
      <c r="U853" s="3"/>
      <c r="V853" s="3"/>
      <c r="W853" s="3"/>
    </row>
    <row r="854" spans="1:23" ht="15.75" customHeight="1">
      <c r="A854" s="3"/>
      <c r="B854" s="3"/>
      <c r="C854" s="3"/>
      <c r="D854" s="3"/>
      <c r="E854" s="3"/>
      <c r="F854" s="3"/>
      <c r="G854" s="3"/>
      <c r="H854" s="3"/>
      <c r="I854" s="3"/>
      <c r="J854" s="3"/>
      <c r="K854" s="3"/>
      <c r="L854" s="3"/>
      <c r="M854" s="3"/>
      <c r="N854" s="3"/>
      <c r="O854" s="3"/>
      <c r="P854" s="3"/>
      <c r="Q854" s="3"/>
      <c r="R854" s="3"/>
      <c r="S854" s="3"/>
      <c r="T854" s="3"/>
      <c r="U854" s="3"/>
      <c r="V854" s="3"/>
      <c r="W854" s="3"/>
    </row>
    <row r="855" spans="1:23" ht="15.75" customHeight="1">
      <c r="A855" s="3"/>
      <c r="B855" s="3"/>
      <c r="C855" s="3"/>
      <c r="D855" s="3"/>
      <c r="E855" s="3"/>
      <c r="F855" s="3"/>
      <c r="G855" s="3"/>
      <c r="H855" s="3"/>
      <c r="I855" s="3"/>
      <c r="J855" s="3"/>
      <c r="K855" s="3"/>
      <c r="L855" s="3"/>
      <c r="M855" s="3"/>
      <c r="N855" s="3"/>
      <c r="O855" s="3"/>
      <c r="P855" s="3"/>
      <c r="Q855" s="3"/>
      <c r="R855" s="3"/>
      <c r="S855" s="3"/>
      <c r="T855" s="3"/>
      <c r="U855" s="3"/>
      <c r="V855" s="3"/>
      <c r="W855" s="3"/>
    </row>
    <row r="856" spans="1:23" ht="15.75" customHeight="1">
      <c r="A856" s="3"/>
      <c r="B856" s="3"/>
      <c r="C856" s="3"/>
      <c r="D856" s="3"/>
      <c r="E856" s="3"/>
      <c r="F856" s="3"/>
      <c r="G856" s="3"/>
      <c r="H856" s="3"/>
      <c r="I856" s="3"/>
      <c r="J856" s="3"/>
      <c r="K856" s="3"/>
      <c r="L856" s="3"/>
      <c r="M856" s="3"/>
      <c r="N856" s="3"/>
      <c r="O856" s="3"/>
      <c r="P856" s="3"/>
      <c r="Q856" s="3"/>
      <c r="R856" s="3"/>
      <c r="S856" s="3"/>
      <c r="T856" s="3"/>
      <c r="U856" s="3"/>
      <c r="V856" s="3"/>
      <c r="W856" s="3"/>
    </row>
    <row r="857" spans="1:23" ht="15.75" customHeight="1">
      <c r="A857" s="3"/>
      <c r="B857" s="3"/>
      <c r="C857" s="3"/>
      <c r="D857" s="3"/>
      <c r="E857" s="3"/>
      <c r="F857" s="3"/>
      <c r="G857" s="3"/>
      <c r="H857" s="3"/>
      <c r="I857" s="3"/>
      <c r="J857" s="3"/>
      <c r="K857" s="3"/>
      <c r="L857" s="3"/>
      <c r="M857" s="3"/>
      <c r="N857" s="3"/>
      <c r="O857" s="3"/>
      <c r="P857" s="3"/>
      <c r="Q857" s="3"/>
      <c r="R857" s="3"/>
      <c r="S857" s="3"/>
      <c r="T857" s="3"/>
      <c r="U857" s="3"/>
      <c r="V857" s="3"/>
      <c r="W857" s="3"/>
    </row>
    <row r="858" spans="1:23" ht="15.75" customHeight="1">
      <c r="A858" s="3"/>
      <c r="B858" s="3"/>
      <c r="C858" s="3"/>
      <c r="D858" s="3"/>
      <c r="E858" s="3"/>
      <c r="F858" s="3"/>
      <c r="G858" s="3"/>
      <c r="H858" s="3"/>
      <c r="I858" s="3"/>
      <c r="J858" s="3"/>
      <c r="K858" s="3"/>
      <c r="L858" s="3"/>
      <c r="M858" s="3"/>
      <c r="N858" s="3"/>
      <c r="O858" s="3"/>
      <c r="P858" s="3"/>
      <c r="Q858" s="3"/>
      <c r="R858" s="3"/>
      <c r="S858" s="3"/>
      <c r="T858" s="3"/>
      <c r="U858" s="3"/>
      <c r="V858" s="3"/>
      <c r="W858" s="3"/>
    </row>
    <row r="859" spans="1:23" ht="15.75" customHeight="1">
      <c r="A859" s="3"/>
      <c r="B859" s="3"/>
      <c r="C859" s="3"/>
      <c r="D859" s="3"/>
      <c r="E859" s="3"/>
      <c r="F859" s="3"/>
      <c r="G859" s="3"/>
      <c r="H859" s="3"/>
      <c r="I859" s="3"/>
      <c r="J859" s="3"/>
      <c r="K859" s="3"/>
      <c r="L859" s="3"/>
      <c r="M859" s="3"/>
      <c r="N859" s="3"/>
      <c r="O859" s="3"/>
      <c r="P859" s="3"/>
      <c r="Q859" s="3"/>
      <c r="R859" s="3"/>
      <c r="S859" s="3"/>
      <c r="T859" s="3"/>
      <c r="U859" s="3"/>
      <c r="V859" s="3"/>
      <c r="W859" s="3"/>
    </row>
    <row r="860" spans="1:23" ht="15.75" customHeight="1">
      <c r="A860" s="3"/>
      <c r="B860" s="3"/>
      <c r="C860" s="3"/>
      <c r="D860" s="3"/>
      <c r="E860" s="3"/>
      <c r="F860" s="3"/>
      <c r="G860" s="3"/>
      <c r="H860" s="3"/>
      <c r="I860" s="3"/>
      <c r="J860" s="3"/>
      <c r="K860" s="3"/>
      <c r="L860" s="3"/>
      <c r="M860" s="3"/>
      <c r="N860" s="3"/>
      <c r="O860" s="3"/>
      <c r="P860" s="3"/>
      <c r="Q860" s="3"/>
      <c r="R860" s="3"/>
      <c r="S860" s="3"/>
      <c r="T860" s="3"/>
      <c r="U860" s="3"/>
      <c r="V860" s="3"/>
      <c r="W860" s="3"/>
    </row>
    <row r="861" spans="1:23" ht="15.75" customHeight="1">
      <c r="A861" s="3"/>
      <c r="B861" s="3"/>
      <c r="C861" s="3"/>
      <c r="D861" s="3"/>
      <c r="E861" s="3"/>
      <c r="F861" s="3"/>
      <c r="G861" s="3"/>
      <c r="H861" s="3"/>
      <c r="I861" s="3"/>
      <c r="J861" s="3"/>
      <c r="K861" s="3"/>
      <c r="L861" s="3"/>
      <c r="M861" s="3"/>
      <c r="N861" s="3"/>
      <c r="O861" s="3"/>
      <c r="P861" s="3"/>
      <c r="Q861" s="3"/>
      <c r="R861" s="3"/>
      <c r="S861" s="3"/>
      <c r="T861" s="3"/>
      <c r="U861" s="3"/>
      <c r="V861" s="3"/>
      <c r="W861" s="3"/>
    </row>
    <row r="862" spans="1:23" ht="15.75" customHeight="1">
      <c r="A862" s="3"/>
      <c r="B862" s="3"/>
      <c r="C862" s="3"/>
      <c r="D862" s="3"/>
      <c r="E862" s="3"/>
      <c r="F862" s="3"/>
      <c r="G862" s="3"/>
      <c r="H862" s="3"/>
      <c r="I862" s="3"/>
      <c r="J862" s="3"/>
      <c r="K862" s="3"/>
      <c r="L862" s="3"/>
      <c r="M862" s="3"/>
      <c r="N862" s="3"/>
      <c r="O862" s="3"/>
      <c r="P862" s="3"/>
      <c r="Q862" s="3"/>
      <c r="R862" s="3"/>
      <c r="S862" s="3"/>
      <c r="T862" s="3"/>
      <c r="U862" s="3"/>
      <c r="V862" s="3"/>
      <c r="W862" s="3"/>
    </row>
    <row r="863" spans="1:23" ht="15.75" customHeight="1">
      <c r="A863" s="3"/>
      <c r="B863" s="3"/>
      <c r="C863" s="3"/>
      <c r="D863" s="3"/>
      <c r="E863" s="3"/>
      <c r="F863" s="3"/>
      <c r="G863" s="3"/>
      <c r="H863" s="3"/>
      <c r="I863" s="3"/>
      <c r="J863" s="3"/>
      <c r="K863" s="3"/>
      <c r="L863" s="3"/>
      <c r="M863" s="3"/>
      <c r="N863" s="3"/>
      <c r="O863" s="3"/>
      <c r="P863" s="3"/>
      <c r="Q863" s="3"/>
      <c r="R863" s="3"/>
      <c r="S863" s="3"/>
      <c r="T863" s="3"/>
      <c r="U863" s="3"/>
      <c r="V863" s="3"/>
      <c r="W863" s="3"/>
    </row>
    <row r="864" spans="1:23" ht="15.75" customHeight="1">
      <c r="A864" s="3"/>
      <c r="B864" s="3"/>
      <c r="C864" s="3"/>
      <c r="D864" s="3"/>
      <c r="E864" s="3"/>
      <c r="F864" s="3"/>
      <c r="G864" s="3"/>
      <c r="H864" s="3"/>
      <c r="I864" s="3"/>
      <c r="J864" s="3"/>
      <c r="K864" s="3"/>
      <c r="L864" s="3"/>
      <c r="M864" s="3"/>
      <c r="N864" s="3"/>
      <c r="O864" s="3"/>
      <c r="P864" s="3"/>
      <c r="Q864" s="3"/>
      <c r="R864" s="3"/>
      <c r="S864" s="3"/>
      <c r="T864" s="3"/>
      <c r="U864" s="3"/>
      <c r="V864" s="3"/>
      <c r="W864" s="3"/>
    </row>
    <row r="865" spans="1:23" ht="15.75" customHeight="1">
      <c r="A865" s="3"/>
      <c r="B865" s="3"/>
      <c r="C865" s="3"/>
      <c r="D865" s="3"/>
      <c r="E865" s="3"/>
      <c r="F865" s="3"/>
      <c r="G865" s="3"/>
      <c r="H865" s="3"/>
      <c r="I865" s="3"/>
      <c r="J865" s="3"/>
      <c r="K865" s="3"/>
      <c r="L865" s="3"/>
      <c r="M865" s="3"/>
      <c r="N865" s="3"/>
      <c r="O865" s="3"/>
      <c r="P865" s="3"/>
      <c r="Q865" s="3"/>
      <c r="R865" s="3"/>
      <c r="S865" s="3"/>
      <c r="T865" s="3"/>
      <c r="U865" s="3"/>
      <c r="V865" s="3"/>
      <c r="W865" s="3"/>
    </row>
    <row r="866" spans="1:23" ht="15.75" customHeight="1">
      <c r="A866" s="3"/>
      <c r="B866" s="3"/>
      <c r="C866" s="3"/>
      <c r="D866" s="3"/>
      <c r="E866" s="3"/>
      <c r="F866" s="3"/>
      <c r="G866" s="3"/>
      <c r="H866" s="3"/>
      <c r="I866" s="3"/>
      <c r="J866" s="3"/>
      <c r="K866" s="3"/>
      <c r="L866" s="3"/>
      <c r="M866" s="3"/>
      <c r="N866" s="3"/>
      <c r="O866" s="3"/>
      <c r="P866" s="3"/>
      <c r="Q866" s="3"/>
      <c r="R866" s="3"/>
      <c r="S866" s="3"/>
      <c r="T866" s="3"/>
      <c r="U866" s="3"/>
      <c r="V866" s="3"/>
      <c r="W866" s="3"/>
    </row>
    <row r="867" spans="1:23" ht="15.75" customHeight="1">
      <c r="A867" s="3"/>
      <c r="B867" s="3"/>
      <c r="C867" s="3"/>
      <c r="D867" s="3"/>
      <c r="E867" s="3"/>
      <c r="F867" s="3"/>
      <c r="G867" s="3"/>
      <c r="H867" s="3"/>
      <c r="I867" s="3"/>
      <c r="J867" s="3"/>
      <c r="K867" s="3"/>
      <c r="L867" s="3"/>
      <c r="M867" s="3"/>
      <c r="N867" s="3"/>
      <c r="O867" s="3"/>
      <c r="P867" s="3"/>
      <c r="Q867" s="3"/>
      <c r="R867" s="3"/>
      <c r="S867" s="3"/>
      <c r="T867" s="3"/>
      <c r="U867" s="3"/>
      <c r="V867" s="3"/>
      <c r="W867" s="3"/>
    </row>
    <row r="868" spans="1:23" ht="15.75" customHeight="1">
      <c r="A868" s="3"/>
      <c r="B868" s="3"/>
      <c r="C868" s="3"/>
      <c r="D868" s="3"/>
      <c r="E868" s="3"/>
      <c r="F868" s="3"/>
      <c r="G868" s="3"/>
      <c r="H868" s="3"/>
      <c r="I868" s="3"/>
      <c r="J868" s="3"/>
      <c r="K868" s="3"/>
      <c r="L868" s="3"/>
      <c r="M868" s="3"/>
      <c r="N868" s="3"/>
      <c r="O868" s="3"/>
      <c r="P868" s="3"/>
      <c r="Q868" s="3"/>
      <c r="R868" s="3"/>
      <c r="S868" s="3"/>
      <c r="T868" s="3"/>
      <c r="U868" s="3"/>
      <c r="V868" s="3"/>
      <c r="W868" s="3"/>
    </row>
    <row r="869" spans="1:23" ht="15.75" customHeight="1">
      <c r="A869" s="3"/>
      <c r="B869" s="3"/>
      <c r="C869" s="3"/>
      <c r="D869" s="3"/>
      <c r="E869" s="3"/>
      <c r="F869" s="3"/>
      <c r="G869" s="3"/>
      <c r="H869" s="3"/>
      <c r="I869" s="3"/>
      <c r="J869" s="3"/>
      <c r="K869" s="3"/>
      <c r="L869" s="3"/>
      <c r="M869" s="3"/>
      <c r="N869" s="3"/>
      <c r="O869" s="3"/>
      <c r="P869" s="3"/>
      <c r="Q869" s="3"/>
      <c r="R869" s="3"/>
      <c r="S869" s="3"/>
      <c r="T869" s="3"/>
      <c r="U869" s="3"/>
      <c r="V869" s="3"/>
      <c r="W869" s="3"/>
    </row>
    <row r="870" spans="1:23" ht="15.75" customHeight="1">
      <c r="A870" s="3"/>
      <c r="B870" s="3"/>
      <c r="C870" s="3"/>
      <c r="D870" s="3"/>
      <c r="E870" s="3"/>
      <c r="F870" s="3"/>
      <c r="G870" s="3"/>
      <c r="H870" s="3"/>
      <c r="I870" s="3"/>
      <c r="J870" s="3"/>
      <c r="K870" s="3"/>
      <c r="L870" s="3"/>
      <c r="M870" s="3"/>
      <c r="N870" s="3"/>
      <c r="O870" s="3"/>
      <c r="P870" s="3"/>
      <c r="Q870" s="3"/>
      <c r="R870" s="3"/>
      <c r="S870" s="3"/>
      <c r="T870" s="3"/>
      <c r="U870" s="3"/>
      <c r="V870" s="3"/>
      <c r="W870" s="3"/>
    </row>
    <row r="871" spans="1:23" ht="15.75" customHeight="1">
      <c r="A871" s="3"/>
      <c r="B871" s="3"/>
      <c r="C871" s="3"/>
      <c r="D871" s="3"/>
      <c r="E871" s="3"/>
      <c r="F871" s="3"/>
      <c r="G871" s="3"/>
      <c r="H871" s="3"/>
      <c r="I871" s="3"/>
      <c r="J871" s="3"/>
      <c r="K871" s="3"/>
      <c r="L871" s="3"/>
      <c r="M871" s="3"/>
      <c r="N871" s="3"/>
      <c r="O871" s="3"/>
      <c r="P871" s="3"/>
      <c r="Q871" s="3"/>
      <c r="R871" s="3"/>
      <c r="S871" s="3"/>
      <c r="T871" s="3"/>
      <c r="U871" s="3"/>
      <c r="V871" s="3"/>
      <c r="W871" s="3"/>
    </row>
    <row r="872" spans="1:23" ht="15.75" customHeight="1">
      <c r="A872" s="3"/>
      <c r="B872" s="3"/>
      <c r="C872" s="3"/>
      <c r="D872" s="3"/>
      <c r="E872" s="3"/>
      <c r="F872" s="3"/>
      <c r="G872" s="3"/>
      <c r="H872" s="3"/>
      <c r="I872" s="3"/>
      <c r="J872" s="3"/>
      <c r="K872" s="3"/>
      <c r="L872" s="3"/>
      <c r="M872" s="3"/>
      <c r="N872" s="3"/>
      <c r="O872" s="3"/>
      <c r="P872" s="3"/>
      <c r="Q872" s="3"/>
      <c r="R872" s="3"/>
      <c r="S872" s="3"/>
      <c r="T872" s="3"/>
      <c r="U872" s="3"/>
      <c r="V872" s="3"/>
      <c r="W872" s="3"/>
    </row>
    <row r="873" spans="1:23" ht="15.75" customHeight="1">
      <c r="A873" s="3"/>
      <c r="B873" s="3"/>
      <c r="C873" s="3"/>
      <c r="D873" s="3"/>
      <c r="E873" s="3"/>
      <c r="F873" s="3"/>
      <c r="G873" s="3"/>
      <c r="H873" s="3"/>
      <c r="I873" s="3"/>
      <c r="J873" s="3"/>
      <c r="K873" s="3"/>
      <c r="L873" s="3"/>
      <c r="M873" s="3"/>
      <c r="N873" s="3"/>
      <c r="O873" s="3"/>
      <c r="P873" s="3"/>
      <c r="Q873" s="3"/>
      <c r="R873" s="3"/>
      <c r="S873" s="3"/>
      <c r="T873" s="3"/>
      <c r="U873" s="3"/>
      <c r="V873" s="3"/>
      <c r="W873" s="3"/>
    </row>
    <row r="874" spans="1:23" ht="15.75" customHeight="1">
      <c r="A874" s="3"/>
      <c r="B874" s="3"/>
      <c r="C874" s="3"/>
      <c r="D874" s="3"/>
      <c r="E874" s="3"/>
      <c r="F874" s="3"/>
      <c r="G874" s="3"/>
      <c r="H874" s="3"/>
      <c r="I874" s="3"/>
      <c r="J874" s="3"/>
      <c r="K874" s="3"/>
      <c r="L874" s="3"/>
      <c r="M874" s="3"/>
      <c r="N874" s="3"/>
      <c r="O874" s="3"/>
      <c r="P874" s="3"/>
      <c r="Q874" s="3"/>
      <c r="R874" s="3"/>
      <c r="S874" s="3"/>
      <c r="T874" s="3"/>
      <c r="U874" s="3"/>
      <c r="V874" s="3"/>
      <c r="W874" s="3"/>
    </row>
    <row r="875" spans="1:23" ht="15.75" customHeight="1">
      <c r="A875" s="3"/>
      <c r="B875" s="3"/>
      <c r="C875" s="3"/>
      <c r="D875" s="3"/>
      <c r="E875" s="3"/>
      <c r="F875" s="3"/>
      <c r="G875" s="3"/>
      <c r="H875" s="3"/>
      <c r="I875" s="3"/>
      <c r="J875" s="3"/>
      <c r="K875" s="3"/>
      <c r="L875" s="3"/>
      <c r="M875" s="3"/>
      <c r="N875" s="3"/>
      <c r="O875" s="3"/>
      <c r="P875" s="3"/>
      <c r="Q875" s="3"/>
      <c r="R875" s="3"/>
      <c r="S875" s="3"/>
      <c r="T875" s="3"/>
      <c r="U875" s="3"/>
      <c r="V875" s="3"/>
      <c r="W875" s="3"/>
    </row>
    <row r="876" spans="1:23" ht="15.75" customHeight="1">
      <c r="A876" s="3"/>
      <c r="B876" s="3"/>
      <c r="C876" s="3"/>
      <c r="D876" s="3"/>
      <c r="E876" s="3"/>
      <c r="F876" s="3"/>
      <c r="G876" s="3"/>
      <c r="H876" s="3"/>
      <c r="I876" s="3"/>
      <c r="J876" s="3"/>
      <c r="K876" s="3"/>
      <c r="L876" s="3"/>
      <c r="M876" s="3"/>
      <c r="N876" s="3"/>
      <c r="O876" s="3"/>
      <c r="P876" s="3"/>
      <c r="Q876" s="3"/>
      <c r="R876" s="3"/>
      <c r="S876" s="3"/>
      <c r="T876" s="3"/>
      <c r="U876" s="3"/>
      <c r="V876" s="3"/>
      <c r="W876" s="3"/>
    </row>
    <row r="877" spans="1:23" ht="15.75" customHeight="1">
      <c r="A877" s="3"/>
      <c r="B877" s="3"/>
      <c r="C877" s="3"/>
      <c r="D877" s="3"/>
      <c r="E877" s="3"/>
      <c r="F877" s="3"/>
      <c r="G877" s="3"/>
      <c r="H877" s="3"/>
      <c r="I877" s="3"/>
      <c r="J877" s="3"/>
      <c r="K877" s="3"/>
      <c r="L877" s="3"/>
      <c r="M877" s="3"/>
      <c r="N877" s="3"/>
      <c r="O877" s="3"/>
      <c r="P877" s="3"/>
      <c r="Q877" s="3"/>
      <c r="R877" s="3"/>
      <c r="S877" s="3"/>
      <c r="T877" s="3"/>
      <c r="U877" s="3"/>
      <c r="V877" s="3"/>
      <c r="W877" s="3"/>
    </row>
    <row r="878" spans="1:23" ht="15.75" customHeight="1">
      <c r="A878" s="3"/>
      <c r="B878" s="3"/>
      <c r="C878" s="3"/>
      <c r="D878" s="3"/>
      <c r="E878" s="3"/>
      <c r="F878" s="3"/>
      <c r="G878" s="3"/>
      <c r="H878" s="3"/>
      <c r="I878" s="3"/>
      <c r="J878" s="3"/>
      <c r="K878" s="3"/>
      <c r="L878" s="3"/>
      <c r="M878" s="3"/>
      <c r="N878" s="3"/>
      <c r="O878" s="3"/>
      <c r="P878" s="3"/>
      <c r="Q878" s="3"/>
      <c r="R878" s="3"/>
      <c r="S878" s="3"/>
      <c r="T878" s="3"/>
      <c r="U878" s="3"/>
      <c r="V878" s="3"/>
      <c r="W878" s="3"/>
    </row>
    <row r="879" spans="1:23" ht="15.75" customHeight="1">
      <c r="A879" s="3"/>
      <c r="B879" s="3"/>
      <c r="C879" s="3"/>
      <c r="D879" s="3"/>
      <c r="E879" s="3"/>
      <c r="F879" s="3"/>
      <c r="G879" s="3"/>
      <c r="H879" s="3"/>
      <c r="I879" s="3"/>
      <c r="J879" s="3"/>
      <c r="K879" s="3"/>
      <c r="L879" s="3"/>
      <c r="M879" s="3"/>
      <c r="N879" s="3"/>
      <c r="O879" s="3"/>
      <c r="P879" s="3"/>
      <c r="Q879" s="3"/>
      <c r="R879" s="3"/>
      <c r="S879" s="3"/>
      <c r="T879" s="3"/>
      <c r="U879" s="3"/>
      <c r="V879" s="3"/>
      <c r="W879" s="3"/>
    </row>
    <row r="880" spans="1:23" ht="15.75" customHeight="1">
      <c r="A880" s="3"/>
      <c r="B880" s="3"/>
      <c r="C880" s="3"/>
      <c r="D880" s="3"/>
      <c r="E880" s="3"/>
      <c r="F880" s="3"/>
      <c r="G880" s="3"/>
      <c r="H880" s="3"/>
      <c r="I880" s="3"/>
      <c r="J880" s="3"/>
      <c r="K880" s="3"/>
      <c r="L880" s="3"/>
      <c r="M880" s="3"/>
      <c r="N880" s="3"/>
      <c r="O880" s="3"/>
      <c r="P880" s="3"/>
      <c r="Q880" s="3"/>
      <c r="R880" s="3"/>
      <c r="S880" s="3"/>
      <c r="T880" s="3"/>
      <c r="U880" s="3"/>
      <c r="V880" s="3"/>
      <c r="W880" s="3"/>
    </row>
    <row r="881" spans="1:23" ht="15.75" customHeight="1">
      <c r="A881" s="3"/>
      <c r="B881" s="3"/>
      <c r="C881" s="3"/>
      <c r="D881" s="3"/>
      <c r="E881" s="3"/>
      <c r="F881" s="3"/>
      <c r="G881" s="3"/>
      <c r="H881" s="3"/>
      <c r="I881" s="3"/>
      <c r="J881" s="3"/>
      <c r="K881" s="3"/>
      <c r="L881" s="3"/>
      <c r="M881" s="3"/>
      <c r="N881" s="3"/>
      <c r="O881" s="3"/>
      <c r="P881" s="3"/>
      <c r="Q881" s="3"/>
      <c r="R881" s="3"/>
      <c r="S881" s="3"/>
      <c r="T881" s="3"/>
      <c r="U881" s="3"/>
      <c r="V881" s="3"/>
      <c r="W881" s="3"/>
    </row>
    <row r="882" spans="1:23" ht="15.75" customHeight="1">
      <c r="A882" s="3"/>
      <c r="B882" s="3"/>
      <c r="C882" s="3"/>
      <c r="D882" s="3"/>
      <c r="E882" s="3"/>
      <c r="F882" s="3"/>
      <c r="G882" s="3"/>
      <c r="H882" s="3"/>
      <c r="I882" s="3"/>
      <c r="J882" s="3"/>
      <c r="K882" s="3"/>
      <c r="L882" s="3"/>
      <c r="M882" s="3"/>
      <c r="N882" s="3"/>
      <c r="O882" s="3"/>
      <c r="P882" s="3"/>
      <c r="Q882" s="3"/>
      <c r="R882" s="3"/>
      <c r="S882" s="3"/>
      <c r="T882" s="3"/>
      <c r="U882" s="3"/>
      <c r="V882" s="3"/>
      <c r="W882" s="3"/>
    </row>
    <row r="883" spans="1:23" ht="15.75" customHeight="1">
      <c r="A883" s="3"/>
      <c r="B883" s="3"/>
      <c r="C883" s="3"/>
      <c r="D883" s="3"/>
      <c r="E883" s="3"/>
      <c r="F883" s="3"/>
      <c r="G883" s="3"/>
      <c r="H883" s="3"/>
      <c r="I883" s="3"/>
      <c r="J883" s="3"/>
      <c r="K883" s="3"/>
      <c r="L883" s="3"/>
      <c r="M883" s="3"/>
      <c r="N883" s="3"/>
      <c r="O883" s="3"/>
      <c r="P883" s="3"/>
      <c r="Q883" s="3"/>
      <c r="R883" s="3"/>
      <c r="S883" s="3"/>
      <c r="T883" s="3"/>
      <c r="U883" s="3"/>
      <c r="V883" s="3"/>
      <c r="W883" s="3"/>
    </row>
    <row r="884" spans="1:23" ht="15.75" customHeight="1">
      <c r="A884" s="3"/>
      <c r="B884" s="3"/>
      <c r="C884" s="3"/>
      <c r="D884" s="3"/>
      <c r="E884" s="3"/>
      <c r="F884" s="3"/>
      <c r="G884" s="3"/>
      <c r="H884" s="3"/>
      <c r="I884" s="3"/>
      <c r="J884" s="3"/>
      <c r="K884" s="3"/>
      <c r="L884" s="3"/>
      <c r="M884" s="3"/>
      <c r="N884" s="3"/>
      <c r="O884" s="3"/>
      <c r="P884" s="3"/>
      <c r="Q884" s="3"/>
      <c r="R884" s="3"/>
      <c r="S884" s="3"/>
      <c r="T884" s="3"/>
      <c r="U884" s="3"/>
      <c r="V884" s="3"/>
      <c r="W884" s="3"/>
    </row>
    <row r="885" spans="1:23" ht="15.75" customHeight="1">
      <c r="A885" s="3"/>
      <c r="B885" s="3"/>
      <c r="C885" s="3"/>
      <c r="D885" s="3"/>
      <c r="E885" s="3"/>
      <c r="F885" s="3"/>
      <c r="G885" s="3"/>
      <c r="H885" s="3"/>
      <c r="I885" s="3"/>
      <c r="J885" s="3"/>
      <c r="K885" s="3"/>
      <c r="L885" s="3"/>
      <c r="M885" s="3"/>
      <c r="N885" s="3"/>
      <c r="O885" s="3"/>
      <c r="P885" s="3"/>
      <c r="Q885" s="3"/>
      <c r="R885" s="3"/>
      <c r="S885" s="3"/>
      <c r="T885" s="3"/>
      <c r="U885" s="3"/>
      <c r="V885" s="3"/>
      <c r="W885" s="3"/>
    </row>
    <row r="886" spans="1:23" ht="15.75" customHeight="1">
      <c r="A886" s="3"/>
      <c r="B886" s="3"/>
      <c r="C886" s="3"/>
      <c r="D886" s="3"/>
      <c r="E886" s="3"/>
      <c r="F886" s="3"/>
      <c r="G886" s="3"/>
      <c r="H886" s="3"/>
      <c r="I886" s="3"/>
      <c r="J886" s="3"/>
      <c r="K886" s="3"/>
      <c r="L886" s="3"/>
      <c r="M886" s="3"/>
      <c r="N886" s="3"/>
      <c r="O886" s="3"/>
      <c r="P886" s="3"/>
      <c r="Q886" s="3"/>
      <c r="R886" s="3"/>
      <c r="S886" s="3"/>
      <c r="T886" s="3"/>
      <c r="U886" s="3"/>
      <c r="V886" s="3"/>
      <c r="W886" s="3"/>
    </row>
    <row r="887" spans="1:23" ht="15.75" customHeight="1">
      <c r="A887" s="3"/>
      <c r="B887" s="3"/>
      <c r="C887" s="3"/>
      <c r="D887" s="3"/>
      <c r="E887" s="3"/>
      <c r="F887" s="3"/>
      <c r="G887" s="3"/>
      <c r="H887" s="3"/>
      <c r="I887" s="3"/>
      <c r="J887" s="3"/>
      <c r="K887" s="3"/>
      <c r="L887" s="3"/>
      <c r="M887" s="3"/>
      <c r="N887" s="3"/>
      <c r="O887" s="3"/>
      <c r="P887" s="3"/>
      <c r="Q887" s="3"/>
      <c r="R887" s="3"/>
      <c r="S887" s="3"/>
      <c r="T887" s="3"/>
      <c r="U887" s="3"/>
      <c r="V887" s="3"/>
      <c r="W887" s="3"/>
    </row>
    <row r="888" spans="1:23" ht="15.75" customHeight="1">
      <c r="A888" s="3"/>
      <c r="B888" s="3"/>
      <c r="C888" s="3"/>
      <c r="D888" s="3"/>
      <c r="E888" s="3"/>
      <c r="F888" s="3"/>
      <c r="G888" s="3"/>
      <c r="H888" s="3"/>
      <c r="I888" s="3"/>
      <c r="J888" s="3"/>
      <c r="K888" s="3"/>
      <c r="L888" s="3"/>
      <c r="M888" s="3"/>
      <c r="N888" s="3"/>
      <c r="O888" s="3"/>
      <c r="P888" s="3"/>
      <c r="Q888" s="3"/>
      <c r="R888" s="3"/>
      <c r="S888" s="3"/>
      <c r="T888" s="3"/>
      <c r="U888" s="3"/>
      <c r="V888" s="3"/>
      <c r="W888" s="3"/>
    </row>
    <row r="889" spans="1:23" ht="15.75" customHeight="1">
      <c r="A889" s="3"/>
      <c r="B889" s="3"/>
      <c r="C889" s="3"/>
      <c r="D889" s="3"/>
      <c r="E889" s="3"/>
      <c r="F889" s="3"/>
      <c r="G889" s="3"/>
      <c r="H889" s="3"/>
      <c r="I889" s="3"/>
      <c r="J889" s="3"/>
      <c r="K889" s="3"/>
      <c r="L889" s="3"/>
      <c r="M889" s="3"/>
      <c r="N889" s="3"/>
      <c r="O889" s="3"/>
      <c r="P889" s="3"/>
      <c r="Q889" s="3"/>
      <c r="R889" s="3"/>
      <c r="S889" s="3"/>
      <c r="T889" s="3"/>
      <c r="U889" s="3"/>
      <c r="V889" s="3"/>
      <c r="W889" s="3"/>
    </row>
    <row r="890" spans="1:23" ht="15.75" customHeight="1">
      <c r="A890" s="3"/>
      <c r="B890" s="3"/>
      <c r="C890" s="3"/>
      <c r="D890" s="3"/>
      <c r="E890" s="3"/>
      <c r="F890" s="3"/>
      <c r="G890" s="3"/>
      <c r="H890" s="3"/>
      <c r="I890" s="3"/>
      <c r="J890" s="3"/>
      <c r="K890" s="3"/>
      <c r="L890" s="3"/>
      <c r="M890" s="3"/>
      <c r="N890" s="3"/>
      <c r="O890" s="3"/>
      <c r="P890" s="3"/>
      <c r="Q890" s="3"/>
      <c r="R890" s="3"/>
      <c r="S890" s="3"/>
      <c r="T890" s="3"/>
      <c r="U890" s="3"/>
      <c r="V890" s="3"/>
      <c r="W890" s="3"/>
    </row>
    <row r="891" spans="1:23" ht="15.75" customHeight="1">
      <c r="A891" s="3"/>
      <c r="B891" s="3"/>
      <c r="C891" s="3"/>
      <c r="D891" s="3"/>
      <c r="E891" s="3"/>
      <c r="F891" s="3"/>
      <c r="G891" s="3"/>
      <c r="H891" s="3"/>
      <c r="I891" s="3"/>
      <c r="J891" s="3"/>
      <c r="K891" s="3"/>
      <c r="L891" s="3"/>
      <c r="M891" s="3"/>
      <c r="N891" s="3"/>
      <c r="O891" s="3"/>
      <c r="P891" s="3"/>
      <c r="Q891" s="3"/>
      <c r="R891" s="3"/>
      <c r="S891" s="3"/>
      <c r="T891" s="3"/>
      <c r="U891" s="3"/>
      <c r="V891" s="3"/>
      <c r="W891" s="3"/>
    </row>
    <row r="892" spans="1:23" ht="15.75" customHeight="1">
      <c r="A892" s="3"/>
      <c r="B892" s="3"/>
      <c r="C892" s="3"/>
      <c r="D892" s="3"/>
      <c r="E892" s="3"/>
      <c r="F892" s="3"/>
      <c r="G892" s="3"/>
      <c r="H892" s="3"/>
      <c r="I892" s="3"/>
      <c r="J892" s="3"/>
      <c r="K892" s="3"/>
      <c r="L892" s="3"/>
      <c r="M892" s="3"/>
      <c r="N892" s="3"/>
      <c r="O892" s="3"/>
      <c r="P892" s="3"/>
      <c r="Q892" s="3"/>
      <c r="R892" s="3"/>
      <c r="S892" s="3"/>
      <c r="T892" s="3"/>
      <c r="U892" s="3"/>
      <c r="V892" s="3"/>
      <c r="W892" s="3"/>
    </row>
    <row r="893" spans="1:23" ht="15.75" customHeight="1">
      <c r="A893" s="3"/>
      <c r="B893" s="3"/>
      <c r="C893" s="3"/>
      <c r="D893" s="3"/>
      <c r="E893" s="3"/>
      <c r="F893" s="3"/>
      <c r="G893" s="3"/>
      <c r="H893" s="3"/>
      <c r="I893" s="3"/>
      <c r="J893" s="3"/>
      <c r="K893" s="3"/>
      <c r="L893" s="3"/>
      <c r="M893" s="3"/>
      <c r="N893" s="3"/>
      <c r="O893" s="3"/>
      <c r="P893" s="3"/>
      <c r="Q893" s="3"/>
      <c r="R893" s="3"/>
      <c r="S893" s="3"/>
      <c r="T893" s="3"/>
      <c r="U893" s="3"/>
      <c r="V893" s="3"/>
      <c r="W893" s="3"/>
    </row>
    <row r="894" spans="1:23" ht="15.75" customHeight="1">
      <c r="A894" s="3"/>
      <c r="B894" s="3"/>
      <c r="C894" s="3"/>
      <c r="D894" s="3"/>
      <c r="E894" s="3"/>
      <c r="F894" s="3"/>
      <c r="G894" s="3"/>
      <c r="H894" s="3"/>
      <c r="I894" s="3"/>
      <c r="J894" s="3"/>
      <c r="K894" s="3"/>
      <c r="L894" s="3"/>
      <c r="M894" s="3"/>
      <c r="N894" s="3"/>
      <c r="O894" s="3"/>
      <c r="P894" s="3"/>
      <c r="Q894" s="3"/>
      <c r="R894" s="3"/>
      <c r="S894" s="3"/>
      <c r="T894" s="3"/>
      <c r="U894" s="3"/>
      <c r="V894" s="3"/>
      <c r="W894" s="3"/>
    </row>
    <row r="895" spans="1:23" ht="15.75" customHeight="1">
      <c r="A895" s="3"/>
      <c r="B895" s="3"/>
      <c r="C895" s="3"/>
      <c r="D895" s="3"/>
      <c r="E895" s="3"/>
      <c r="F895" s="3"/>
      <c r="G895" s="3"/>
      <c r="H895" s="3"/>
      <c r="I895" s="3"/>
      <c r="J895" s="3"/>
      <c r="K895" s="3"/>
      <c r="L895" s="3"/>
      <c r="M895" s="3"/>
      <c r="N895" s="3"/>
      <c r="O895" s="3"/>
      <c r="P895" s="3"/>
      <c r="Q895" s="3"/>
      <c r="R895" s="3"/>
      <c r="S895" s="3"/>
      <c r="T895" s="3"/>
      <c r="U895" s="3"/>
      <c r="V895" s="3"/>
      <c r="W895" s="3"/>
    </row>
    <row r="896" spans="1:23" ht="15.75" customHeight="1">
      <c r="A896" s="3"/>
      <c r="B896" s="3"/>
      <c r="C896" s="3"/>
      <c r="D896" s="3"/>
      <c r="E896" s="3"/>
      <c r="F896" s="3"/>
      <c r="G896" s="3"/>
      <c r="H896" s="3"/>
      <c r="I896" s="3"/>
      <c r="J896" s="3"/>
      <c r="K896" s="3"/>
      <c r="L896" s="3"/>
      <c r="M896" s="3"/>
      <c r="N896" s="3"/>
      <c r="O896" s="3"/>
      <c r="P896" s="3"/>
      <c r="Q896" s="3"/>
      <c r="R896" s="3"/>
      <c r="S896" s="3"/>
      <c r="T896" s="3"/>
      <c r="U896" s="3"/>
      <c r="V896" s="3"/>
      <c r="W896" s="3"/>
    </row>
    <row r="897" spans="1:23" ht="15.75" customHeight="1">
      <c r="A897" s="3"/>
      <c r="B897" s="3"/>
      <c r="C897" s="3"/>
      <c r="D897" s="3"/>
      <c r="E897" s="3"/>
      <c r="F897" s="3"/>
      <c r="G897" s="3"/>
      <c r="H897" s="3"/>
      <c r="I897" s="3"/>
      <c r="J897" s="3"/>
      <c r="K897" s="3"/>
      <c r="L897" s="3"/>
      <c r="M897" s="3"/>
      <c r="N897" s="3"/>
      <c r="O897" s="3"/>
      <c r="P897" s="3"/>
      <c r="Q897" s="3"/>
      <c r="R897" s="3"/>
      <c r="S897" s="3"/>
      <c r="T897" s="3"/>
      <c r="U897" s="3"/>
      <c r="V897" s="3"/>
      <c r="W897" s="3"/>
    </row>
    <row r="898" spans="1:23" ht="15.75" customHeight="1">
      <c r="A898" s="3"/>
      <c r="B898" s="3"/>
      <c r="C898" s="3"/>
      <c r="D898" s="3"/>
      <c r="E898" s="3"/>
      <c r="F898" s="3"/>
      <c r="G898" s="3"/>
      <c r="H898" s="3"/>
      <c r="I898" s="3"/>
      <c r="J898" s="3"/>
      <c r="K898" s="3"/>
      <c r="L898" s="3"/>
      <c r="M898" s="3"/>
      <c r="N898" s="3"/>
      <c r="O898" s="3"/>
      <c r="P898" s="3"/>
      <c r="Q898" s="3"/>
      <c r="R898" s="3"/>
      <c r="S898" s="3"/>
      <c r="T898" s="3"/>
      <c r="U898" s="3"/>
      <c r="V898" s="3"/>
      <c r="W898" s="3"/>
    </row>
    <row r="899" spans="1:23" ht="15.75" customHeight="1">
      <c r="A899" s="3"/>
      <c r="B899" s="3"/>
      <c r="C899" s="3"/>
      <c r="D899" s="3"/>
      <c r="E899" s="3"/>
      <c r="F899" s="3"/>
      <c r="G899" s="3"/>
      <c r="H899" s="3"/>
      <c r="I899" s="3"/>
      <c r="J899" s="3"/>
      <c r="K899" s="3"/>
      <c r="L899" s="3"/>
      <c r="M899" s="3"/>
      <c r="N899" s="3"/>
      <c r="O899" s="3"/>
      <c r="P899" s="3"/>
      <c r="Q899" s="3"/>
      <c r="R899" s="3"/>
      <c r="S899" s="3"/>
      <c r="T899" s="3"/>
      <c r="U899" s="3"/>
      <c r="V899" s="3"/>
      <c r="W899" s="3"/>
    </row>
    <row r="900" spans="1:23" ht="15.75" customHeight="1">
      <c r="A900" s="3"/>
      <c r="B900" s="3"/>
      <c r="C900" s="3"/>
      <c r="D900" s="3"/>
      <c r="E900" s="3"/>
      <c r="F900" s="3"/>
      <c r="G900" s="3"/>
      <c r="H900" s="3"/>
      <c r="I900" s="3"/>
      <c r="J900" s="3"/>
      <c r="K900" s="3"/>
      <c r="L900" s="3"/>
      <c r="M900" s="3"/>
      <c r="N900" s="3"/>
      <c r="O900" s="3"/>
      <c r="P900" s="3"/>
      <c r="Q900" s="3"/>
      <c r="R900" s="3"/>
      <c r="S900" s="3"/>
      <c r="T900" s="3"/>
      <c r="U900" s="3"/>
      <c r="V900" s="3"/>
      <c r="W900" s="3"/>
    </row>
    <row r="901" spans="1:23" ht="15.75" customHeight="1">
      <c r="A901" s="3"/>
      <c r="B901" s="3"/>
      <c r="C901" s="3"/>
      <c r="D901" s="3"/>
      <c r="E901" s="3"/>
      <c r="F901" s="3"/>
      <c r="G901" s="3"/>
      <c r="H901" s="3"/>
      <c r="I901" s="3"/>
      <c r="J901" s="3"/>
      <c r="K901" s="3"/>
      <c r="L901" s="3"/>
      <c r="M901" s="3"/>
      <c r="N901" s="3"/>
      <c r="O901" s="3"/>
      <c r="P901" s="3"/>
      <c r="Q901" s="3"/>
      <c r="R901" s="3"/>
      <c r="S901" s="3"/>
      <c r="T901" s="3"/>
      <c r="U901" s="3"/>
      <c r="V901" s="3"/>
      <c r="W901" s="3"/>
    </row>
    <row r="902" spans="1:23" ht="15.75" customHeight="1">
      <c r="A902" s="3"/>
      <c r="B902" s="3"/>
      <c r="C902" s="3"/>
      <c r="D902" s="3"/>
      <c r="E902" s="3"/>
      <c r="F902" s="3"/>
      <c r="G902" s="3"/>
      <c r="H902" s="3"/>
      <c r="I902" s="3"/>
      <c r="J902" s="3"/>
      <c r="K902" s="3"/>
      <c r="L902" s="3"/>
      <c r="M902" s="3"/>
      <c r="N902" s="3"/>
      <c r="O902" s="3"/>
      <c r="P902" s="3"/>
      <c r="Q902" s="3"/>
      <c r="R902" s="3"/>
      <c r="S902" s="3"/>
      <c r="T902" s="3"/>
      <c r="U902" s="3"/>
      <c r="V902" s="3"/>
      <c r="W902" s="3"/>
    </row>
    <row r="903" spans="1:23" ht="15.75" customHeight="1">
      <c r="A903" s="3"/>
      <c r="B903" s="3"/>
      <c r="C903" s="3"/>
      <c r="D903" s="3"/>
      <c r="E903" s="3"/>
      <c r="F903" s="3"/>
      <c r="G903" s="3"/>
      <c r="H903" s="3"/>
      <c r="I903" s="3"/>
      <c r="J903" s="3"/>
      <c r="K903" s="3"/>
      <c r="L903" s="3"/>
      <c r="M903" s="3"/>
      <c r="N903" s="3"/>
      <c r="O903" s="3"/>
      <c r="P903" s="3"/>
      <c r="Q903" s="3"/>
      <c r="R903" s="3"/>
      <c r="S903" s="3"/>
      <c r="T903" s="3"/>
      <c r="U903" s="3"/>
      <c r="V903" s="3"/>
      <c r="W903" s="3"/>
    </row>
    <row r="904" spans="1:23" ht="15.75" customHeight="1">
      <c r="A904" s="3"/>
      <c r="B904" s="3"/>
      <c r="C904" s="3"/>
      <c r="D904" s="3"/>
      <c r="E904" s="3"/>
      <c r="F904" s="3"/>
      <c r="G904" s="3"/>
      <c r="H904" s="3"/>
      <c r="I904" s="3"/>
      <c r="J904" s="3"/>
      <c r="K904" s="3"/>
      <c r="L904" s="3"/>
      <c r="M904" s="3"/>
      <c r="N904" s="3"/>
      <c r="O904" s="3"/>
      <c r="P904" s="3"/>
      <c r="Q904" s="3"/>
      <c r="R904" s="3"/>
      <c r="S904" s="3"/>
      <c r="T904" s="3"/>
      <c r="U904" s="3"/>
      <c r="V904" s="3"/>
      <c r="W904" s="3"/>
    </row>
    <row r="905" spans="1:23" ht="15.75" customHeight="1">
      <c r="A905" s="3"/>
      <c r="B905" s="3"/>
      <c r="C905" s="3"/>
      <c r="D905" s="3"/>
      <c r="E905" s="3"/>
      <c r="F905" s="3"/>
      <c r="G905" s="3"/>
      <c r="H905" s="3"/>
      <c r="I905" s="3"/>
      <c r="J905" s="3"/>
      <c r="K905" s="3"/>
      <c r="L905" s="3"/>
      <c r="M905" s="3"/>
      <c r="N905" s="3"/>
      <c r="O905" s="3"/>
      <c r="P905" s="3"/>
      <c r="Q905" s="3"/>
      <c r="R905" s="3"/>
      <c r="S905" s="3"/>
      <c r="T905" s="3"/>
      <c r="U905" s="3"/>
      <c r="V905" s="3"/>
      <c r="W905" s="3"/>
    </row>
    <row r="906" spans="1:23" ht="15.75" customHeight="1">
      <c r="A906" s="3"/>
      <c r="B906" s="3"/>
      <c r="C906" s="3"/>
      <c r="D906" s="3"/>
      <c r="E906" s="3"/>
      <c r="F906" s="3"/>
      <c r="G906" s="3"/>
      <c r="H906" s="3"/>
      <c r="I906" s="3"/>
      <c r="J906" s="3"/>
      <c r="K906" s="3"/>
      <c r="L906" s="3"/>
      <c r="M906" s="3"/>
      <c r="N906" s="3"/>
      <c r="O906" s="3"/>
      <c r="P906" s="3"/>
      <c r="Q906" s="3"/>
      <c r="R906" s="3"/>
      <c r="S906" s="3"/>
      <c r="T906" s="3"/>
      <c r="U906" s="3"/>
      <c r="V906" s="3"/>
      <c r="W906" s="3"/>
    </row>
    <row r="907" spans="1:23" ht="15.75" customHeight="1">
      <c r="A907" s="3"/>
      <c r="B907" s="3"/>
      <c r="C907" s="3"/>
      <c r="D907" s="3"/>
      <c r="E907" s="3"/>
      <c r="F907" s="3"/>
      <c r="G907" s="3"/>
      <c r="H907" s="3"/>
      <c r="I907" s="3"/>
      <c r="J907" s="3"/>
      <c r="K907" s="3"/>
      <c r="L907" s="3"/>
      <c r="M907" s="3"/>
      <c r="N907" s="3"/>
      <c r="O907" s="3"/>
      <c r="P907" s="3"/>
      <c r="Q907" s="3"/>
      <c r="R907" s="3"/>
      <c r="S907" s="3"/>
      <c r="T907" s="3"/>
      <c r="U907" s="3"/>
      <c r="V907" s="3"/>
      <c r="W907" s="3"/>
    </row>
    <row r="908" spans="1:23" ht="15.75" customHeight="1">
      <c r="A908" s="3"/>
      <c r="B908" s="3"/>
      <c r="C908" s="3"/>
      <c r="D908" s="3"/>
      <c r="E908" s="3"/>
      <c r="F908" s="3"/>
      <c r="G908" s="3"/>
      <c r="H908" s="3"/>
      <c r="I908" s="3"/>
      <c r="J908" s="3"/>
      <c r="K908" s="3"/>
      <c r="L908" s="3"/>
      <c r="M908" s="3"/>
      <c r="N908" s="3"/>
      <c r="O908" s="3"/>
      <c r="P908" s="3"/>
      <c r="Q908" s="3"/>
      <c r="R908" s="3"/>
      <c r="S908" s="3"/>
      <c r="T908" s="3"/>
      <c r="U908" s="3"/>
      <c r="V908" s="3"/>
      <c r="W908" s="3"/>
    </row>
    <row r="909" spans="1:23" ht="15.75" customHeight="1">
      <c r="A909" s="3"/>
      <c r="B909" s="3"/>
      <c r="C909" s="3"/>
      <c r="D909" s="3"/>
      <c r="E909" s="3"/>
      <c r="F909" s="3"/>
      <c r="G909" s="3"/>
      <c r="H909" s="3"/>
      <c r="I909" s="3"/>
      <c r="J909" s="3"/>
      <c r="K909" s="3"/>
      <c r="L909" s="3"/>
      <c r="M909" s="3"/>
      <c r="N909" s="3"/>
      <c r="O909" s="3"/>
      <c r="P909" s="3"/>
      <c r="Q909" s="3"/>
      <c r="R909" s="3"/>
      <c r="S909" s="3"/>
      <c r="T909" s="3"/>
      <c r="U909" s="3"/>
      <c r="V909" s="3"/>
      <c r="W909" s="3"/>
    </row>
    <row r="910" spans="1:23" ht="15.75" customHeight="1">
      <c r="A910" s="3"/>
      <c r="B910" s="3"/>
      <c r="C910" s="3"/>
      <c r="D910" s="3"/>
      <c r="E910" s="3"/>
      <c r="F910" s="3"/>
      <c r="G910" s="3"/>
      <c r="H910" s="3"/>
      <c r="I910" s="3"/>
      <c r="J910" s="3"/>
      <c r="K910" s="3"/>
      <c r="L910" s="3"/>
      <c r="M910" s="3"/>
      <c r="N910" s="3"/>
      <c r="O910" s="3"/>
      <c r="P910" s="3"/>
      <c r="Q910" s="3"/>
      <c r="R910" s="3"/>
      <c r="S910" s="3"/>
      <c r="T910" s="3"/>
      <c r="U910" s="3"/>
      <c r="V910" s="3"/>
      <c r="W910" s="3"/>
    </row>
    <row r="911" spans="1:23" ht="15.75" customHeight="1">
      <c r="A911" s="3"/>
      <c r="B911" s="3"/>
      <c r="C911" s="3"/>
      <c r="D911" s="3"/>
      <c r="E911" s="3"/>
      <c r="F911" s="3"/>
      <c r="G911" s="3"/>
      <c r="H911" s="3"/>
      <c r="I911" s="3"/>
      <c r="J911" s="3"/>
      <c r="K911" s="3"/>
      <c r="L911" s="3"/>
      <c r="M911" s="3"/>
      <c r="N911" s="3"/>
      <c r="O911" s="3"/>
      <c r="P911" s="3"/>
      <c r="Q911" s="3"/>
      <c r="R911" s="3"/>
      <c r="S911" s="3"/>
      <c r="T911" s="3"/>
      <c r="U911" s="3"/>
      <c r="V911" s="3"/>
      <c r="W911" s="3"/>
    </row>
    <row r="912" spans="1:23" ht="15.75" customHeight="1">
      <c r="A912" s="3"/>
      <c r="B912" s="3"/>
      <c r="C912" s="3"/>
      <c r="D912" s="3"/>
      <c r="E912" s="3"/>
      <c r="F912" s="3"/>
      <c r="G912" s="3"/>
      <c r="H912" s="3"/>
      <c r="I912" s="3"/>
      <c r="J912" s="3"/>
      <c r="K912" s="3"/>
      <c r="L912" s="3"/>
      <c r="M912" s="3"/>
      <c r="N912" s="3"/>
      <c r="O912" s="3"/>
      <c r="P912" s="3"/>
      <c r="Q912" s="3"/>
      <c r="R912" s="3"/>
      <c r="S912" s="3"/>
      <c r="T912" s="3"/>
      <c r="U912" s="3"/>
      <c r="V912" s="3"/>
      <c r="W912" s="3"/>
    </row>
    <row r="913" spans="1:23" ht="15.75" customHeight="1">
      <c r="A913" s="3"/>
      <c r="B913" s="3"/>
      <c r="C913" s="3"/>
      <c r="D913" s="3"/>
      <c r="E913" s="3"/>
      <c r="F913" s="3"/>
      <c r="G913" s="3"/>
      <c r="H913" s="3"/>
      <c r="I913" s="3"/>
      <c r="J913" s="3"/>
      <c r="K913" s="3"/>
      <c r="L913" s="3"/>
      <c r="M913" s="3"/>
      <c r="N913" s="3"/>
      <c r="O913" s="3"/>
      <c r="P913" s="3"/>
      <c r="Q913" s="3"/>
      <c r="R913" s="3"/>
      <c r="S913" s="3"/>
      <c r="T913" s="3"/>
      <c r="U913" s="3"/>
      <c r="V913" s="3"/>
      <c r="W913" s="3"/>
    </row>
    <row r="914" spans="1:23" ht="15.75" customHeight="1">
      <c r="A914" s="3"/>
      <c r="B914" s="3"/>
      <c r="C914" s="3"/>
      <c r="D914" s="3"/>
      <c r="E914" s="3"/>
      <c r="F914" s="3"/>
      <c r="G914" s="3"/>
      <c r="H914" s="3"/>
      <c r="I914" s="3"/>
      <c r="J914" s="3"/>
      <c r="K914" s="3"/>
      <c r="L914" s="3"/>
      <c r="M914" s="3"/>
      <c r="N914" s="3"/>
      <c r="O914" s="3"/>
      <c r="P914" s="3"/>
      <c r="Q914" s="3"/>
      <c r="R914" s="3"/>
      <c r="S914" s="3"/>
      <c r="T914" s="3"/>
      <c r="U914" s="3"/>
      <c r="V914" s="3"/>
      <c r="W914" s="3"/>
    </row>
    <row r="915" spans="1:23" ht="15.75" customHeight="1">
      <c r="A915" s="3"/>
      <c r="B915" s="3"/>
      <c r="C915" s="3"/>
      <c r="D915" s="3"/>
      <c r="E915" s="3"/>
      <c r="F915" s="3"/>
      <c r="G915" s="3"/>
      <c r="H915" s="3"/>
      <c r="I915" s="3"/>
      <c r="J915" s="3"/>
      <c r="K915" s="3"/>
      <c r="L915" s="3"/>
      <c r="M915" s="3"/>
      <c r="N915" s="3"/>
      <c r="O915" s="3"/>
      <c r="P915" s="3"/>
      <c r="Q915" s="3"/>
      <c r="R915" s="3"/>
      <c r="S915" s="3"/>
      <c r="T915" s="3"/>
      <c r="U915" s="3"/>
      <c r="V915" s="3"/>
      <c r="W915" s="3"/>
    </row>
    <row r="916" spans="1:23" ht="15.75" customHeight="1">
      <c r="A916" s="3"/>
      <c r="B916" s="3"/>
      <c r="C916" s="3"/>
      <c r="D916" s="3"/>
      <c r="E916" s="3"/>
      <c r="F916" s="3"/>
      <c r="G916" s="3"/>
      <c r="H916" s="3"/>
      <c r="I916" s="3"/>
      <c r="J916" s="3"/>
      <c r="K916" s="3"/>
      <c r="L916" s="3"/>
      <c r="M916" s="3"/>
      <c r="N916" s="3"/>
      <c r="O916" s="3"/>
      <c r="P916" s="3"/>
      <c r="Q916" s="3"/>
      <c r="R916" s="3"/>
      <c r="S916" s="3"/>
      <c r="T916" s="3"/>
      <c r="U916" s="3"/>
      <c r="V916" s="3"/>
      <c r="W916" s="3"/>
    </row>
    <row r="917" spans="1:23" ht="15.75" customHeight="1">
      <c r="A917" s="3"/>
      <c r="B917" s="3"/>
      <c r="C917" s="3"/>
      <c r="D917" s="3"/>
      <c r="E917" s="3"/>
      <c r="F917" s="3"/>
      <c r="G917" s="3"/>
      <c r="H917" s="3"/>
      <c r="I917" s="3"/>
      <c r="J917" s="3"/>
      <c r="K917" s="3"/>
      <c r="L917" s="3"/>
      <c r="M917" s="3"/>
      <c r="N917" s="3"/>
      <c r="O917" s="3"/>
      <c r="P917" s="3"/>
      <c r="Q917" s="3"/>
      <c r="R917" s="3"/>
      <c r="S917" s="3"/>
      <c r="T917" s="3"/>
      <c r="U917" s="3"/>
      <c r="V917" s="3"/>
      <c r="W917" s="3"/>
    </row>
    <row r="918" spans="1:23" ht="15.75" customHeight="1">
      <c r="A918" s="3"/>
      <c r="B918" s="3"/>
      <c r="C918" s="3"/>
      <c r="D918" s="3"/>
      <c r="E918" s="3"/>
      <c r="F918" s="3"/>
      <c r="G918" s="3"/>
      <c r="H918" s="3"/>
      <c r="I918" s="3"/>
      <c r="J918" s="3"/>
      <c r="K918" s="3"/>
      <c r="L918" s="3"/>
      <c r="M918" s="3"/>
      <c r="N918" s="3"/>
      <c r="O918" s="3"/>
      <c r="P918" s="3"/>
      <c r="Q918" s="3"/>
      <c r="R918" s="3"/>
      <c r="S918" s="3"/>
      <c r="T918" s="3"/>
      <c r="U918" s="3"/>
      <c r="V918" s="3"/>
      <c r="W918" s="3"/>
    </row>
    <row r="919" spans="1:23" ht="15.75" customHeight="1">
      <c r="A919" s="3"/>
      <c r="B919" s="3"/>
      <c r="C919" s="3"/>
      <c r="D919" s="3"/>
      <c r="E919" s="3"/>
      <c r="F919" s="3"/>
      <c r="G919" s="3"/>
      <c r="H919" s="3"/>
      <c r="I919" s="3"/>
      <c r="J919" s="3"/>
      <c r="K919" s="3"/>
      <c r="L919" s="3"/>
      <c r="M919" s="3"/>
      <c r="N919" s="3"/>
      <c r="O919" s="3"/>
      <c r="P919" s="3"/>
      <c r="Q919" s="3"/>
      <c r="R919" s="3"/>
      <c r="S919" s="3"/>
      <c r="T919" s="3"/>
      <c r="U919" s="3"/>
      <c r="V919" s="3"/>
      <c r="W919" s="3"/>
    </row>
    <row r="920" spans="1:23" ht="15.75" customHeight="1">
      <c r="A920" s="3"/>
      <c r="B920" s="3"/>
      <c r="C920" s="3"/>
      <c r="D920" s="3"/>
      <c r="E920" s="3"/>
      <c r="F920" s="3"/>
      <c r="G920" s="3"/>
      <c r="H920" s="3"/>
      <c r="I920" s="3"/>
      <c r="J920" s="3"/>
      <c r="K920" s="3"/>
      <c r="L920" s="3"/>
      <c r="M920" s="3"/>
      <c r="N920" s="3"/>
      <c r="O920" s="3"/>
      <c r="P920" s="3"/>
      <c r="Q920" s="3"/>
      <c r="R920" s="3"/>
      <c r="S920" s="3"/>
      <c r="T920" s="3"/>
      <c r="U920" s="3"/>
      <c r="V920" s="3"/>
      <c r="W920" s="3"/>
    </row>
    <row r="921" spans="1:23" ht="15.75" customHeight="1">
      <c r="A921" s="3"/>
      <c r="B921" s="3"/>
      <c r="C921" s="3"/>
      <c r="D921" s="3"/>
      <c r="E921" s="3"/>
      <c r="F921" s="3"/>
      <c r="G921" s="3"/>
      <c r="H921" s="3"/>
      <c r="I921" s="3"/>
      <c r="J921" s="3"/>
      <c r="K921" s="3"/>
      <c r="L921" s="3"/>
      <c r="M921" s="3"/>
      <c r="N921" s="3"/>
      <c r="O921" s="3"/>
      <c r="P921" s="3"/>
      <c r="Q921" s="3"/>
      <c r="R921" s="3"/>
      <c r="S921" s="3"/>
      <c r="T921" s="3"/>
      <c r="U921" s="3"/>
      <c r="V921" s="3"/>
      <c r="W921" s="3"/>
    </row>
    <row r="922" spans="1:23" ht="15.75" customHeight="1">
      <c r="A922" s="3"/>
      <c r="B922" s="3"/>
      <c r="C922" s="3"/>
      <c r="D922" s="3"/>
      <c r="E922" s="3"/>
      <c r="F922" s="3"/>
      <c r="G922" s="3"/>
      <c r="H922" s="3"/>
      <c r="I922" s="3"/>
      <c r="J922" s="3"/>
      <c r="K922" s="3"/>
      <c r="L922" s="3"/>
      <c r="M922" s="3"/>
      <c r="N922" s="3"/>
      <c r="O922" s="3"/>
      <c r="P922" s="3"/>
      <c r="Q922" s="3"/>
      <c r="R922" s="3"/>
      <c r="S922" s="3"/>
      <c r="T922" s="3"/>
      <c r="U922" s="3"/>
      <c r="V922" s="3"/>
      <c r="W922" s="3"/>
    </row>
    <row r="923" spans="1:23" ht="15.75" customHeight="1">
      <c r="A923" s="3"/>
      <c r="B923" s="3"/>
      <c r="C923" s="3"/>
      <c r="D923" s="3"/>
      <c r="E923" s="3"/>
      <c r="F923" s="3"/>
      <c r="G923" s="3"/>
      <c r="H923" s="3"/>
      <c r="I923" s="3"/>
      <c r="J923" s="3"/>
      <c r="K923" s="3"/>
      <c r="L923" s="3"/>
      <c r="M923" s="3"/>
      <c r="N923" s="3"/>
      <c r="O923" s="3"/>
      <c r="P923" s="3"/>
      <c r="Q923" s="3"/>
      <c r="R923" s="3"/>
      <c r="S923" s="3"/>
      <c r="T923" s="3"/>
      <c r="U923" s="3"/>
      <c r="V923" s="3"/>
      <c r="W923" s="3"/>
    </row>
    <row r="924" spans="1:23" ht="15.75" customHeight="1">
      <c r="A924" s="3"/>
      <c r="B924" s="3"/>
      <c r="C924" s="3"/>
      <c r="D924" s="3"/>
      <c r="E924" s="3"/>
      <c r="F924" s="3"/>
      <c r="G924" s="3"/>
      <c r="H924" s="3"/>
      <c r="I924" s="3"/>
      <c r="J924" s="3"/>
      <c r="K924" s="3"/>
      <c r="L924" s="3"/>
      <c r="M924" s="3"/>
      <c r="N924" s="3"/>
      <c r="O924" s="3"/>
      <c r="P924" s="3"/>
      <c r="Q924" s="3"/>
      <c r="R924" s="3"/>
      <c r="S924" s="3"/>
      <c r="T924" s="3"/>
      <c r="U924" s="3"/>
      <c r="V924" s="3"/>
      <c r="W924" s="3"/>
    </row>
    <row r="925" spans="1:23" ht="15.75" customHeight="1">
      <c r="A925" s="3"/>
      <c r="B925" s="3"/>
      <c r="C925" s="3"/>
      <c r="D925" s="3"/>
      <c r="E925" s="3"/>
      <c r="F925" s="3"/>
      <c r="G925" s="3"/>
      <c r="H925" s="3"/>
      <c r="I925" s="3"/>
      <c r="J925" s="3"/>
      <c r="K925" s="3"/>
      <c r="L925" s="3"/>
      <c r="M925" s="3"/>
      <c r="N925" s="3"/>
      <c r="O925" s="3"/>
      <c r="P925" s="3"/>
      <c r="Q925" s="3"/>
      <c r="R925" s="3"/>
      <c r="S925" s="3"/>
      <c r="T925" s="3"/>
      <c r="U925" s="3"/>
      <c r="V925" s="3"/>
      <c r="W925" s="3"/>
    </row>
    <row r="926" spans="1:23" ht="15.75" customHeight="1">
      <c r="A926" s="3"/>
      <c r="B926" s="3"/>
      <c r="C926" s="3"/>
      <c r="D926" s="3"/>
      <c r="E926" s="3"/>
      <c r="F926" s="3"/>
      <c r="G926" s="3"/>
      <c r="H926" s="3"/>
      <c r="I926" s="3"/>
      <c r="J926" s="3"/>
      <c r="K926" s="3"/>
      <c r="L926" s="3"/>
      <c r="M926" s="3"/>
      <c r="N926" s="3"/>
      <c r="O926" s="3"/>
      <c r="P926" s="3"/>
      <c r="Q926" s="3"/>
      <c r="R926" s="3"/>
      <c r="S926" s="3"/>
      <c r="T926" s="3"/>
      <c r="U926" s="3"/>
      <c r="V926" s="3"/>
      <c r="W926" s="3"/>
    </row>
    <row r="927" spans="1:23" ht="15.75" customHeight="1">
      <c r="A927" s="3"/>
      <c r="B927" s="3"/>
      <c r="C927" s="3"/>
      <c r="D927" s="3"/>
      <c r="E927" s="3"/>
      <c r="F927" s="3"/>
      <c r="G927" s="3"/>
      <c r="H927" s="3"/>
      <c r="I927" s="3"/>
      <c r="J927" s="3"/>
      <c r="K927" s="3"/>
      <c r="L927" s="3"/>
      <c r="M927" s="3"/>
      <c r="N927" s="3"/>
      <c r="O927" s="3"/>
      <c r="P927" s="3"/>
      <c r="Q927" s="3"/>
      <c r="R927" s="3"/>
      <c r="S927" s="3"/>
      <c r="T927" s="3"/>
      <c r="U927" s="3"/>
      <c r="V927" s="3"/>
      <c r="W927" s="3"/>
    </row>
    <row r="928" spans="1:23" ht="15.75" customHeight="1">
      <c r="A928" s="3"/>
      <c r="B928" s="3"/>
      <c r="C928" s="3"/>
      <c r="D928" s="3"/>
      <c r="E928" s="3"/>
      <c r="F928" s="3"/>
      <c r="G928" s="3"/>
      <c r="H928" s="3"/>
      <c r="I928" s="3"/>
      <c r="J928" s="3"/>
      <c r="K928" s="3"/>
      <c r="L928" s="3"/>
      <c r="M928" s="3"/>
      <c r="N928" s="3"/>
      <c r="O928" s="3"/>
      <c r="P928" s="3"/>
      <c r="Q928" s="3"/>
      <c r="R928" s="3"/>
      <c r="S928" s="3"/>
      <c r="T928" s="3"/>
      <c r="U928" s="3"/>
      <c r="V928" s="3"/>
      <c r="W928" s="3"/>
    </row>
    <row r="929" spans="1:23" ht="15.75" customHeight="1">
      <c r="A929" s="3"/>
      <c r="B929" s="3"/>
      <c r="C929" s="3"/>
      <c r="D929" s="3"/>
      <c r="E929" s="3"/>
      <c r="F929" s="3"/>
      <c r="G929" s="3"/>
      <c r="H929" s="3"/>
      <c r="I929" s="3"/>
      <c r="J929" s="3"/>
      <c r="K929" s="3"/>
      <c r="L929" s="3"/>
      <c r="M929" s="3"/>
      <c r="N929" s="3"/>
      <c r="O929" s="3"/>
      <c r="P929" s="3"/>
      <c r="Q929" s="3"/>
      <c r="R929" s="3"/>
      <c r="S929" s="3"/>
      <c r="T929" s="3"/>
      <c r="U929" s="3"/>
      <c r="V929" s="3"/>
      <c r="W929" s="3"/>
    </row>
    <row r="930" spans="1:23" ht="15.75" customHeight="1">
      <c r="A930" s="3"/>
      <c r="B930" s="3"/>
      <c r="C930" s="3"/>
      <c r="D930" s="3"/>
      <c r="E930" s="3"/>
      <c r="F930" s="3"/>
      <c r="G930" s="3"/>
      <c r="H930" s="3"/>
      <c r="I930" s="3"/>
      <c r="J930" s="3"/>
      <c r="K930" s="3"/>
      <c r="L930" s="3"/>
      <c r="M930" s="3"/>
      <c r="N930" s="3"/>
      <c r="O930" s="3"/>
      <c r="P930" s="3"/>
      <c r="Q930" s="3"/>
      <c r="R930" s="3"/>
      <c r="S930" s="3"/>
      <c r="T930" s="3"/>
      <c r="U930" s="3"/>
      <c r="V930" s="3"/>
      <c r="W930" s="3"/>
    </row>
    <row r="931" spans="1:23" ht="15.75" customHeight="1">
      <c r="A931" s="3"/>
      <c r="B931" s="3"/>
      <c r="C931" s="3"/>
      <c r="D931" s="3"/>
      <c r="E931" s="3"/>
      <c r="F931" s="3"/>
      <c r="G931" s="3"/>
      <c r="H931" s="3"/>
      <c r="I931" s="3"/>
      <c r="J931" s="3"/>
      <c r="K931" s="3"/>
      <c r="L931" s="3"/>
      <c r="M931" s="3"/>
      <c r="N931" s="3"/>
      <c r="O931" s="3"/>
      <c r="P931" s="3"/>
      <c r="Q931" s="3"/>
      <c r="R931" s="3"/>
      <c r="S931" s="3"/>
      <c r="T931" s="3"/>
      <c r="U931" s="3"/>
      <c r="V931" s="3"/>
      <c r="W931" s="3"/>
    </row>
    <row r="932" spans="1:23" ht="15.75" customHeight="1">
      <c r="A932" s="3"/>
      <c r="B932" s="3"/>
      <c r="C932" s="3"/>
      <c r="D932" s="3"/>
      <c r="E932" s="3"/>
      <c r="F932" s="3"/>
      <c r="G932" s="3"/>
      <c r="H932" s="3"/>
      <c r="I932" s="3"/>
      <c r="J932" s="3"/>
      <c r="K932" s="3"/>
      <c r="L932" s="3"/>
      <c r="M932" s="3"/>
      <c r="N932" s="3"/>
      <c r="O932" s="3"/>
      <c r="P932" s="3"/>
      <c r="Q932" s="3"/>
      <c r="R932" s="3"/>
      <c r="S932" s="3"/>
      <c r="T932" s="3"/>
      <c r="U932" s="3"/>
      <c r="V932" s="3"/>
      <c r="W932" s="3"/>
    </row>
    <row r="933" spans="1:23" ht="15.75" customHeight="1">
      <c r="A933" s="3"/>
      <c r="B933" s="3"/>
      <c r="C933" s="3"/>
      <c r="D933" s="3"/>
      <c r="E933" s="3"/>
      <c r="F933" s="3"/>
      <c r="G933" s="3"/>
      <c r="H933" s="3"/>
      <c r="I933" s="3"/>
      <c r="J933" s="3"/>
      <c r="K933" s="3"/>
      <c r="L933" s="3"/>
      <c r="M933" s="3"/>
      <c r="N933" s="3"/>
      <c r="O933" s="3"/>
      <c r="P933" s="3"/>
      <c r="Q933" s="3"/>
      <c r="R933" s="3"/>
      <c r="S933" s="3"/>
      <c r="T933" s="3"/>
      <c r="U933" s="3"/>
      <c r="V933" s="3"/>
      <c r="W933" s="3"/>
    </row>
    <row r="934" spans="1:23" ht="15.75" customHeight="1">
      <c r="A934" s="3"/>
      <c r="B934" s="3"/>
      <c r="C934" s="3"/>
      <c r="D934" s="3"/>
      <c r="E934" s="3"/>
      <c r="F934" s="3"/>
      <c r="G934" s="3"/>
      <c r="H934" s="3"/>
      <c r="I934" s="3"/>
      <c r="J934" s="3"/>
      <c r="K934" s="3"/>
      <c r="L934" s="3"/>
      <c r="M934" s="3"/>
      <c r="N934" s="3"/>
      <c r="O934" s="3"/>
      <c r="P934" s="3"/>
      <c r="Q934" s="3"/>
      <c r="R934" s="3"/>
      <c r="S934" s="3"/>
      <c r="T934" s="3"/>
      <c r="U934" s="3"/>
      <c r="V934" s="3"/>
      <c r="W934" s="3"/>
    </row>
    <row r="935" spans="1:23" ht="15.75" customHeight="1">
      <c r="A935" s="3"/>
      <c r="B935" s="3"/>
      <c r="C935" s="3"/>
      <c r="D935" s="3"/>
      <c r="E935" s="3"/>
      <c r="F935" s="3"/>
      <c r="G935" s="3"/>
      <c r="H935" s="3"/>
      <c r="I935" s="3"/>
      <c r="J935" s="3"/>
      <c r="K935" s="3"/>
      <c r="L935" s="3"/>
      <c r="M935" s="3"/>
      <c r="N935" s="3"/>
      <c r="O935" s="3"/>
      <c r="P935" s="3"/>
      <c r="Q935" s="3"/>
      <c r="R935" s="3"/>
      <c r="S935" s="3"/>
      <c r="T935" s="3"/>
      <c r="U935" s="3"/>
      <c r="V935" s="3"/>
      <c r="W935" s="3"/>
    </row>
    <row r="936" spans="1:23" ht="15.75" customHeight="1">
      <c r="A936" s="3"/>
      <c r="B936" s="3"/>
      <c r="C936" s="3"/>
      <c r="D936" s="3"/>
      <c r="E936" s="3"/>
      <c r="F936" s="3"/>
      <c r="G936" s="3"/>
      <c r="H936" s="3"/>
      <c r="I936" s="3"/>
      <c r="J936" s="3"/>
      <c r="K936" s="3"/>
      <c r="L936" s="3"/>
      <c r="M936" s="3"/>
      <c r="N936" s="3"/>
      <c r="O936" s="3"/>
      <c r="P936" s="3"/>
      <c r="Q936" s="3"/>
      <c r="R936" s="3"/>
      <c r="S936" s="3"/>
      <c r="T936" s="3"/>
      <c r="U936" s="3"/>
      <c r="V936" s="3"/>
      <c r="W936" s="3"/>
    </row>
    <row r="937" spans="1:23" ht="15.75" customHeight="1">
      <c r="A937" s="3"/>
      <c r="B937" s="3"/>
      <c r="C937" s="3"/>
      <c r="D937" s="3"/>
      <c r="E937" s="3"/>
      <c r="F937" s="3"/>
      <c r="G937" s="3"/>
      <c r="H937" s="3"/>
      <c r="I937" s="3"/>
      <c r="J937" s="3"/>
      <c r="K937" s="3"/>
      <c r="L937" s="3"/>
      <c r="M937" s="3"/>
      <c r="N937" s="3"/>
      <c r="O937" s="3"/>
      <c r="P937" s="3"/>
      <c r="Q937" s="3"/>
      <c r="R937" s="3"/>
      <c r="S937" s="3"/>
      <c r="T937" s="3"/>
      <c r="U937" s="3"/>
      <c r="V937" s="3"/>
      <c r="W937" s="3"/>
    </row>
    <row r="938" spans="1:23" ht="15.75" customHeight="1">
      <c r="A938" s="3"/>
      <c r="B938" s="3"/>
      <c r="C938" s="3"/>
      <c r="D938" s="3"/>
      <c r="E938" s="3"/>
      <c r="F938" s="3"/>
      <c r="G938" s="3"/>
      <c r="H938" s="3"/>
      <c r="I938" s="3"/>
      <c r="J938" s="3"/>
      <c r="K938" s="3"/>
      <c r="L938" s="3"/>
      <c r="M938" s="3"/>
      <c r="N938" s="3"/>
      <c r="O938" s="3"/>
      <c r="P938" s="3"/>
      <c r="Q938" s="3"/>
      <c r="R938" s="3"/>
      <c r="S938" s="3"/>
      <c r="T938" s="3"/>
      <c r="U938" s="3"/>
      <c r="V938" s="3"/>
      <c r="W938" s="3"/>
    </row>
    <row r="939" spans="1:23" ht="15.75" customHeight="1">
      <c r="A939" s="3"/>
      <c r="B939" s="3"/>
      <c r="C939" s="3"/>
      <c r="D939" s="3"/>
      <c r="E939" s="3"/>
      <c r="F939" s="3"/>
      <c r="G939" s="3"/>
      <c r="H939" s="3"/>
      <c r="I939" s="3"/>
      <c r="J939" s="3"/>
      <c r="K939" s="3"/>
      <c r="L939" s="3"/>
      <c r="M939" s="3"/>
      <c r="N939" s="3"/>
      <c r="O939" s="3"/>
      <c r="P939" s="3"/>
      <c r="Q939" s="3"/>
      <c r="R939" s="3"/>
      <c r="S939" s="3"/>
      <c r="T939" s="3"/>
      <c r="U939" s="3"/>
      <c r="V939" s="3"/>
      <c r="W939" s="3"/>
    </row>
    <row r="940" spans="1:23" ht="15.75" customHeight="1">
      <c r="A940" s="3"/>
      <c r="B940" s="3"/>
      <c r="C940" s="3"/>
      <c r="D940" s="3"/>
      <c r="E940" s="3"/>
      <c r="F940" s="3"/>
      <c r="G940" s="3"/>
      <c r="H940" s="3"/>
      <c r="I940" s="3"/>
      <c r="J940" s="3"/>
      <c r="K940" s="3"/>
      <c r="L940" s="3"/>
      <c r="M940" s="3"/>
      <c r="N940" s="3"/>
      <c r="O940" s="3"/>
      <c r="P940" s="3"/>
      <c r="Q940" s="3"/>
      <c r="R940" s="3"/>
      <c r="S940" s="3"/>
      <c r="T940" s="3"/>
      <c r="U940" s="3"/>
      <c r="V940" s="3"/>
      <c r="W940" s="3"/>
    </row>
    <row r="941" spans="1:23" ht="15.75" customHeight="1">
      <c r="A941" s="3"/>
      <c r="B941" s="3"/>
      <c r="C941" s="3"/>
      <c r="D941" s="3"/>
      <c r="E941" s="3"/>
      <c r="F941" s="3"/>
      <c r="G941" s="3"/>
      <c r="H941" s="3"/>
      <c r="I941" s="3"/>
      <c r="J941" s="3"/>
      <c r="K941" s="3"/>
      <c r="L941" s="3"/>
      <c r="M941" s="3"/>
      <c r="N941" s="3"/>
      <c r="O941" s="3"/>
      <c r="P941" s="3"/>
      <c r="Q941" s="3"/>
      <c r="R941" s="3"/>
      <c r="S941" s="3"/>
      <c r="T941" s="3"/>
      <c r="U941" s="3"/>
      <c r="V941" s="3"/>
      <c r="W941" s="3"/>
    </row>
    <row r="942" spans="1:23" ht="15.75" customHeight="1">
      <c r="A942" s="3"/>
      <c r="B942" s="3"/>
      <c r="C942" s="3"/>
      <c r="D942" s="3"/>
      <c r="E942" s="3"/>
      <c r="F942" s="3"/>
      <c r="G942" s="3"/>
      <c r="H942" s="3"/>
      <c r="I942" s="3"/>
      <c r="J942" s="3"/>
      <c r="K942" s="3"/>
      <c r="L942" s="3"/>
      <c r="M942" s="3"/>
      <c r="N942" s="3"/>
      <c r="O942" s="3"/>
      <c r="P942" s="3"/>
      <c r="Q942" s="3"/>
      <c r="R942" s="3"/>
      <c r="S942" s="3"/>
      <c r="T942" s="3"/>
      <c r="U942" s="3"/>
      <c r="V942" s="3"/>
      <c r="W942" s="3"/>
    </row>
    <row r="943" spans="1:23" ht="15.75" customHeight="1">
      <c r="A943" s="3"/>
      <c r="B943" s="3"/>
      <c r="C943" s="3"/>
      <c r="D943" s="3"/>
      <c r="E943" s="3"/>
      <c r="F943" s="3"/>
      <c r="G943" s="3"/>
      <c r="H943" s="3"/>
      <c r="I943" s="3"/>
      <c r="J943" s="3"/>
      <c r="K943" s="3"/>
      <c r="L943" s="3"/>
      <c r="M943" s="3"/>
      <c r="N943" s="3"/>
      <c r="O943" s="3"/>
      <c r="P943" s="3"/>
      <c r="Q943" s="3"/>
      <c r="R943" s="3"/>
      <c r="S943" s="3"/>
      <c r="T943" s="3"/>
      <c r="U943" s="3"/>
      <c r="V943" s="3"/>
      <c r="W943" s="3"/>
    </row>
    <row r="944" spans="1:23" ht="15.75" customHeight="1">
      <c r="A944" s="3"/>
      <c r="B944" s="3"/>
      <c r="C944" s="3"/>
      <c r="D944" s="3"/>
      <c r="E944" s="3"/>
      <c r="F944" s="3"/>
      <c r="G944" s="3"/>
      <c r="H944" s="3"/>
      <c r="I944" s="3"/>
      <c r="J944" s="3"/>
      <c r="K944" s="3"/>
      <c r="L944" s="3"/>
      <c r="M944" s="3"/>
      <c r="N944" s="3"/>
      <c r="O944" s="3"/>
      <c r="P944" s="3"/>
      <c r="Q944" s="3"/>
      <c r="R944" s="3"/>
      <c r="S944" s="3"/>
      <c r="T944" s="3"/>
      <c r="U944" s="3"/>
      <c r="V944" s="3"/>
      <c r="W944" s="3"/>
    </row>
    <row r="945" spans="1:23" ht="15.75" customHeight="1">
      <c r="A945" s="3"/>
      <c r="B945" s="3"/>
      <c r="C945" s="3"/>
      <c r="D945" s="3"/>
      <c r="E945" s="3"/>
      <c r="F945" s="3"/>
      <c r="G945" s="3"/>
      <c r="H945" s="3"/>
      <c r="I945" s="3"/>
      <c r="J945" s="3"/>
      <c r="K945" s="3"/>
      <c r="L945" s="3"/>
      <c r="M945" s="3"/>
      <c r="N945" s="3"/>
      <c r="O945" s="3"/>
      <c r="P945" s="3"/>
      <c r="Q945" s="3"/>
      <c r="R945" s="3"/>
      <c r="S945" s="3"/>
      <c r="T945" s="3"/>
      <c r="U945" s="3"/>
      <c r="V945" s="3"/>
      <c r="W945" s="3"/>
    </row>
    <row r="946" spans="1:23" ht="15.75" customHeight="1">
      <c r="A946" s="3"/>
      <c r="B946" s="3"/>
      <c r="C946" s="3"/>
      <c r="D946" s="3"/>
      <c r="E946" s="3"/>
      <c r="F946" s="3"/>
      <c r="G946" s="3"/>
      <c r="H946" s="3"/>
      <c r="I946" s="3"/>
      <c r="J946" s="3"/>
      <c r="K946" s="3"/>
      <c r="L946" s="3"/>
      <c r="M946" s="3"/>
      <c r="N946" s="3"/>
      <c r="O946" s="3"/>
      <c r="P946" s="3"/>
      <c r="Q946" s="3"/>
      <c r="R946" s="3"/>
      <c r="S946" s="3"/>
      <c r="T946" s="3"/>
      <c r="U946" s="3"/>
      <c r="V946" s="3"/>
      <c r="W946" s="3"/>
    </row>
    <row r="947" spans="1:23" ht="15.75" customHeight="1">
      <c r="A947" s="3"/>
      <c r="B947" s="3"/>
      <c r="C947" s="3"/>
      <c r="D947" s="3"/>
      <c r="E947" s="3"/>
      <c r="F947" s="3"/>
      <c r="G947" s="3"/>
      <c r="H947" s="3"/>
      <c r="I947" s="3"/>
      <c r="J947" s="3"/>
      <c r="K947" s="3"/>
      <c r="L947" s="3"/>
      <c r="M947" s="3"/>
      <c r="N947" s="3"/>
      <c r="O947" s="3"/>
      <c r="P947" s="3"/>
      <c r="Q947" s="3"/>
      <c r="R947" s="3"/>
      <c r="S947" s="3"/>
      <c r="T947" s="3"/>
      <c r="U947" s="3"/>
      <c r="V947" s="3"/>
      <c r="W947" s="3"/>
    </row>
    <row r="948" spans="1:23" ht="15.75" customHeight="1">
      <c r="A948" s="3"/>
      <c r="B948" s="3"/>
      <c r="C948" s="3"/>
      <c r="D948" s="3"/>
      <c r="E948" s="3"/>
      <c r="F948" s="3"/>
      <c r="G948" s="3"/>
      <c r="H948" s="3"/>
      <c r="I948" s="3"/>
      <c r="J948" s="3"/>
      <c r="K948" s="3"/>
      <c r="L948" s="3"/>
      <c r="M948" s="3"/>
      <c r="N948" s="3"/>
      <c r="O948" s="3"/>
      <c r="P948" s="3"/>
      <c r="Q948" s="3"/>
      <c r="R948" s="3"/>
      <c r="S948" s="3"/>
      <c r="T948" s="3"/>
      <c r="U948" s="3"/>
      <c r="V948" s="3"/>
      <c r="W948" s="3"/>
    </row>
    <row r="949" spans="1:23" ht="15.75" customHeight="1">
      <c r="A949" s="3"/>
      <c r="B949" s="3"/>
      <c r="C949" s="3"/>
      <c r="D949" s="3"/>
      <c r="E949" s="3"/>
      <c r="F949" s="3"/>
      <c r="G949" s="3"/>
      <c r="H949" s="3"/>
      <c r="I949" s="3"/>
      <c r="J949" s="3"/>
      <c r="K949" s="3"/>
      <c r="L949" s="3"/>
      <c r="M949" s="3"/>
      <c r="N949" s="3"/>
      <c r="O949" s="3"/>
      <c r="P949" s="3"/>
      <c r="Q949" s="3"/>
      <c r="R949" s="3"/>
      <c r="S949" s="3"/>
      <c r="T949" s="3"/>
      <c r="U949" s="3"/>
      <c r="V949" s="3"/>
      <c r="W949" s="3"/>
    </row>
    <row r="950" spans="1:23" ht="15.75" customHeight="1">
      <c r="A950" s="3"/>
      <c r="B950" s="3"/>
      <c r="C950" s="3"/>
      <c r="D950" s="3"/>
      <c r="E950" s="3"/>
      <c r="F950" s="3"/>
      <c r="G950" s="3"/>
      <c r="H950" s="3"/>
      <c r="I950" s="3"/>
      <c r="J950" s="3"/>
      <c r="K950" s="3"/>
      <c r="L950" s="3"/>
      <c r="M950" s="3"/>
      <c r="N950" s="3"/>
      <c r="O950" s="3"/>
      <c r="P950" s="3"/>
      <c r="Q950" s="3"/>
      <c r="R950" s="3"/>
      <c r="S950" s="3"/>
      <c r="T950" s="3"/>
      <c r="U950" s="3"/>
      <c r="V950" s="3"/>
      <c r="W950" s="3"/>
    </row>
    <row r="951" spans="1:23" ht="15.75" customHeight="1">
      <c r="A951" s="3"/>
      <c r="B951" s="3"/>
      <c r="C951" s="3"/>
      <c r="D951" s="3"/>
      <c r="E951" s="3"/>
      <c r="F951" s="3"/>
      <c r="G951" s="3"/>
      <c r="H951" s="3"/>
      <c r="I951" s="3"/>
      <c r="J951" s="3"/>
      <c r="K951" s="3"/>
      <c r="L951" s="3"/>
      <c r="M951" s="3"/>
      <c r="N951" s="3"/>
      <c r="O951" s="3"/>
      <c r="P951" s="3"/>
      <c r="Q951" s="3"/>
      <c r="R951" s="3"/>
      <c r="S951" s="3"/>
      <c r="T951" s="3"/>
      <c r="U951" s="3"/>
      <c r="V951" s="3"/>
      <c r="W951" s="3"/>
    </row>
    <row r="952" spans="1:23" ht="15.75" customHeight="1">
      <c r="A952" s="3"/>
      <c r="B952" s="3"/>
      <c r="C952" s="3"/>
      <c r="D952" s="3"/>
      <c r="E952" s="3"/>
      <c r="F952" s="3"/>
      <c r="G952" s="3"/>
      <c r="H952" s="3"/>
      <c r="I952" s="3"/>
      <c r="J952" s="3"/>
      <c r="K952" s="3"/>
      <c r="L952" s="3"/>
      <c r="M952" s="3"/>
      <c r="N952" s="3"/>
      <c r="O952" s="3"/>
      <c r="P952" s="3"/>
      <c r="Q952" s="3"/>
      <c r="R952" s="3"/>
      <c r="S952" s="3"/>
      <c r="T952" s="3"/>
      <c r="U952" s="3"/>
      <c r="V952" s="3"/>
      <c r="W952" s="3"/>
    </row>
    <row r="953" spans="1:23" ht="15.75" customHeight="1">
      <c r="A953" s="3"/>
      <c r="B953" s="3"/>
      <c r="C953" s="3"/>
      <c r="D953" s="3"/>
      <c r="E953" s="3"/>
      <c r="F953" s="3"/>
      <c r="G953" s="3"/>
      <c r="H953" s="3"/>
      <c r="I953" s="3"/>
      <c r="J953" s="3"/>
      <c r="K953" s="3"/>
      <c r="L953" s="3"/>
      <c r="M953" s="3"/>
      <c r="N953" s="3"/>
      <c r="O953" s="3"/>
      <c r="P953" s="3"/>
      <c r="Q953" s="3"/>
      <c r="R953" s="3"/>
      <c r="S953" s="3"/>
      <c r="T953" s="3"/>
      <c r="U953" s="3"/>
      <c r="V953" s="3"/>
      <c r="W953" s="3"/>
    </row>
    <row r="954" spans="1:23" ht="15.75" customHeight="1">
      <c r="A954" s="3"/>
      <c r="B954" s="3"/>
      <c r="C954" s="3"/>
      <c r="D954" s="3"/>
      <c r="E954" s="3"/>
      <c r="F954" s="3"/>
      <c r="G954" s="3"/>
      <c r="H954" s="3"/>
      <c r="I954" s="3"/>
      <c r="J954" s="3"/>
      <c r="K954" s="3"/>
      <c r="L954" s="3"/>
      <c r="M954" s="3"/>
      <c r="N954" s="3"/>
      <c r="O954" s="3"/>
      <c r="P954" s="3"/>
      <c r="Q954" s="3"/>
      <c r="R954" s="3"/>
      <c r="S954" s="3"/>
      <c r="T954" s="3"/>
      <c r="U954" s="3"/>
      <c r="V954" s="3"/>
      <c r="W954" s="3"/>
    </row>
    <row r="955" spans="1:23" ht="15.75" customHeight="1">
      <c r="A955" s="3"/>
      <c r="B955" s="3"/>
      <c r="C955" s="3"/>
      <c r="D955" s="3"/>
      <c r="E955" s="3"/>
      <c r="F955" s="3"/>
      <c r="G955" s="3"/>
      <c r="H955" s="3"/>
      <c r="I955" s="3"/>
      <c r="J955" s="3"/>
      <c r="K955" s="3"/>
      <c r="L955" s="3"/>
      <c r="M955" s="3"/>
      <c r="N955" s="3"/>
      <c r="O955" s="3"/>
      <c r="P955" s="3"/>
      <c r="Q955" s="3"/>
      <c r="R955" s="3"/>
      <c r="S955" s="3"/>
      <c r="T955" s="3"/>
      <c r="U955" s="3"/>
      <c r="V955" s="3"/>
      <c r="W955" s="3"/>
    </row>
    <row r="956" spans="1:23" ht="15.75" customHeight="1">
      <c r="A956" s="3"/>
      <c r="B956" s="3"/>
      <c r="C956" s="3"/>
      <c r="D956" s="3"/>
      <c r="E956" s="3"/>
      <c r="F956" s="3"/>
      <c r="G956" s="3"/>
      <c r="H956" s="3"/>
      <c r="I956" s="3"/>
      <c r="J956" s="3"/>
      <c r="K956" s="3"/>
      <c r="L956" s="3"/>
      <c r="M956" s="3"/>
      <c r="N956" s="3"/>
      <c r="O956" s="3"/>
      <c r="P956" s="3"/>
      <c r="Q956" s="3"/>
      <c r="R956" s="3"/>
      <c r="S956" s="3"/>
      <c r="T956" s="3"/>
      <c r="U956" s="3"/>
      <c r="V956" s="3"/>
      <c r="W956" s="3"/>
    </row>
    <row r="957" spans="1:23" ht="15.75" customHeight="1">
      <c r="A957" s="3"/>
      <c r="B957" s="3"/>
      <c r="C957" s="3"/>
      <c r="D957" s="3"/>
      <c r="E957" s="3"/>
      <c r="F957" s="3"/>
      <c r="G957" s="3"/>
      <c r="H957" s="3"/>
      <c r="I957" s="3"/>
      <c r="J957" s="3"/>
      <c r="K957" s="3"/>
      <c r="L957" s="3"/>
      <c r="M957" s="3"/>
      <c r="N957" s="3"/>
      <c r="O957" s="3"/>
      <c r="P957" s="3"/>
      <c r="Q957" s="3"/>
      <c r="R957" s="3"/>
      <c r="S957" s="3"/>
      <c r="T957" s="3"/>
      <c r="U957" s="3"/>
      <c r="V957" s="3"/>
      <c r="W957" s="3"/>
    </row>
    <row r="958" spans="1:23" ht="15.75" customHeight="1">
      <c r="A958" s="3"/>
      <c r="B958" s="3"/>
      <c r="C958" s="3"/>
      <c r="D958" s="3"/>
      <c r="E958" s="3"/>
      <c r="F958" s="3"/>
      <c r="G958" s="3"/>
      <c r="H958" s="3"/>
      <c r="I958" s="3"/>
      <c r="J958" s="3"/>
      <c r="K958" s="3"/>
      <c r="L958" s="3"/>
      <c r="M958" s="3"/>
      <c r="N958" s="3"/>
      <c r="O958" s="3"/>
      <c r="P958" s="3"/>
      <c r="Q958" s="3"/>
      <c r="R958" s="3"/>
      <c r="S958" s="3"/>
      <c r="T958" s="3"/>
      <c r="U958" s="3"/>
      <c r="V958" s="3"/>
      <c r="W958" s="3"/>
    </row>
    <row r="959" spans="1:23" ht="15.75" customHeight="1">
      <c r="A959" s="3"/>
      <c r="B959" s="3"/>
      <c r="C959" s="3"/>
      <c r="D959" s="3"/>
      <c r="E959" s="3"/>
      <c r="F959" s="3"/>
      <c r="G959" s="3"/>
      <c r="H959" s="3"/>
      <c r="I959" s="3"/>
      <c r="J959" s="3"/>
      <c r="K959" s="3"/>
      <c r="L959" s="3"/>
      <c r="M959" s="3"/>
      <c r="N959" s="3"/>
      <c r="O959" s="3"/>
      <c r="P959" s="3"/>
      <c r="Q959" s="3"/>
      <c r="R959" s="3"/>
      <c r="S959" s="3"/>
      <c r="T959" s="3"/>
      <c r="U959" s="3"/>
      <c r="V959" s="3"/>
      <c r="W959" s="3"/>
    </row>
    <row r="960" spans="1:23" ht="15.75" customHeight="1">
      <c r="A960" s="3"/>
      <c r="B960" s="3"/>
      <c r="C960" s="3"/>
      <c r="D960" s="3"/>
      <c r="E960" s="3"/>
      <c r="F960" s="3"/>
      <c r="G960" s="3"/>
      <c r="H960" s="3"/>
      <c r="I960" s="3"/>
      <c r="J960" s="3"/>
      <c r="K960" s="3"/>
      <c r="L960" s="3"/>
      <c r="M960" s="3"/>
      <c r="N960" s="3"/>
      <c r="O960" s="3"/>
      <c r="P960" s="3"/>
      <c r="Q960" s="3"/>
      <c r="R960" s="3"/>
      <c r="S960" s="3"/>
      <c r="T960" s="3"/>
      <c r="U960" s="3"/>
      <c r="V960" s="3"/>
      <c r="W960" s="3"/>
    </row>
    <row r="961" spans="1:23" ht="15.75" customHeight="1">
      <c r="A961" s="3"/>
      <c r="B961" s="3"/>
      <c r="C961" s="3"/>
      <c r="D961" s="3"/>
      <c r="E961" s="3"/>
      <c r="F961" s="3"/>
      <c r="G961" s="3"/>
      <c r="H961" s="3"/>
      <c r="I961" s="3"/>
      <c r="J961" s="3"/>
      <c r="K961" s="3"/>
      <c r="L961" s="3"/>
      <c r="M961" s="3"/>
      <c r="N961" s="3"/>
      <c r="O961" s="3"/>
      <c r="P961" s="3"/>
      <c r="Q961" s="3"/>
      <c r="R961" s="3"/>
      <c r="S961" s="3"/>
      <c r="T961" s="3"/>
      <c r="U961" s="3"/>
      <c r="V961" s="3"/>
      <c r="W961" s="3"/>
    </row>
    <row r="962" spans="1:23" ht="15.75" customHeight="1">
      <c r="A962" s="3"/>
      <c r="B962" s="3"/>
      <c r="C962" s="3"/>
      <c r="D962" s="3"/>
      <c r="E962" s="3"/>
      <c r="F962" s="3"/>
      <c r="G962" s="3"/>
      <c r="H962" s="3"/>
      <c r="I962" s="3"/>
      <c r="J962" s="3"/>
      <c r="K962" s="3"/>
      <c r="L962" s="3"/>
      <c r="M962" s="3"/>
      <c r="N962" s="3"/>
      <c r="O962" s="3"/>
      <c r="P962" s="3"/>
      <c r="Q962" s="3"/>
      <c r="R962" s="3"/>
      <c r="S962" s="3"/>
      <c r="T962" s="3"/>
      <c r="U962" s="3"/>
      <c r="V962" s="3"/>
      <c r="W962" s="3"/>
    </row>
    <row r="963" spans="1:23" ht="15.75" customHeight="1">
      <c r="A963" s="3"/>
      <c r="B963" s="3"/>
      <c r="C963" s="3"/>
      <c r="D963" s="3"/>
      <c r="E963" s="3"/>
      <c r="F963" s="3"/>
      <c r="G963" s="3"/>
      <c r="H963" s="3"/>
      <c r="I963" s="3"/>
      <c r="J963" s="3"/>
      <c r="K963" s="3"/>
      <c r="L963" s="3"/>
      <c r="M963" s="3"/>
      <c r="N963" s="3"/>
      <c r="O963" s="3"/>
      <c r="P963" s="3"/>
      <c r="Q963" s="3"/>
      <c r="R963" s="3"/>
      <c r="S963" s="3"/>
      <c r="T963" s="3"/>
      <c r="U963" s="3"/>
      <c r="V963" s="3"/>
      <c r="W963" s="3"/>
    </row>
    <row r="964" spans="1:23" ht="15.75" customHeight="1">
      <c r="A964" s="3"/>
      <c r="B964" s="3"/>
      <c r="C964" s="3"/>
      <c r="D964" s="3"/>
      <c r="E964" s="3"/>
      <c r="F964" s="3"/>
      <c r="G964" s="3"/>
      <c r="H964" s="3"/>
      <c r="I964" s="3"/>
      <c r="J964" s="3"/>
      <c r="K964" s="3"/>
      <c r="L964" s="3"/>
      <c r="M964" s="3"/>
      <c r="N964" s="3"/>
      <c r="O964" s="3"/>
      <c r="P964" s="3"/>
      <c r="Q964" s="3"/>
      <c r="R964" s="3"/>
      <c r="S964" s="3"/>
      <c r="T964" s="3"/>
      <c r="U964" s="3"/>
      <c r="V964" s="3"/>
      <c r="W964" s="3"/>
    </row>
    <row r="965" spans="1:23" ht="15.75" customHeight="1">
      <c r="A965" s="3"/>
      <c r="B965" s="3"/>
      <c r="C965" s="3"/>
      <c r="D965" s="3"/>
      <c r="E965" s="3"/>
      <c r="F965" s="3"/>
      <c r="G965" s="3"/>
      <c r="H965" s="3"/>
      <c r="I965" s="3"/>
      <c r="J965" s="3"/>
      <c r="K965" s="3"/>
      <c r="L965" s="3"/>
      <c r="M965" s="3"/>
      <c r="N965" s="3"/>
      <c r="O965" s="3"/>
      <c r="P965" s="3"/>
      <c r="Q965" s="3"/>
      <c r="R965" s="3"/>
      <c r="S965" s="3"/>
      <c r="T965" s="3"/>
      <c r="U965" s="3"/>
      <c r="V965" s="3"/>
      <c r="W965" s="3"/>
    </row>
    <row r="966" spans="1:23" ht="15.75" customHeight="1">
      <c r="A966" s="3"/>
      <c r="B966" s="3"/>
      <c r="C966" s="3"/>
      <c r="D966" s="3"/>
      <c r="E966" s="3"/>
      <c r="F966" s="3"/>
      <c r="G966" s="3"/>
      <c r="H966" s="3"/>
      <c r="I966" s="3"/>
      <c r="J966" s="3"/>
      <c r="K966" s="3"/>
      <c r="L966" s="3"/>
      <c r="M966" s="3"/>
      <c r="N966" s="3"/>
      <c r="O966" s="3"/>
      <c r="P966" s="3"/>
      <c r="Q966" s="3"/>
      <c r="R966" s="3"/>
      <c r="S966" s="3"/>
      <c r="T966" s="3"/>
      <c r="U966" s="3"/>
      <c r="V966" s="3"/>
      <c r="W966" s="3"/>
    </row>
    <row r="967" spans="1:23" ht="15.75" customHeight="1">
      <c r="A967" s="3"/>
      <c r="B967" s="3"/>
      <c r="C967" s="3"/>
      <c r="D967" s="3"/>
      <c r="E967" s="3"/>
      <c r="F967" s="3"/>
      <c r="G967" s="3"/>
      <c r="H967" s="3"/>
      <c r="I967" s="3"/>
      <c r="J967" s="3"/>
      <c r="K967" s="3"/>
      <c r="L967" s="3"/>
      <c r="M967" s="3"/>
      <c r="N967" s="3"/>
      <c r="O967" s="3"/>
      <c r="P967" s="3"/>
      <c r="Q967" s="3"/>
      <c r="R967" s="3"/>
      <c r="S967" s="3"/>
      <c r="T967" s="3"/>
      <c r="U967" s="3"/>
      <c r="V967" s="3"/>
      <c r="W967" s="3"/>
    </row>
    <row r="968" spans="1:23" ht="15.75" customHeight="1">
      <c r="A968" s="3"/>
      <c r="B968" s="3"/>
      <c r="C968" s="3"/>
      <c r="D968" s="3"/>
      <c r="E968" s="3"/>
      <c r="F968" s="3"/>
      <c r="G968" s="3"/>
      <c r="H968" s="3"/>
      <c r="I968" s="3"/>
      <c r="J968" s="3"/>
      <c r="K968" s="3"/>
      <c r="L968" s="3"/>
      <c r="M968" s="3"/>
      <c r="N968" s="3"/>
      <c r="O968" s="3"/>
      <c r="P968" s="3"/>
      <c r="Q968" s="3"/>
      <c r="R968" s="3"/>
      <c r="S968" s="3"/>
      <c r="T968" s="3"/>
      <c r="U968" s="3"/>
      <c r="V968" s="3"/>
      <c r="W968" s="3"/>
    </row>
    <row r="969" spans="1:23" ht="15.75" customHeight="1">
      <c r="A969" s="3"/>
      <c r="B969" s="3"/>
      <c r="C969" s="3"/>
      <c r="D969" s="3"/>
      <c r="E969" s="3"/>
      <c r="F969" s="3"/>
      <c r="G969" s="3"/>
      <c r="H969" s="3"/>
      <c r="I969" s="3"/>
      <c r="J969" s="3"/>
      <c r="K969" s="3"/>
      <c r="L969" s="3"/>
      <c r="M969" s="3"/>
      <c r="N969" s="3"/>
      <c r="O969" s="3"/>
      <c r="P969" s="3"/>
      <c r="Q969" s="3"/>
      <c r="R969" s="3"/>
      <c r="S969" s="3"/>
      <c r="T969" s="3"/>
      <c r="U969" s="3"/>
      <c r="V969" s="3"/>
      <c r="W969" s="3"/>
    </row>
    <row r="970" spans="1:23" ht="15.75" customHeight="1">
      <c r="A970" s="3"/>
      <c r="B970" s="3"/>
      <c r="C970" s="3"/>
      <c r="D970" s="3"/>
      <c r="E970" s="3"/>
      <c r="F970" s="3"/>
      <c r="G970" s="3"/>
      <c r="H970" s="3"/>
      <c r="I970" s="3"/>
      <c r="J970" s="3"/>
      <c r="K970" s="3"/>
      <c r="L970" s="3"/>
      <c r="M970" s="3"/>
      <c r="N970" s="3"/>
      <c r="O970" s="3"/>
      <c r="P970" s="3"/>
      <c r="Q970" s="3"/>
      <c r="R970" s="3"/>
      <c r="S970" s="3"/>
      <c r="T970" s="3"/>
      <c r="U970" s="3"/>
      <c r="V970" s="3"/>
      <c r="W970" s="3"/>
    </row>
    <row r="971" spans="1:23" ht="15.75" customHeight="1">
      <c r="A971" s="3"/>
      <c r="B971" s="3"/>
      <c r="C971" s="3"/>
      <c r="D971" s="3"/>
      <c r="E971" s="3"/>
      <c r="F971" s="3"/>
      <c r="G971" s="3"/>
      <c r="H971" s="3"/>
      <c r="I971" s="3"/>
      <c r="J971" s="3"/>
      <c r="K971" s="3"/>
      <c r="L971" s="3"/>
      <c r="M971" s="3"/>
      <c r="N971" s="3"/>
      <c r="O971" s="3"/>
      <c r="P971" s="3"/>
      <c r="Q971" s="3"/>
      <c r="R971" s="3"/>
      <c r="S971" s="3"/>
      <c r="T971" s="3"/>
      <c r="U971" s="3"/>
      <c r="V971" s="3"/>
      <c r="W971" s="3"/>
    </row>
    <row r="972" spans="1:23" ht="15.75" customHeight="1">
      <c r="A972" s="3"/>
      <c r="B972" s="3"/>
      <c r="C972" s="3"/>
      <c r="D972" s="3"/>
      <c r="E972" s="3"/>
      <c r="F972" s="3"/>
      <c r="G972" s="3"/>
      <c r="H972" s="3"/>
      <c r="I972" s="3"/>
      <c r="J972" s="3"/>
      <c r="K972" s="3"/>
      <c r="L972" s="3"/>
      <c r="M972" s="3"/>
      <c r="N972" s="3"/>
      <c r="O972" s="3"/>
      <c r="P972" s="3"/>
      <c r="Q972" s="3"/>
      <c r="R972" s="3"/>
      <c r="S972" s="3"/>
      <c r="T972" s="3"/>
      <c r="U972" s="3"/>
      <c r="V972" s="3"/>
      <c r="W972" s="3"/>
    </row>
    <row r="973" spans="1:23" ht="15.75" customHeight="1">
      <c r="A973" s="3"/>
      <c r="B973" s="3"/>
      <c r="C973" s="3"/>
      <c r="D973" s="3"/>
      <c r="E973" s="3"/>
      <c r="F973" s="3"/>
      <c r="G973" s="3"/>
      <c r="H973" s="3"/>
      <c r="I973" s="3"/>
      <c r="J973" s="3"/>
      <c r="K973" s="3"/>
      <c r="L973" s="3"/>
      <c r="M973" s="3"/>
      <c r="N973" s="3"/>
      <c r="O973" s="3"/>
      <c r="P973" s="3"/>
      <c r="Q973" s="3"/>
      <c r="R973" s="3"/>
      <c r="S973" s="3"/>
      <c r="T973" s="3"/>
      <c r="U973" s="3"/>
      <c r="V973" s="3"/>
      <c r="W973" s="3"/>
    </row>
    <row r="974" spans="1:23" ht="15.75" customHeight="1">
      <c r="A974" s="3"/>
      <c r="B974" s="3"/>
      <c r="C974" s="3"/>
      <c r="D974" s="3"/>
      <c r="E974" s="3"/>
      <c r="F974" s="3"/>
      <c r="G974" s="3"/>
      <c r="H974" s="3"/>
      <c r="I974" s="3"/>
      <c r="J974" s="3"/>
      <c r="K974" s="3"/>
      <c r="L974" s="3"/>
      <c r="M974" s="3"/>
      <c r="N974" s="3"/>
      <c r="O974" s="3"/>
      <c r="P974" s="3"/>
      <c r="Q974" s="3"/>
      <c r="R974" s="3"/>
      <c r="S974" s="3"/>
      <c r="T974" s="3"/>
      <c r="U974" s="3"/>
      <c r="V974" s="3"/>
      <c r="W974" s="3"/>
    </row>
    <row r="975" spans="1:23" ht="15.75" customHeight="1">
      <c r="A975" s="3"/>
      <c r="B975" s="3"/>
      <c r="C975" s="3"/>
      <c r="D975" s="3"/>
      <c r="E975" s="3"/>
      <c r="F975" s="3"/>
      <c r="G975" s="3"/>
      <c r="H975" s="3"/>
      <c r="I975" s="3"/>
      <c r="J975" s="3"/>
      <c r="K975" s="3"/>
      <c r="L975" s="3"/>
      <c r="M975" s="3"/>
      <c r="N975" s="3"/>
      <c r="O975" s="3"/>
      <c r="P975" s="3"/>
      <c r="Q975" s="3"/>
      <c r="R975" s="3"/>
      <c r="S975" s="3"/>
      <c r="T975" s="3"/>
      <c r="U975" s="3"/>
      <c r="V975" s="3"/>
      <c r="W975" s="3"/>
    </row>
    <row r="976" spans="1:23" ht="15.75" customHeight="1">
      <c r="A976" s="3"/>
      <c r="B976" s="3"/>
      <c r="C976" s="3"/>
      <c r="D976" s="3"/>
      <c r="E976" s="3"/>
      <c r="F976" s="3"/>
      <c r="G976" s="3"/>
      <c r="H976" s="3"/>
      <c r="I976" s="3"/>
      <c r="J976" s="3"/>
      <c r="K976" s="3"/>
      <c r="L976" s="3"/>
      <c r="M976" s="3"/>
      <c r="N976" s="3"/>
      <c r="O976" s="3"/>
      <c r="P976" s="3"/>
      <c r="Q976" s="3"/>
      <c r="R976" s="3"/>
      <c r="S976" s="3"/>
      <c r="T976" s="3"/>
      <c r="U976" s="3"/>
      <c r="V976" s="3"/>
      <c r="W976" s="3"/>
    </row>
    <row r="977" spans="1:23" ht="15.75" customHeight="1">
      <c r="A977" s="3"/>
      <c r="B977" s="3"/>
      <c r="C977" s="3"/>
      <c r="D977" s="3"/>
      <c r="E977" s="3"/>
      <c r="F977" s="3"/>
      <c r="G977" s="3"/>
      <c r="H977" s="3"/>
      <c r="I977" s="3"/>
      <c r="J977" s="3"/>
      <c r="K977" s="3"/>
      <c r="L977" s="3"/>
      <c r="M977" s="3"/>
      <c r="N977" s="3"/>
      <c r="O977" s="3"/>
      <c r="P977" s="3"/>
      <c r="Q977" s="3"/>
      <c r="R977" s="3"/>
      <c r="S977" s="3"/>
      <c r="T977" s="3"/>
      <c r="U977" s="3"/>
      <c r="V977" s="3"/>
      <c r="W977" s="3"/>
    </row>
    <row r="978" spans="1:23" ht="15.75" customHeight="1">
      <c r="A978" s="3"/>
      <c r="B978" s="3"/>
      <c r="C978" s="3"/>
      <c r="D978" s="3"/>
      <c r="E978" s="3"/>
      <c r="F978" s="3"/>
      <c r="G978" s="3"/>
      <c r="H978" s="3"/>
      <c r="I978" s="3"/>
      <c r="J978" s="3"/>
      <c r="K978" s="3"/>
      <c r="L978" s="3"/>
      <c r="M978" s="3"/>
      <c r="N978" s="3"/>
      <c r="O978" s="3"/>
      <c r="P978" s="3"/>
      <c r="Q978" s="3"/>
      <c r="R978" s="3"/>
      <c r="S978" s="3"/>
      <c r="T978" s="3"/>
      <c r="U978" s="3"/>
      <c r="V978" s="3"/>
      <c r="W978" s="3"/>
    </row>
    <row r="979" spans="1:23" ht="15.75" customHeight="1">
      <c r="A979" s="3"/>
      <c r="B979" s="3"/>
      <c r="C979" s="3"/>
      <c r="D979" s="3"/>
      <c r="E979" s="3"/>
      <c r="F979" s="3"/>
      <c r="G979" s="3"/>
      <c r="H979" s="3"/>
      <c r="I979" s="3"/>
      <c r="J979" s="3"/>
      <c r="K979" s="3"/>
      <c r="L979" s="3"/>
      <c r="M979" s="3"/>
      <c r="N979" s="3"/>
      <c r="O979" s="3"/>
      <c r="P979" s="3"/>
      <c r="Q979" s="3"/>
      <c r="R979" s="3"/>
      <c r="S979" s="3"/>
      <c r="T979" s="3"/>
      <c r="U979" s="3"/>
      <c r="V979" s="3"/>
      <c r="W979" s="3"/>
    </row>
    <row r="980" spans="1:23" ht="15.75" customHeight="1">
      <c r="A980" s="3"/>
      <c r="B980" s="3"/>
      <c r="C980" s="3"/>
      <c r="D980" s="3"/>
      <c r="E980" s="3"/>
      <c r="F980" s="3"/>
      <c r="G980" s="3"/>
      <c r="H980" s="3"/>
      <c r="I980" s="3"/>
      <c r="J980" s="3"/>
      <c r="K980" s="3"/>
      <c r="L980" s="3"/>
      <c r="M980" s="3"/>
      <c r="N980" s="3"/>
      <c r="O980" s="3"/>
      <c r="P980" s="3"/>
      <c r="Q980" s="3"/>
      <c r="R980" s="3"/>
      <c r="S980" s="3"/>
      <c r="T980" s="3"/>
      <c r="U980" s="3"/>
      <c r="V980" s="3"/>
      <c r="W980" s="3"/>
    </row>
    <row r="981" spans="1:23" ht="15.75" customHeight="1">
      <c r="A981" s="3"/>
      <c r="B981" s="3"/>
      <c r="C981" s="3"/>
      <c r="D981" s="3"/>
      <c r="E981" s="3"/>
      <c r="F981" s="3"/>
      <c r="G981" s="3"/>
      <c r="H981" s="3"/>
      <c r="I981" s="3"/>
      <c r="J981" s="3"/>
      <c r="K981" s="3"/>
      <c r="L981" s="3"/>
      <c r="M981" s="3"/>
      <c r="N981" s="3"/>
      <c r="O981" s="3"/>
      <c r="P981" s="3"/>
      <c r="Q981" s="3"/>
      <c r="R981" s="3"/>
      <c r="S981" s="3"/>
      <c r="T981" s="3"/>
      <c r="U981" s="3"/>
      <c r="V981" s="3"/>
      <c r="W981" s="3"/>
    </row>
    <row r="982" spans="1:23" ht="15.75" customHeight="1">
      <c r="A982" s="3"/>
      <c r="B982" s="3"/>
      <c r="C982" s="3"/>
      <c r="D982" s="3"/>
      <c r="E982" s="3"/>
      <c r="F982" s="3"/>
      <c r="G982" s="3"/>
      <c r="H982" s="3"/>
      <c r="I982" s="3"/>
      <c r="J982" s="3"/>
      <c r="K982" s="3"/>
      <c r="L982" s="3"/>
      <c r="M982" s="3"/>
      <c r="N982" s="3"/>
      <c r="O982" s="3"/>
      <c r="P982" s="3"/>
      <c r="Q982" s="3"/>
      <c r="R982" s="3"/>
      <c r="S982" s="3"/>
      <c r="T982" s="3"/>
      <c r="U982" s="3"/>
      <c r="V982" s="3"/>
      <c r="W982" s="3"/>
    </row>
    <row r="983" spans="1:23" ht="15.75" customHeight="1">
      <c r="A983" s="3"/>
      <c r="B983" s="3"/>
      <c r="C983" s="3"/>
      <c r="D983" s="3"/>
      <c r="E983" s="3"/>
      <c r="F983" s="3"/>
      <c r="G983" s="3"/>
      <c r="H983" s="3"/>
      <c r="I983" s="3"/>
      <c r="J983" s="3"/>
      <c r="K983" s="3"/>
      <c r="L983" s="3"/>
      <c r="M983" s="3"/>
      <c r="N983" s="3"/>
      <c r="O983" s="3"/>
      <c r="P983" s="3"/>
      <c r="Q983" s="3"/>
      <c r="R983" s="3"/>
      <c r="S983" s="3"/>
      <c r="T983" s="3"/>
      <c r="U983" s="3"/>
      <c r="V983" s="3"/>
      <c r="W983" s="3"/>
    </row>
    <row r="984" spans="1:23" ht="15.75" customHeight="1">
      <c r="A984" s="3"/>
      <c r="B984" s="3"/>
      <c r="C984" s="3"/>
      <c r="D984" s="3"/>
      <c r="E984" s="3"/>
      <c r="F984" s="3"/>
      <c r="G984" s="3"/>
      <c r="H984" s="3"/>
      <c r="I984" s="3"/>
      <c r="J984" s="3"/>
      <c r="K984" s="3"/>
      <c r="L984" s="3"/>
      <c r="M984" s="3"/>
      <c r="N984" s="3"/>
      <c r="O984" s="3"/>
      <c r="P984" s="3"/>
      <c r="Q984" s="3"/>
      <c r="R984" s="3"/>
      <c r="S984" s="3"/>
      <c r="T984" s="3"/>
      <c r="U984" s="3"/>
      <c r="V984" s="3"/>
      <c r="W984" s="3"/>
    </row>
    <row r="985" spans="1:23" ht="15.75" customHeight="1">
      <c r="A985" s="3"/>
      <c r="B985" s="3"/>
      <c r="C985" s="3"/>
      <c r="D985" s="3"/>
      <c r="E985" s="3"/>
      <c r="F985" s="3"/>
      <c r="G985" s="3"/>
      <c r="H985" s="3"/>
      <c r="I985" s="3"/>
      <c r="J985" s="3"/>
      <c r="K985" s="3"/>
      <c r="L985" s="3"/>
      <c r="M985" s="3"/>
      <c r="N985" s="3"/>
      <c r="O985" s="3"/>
      <c r="P985" s="3"/>
      <c r="Q985" s="3"/>
      <c r="R985" s="3"/>
      <c r="S985" s="3"/>
      <c r="T985" s="3"/>
      <c r="U985" s="3"/>
      <c r="V985" s="3"/>
      <c r="W985" s="3"/>
    </row>
    <row r="986" spans="1:23" ht="15.75" customHeight="1">
      <c r="A986" s="3"/>
      <c r="B986" s="3"/>
      <c r="C986" s="3"/>
      <c r="D986" s="3"/>
      <c r="E986" s="3"/>
      <c r="F986" s="3"/>
      <c r="G986" s="3"/>
      <c r="H986" s="3"/>
      <c r="I986" s="3"/>
      <c r="J986" s="3"/>
      <c r="K986" s="3"/>
      <c r="L986" s="3"/>
      <c r="M986" s="3"/>
      <c r="N986" s="3"/>
      <c r="O986" s="3"/>
      <c r="P986" s="3"/>
      <c r="Q986" s="3"/>
      <c r="R986" s="3"/>
      <c r="S986" s="3"/>
      <c r="T986" s="3"/>
      <c r="U986" s="3"/>
      <c r="V986" s="3"/>
      <c r="W986" s="3"/>
    </row>
    <row r="987" spans="1:23" ht="15.75" customHeight="1">
      <c r="A987" s="3"/>
      <c r="B987" s="3"/>
      <c r="C987" s="3"/>
      <c r="D987" s="3"/>
      <c r="E987" s="3"/>
      <c r="F987" s="3"/>
      <c r="G987" s="3"/>
      <c r="H987" s="3"/>
      <c r="I987" s="3"/>
      <c r="J987" s="3"/>
      <c r="K987" s="3"/>
      <c r="L987" s="3"/>
      <c r="M987" s="3"/>
      <c r="N987" s="3"/>
      <c r="O987" s="3"/>
      <c r="P987" s="3"/>
      <c r="Q987" s="3"/>
      <c r="R987" s="3"/>
      <c r="S987" s="3"/>
      <c r="T987" s="3"/>
      <c r="U987" s="3"/>
      <c r="V987" s="3"/>
      <c r="W987" s="3"/>
    </row>
    <row r="988" spans="1:23" ht="15.75" customHeight="1">
      <c r="A988" s="3"/>
      <c r="B988" s="3"/>
      <c r="C988" s="3"/>
      <c r="D988" s="3"/>
      <c r="E988" s="3"/>
      <c r="F988" s="3"/>
      <c r="G988" s="3"/>
      <c r="H988" s="3"/>
      <c r="I988" s="3"/>
      <c r="J988" s="3"/>
      <c r="K988" s="3"/>
      <c r="L988" s="3"/>
      <c r="M988" s="3"/>
      <c r="N988" s="3"/>
      <c r="O988" s="3"/>
      <c r="P988" s="3"/>
      <c r="Q988" s="3"/>
      <c r="R988" s="3"/>
      <c r="S988" s="3"/>
      <c r="T988" s="3"/>
      <c r="U988" s="3"/>
      <c r="V988" s="3"/>
      <c r="W988" s="3"/>
    </row>
    <row r="989" spans="1:23" ht="15.75" customHeight="1">
      <c r="A989" s="3"/>
      <c r="B989" s="3"/>
      <c r="C989" s="3"/>
      <c r="D989" s="3"/>
      <c r="E989" s="3"/>
      <c r="F989" s="3"/>
      <c r="G989" s="3"/>
      <c r="H989" s="3"/>
      <c r="I989" s="3"/>
      <c r="J989" s="3"/>
      <c r="K989" s="3"/>
      <c r="L989" s="3"/>
      <c r="M989" s="3"/>
      <c r="N989" s="3"/>
      <c r="O989" s="3"/>
      <c r="P989" s="3"/>
      <c r="Q989" s="3"/>
      <c r="R989" s="3"/>
      <c r="S989" s="3"/>
      <c r="T989" s="3"/>
      <c r="U989" s="3"/>
      <c r="V989" s="3"/>
      <c r="W989" s="3"/>
    </row>
    <row r="990" spans="1:23" ht="15.75" customHeight="1">
      <c r="A990" s="3"/>
      <c r="B990" s="3"/>
      <c r="C990" s="3"/>
      <c r="D990" s="3"/>
      <c r="E990" s="3"/>
      <c r="F990" s="3"/>
      <c r="G990" s="3"/>
      <c r="H990" s="3"/>
      <c r="I990" s="3"/>
      <c r="J990" s="3"/>
      <c r="K990" s="3"/>
      <c r="L990" s="3"/>
      <c r="M990" s="3"/>
      <c r="N990" s="3"/>
      <c r="O990" s="3"/>
      <c r="P990" s="3"/>
      <c r="Q990" s="3"/>
      <c r="R990" s="3"/>
      <c r="S990" s="3"/>
      <c r="T990" s="3"/>
      <c r="U990" s="3"/>
      <c r="V990" s="3"/>
      <c r="W990" s="3"/>
    </row>
    <row r="991" spans="1:23" ht="15.75" customHeight="1">
      <c r="A991" s="3"/>
      <c r="B991" s="3"/>
      <c r="C991" s="3"/>
      <c r="D991" s="3"/>
      <c r="E991" s="3"/>
      <c r="F991" s="3"/>
      <c r="G991" s="3"/>
      <c r="H991" s="3"/>
      <c r="I991" s="3"/>
      <c r="J991" s="3"/>
      <c r="K991" s="3"/>
      <c r="L991" s="3"/>
      <c r="M991" s="3"/>
      <c r="N991" s="3"/>
      <c r="O991" s="3"/>
      <c r="P991" s="3"/>
      <c r="Q991" s="3"/>
      <c r="R991" s="3"/>
      <c r="S991" s="3"/>
      <c r="T991" s="3"/>
      <c r="U991" s="3"/>
      <c r="V991" s="3"/>
      <c r="W991" s="3"/>
    </row>
    <row r="992" spans="1:23" ht="15.75" customHeight="1">
      <c r="A992" s="3"/>
      <c r="B992" s="3"/>
      <c r="C992" s="3"/>
      <c r="D992" s="3"/>
      <c r="E992" s="3"/>
      <c r="F992" s="3"/>
      <c r="G992" s="3"/>
      <c r="H992" s="3"/>
      <c r="I992" s="3"/>
      <c r="J992" s="3"/>
      <c r="K992" s="3"/>
      <c r="L992" s="3"/>
      <c r="M992" s="3"/>
      <c r="N992" s="3"/>
      <c r="O992" s="3"/>
      <c r="P992" s="3"/>
      <c r="Q992" s="3"/>
      <c r="R992" s="3"/>
      <c r="S992" s="3"/>
      <c r="T992" s="3"/>
      <c r="U992" s="3"/>
      <c r="V992" s="3"/>
      <c r="W992" s="3"/>
    </row>
    <row r="993" spans="1:23" ht="15.75" customHeight="1">
      <c r="A993" s="3"/>
      <c r="B993" s="3"/>
      <c r="C993" s="3"/>
      <c r="D993" s="3"/>
      <c r="E993" s="3"/>
      <c r="F993" s="3"/>
      <c r="G993" s="3"/>
      <c r="H993" s="3"/>
      <c r="I993" s="3"/>
      <c r="J993" s="3"/>
      <c r="K993" s="3"/>
      <c r="L993" s="3"/>
      <c r="M993" s="3"/>
      <c r="N993" s="3"/>
      <c r="O993" s="3"/>
      <c r="P993" s="3"/>
      <c r="Q993" s="3"/>
      <c r="R993" s="3"/>
      <c r="S993" s="3"/>
      <c r="T993" s="3"/>
      <c r="U993" s="3"/>
      <c r="V993" s="3"/>
      <c r="W993" s="3"/>
    </row>
    <row r="994" spans="1:23" ht="15.75" customHeight="1">
      <c r="A994" s="3"/>
      <c r="B994" s="3"/>
      <c r="C994" s="3"/>
      <c r="D994" s="3"/>
      <c r="E994" s="3"/>
      <c r="F994" s="3"/>
      <c r="G994" s="3"/>
      <c r="H994" s="3"/>
      <c r="I994" s="3"/>
      <c r="J994" s="3"/>
      <c r="K994" s="3"/>
      <c r="L994" s="3"/>
      <c r="M994" s="3"/>
      <c r="N994" s="3"/>
      <c r="O994" s="3"/>
      <c r="P994" s="3"/>
      <c r="Q994" s="3"/>
      <c r="R994" s="3"/>
      <c r="S994" s="3"/>
      <c r="T994" s="3"/>
      <c r="U994" s="3"/>
      <c r="V994" s="3"/>
      <c r="W994" s="3"/>
    </row>
    <row r="995" spans="1:23" ht="15.75" customHeight="1">
      <c r="A995" s="3"/>
      <c r="B995" s="3"/>
      <c r="C995" s="3"/>
      <c r="D995" s="3"/>
      <c r="E995" s="3"/>
      <c r="F995" s="3"/>
      <c r="G995" s="3"/>
      <c r="H995" s="3"/>
      <c r="I995" s="3"/>
      <c r="J995" s="3"/>
      <c r="K995" s="3"/>
      <c r="L995" s="3"/>
      <c r="M995" s="3"/>
      <c r="N995" s="3"/>
      <c r="O995" s="3"/>
      <c r="P995" s="3"/>
      <c r="Q995" s="3"/>
      <c r="R995" s="3"/>
      <c r="S995" s="3"/>
      <c r="T995" s="3"/>
      <c r="U995" s="3"/>
      <c r="V995" s="3"/>
      <c r="W995" s="3"/>
    </row>
    <row r="996" spans="1:23" ht="15.75" customHeight="1">
      <c r="A996" s="3"/>
      <c r="B996" s="3"/>
      <c r="C996" s="3"/>
      <c r="D996" s="3"/>
      <c r="E996" s="3"/>
      <c r="F996" s="3"/>
      <c r="G996" s="3"/>
      <c r="H996" s="3"/>
      <c r="I996" s="3"/>
      <c r="J996" s="3"/>
      <c r="K996" s="3"/>
      <c r="L996" s="3"/>
      <c r="M996" s="3"/>
      <c r="N996" s="3"/>
      <c r="O996" s="3"/>
      <c r="P996" s="3"/>
      <c r="Q996" s="3"/>
      <c r="R996" s="3"/>
      <c r="S996" s="3"/>
      <c r="T996" s="3"/>
      <c r="U996" s="3"/>
      <c r="V996" s="3"/>
      <c r="W996" s="3"/>
    </row>
    <row r="997" spans="1:23" ht="15.75" customHeight="1">
      <c r="A997" s="3"/>
      <c r="B997" s="3"/>
      <c r="C997" s="3"/>
      <c r="D997" s="3"/>
      <c r="E997" s="3"/>
      <c r="F997" s="3"/>
      <c r="G997" s="3"/>
      <c r="H997" s="3"/>
      <c r="I997" s="3"/>
      <c r="J997" s="3"/>
      <c r="K997" s="3"/>
      <c r="L997" s="3"/>
      <c r="M997" s="3"/>
      <c r="N997" s="3"/>
      <c r="O997" s="3"/>
      <c r="P997" s="3"/>
      <c r="Q997" s="3"/>
      <c r="R997" s="3"/>
      <c r="S997" s="3"/>
      <c r="T997" s="3"/>
      <c r="U997" s="3"/>
      <c r="V997" s="3"/>
      <c r="W997" s="3"/>
    </row>
    <row r="998" spans="1:23" ht="15.75" customHeight="1">
      <c r="A998" s="3"/>
      <c r="B998" s="3"/>
      <c r="C998" s="3"/>
      <c r="D998" s="3"/>
      <c r="E998" s="3"/>
      <c r="F998" s="3"/>
      <c r="G998" s="3"/>
      <c r="H998" s="3"/>
      <c r="I998" s="3"/>
      <c r="J998" s="3"/>
      <c r="K998" s="3"/>
      <c r="L998" s="3"/>
      <c r="M998" s="3"/>
      <c r="N998" s="3"/>
      <c r="O998" s="3"/>
      <c r="P998" s="3"/>
      <c r="Q998" s="3"/>
      <c r="R998" s="3"/>
      <c r="S998" s="3"/>
      <c r="T998" s="3"/>
      <c r="U998" s="3"/>
      <c r="V998" s="3"/>
      <c r="W998" s="3"/>
    </row>
  </sheetData>
  <mergeCells count="7">
    <mergeCell ref="J62:J67"/>
    <mergeCell ref="J70:J77"/>
    <mergeCell ref="B1:J1"/>
    <mergeCell ref="J4:J18"/>
    <mergeCell ref="J21:J35"/>
    <mergeCell ref="J38:J47"/>
    <mergeCell ref="J50:J59"/>
  </mergeCells>
  <printOptions horizontalCentered="1"/>
  <pageMargins left="1" right="0" top="0" bottom="0" header="0" footer="0"/>
  <pageSetup paperSize="3" orientation="landscape" r:id="rId1"/>
  <rowBreaks count="1" manualBreakCount="1">
    <brk id="35"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BJ693"/>
  <sheetViews>
    <sheetView tabSelected="1" topLeftCell="W352" zoomScale="80" zoomScaleNormal="80" workbookViewId="0">
      <selection activeCell="AE354" sqref="AE354"/>
    </sheetView>
  </sheetViews>
  <sheetFormatPr baseColWidth="10" defaultColWidth="12.58203125" defaultRowHeight="15" customHeight="1"/>
  <cols>
    <col min="1" max="1" width="10.4140625" hidden="1" customWidth="1"/>
    <col min="2" max="2" width="21.9140625" hidden="1" customWidth="1"/>
    <col min="3" max="3" width="31.1640625" customWidth="1"/>
    <col min="4" max="4" width="16.5" customWidth="1"/>
    <col min="5" max="5" width="14.58203125" customWidth="1"/>
    <col min="6" max="6" width="14" customWidth="1"/>
    <col min="7" max="7" width="17.6640625" hidden="1" customWidth="1"/>
    <col min="8" max="8" width="15.08203125" hidden="1" customWidth="1"/>
    <col min="9" max="9" width="14" hidden="1" customWidth="1"/>
    <col min="10" max="10" width="15.58203125" customWidth="1"/>
    <col min="11" max="11" width="15.5" customWidth="1"/>
    <col min="12" max="12" width="14.9140625" customWidth="1"/>
    <col min="13" max="14" width="16.1640625" customWidth="1"/>
    <col min="15" max="15" width="15.5" customWidth="1"/>
    <col min="16" max="16" width="14.58203125" customWidth="1"/>
    <col min="17" max="17" width="14.9140625" bestFit="1" customWidth="1"/>
    <col min="18" max="18" width="14.6640625" customWidth="1"/>
    <col min="19" max="19" width="19" customWidth="1"/>
    <col min="20" max="20" width="4.58203125" customWidth="1"/>
    <col min="21" max="21" width="31.6640625" customWidth="1"/>
    <col min="22" max="22" width="34" customWidth="1"/>
    <col min="23" max="23" width="12.1640625" customWidth="1"/>
    <col min="24" max="24" width="13.6640625" customWidth="1"/>
    <col min="25" max="25" width="15.08203125" customWidth="1"/>
    <col min="26" max="26" width="15" customWidth="1"/>
    <col min="27" max="27" width="11.08203125" hidden="1" customWidth="1"/>
    <col min="28" max="28" width="9.4140625" hidden="1" customWidth="1"/>
    <col min="29" max="29" width="14.5" hidden="1" customWidth="1"/>
    <col min="30" max="30" width="13.5" customWidth="1"/>
    <col min="31" max="31" width="14.1640625" customWidth="1"/>
    <col min="32" max="32" width="14.08203125" customWidth="1"/>
    <col min="33" max="33" width="9" customWidth="1"/>
    <col min="34" max="34" width="13.5" customWidth="1"/>
    <col min="35" max="35" width="11.5" bestFit="1" customWidth="1"/>
    <col min="36" max="36" width="10.9140625" customWidth="1"/>
    <col min="37" max="37" width="11.4140625" customWidth="1"/>
    <col min="38" max="38" width="13.33203125" customWidth="1"/>
    <col min="39" max="39" width="9" customWidth="1"/>
    <col min="40" max="40" width="11" customWidth="1"/>
    <col min="41" max="41" width="14.6640625" customWidth="1"/>
    <col min="42" max="42" width="11" customWidth="1"/>
    <col min="43" max="43" width="48.4140625" customWidth="1"/>
    <col min="44" max="62" width="11" customWidth="1"/>
  </cols>
  <sheetData>
    <row r="1" spans="1:40" ht="35">
      <c r="B1" s="36"/>
      <c r="C1" s="947" t="str">
        <f>Parametres!B1</f>
        <v>Volks</v>
      </c>
      <c r="D1" s="232"/>
      <c r="E1" s="233"/>
      <c r="F1" s="232"/>
      <c r="G1" s="232"/>
      <c r="H1" s="36"/>
      <c r="I1" s="232"/>
      <c r="J1" s="36"/>
      <c r="K1" s="9" t="s">
        <v>92</v>
      </c>
      <c r="L1" s="232"/>
      <c r="M1" s="232"/>
      <c r="N1" s="234"/>
      <c r="O1" s="947"/>
      <c r="P1" s="948"/>
      <c r="Q1" s="947"/>
      <c r="R1" s="948"/>
      <c r="S1" s="949" t="str">
        <f>CONCATENATE("Réalisé,"," ",Parametres!B3," ",Parametres!B4)</f>
        <v>Réalisé, Février 2025</v>
      </c>
      <c r="T1" s="232"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5" t="s">
        <v>338</v>
      </c>
      <c r="E2" s="235" t="s">
        <v>339</v>
      </c>
      <c r="F2" s="235" t="s">
        <v>340</v>
      </c>
      <c r="G2" s="235"/>
      <c r="H2" s="235"/>
      <c r="I2" s="235"/>
      <c r="J2" s="235" t="s">
        <v>341</v>
      </c>
      <c r="K2" s="235"/>
      <c r="L2" s="235" t="s">
        <v>303</v>
      </c>
      <c r="M2" s="38"/>
      <c r="N2" s="38"/>
      <c r="O2" s="235" t="s">
        <v>338</v>
      </c>
      <c r="P2" s="235" t="s">
        <v>339</v>
      </c>
      <c r="Q2" s="235" t="s">
        <v>340</v>
      </c>
      <c r="R2" s="38"/>
      <c r="S2" s="38"/>
      <c r="T2" s="38"/>
      <c r="U2" s="38"/>
      <c r="V2" s="236" t="s">
        <v>342</v>
      </c>
      <c r="W2" s="237"/>
    </row>
    <row r="3" spans="1:40" ht="20">
      <c r="B3" s="41"/>
      <c r="C3" s="238"/>
      <c r="D3" s="1239" t="s">
        <v>343</v>
      </c>
      <c r="E3" s="1240"/>
      <c r="F3" s="1241"/>
      <c r="G3" s="1242"/>
      <c r="H3" s="1240"/>
      <c r="I3" s="1241"/>
      <c r="J3" s="1242" t="s">
        <v>344</v>
      </c>
      <c r="K3" s="1240"/>
      <c r="L3" s="1241"/>
      <c r="M3" s="1242" t="s">
        <v>3310</v>
      </c>
      <c r="N3" s="1241"/>
      <c r="O3" s="1239" t="s">
        <v>345</v>
      </c>
      <c r="P3" s="1240"/>
      <c r="Q3" s="1241"/>
      <c r="R3" s="1243" t="s">
        <v>3312</v>
      </c>
      <c r="S3" s="1244"/>
      <c r="T3" s="41"/>
      <c r="U3" s="41"/>
      <c r="V3" s="239" t="s">
        <v>347</v>
      </c>
      <c r="W3" s="240">
        <v>0.45</v>
      </c>
      <c r="X3" s="41"/>
      <c r="Y3" s="41"/>
      <c r="Z3" s="41"/>
      <c r="AA3" s="41"/>
      <c r="AB3" s="41"/>
      <c r="AC3" s="41"/>
      <c r="AD3" s="41"/>
      <c r="AE3" s="41"/>
      <c r="AF3" s="41"/>
      <c r="AG3" s="41"/>
      <c r="AH3" s="41"/>
      <c r="AI3" s="41"/>
      <c r="AJ3" s="41"/>
      <c r="AK3" s="41"/>
      <c r="AL3" s="41"/>
      <c r="AM3" s="41"/>
      <c r="AN3" s="41"/>
    </row>
    <row r="4" spans="1:40" ht="20">
      <c r="B4" s="41"/>
      <c r="C4" s="241"/>
      <c r="D4" s="242" t="s">
        <v>93</v>
      </c>
      <c r="E4" s="243" t="s">
        <v>348</v>
      </c>
      <c r="F4" s="244" t="s">
        <v>95</v>
      </c>
      <c r="G4" s="245"/>
      <c r="H4" s="243"/>
      <c r="I4" s="244"/>
      <c r="J4" s="245" t="s">
        <v>3318</v>
      </c>
      <c r="K4" s="243" t="s">
        <v>94</v>
      </c>
      <c r="L4" s="244" t="s">
        <v>95</v>
      </c>
      <c r="M4" s="245" t="s">
        <v>3318</v>
      </c>
      <c r="N4" s="244" t="s">
        <v>95</v>
      </c>
      <c r="O4" s="243" t="s">
        <v>93</v>
      </c>
      <c r="P4" s="243" t="s">
        <v>348</v>
      </c>
      <c r="Q4" s="244" t="s">
        <v>95</v>
      </c>
      <c r="R4" s="245" t="s">
        <v>3318</v>
      </c>
      <c r="S4" s="244" t="s">
        <v>95</v>
      </c>
      <c r="T4" s="41"/>
      <c r="U4" s="41"/>
      <c r="V4" s="239" t="s">
        <v>349</v>
      </c>
      <c r="W4" s="240">
        <v>0.1</v>
      </c>
      <c r="X4" s="41"/>
      <c r="Y4" s="41"/>
      <c r="Z4" s="41"/>
      <c r="AA4" s="41"/>
      <c r="AB4" s="41"/>
      <c r="AC4" s="41"/>
      <c r="AD4" s="41"/>
      <c r="AE4" s="41"/>
      <c r="AF4" s="41"/>
      <c r="AG4" s="41"/>
      <c r="AH4" s="41"/>
      <c r="AI4" s="41"/>
      <c r="AJ4" s="41"/>
      <c r="AK4" s="41"/>
      <c r="AL4" s="41"/>
      <c r="AM4" s="41"/>
      <c r="AN4" s="41"/>
    </row>
    <row r="5" spans="1:40" ht="20">
      <c r="A5" s="5" t="s">
        <v>350</v>
      </c>
      <c r="B5" s="41" t="s">
        <v>92</v>
      </c>
      <c r="C5" s="246" t="s">
        <v>96</v>
      </c>
      <c r="D5" s="247"/>
      <c r="E5" s="247"/>
      <c r="F5" s="248">
        <f>+INDEX('Budget original'!$A$2:$AO$501,MATCH($A5,'Budget original'!$A$2:$A$501,0),MATCH(F$2,'Budget original'!$A$2:$AO$2,0))</f>
        <v>2857429.7225132226</v>
      </c>
      <c r="G5" s="247"/>
      <c r="H5" s="247"/>
      <c r="I5" s="249"/>
      <c r="J5" s="246"/>
      <c r="K5" s="250"/>
      <c r="L5" s="248">
        <f>-SUMIFS(BV_Data_An_Cour!$O:$O,BV_Data_An_Cour!$X:$X,"Oui",BV_Data_An_Cour!$U:$U,$B5)</f>
        <v>2075892.06</v>
      </c>
      <c r="M5" s="251"/>
      <c r="N5" s="252"/>
      <c r="O5" s="246"/>
      <c r="P5" s="250"/>
      <c r="Q5" s="248">
        <f t="array" ref="Q5">+INDEX('Réel 2024'!$A$2:$AO$501,MATCH($A5,'Réel 2024'!$A$2:$A$501,0),MATCH(Q$2,'Réel 2024'!$A$2:$AO$2,0))</f>
        <v>3708952.51</v>
      </c>
      <c r="R5" s="251"/>
      <c r="S5" s="252"/>
      <c r="T5" s="41"/>
      <c r="U5" s="41"/>
      <c r="V5" s="239" t="s">
        <v>351</v>
      </c>
      <c r="W5" s="240">
        <v>0.22500000000000001</v>
      </c>
      <c r="X5" s="41"/>
      <c r="Y5" s="41"/>
      <c r="Z5" s="41"/>
      <c r="AA5" s="41"/>
      <c r="AB5" s="41"/>
      <c r="AC5" s="41"/>
      <c r="AD5" s="41"/>
      <c r="AE5" s="41"/>
      <c r="AF5" s="41"/>
      <c r="AG5" s="41"/>
      <c r="AH5" s="41"/>
      <c r="AI5" s="41"/>
      <c r="AJ5" s="41"/>
      <c r="AK5" s="41"/>
      <c r="AL5" s="41"/>
      <c r="AM5" s="41"/>
      <c r="AN5" s="41"/>
    </row>
    <row r="6" spans="1:40" ht="20">
      <c r="A6" s="5" t="s">
        <v>352</v>
      </c>
      <c r="B6" s="41" t="s">
        <v>92</v>
      </c>
      <c r="C6" s="253" t="s">
        <v>97</v>
      </c>
      <c r="D6" s="254">
        <f>+INDEX('Budget original'!$A$2:$AO$501,MATCH($A6,'Budget original'!$A$2:$A$501,0),MATCH(D$2,'Budget original'!$A$2:$AO$2,0))</f>
        <v>14</v>
      </c>
      <c r="E6" s="254">
        <f>IF(D6=0,0,F6/D6)</f>
        <v>1953.6491683802797</v>
      </c>
      <c r="F6" s="254">
        <f>+INDEX('Budget original'!$A$2:$AO$501,MATCH($A6,'Budget original'!$A$2:$A$501,0),MATCH(F$2,'Budget original'!$A$2:$AO$2,0))</f>
        <v>27351.088357323915</v>
      </c>
      <c r="G6" s="255"/>
      <c r="H6" s="254"/>
      <c r="I6" s="254"/>
      <c r="J6" s="255">
        <f>-SUMIFS(BV_Data_An_Cour!$O:$O,BV_Data_An_Cour!$U:$U,$B6,BV_Data_An_Cour!$V:$V,$C6,BV_Data_An_Cour!$W:$W,J$2)</f>
        <v>4</v>
      </c>
      <c r="K6" s="254">
        <f t="shared" ref="K6:K12" si="0">IF(J6=0,0,L6/J6)</f>
        <v>539.21249999999782</v>
      </c>
      <c r="L6" s="256">
        <f>-SUMIFS(BV_Data_An_Cour!$O:$O,BV_Data_An_Cour!$U:$U,$B6,BV_Data_An_Cour!$V:$V,$C6,BV_Data_An_Cour!$W:$W,L$2)</f>
        <v>2156.8499999999913</v>
      </c>
      <c r="M6" s="255">
        <f t="shared" ref="M6:M12" si="1">J6-D6</f>
        <v>-10</v>
      </c>
      <c r="N6" s="256">
        <f t="shared" ref="N6:N12" si="2">L6-F6</f>
        <v>-25194.238357323924</v>
      </c>
      <c r="O6" s="255">
        <f>+INDEX('Réel 2024'!$A$2:$AO$501,MATCH($A6,'Réel 2024'!$A$2:$A$501,0),MATCH(O$2,'Réel 2024'!$A$2:$AO$2,0))</f>
        <v>24</v>
      </c>
      <c r="P6" s="254">
        <f t="shared" ref="P6:P12" si="3">IF(O6=0,0,Q6/O6)</f>
        <v>2210.4766666666624</v>
      </c>
      <c r="Q6" s="256">
        <f t="array" ref="Q6">+INDEX('Réel 2024'!$A$2:$AO$501,MATCH($A6,'Réel 2024'!$A$2:$A$501,0),MATCH(Q$2,'Réel 2024'!$A$2:$AO$2,0))</f>
        <v>53051.4399999999</v>
      </c>
      <c r="R6" s="255">
        <f t="shared" ref="R6:R12" si="4">J6-O6</f>
        <v>-20</v>
      </c>
      <c r="S6" s="256">
        <f t="shared" ref="S6:S12" si="5">L6-Q6</f>
        <v>-50894.589999999909</v>
      </c>
      <c r="T6" s="41"/>
      <c r="U6" s="41"/>
      <c r="V6" s="239" t="s">
        <v>353</v>
      </c>
      <c r="W6" s="240">
        <v>2.5000000000000001E-2</v>
      </c>
      <c r="X6" s="41"/>
      <c r="Y6" s="41"/>
      <c r="Z6" s="41"/>
      <c r="AA6" s="41"/>
      <c r="AB6" s="41"/>
      <c r="AC6" s="41"/>
      <c r="AD6" s="41"/>
      <c r="AE6" s="41"/>
      <c r="AF6" s="41"/>
      <c r="AG6" s="41"/>
      <c r="AH6" s="41"/>
      <c r="AI6" s="41"/>
      <c r="AJ6" s="41"/>
      <c r="AK6" s="41"/>
      <c r="AL6" s="41"/>
      <c r="AM6" s="41"/>
      <c r="AN6" s="41"/>
    </row>
    <row r="7" spans="1:40" ht="20">
      <c r="A7" s="5" t="s">
        <v>354</v>
      </c>
      <c r="B7" s="41" t="s">
        <v>92</v>
      </c>
      <c r="C7" s="253" t="s">
        <v>98</v>
      </c>
      <c r="D7" s="254">
        <f>+INDEX('Budget original'!$A$2:$AO$501,MATCH($A7,'Budget original'!$A$2:$A$501,0),MATCH(D$2,'Budget original'!$A$2:$AO$2,0))</f>
        <v>38</v>
      </c>
      <c r="E7" s="254">
        <f t="shared" ref="E7:E12" si="6">IF(D7=0,0,F7/D7)</f>
        <v>2435.9046775963693</v>
      </c>
      <c r="F7" s="254">
        <f>+INDEX('Budget original'!$A$2:$AO$501,MATCH($A7,'Budget original'!$A$2:$A$501,0),MATCH(F$2,'Budget original'!$A$2:$AO$2,0))</f>
        <v>92564.377748662038</v>
      </c>
      <c r="G7" s="255"/>
      <c r="H7" s="254"/>
      <c r="I7" s="254"/>
      <c r="J7" s="255">
        <f>-SUMIFS(BV_Data_An_Cour!$O:$O,BV_Data_An_Cour!$U:$U,$B7,BV_Data_An_Cour!$V:$V,$C7,BV_Data_An_Cour!$W:$W,J$2)</f>
        <v>26</v>
      </c>
      <c r="K7" s="254">
        <f t="shared" si="0"/>
        <v>2574.748461538461</v>
      </c>
      <c r="L7" s="256">
        <f>-SUMIFS(BV_Data_An_Cour!$O:$O,BV_Data_An_Cour!$U:$U,$B7,BV_Data_An_Cour!$V:$V,$C7,BV_Data_An_Cour!$W:$W,L$2)</f>
        <v>66943.459999999992</v>
      </c>
      <c r="M7" s="255">
        <f t="shared" si="1"/>
        <v>-12</v>
      </c>
      <c r="N7" s="256">
        <f t="shared" si="2"/>
        <v>-25620.917748662047</v>
      </c>
      <c r="O7" s="255">
        <f t="array" ref="O7">+INDEX('Réel 2024'!$A$2:$AO$501,MATCH($A7,'Réel 2024'!$A$2:$A$501,0),MATCH(O$2,'Réel 2024'!$A$2:$AO$2,0))</f>
        <v>47</v>
      </c>
      <c r="P7" s="254">
        <f t="shared" si="3"/>
        <v>2454.7580851063831</v>
      </c>
      <c r="Q7" s="256">
        <f t="array" ref="Q7">+INDEX('Réel 2024'!$A$2:$AO$501,MATCH($A7,'Réel 2024'!$A$2:$A$501,0),MATCH(Q$2,'Réel 2024'!$A$2:$AO$2,0))</f>
        <v>115373.63</v>
      </c>
      <c r="R7" s="255">
        <f t="shared" si="4"/>
        <v>-21</v>
      </c>
      <c r="S7" s="256">
        <f t="shared" si="5"/>
        <v>-48430.170000000013</v>
      </c>
      <c r="T7" s="41"/>
      <c r="U7" s="41"/>
      <c r="V7" s="239" t="s">
        <v>355</v>
      </c>
      <c r="W7" s="240">
        <v>0.2</v>
      </c>
      <c r="X7" s="41"/>
      <c r="Y7" s="41"/>
      <c r="Z7" s="41"/>
      <c r="AA7" s="41"/>
      <c r="AB7" s="41"/>
      <c r="AC7" s="41"/>
      <c r="AD7" s="41"/>
      <c r="AE7" s="41"/>
      <c r="AF7" s="41"/>
      <c r="AG7" s="41"/>
      <c r="AH7" s="41"/>
      <c r="AI7" s="41"/>
      <c r="AJ7" s="41"/>
      <c r="AK7" s="41"/>
      <c r="AL7" s="41"/>
      <c r="AM7" s="41"/>
      <c r="AN7" s="41"/>
    </row>
    <row r="8" spans="1:40" ht="20">
      <c r="A8" s="5" t="s">
        <v>356</v>
      </c>
      <c r="B8" s="41" t="s">
        <v>92</v>
      </c>
      <c r="C8" s="253" t="s">
        <v>99</v>
      </c>
      <c r="D8" s="254">
        <f>+INDEX('Budget original'!$A$2:$AO$501,MATCH($A8,'Budget original'!$A$2:$A$501,0),MATCH(D$2,'Budget original'!$A$2:$AO$2,0))</f>
        <v>0</v>
      </c>
      <c r="E8" s="254">
        <f t="shared" si="6"/>
        <v>0</v>
      </c>
      <c r="F8" s="254">
        <f>+INDEX('Budget original'!$A$2:$AO$501,MATCH($A8,'Budget original'!$A$2:$A$501,0),MATCH(F$2,'Budget original'!$A$2:$AO$2,0))</f>
        <v>0</v>
      </c>
      <c r="G8" s="255"/>
      <c r="H8" s="254"/>
      <c r="I8" s="254"/>
      <c r="J8" s="255">
        <f>-SUMIFS(BV_Data_An_Cour!$O:$O,BV_Data_An_Cour!$U:$U,$B8,BV_Data_An_Cour!$V:$V,$C8,BV_Data_An_Cour!$W:$W,J$2)</f>
        <v>0</v>
      </c>
      <c r="K8" s="254">
        <f t="shared" si="0"/>
        <v>0</v>
      </c>
      <c r="L8" s="256">
        <f>-SUMIFS(BV_Data_An_Cour!$O:$O,BV_Data_An_Cour!$U:$U,$B8,BV_Data_An_Cour!$V:$V,$C8,BV_Data_An_Cour!$W:$W,L$2)</f>
        <v>0</v>
      </c>
      <c r="M8" s="255">
        <f t="shared" si="1"/>
        <v>0</v>
      </c>
      <c r="N8" s="256">
        <f t="shared" si="2"/>
        <v>0</v>
      </c>
      <c r="O8" s="255">
        <f t="array" ref="O8">+INDEX('Réel 2024'!$A$2:$AO$501,MATCH($A8,'Réel 2024'!$A$2:$A$501,0),MATCH(O$2,'Réel 2024'!$A$2:$AO$2,0))</f>
        <v>0</v>
      </c>
      <c r="P8" s="254">
        <f t="shared" si="3"/>
        <v>0</v>
      </c>
      <c r="Q8" s="256">
        <f t="array" ref="Q8">+INDEX('Réel 2024'!$A$2:$AO$501,MATCH($A8,'Réel 2024'!$A$2:$A$501,0),MATCH(Q$2,'Réel 2024'!$A$2:$AO$2,0))</f>
        <v>0</v>
      </c>
      <c r="R8" s="255">
        <f t="shared" si="4"/>
        <v>0</v>
      </c>
      <c r="S8" s="256">
        <f t="shared" si="5"/>
        <v>0</v>
      </c>
      <c r="T8" s="41"/>
      <c r="U8" s="41"/>
      <c r="V8" s="257"/>
      <c r="W8" s="258">
        <f>SUM(W3:W7)</f>
        <v>1</v>
      </c>
      <c r="X8" s="41"/>
      <c r="Y8" s="41"/>
      <c r="Z8" s="41"/>
      <c r="AA8" s="41"/>
      <c r="AB8" s="41"/>
      <c r="AC8" s="41"/>
      <c r="AD8" s="41"/>
      <c r="AE8" s="41"/>
      <c r="AF8" s="41"/>
      <c r="AG8" s="41"/>
      <c r="AH8" s="41"/>
      <c r="AI8" s="41"/>
      <c r="AJ8" s="41"/>
      <c r="AK8" s="41"/>
      <c r="AL8" s="41"/>
      <c r="AM8" s="41"/>
      <c r="AN8" s="41"/>
    </row>
    <row r="9" spans="1:40" ht="20.5" thickTop="1">
      <c r="A9" s="5" t="s">
        <v>357</v>
      </c>
      <c r="B9" s="41" t="s">
        <v>92</v>
      </c>
      <c r="C9" s="253" t="s">
        <v>100</v>
      </c>
      <c r="D9" s="254">
        <f>+INDEX('Budget original'!$A$2:$AO$501,MATCH($A9,'Budget original'!$A$2:$A$501,0),MATCH(D$2,'Budget original'!$A$2:$AO$2,0))</f>
        <v>0</v>
      </c>
      <c r="E9" s="254">
        <f t="shared" si="6"/>
        <v>0</v>
      </c>
      <c r="F9" s="254">
        <f>+INDEX('Budget original'!$A$2:$AO$501,MATCH($A9,'Budget original'!$A$2:$A$501,0),MATCH(F$2,'Budget original'!$A$2:$AO$2,0))</f>
        <v>0</v>
      </c>
      <c r="G9" s="255"/>
      <c r="H9" s="254"/>
      <c r="I9" s="254"/>
      <c r="J9" s="255">
        <f>-SUMIFS(BV_Data_An_Cour!$O:$O,BV_Data_An_Cour!$U:$U,$B9,BV_Data_An_Cour!$V:$V,$C9,BV_Data_An_Cour!$W:$W,J$2)</f>
        <v>0</v>
      </c>
      <c r="K9" s="254">
        <f t="shared" si="0"/>
        <v>0</v>
      </c>
      <c r="L9" s="256">
        <f>-SUMIFS(BV_Data_An_Cour!$O:$O,BV_Data_An_Cour!$U:$U,$B9,BV_Data_An_Cour!$V:$V,$C9,BV_Data_An_Cour!$W:$W,L$2)</f>
        <v>0</v>
      </c>
      <c r="M9" s="255">
        <f t="shared" si="1"/>
        <v>0</v>
      </c>
      <c r="N9" s="256">
        <f t="shared" si="2"/>
        <v>0</v>
      </c>
      <c r="O9" s="255">
        <f t="array" ref="O9">+INDEX('Réel 2024'!$A$2:$AO$501,MATCH($A9,'Réel 2024'!$A$2:$A$501,0),MATCH(O$2,'Réel 2024'!$A$2:$AO$2,0))</f>
        <v>0</v>
      </c>
      <c r="P9" s="254">
        <f t="shared" si="3"/>
        <v>0</v>
      </c>
      <c r="Q9" s="256">
        <f t="array" ref="Q9">+INDEX('Réel 2024'!$A$2:$AO$501,MATCH($A9,'Réel 2024'!$A$2:$A$501,0),MATCH(Q$2,'Réel 2024'!$A$2:$AO$2,0))</f>
        <v>0</v>
      </c>
      <c r="R9" s="255">
        <f t="shared" si="4"/>
        <v>0</v>
      </c>
      <c r="S9" s="256">
        <f t="shared" si="5"/>
        <v>0</v>
      </c>
      <c r="T9" s="41"/>
      <c r="U9" s="41"/>
      <c r="V9" s="41"/>
      <c r="W9" s="41"/>
      <c r="X9" s="41"/>
      <c r="Y9" s="41"/>
      <c r="Z9" s="41"/>
      <c r="AA9" s="41"/>
      <c r="AB9" s="41"/>
      <c r="AC9" s="41"/>
      <c r="AD9" s="41"/>
      <c r="AE9" s="41"/>
      <c r="AF9" s="41"/>
      <c r="AG9" s="41"/>
      <c r="AH9" s="41"/>
      <c r="AI9" s="41"/>
      <c r="AJ9" s="41"/>
      <c r="AK9" s="41"/>
      <c r="AL9" s="41"/>
      <c r="AM9" s="41"/>
      <c r="AN9" s="41"/>
    </row>
    <row r="10" spans="1:40" ht="20.25" hidden="1" customHeight="1">
      <c r="A10" s="5" t="s">
        <v>358</v>
      </c>
      <c r="B10" s="41" t="s">
        <v>92</v>
      </c>
      <c r="C10" s="253" t="s">
        <v>59</v>
      </c>
      <c r="D10" s="254">
        <f>+INDEX('Budget original'!$A$2:$AO$501,MATCH($A10,'Budget original'!$A$2:$A$501,0),MATCH(D$2,'Budget original'!$A$2:$AO$2,0))</f>
        <v>0</v>
      </c>
      <c r="E10" s="254">
        <f t="shared" si="6"/>
        <v>0</v>
      </c>
      <c r="F10" s="254">
        <f>+INDEX('Budget original'!$A$2:$AO$501,MATCH($A10,'Budget original'!$A$2:$A$501,0),MATCH(F$2,'Budget original'!$A$2:$AO$2,0))</f>
        <v>0</v>
      </c>
      <c r="G10" s="255"/>
      <c r="H10" s="254"/>
      <c r="I10" s="254"/>
      <c r="J10" s="255">
        <f>-SUMIFS(BV_Data_An_Cour!$O:$O,BV_Data_An_Cour!$U:$U,$B10,BV_Data_An_Cour!$V:$V,$C10,BV_Data_An_Cour!$W:$W,J$2)</f>
        <v>0</v>
      </c>
      <c r="K10" s="254">
        <f t="shared" si="0"/>
        <v>0</v>
      </c>
      <c r="L10" s="256">
        <f>-SUMIFS(BV_Data_An_Cour!$O:$O,BV_Data_An_Cour!$U:$U,$B10,BV_Data_An_Cour!$V:$V,$C10,BV_Data_An_Cour!$W:$W,L$2)</f>
        <v>0</v>
      </c>
      <c r="M10" s="255">
        <f t="shared" si="1"/>
        <v>0</v>
      </c>
      <c r="N10" s="256">
        <f t="shared" si="2"/>
        <v>0</v>
      </c>
      <c r="O10" s="255">
        <f t="array" ref="O10">+INDEX('Réel 2024'!$A$2:$AO$501,MATCH($A10,'Réel 2024'!$A$2:$A$501,0),MATCH(O$2,'Réel 2024'!$A$2:$AO$2,0))</f>
        <v>0</v>
      </c>
      <c r="P10" s="254">
        <f t="shared" si="3"/>
        <v>0</v>
      </c>
      <c r="Q10" s="256">
        <f t="array" ref="Q10">+INDEX('Réel 2024'!$A$2:$AO$501,MATCH($A10,'Réel 2024'!$A$2:$A$501,0),MATCH(Q$2,'Réel 2024'!$A$2:$AO$2,0))</f>
        <v>0</v>
      </c>
      <c r="R10" s="255">
        <f t="shared" si="4"/>
        <v>0</v>
      </c>
      <c r="S10" s="256">
        <f t="shared" si="5"/>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ustomHeight="1">
      <c r="A11" s="5" t="s">
        <v>358</v>
      </c>
      <c r="B11" s="41" t="s">
        <v>92</v>
      </c>
      <c r="C11" s="253" t="s">
        <v>59</v>
      </c>
      <c r="D11" s="254">
        <f>+INDEX('Budget original'!$A$2:$AO$501,MATCH($A11,'Budget original'!$A$2:$A$501,0),MATCH(D$2,'Budget original'!$A$2:$AO$2,0))</f>
        <v>0</v>
      </c>
      <c r="E11" s="254">
        <f t="shared" si="6"/>
        <v>0</v>
      </c>
      <c r="F11" s="254">
        <f>+INDEX('Budget original'!$A$2:$AO$501,MATCH($A11,'Budget original'!$A$2:$A$501,0),MATCH(F$2,'Budget original'!$A$2:$AO$2,0))</f>
        <v>0</v>
      </c>
      <c r="G11" s="255"/>
      <c r="H11" s="254"/>
      <c r="I11" s="254"/>
      <c r="J11" s="255">
        <f>-SUMIFS(BV_Data_An_Cour!$O:$O,BV_Data_An_Cour!$U:$U,$B11,BV_Data_An_Cour!$V:$V,$C11,BV_Data_An_Cour!$W:$W,J$2)</f>
        <v>0</v>
      </c>
      <c r="K11" s="254">
        <f t="shared" si="0"/>
        <v>0</v>
      </c>
      <c r="L11" s="256">
        <f>-SUMIFS(BV_Data_An_Cour!$O:$O,BV_Data_An_Cour!$U:$U,$B11,BV_Data_An_Cour!$V:$V,$C11,BV_Data_An_Cour!$W:$W,L$2)</f>
        <v>0</v>
      </c>
      <c r="M11" s="255">
        <f t="shared" si="1"/>
        <v>0</v>
      </c>
      <c r="N11" s="256">
        <f t="shared" si="2"/>
        <v>0</v>
      </c>
      <c r="O11" s="255">
        <f t="array" ref="O11">+INDEX('Réel 2024'!$A$2:$AO$501,MATCH($A11,'Réel 2024'!$A$2:$A$501,0),MATCH(O$2,'Réel 2024'!$A$2:$AO$2,0))</f>
        <v>0</v>
      </c>
      <c r="P11" s="254">
        <f t="shared" si="3"/>
        <v>0</v>
      </c>
      <c r="Q11" s="256">
        <f t="array" ref="Q11">+INDEX('Réel 2024'!$A$2:$AO$501,MATCH($A11,'Réel 2024'!$A$2:$A$501,0),MATCH(Q$2,'Réel 2024'!$A$2:$AO$2,0))</f>
        <v>0</v>
      </c>
      <c r="R11" s="255">
        <f t="shared" si="4"/>
        <v>0</v>
      </c>
      <c r="S11" s="256">
        <f t="shared" si="5"/>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ustomHeight="1">
      <c r="A12" s="5" t="s">
        <v>358</v>
      </c>
      <c r="B12" s="41" t="s">
        <v>92</v>
      </c>
      <c r="C12" s="253" t="s">
        <v>59</v>
      </c>
      <c r="D12" s="254">
        <f>+INDEX('Budget original'!$A$2:$AO$501,MATCH($A12,'Budget original'!$A$2:$A$501,0),MATCH(D$2,'Budget original'!$A$2:$AO$2,0))</f>
        <v>0</v>
      </c>
      <c r="E12" s="254">
        <f t="shared" si="6"/>
        <v>0</v>
      </c>
      <c r="F12" s="254">
        <f>+INDEX('Budget original'!$A$2:$AO$501,MATCH($A12,'Budget original'!$A$2:$A$501,0),MATCH(F$2,'Budget original'!$A$2:$AO$2,0))</f>
        <v>0</v>
      </c>
      <c r="G12" s="255"/>
      <c r="H12" s="254"/>
      <c r="I12" s="254"/>
      <c r="J12" s="255">
        <f>-SUMIFS(BV_Data_An_Cour!$O:$O,BV_Data_An_Cour!$U:$U,$B12,BV_Data_An_Cour!$V:$V,$C12,BV_Data_An_Cour!$W:$W,J$2)</f>
        <v>0</v>
      </c>
      <c r="K12" s="254">
        <f t="shared" si="0"/>
        <v>0</v>
      </c>
      <c r="L12" s="256">
        <f>-SUMIFS(BV_Data_An_Cour!$O:$O,BV_Data_An_Cour!$U:$U,$B12,BV_Data_An_Cour!$V:$V,$C12,BV_Data_An_Cour!$W:$W,L$2)</f>
        <v>0</v>
      </c>
      <c r="M12" s="255">
        <f t="shared" si="1"/>
        <v>0</v>
      </c>
      <c r="N12" s="256">
        <f t="shared" si="2"/>
        <v>0</v>
      </c>
      <c r="O12" s="255">
        <f t="array" ref="O12">+INDEX('Réel 2024'!$A$2:$AO$501,MATCH($A12,'Réel 2024'!$A$2:$A$501,0),MATCH(O$2,'Réel 2024'!$A$2:$AO$2,0))</f>
        <v>0</v>
      </c>
      <c r="P12" s="254">
        <f t="shared" si="3"/>
        <v>0</v>
      </c>
      <c r="Q12" s="256">
        <f t="array" ref="Q12">+INDEX('Réel 2024'!$A$2:$AO$501,MATCH($A12,'Réel 2024'!$A$2:$A$501,0),MATCH(Q$2,'Réel 2024'!$A$2:$AO$2,0))</f>
        <v>0</v>
      </c>
      <c r="R12" s="255">
        <f t="shared" si="4"/>
        <v>0</v>
      </c>
      <c r="S12" s="256">
        <f t="shared" si="5"/>
        <v>0</v>
      </c>
      <c r="T12" s="41"/>
      <c r="U12" s="41"/>
      <c r="V12" s="41"/>
      <c r="W12" s="41"/>
      <c r="X12" s="41"/>
      <c r="Y12" s="41"/>
      <c r="Z12" s="41"/>
      <c r="AA12" s="41"/>
      <c r="AB12" s="41"/>
      <c r="AC12" s="41"/>
      <c r="AD12" s="41"/>
      <c r="AE12" s="41"/>
      <c r="AF12" s="41"/>
      <c r="AG12" s="41"/>
      <c r="AH12" s="41"/>
      <c r="AI12" s="41"/>
      <c r="AJ12" s="41"/>
      <c r="AK12" s="41"/>
      <c r="AL12" s="41"/>
      <c r="AM12" s="41"/>
      <c r="AN12" s="41"/>
    </row>
    <row r="13" spans="1:40" ht="20">
      <c r="A13" s="5" t="s">
        <v>359</v>
      </c>
      <c r="B13" s="41" t="s">
        <v>92</v>
      </c>
      <c r="C13" s="259" t="s">
        <v>101</v>
      </c>
      <c r="D13" s="260">
        <f>+SUM(D6:D12)</f>
        <v>52</v>
      </c>
      <c r="E13" s="260">
        <f>IF(D13&lt;=0,0,F13/D13)</f>
        <v>2306.066655884345</v>
      </c>
      <c r="F13" s="261">
        <f>+SUM(F6:F12)</f>
        <v>119915.46610598595</v>
      </c>
      <c r="G13" s="262"/>
      <c r="H13" s="260"/>
      <c r="I13" s="261"/>
      <c r="J13" s="262">
        <f t="shared" ref="J13" si="7">+SUM(J6:J12)</f>
        <v>30</v>
      </c>
      <c r="K13" s="260">
        <f>IF(J13&lt;=0,0,L13/J13)</f>
        <v>2303.3436666666662</v>
      </c>
      <c r="L13" s="261">
        <f t="shared" ref="L13" si="8">+SUM(L6:L12)</f>
        <v>69100.309999999983</v>
      </c>
      <c r="M13" s="262">
        <f>+SUM(M6:M12)</f>
        <v>-22</v>
      </c>
      <c r="N13" s="261">
        <f t="shared" ref="N13" si="9">+SUM(N6:N12)</f>
        <v>-50815.156105985967</v>
      </c>
      <c r="O13" s="262">
        <f>+SUM(O6:O12)</f>
        <v>71</v>
      </c>
      <c r="P13" s="260">
        <f>IF(O13&lt;=0,0,Q13/O13)</f>
        <v>2372.1840845070406</v>
      </c>
      <c r="Q13" s="261">
        <f t="shared" ref="Q13" si="10">+SUM(Q6:Q12)</f>
        <v>168425.06999999989</v>
      </c>
      <c r="R13" s="262">
        <f t="shared" ref="R13:S13" si="11">+SUM(R6:R12)</f>
        <v>-41</v>
      </c>
      <c r="S13" s="261">
        <f t="shared" si="11"/>
        <v>-99324.759999999922</v>
      </c>
      <c r="T13" s="41"/>
      <c r="U13" s="41"/>
      <c r="V13" s="41"/>
      <c r="W13" s="41"/>
      <c r="X13" s="41"/>
      <c r="Y13" s="41"/>
      <c r="Z13" s="41"/>
      <c r="AA13" s="41"/>
      <c r="AB13" s="41"/>
      <c r="AC13" s="41"/>
      <c r="AD13" s="41"/>
      <c r="AE13" s="41"/>
      <c r="AF13" s="41"/>
      <c r="AG13" s="41"/>
      <c r="AH13" s="41"/>
      <c r="AI13" s="41"/>
      <c r="AJ13" s="41"/>
      <c r="AK13" s="41"/>
      <c r="AL13" s="41"/>
      <c r="AM13" s="41"/>
      <c r="AN13" s="41"/>
    </row>
    <row r="14" spans="1:40" ht="20">
      <c r="A14" s="5" t="s">
        <v>92</v>
      </c>
      <c r="B14" s="41" t="s">
        <v>92</v>
      </c>
      <c r="C14" s="253"/>
      <c r="D14" s="41"/>
      <c r="E14" s="254"/>
      <c r="F14" s="263"/>
      <c r="G14" s="253"/>
      <c r="H14" s="254"/>
      <c r="I14" s="263"/>
      <c r="J14" s="253"/>
      <c r="K14" s="254"/>
      <c r="L14" s="263"/>
      <c r="M14" s="979">
        <f>IF(D13=0,0,M13/D13)</f>
        <v>-0.42307692307692307</v>
      </c>
      <c r="N14" s="980">
        <f>IF(F13=0,0,N13/F13)</f>
        <v>-0.4237581502712382</v>
      </c>
      <c r="O14" s="253"/>
      <c r="P14" s="254"/>
      <c r="Q14" s="263"/>
      <c r="R14" s="979">
        <f>R13/O13</f>
        <v>-0.57746478873239437</v>
      </c>
      <c r="S14" s="980">
        <f>IF(Q13=0,0,(S13/Q13))</f>
        <v>-0.58972669567541214</v>
      </c>
      <c r="T14" s="41"/>
      <c r="U14" s="41"/>
      <c r="V14" s="41"/>
      <c r="W14" s="254"/>
      <c r="X14" s="254"/>
      <c r="Y14" s="41"/>
      <c r="Z14" s="41"/>
      <c r="AA14" s="41"/>
      <c r="AB14" s="41"/>
      <c r="AC14" s="41"/>
      <c r="AD14" s="41">
        <v>20</v>
      </c>
      <c r="AE14" s="41">
        <v>1000</v>
      </c>
      <c r="AF14" s="41">
        <f>AD14*AE14</f>
        <v>20000</v>
      </c>
      <c r="AG14" s="41"/>
      <c r="AH14" s="41"/>
      <c r="AI14" s="41"/>
      <c r="AJ14" s="41"/>
      <c r="AK14" s="41"/>
      <c r="AL14" s="41"/>
      <c r="AM14" s="41"/>
      <c r="AN14" s="41"/>
    </row>
    <row r="15" spans="1:40" ht="20">
      <c r="A15" s="5" t="s">
        <v>360</v>
      </c>
      <c r="B15" s="41" t="s">
        <v>92</v>
      </c>
      <c r="C15" s="266" t="s">
        <v>102</v>
      </c>
      <c r="D15" s="250">
        <f>+INDEX('Budget original'!$A$2:$AO$501,MATCH($A15,'Budget original'!$A$2:$A$501,0),MATCH(D$2,'Budget original'!$A$2:$AO$2,0))</f>
        <v>3</v>
      </c>
      <c r="E15" s="250">
        <f>IF(D15=0,0,F15/D15)</f>
        <v>1534.7521433415677</v>
      </c>
      <c r="F15" s="248">
        <f>+INDEX('Budget original'!$A$2:$AO$501,MATCH($A15,'Budget original'!$A$2:$A$501,0),MATCH(F$2,'Budget original'!$A$2:$AO$2,0))</f>
        <v>4604.2564300247031</v>
      </c>
      <c r="G15" s="267"/>
      <c r="H15" s="250"/>
      <c r="I15" s="248"/>
      <c r="J15" s="268">
        <f>-SUMIFS(BV_Data_An_Cour!$O:$O,BV_Data_An_Cour!$U:$U,$B15,BV_Data_An_Cour!$V:$V,$C15,BV_Data_An_Cour!$W:$W,J$2)</f>
        <v>2</v>
      </c>
      <c r="K15" s="269">
        <f>IF(J15=0,0,L15/J15)</f>
        <v>187.69999999999709</v>
      </c>
      <c r="L15" s="269">
        <f>-SUMIFS(BV_Data_An_Cour!$O:$O,BV_Data_An_Cour!$U:$U,$B15,BV_Data_An_Cour!$V:$V,$C15,BV_Data_An_Cour!$W:$W,L$2)</f>
        <v>375.39999999999418</v>
      </c>
      <c r="M15" s="267">
        <f>J15-D15</f>
        <v>-1</v>
      </c>
      <c r="N15" s="248">
        <f>L15-F15</f>
        <v>-4228.856430024709</v>
      </c>
      <c r="O15" s="268">
        <f t="array" ref="O15">+INDEX('Réel 2024'!$A$2:$AO$501,MATCH($A15,'Réel 2024'!$A$2:$A$501,0),MATCH(O$2,'Réel 2024'!$A$2:$AO$2,0))</f>
        <v>2</v>
      </c>
      <c r="P15" s="269">
        <f>IF(O15=0,0,Q15/O15)</f>
        <v>1741.325</v>
      </c>
      <c r="Q15" s="269">
        <f t="array" ref="Q15">+INDEX('Réel 2024'!$A$2:$AO$501,MATCH($A15,'Réel 2024'!$A$2:$A$501,0),MATCH(Q$2,'Réel 2024'!$A$2:$AO$2,0))</f>
        <v>3482.65</v>
      </c>
      <c r="R15" s="267">
        <f>J15-O15</f>
        <v>0</v>
      </c>
      <c r="S15" s="248">
        <f>L15-Q15</f>
        <v>-3107.2500000000059</v>
      </c>
      <c r="T15" s="41"/>
      <c r="U15" s="1159"/>
      <c r="V15" s="254"/>
      <c r="W15" s="41"/>
      <c r="X15" s="41"/>
      <c r="Y15" s="41"/>
      <c r="Z15" s="41"/>
      <c r="AA15" s="41"/>
      <c r="AB15" s="41"/>
      <c r="AC15" s="41"/>
      <c r="AD15" s="41">
        <v>25</v>
      </c>
      <c r="AE15" s="41">
        <f>AF15/AD15</f>
        <v>800</v>
      </c>
      <c r="AF15" s="41">
        <f>AF14</f>
        <v>20000</v>
      </c>
      <c r="AG15" s="41"/>
      <c r="AH15" s="41"/>
      <c r="AI15" s="41"/>
      <c r="AJ15" s="41"/>
      <c r="AK15" s="41"/>
      <c r="AL15" s="41"/>
      <c r="AM15" s="41"/>
      <c r="AN15" s="41"/>
    </row>
    <row r="16" spans="1:40" ht="20">
      <c r="A16" s="5" t="s">
        <v>92</v>
      </c>
      <c r="B16" s="41" t="s">
        <v>92</v>
      </c>
      <c r="C16" s="253"/>
      <c r="D16" s="41"/>
      <c r="E16" s="254"/>
      <c r="F16" s="263"/>
      <c r="G16" s="253"/>
      <c r="H16" s="254"/>
      <c r="I16" s="263"/>
      <c r="J16" s="253"/>
      <c r="K16" s="254"/>
      <c r="L16" s="256"/>
      <c r="M16" s="264"/>
      <c r="N16" s="265"/>
      <c r="O16" s="253"/>
      <c r="P16" s="254"/>
      <c r="Q16" s="256"/>
      <c r="R16" s="264"/>
      <c r="S16" s="265"/>
      <c r="T16" s="41"/>
      <c r="U16" s="41"/>
      <c r="V16" s="41"/>
      <c r="W16" s="41"/>
      <c r="X16" s="41"/>
      <c r="Y16" s="41"/>
      <c r="Z16" s="41"/>
      <c r="AA16" s="41"/>
      <c r="AB16" s="41"/>
      <c r="AC16" s="41"/>
      <c r="AD16" s="41"/>
      <c r="AE16" s="41"/>
      <c r="AF16" s="41"/>
      <c r="AG16" s="41"/>
      <c r="AH16" s="41"/>
      <c r="AI16" s="41"/>
      <c r="AJ16" s="41"/>
      <c r="AK16" s="41"/>
      <c r="AL16" s="41"/>
      <c r="AM16" s="41"/>
      <c r="AN16" s="41"/>
    </row>
    <row r="17" spans="1:40" ht="20">
      <c r="A17" s="5" t="s">
        <v>361</v>
      </c>
      <c r="B17" s="41" t="s">
        <v>92</v>
      </c>
      <c r="C17" s="270" t="s">
        <v>103</v>
      </c>
      <c r="D17" s="254">
        <f>+INDEX('Budget original'!$A$2:$AO$501,MATCH($A17,'Budget original'!$A$2:$A$501,0),MATCH(D$2,'Budget original'!$A$2:$AO$2,0))</f>
        <v>1</v>
      </c>
      <c r="E17" s="254">
        <f>IF(D17=0,0,F17/D17)</f>
        <v>2393.8521192147828</v>
      </c>
      <c r="F17" s="254">
        <f>+INDEX('Budget original'!$A$2:$AO$501,MATCH($A17,'Budget original'!$A$2:$A$501,0),MATCH(F$2,'Budget original'!$A$2:$AO$2,0))</f>
        <v>2393.8521192147828</v>
      </c>
      <c r="G17" s="255"/>
      <c r="H17" s="254"/>
      <c r="I17" s="254"/>
      <c r="J17" s="267">
        <f>-SUMIFS(BV_Data_An_Cour!$O:$O,BV_Data_An_Cour!$U:$U,$B17,BV_Data_An_Cour!$V:$V,$C17,BV_Data_An_Cour!$W:$W,J$2)</f>
        <v>8</v>
      </c>
      <c r="K17" s="254">
        <f>IF(J17=0,0,L17/J17)</f>
        <v>821.22000000000116</v>
      </c>
      <c r="L17" s="256">
        <f>-SUMIFS(BV_Data_An_Cour!$O:$O,BV_Data_An_Cour!$U:$U,$B17,BV_Data_An_Cour!$V:$V,$C17,BV_Data_An_Cour!$W:$W,L$2)</f>
        <v>6569.7600000000093</v>
      </c>
      <c r="M17" s="267">
        <f>J17-D17</f>
        <v>7</v>
      </c>
      <c r="N17" s="256">
        <f>L17-F17</f>
        <v>4175.9078807852266</v>
      </c>
      <c r="O17" s="267">
        <f t="array" ref="O17">+INDEX('Réel 2024'!$A$2:$AO$501,MATCH($A17,'Réel 2024'!$A$2:$A$501,0),MATCH(O$2,'Réel 2024'!$A$2:$AO$2,0))</f>
        <v>2</v>
      </c>
      <c r="P17" s="254">
        <f>IF(O17=0,0,Q17/O17)</f>
        <v>1747.279999999995</v>
      </c>
      <c r="Q17" s="256">
        <f t="array" ref="Q17">+INDEX('Réel 2024'!$A$2:$AO$501,MATCH($A17,'Réel 2024'!$A$2:$A$501,0),MATCH(Q$2,'Réel 2024'!$A$2:$AO$2,0))</f>
        <v>3494.5599999999899</v>
      </c>
      <c r="R17" s="255">
        <f>J17-O17</f>
        <v>6</v>
      </c>
      <c r="S17" s="256">
        <f>L17-Q17</f>
        <v>3075.2000000000194</v>
      </c>
      <c r="T17" s="41"/>
      <c r="U17" s="38"/>
      <c r="V17" s="1001"/>
      <c r="W17" s="41"/>
      <c r="X17" s="41"/>
      <c r="Y17" s="41"/>
      <c r="Z17" s="41"/>
      <c r="AA17" s="254"/>
      <c r="AB17" s="41"/>
      <c r="AC17" s="41"/>
      <c r="AD17" s="41"/>
      <c r="AE17" s="41"/>
      <c r="AF17" s="41"/>
      <c r="AG17" s="41"/>
      <c r="AH17" s="41"/>
      <c r="AI17" s="41"/>
      <c r="AJ17" s="41"/>
      <c r="AK17" s="41"/>
      <c r="AL17" s="41"/>
      <c r="AM17" s="41"/>
      <c r="AN17" s="41"/>
    </row>
    <row r="18" spans="1:40" ht="20">
      <c r="A18" s="5" t="s">
        <v>92</v>
      </c>
      <c r="B18" s="41" t="s">
        <v>92</v>
      </c>
      <c r="C18" s="259"/>
      <c r="D18" s="271"/>
      <c r="E18" s="271"/>
      <c r="F18" s="272"/>
      <c r="G18" s="273"/>
      <c r="H18" s="271"/>
      <c r="I18" s="272"/>
      <c r="J18" s="255"/>
      <c r="K18" s="271"/>
      <c r="L18" s="272"/>
      <c r="M18" s="255"/>
      <c r="N18" s="272"/>
      <c r="O18" s="255"/>
      <c r="P18" s="271"/>
      <c r="Q18" s="272"/>
      <c r="R18" s="273"/>
      <c r="S18" s="272"/>
      <c r="T18" s="41"/>
      <c r="U18" s="41"/>
      <c r="W18" s="41"/>
      <c r="X18" s="41"/>
      <c r="Y18" s="41"/>
      <c r="Z18" s="41"/>
      <c r="AA18" s="41"/>
      <c r="AB18" s="41"/>
      <c r="AC18" s="41"/>
      <c r="AD18" s="41"/>
      <c r="AE18" s="41"/>
      <c r="AF18" s="41"/>
      <c r="AG18" s="41"/>
      <c r="AH18" s="41"/>
      <c r="AI18" s="41"/>
      <c r="AJ18" s="41"/>
      <c r="AK18" s="41"/>
      <c r="AL18" s="41"/>
      <c r="AM18" s="41"/>
      <c r="AN18" s="41"/>
    </row>
    <row r="19" spans="1:40" ht="20">
      <c r="A19" s="5" t="s">
        <v>362</v>
      </c>
      <c r="B19" s="41" t="s">
        <v>92</v>
      </c>
      <c r="C19" s="266" t="s">
        <v>104</v>
      </c>
      <c r="D19" s="254">
        <f>+INDEX('Budget original'!$A$2:$AO$501,MATCH($A19,'Budget original'!$A$2:$A$501,0),MATCH(D$2,'Budget original'!$A$2:$AO$2,0))</f>
        <v>0</v>
      </c>
      <c r="E19" s="254">
        <f>IF(D19=0,0,F19/D19)</f>
        <v>0</v>
      </c>
      <c r="F19" s="254">
        <f>+INDEX('Budget original'!$A$2:$AO$501,MATCH($A19,'Budget original'!$A$2:$A$501,0),MATCH(F$2,'Budget original'!$A$2:$AO$2,0))</f>
        <v>5780</v>
      </c>
      <c r="G19" s="255"/>
      <c r="H19" s="254"/>
      <c r="I19" s="254"/>
      <c r="J19" s="267"/>
      <c r="K19" s="254"/>
      <c r="L19" s="256">
        <f>-SUMIFS(BV_Data_An_Cour!$O:$O,BV_Data_An_Cour!$U:$U,$B19,BV_Data_An_Cour!$V:$V,$C19,BV_Data_An_Cour!$W:$W,L$2)</f>
        <v>6750.4500000000116</v>
      </c>
      <c r="M19" s="255"/>
      <c r="N19" s="256">
        <f>L19-F19</f>
        <v>970.45000000001164</v>
      </c>
      <c r="O19" s="267"/>
      <c r="P19" s="254"/>
      <c r="Q19" s="256">
        <f t="array" ref="Q19">+INDEX('Réel 2024'!$A$2:$AO$501,MATCH($A19,'Réel 2024'!$A$2:$A$501,0),MATCH(Q$2,'Réel 2024'!$A$2:$AO$2,0))</f>
        <v>4000</v>
      </c>
      <c r="R19" s="255">
        <f>O19-K19</f>
        <v>0</v>
      </c>
      <c r="S19" s="256">
        <f>L19-Q19</f>
        <v>2750.4500000000116</v>
      </c>
      <c r="T19" s="41"/>
      <c r="W19" s="254"/>
      <c r="X19" s="274"/>
      <c r="Y19" s="41"/>
      <c r="Z19" s="41"/>
      <c r="AA19" s="41"/>
      <c r="AB19" s="41"/>
      <c r="AC19" s="41"/>
      <c r="AD19" s="41"/>
      <c r="AE19" s="41"/>
      <c r="AF19" s="41"/>
      <c r="AG19" s="41"/>
      <c r="AH19" s="41"/>
      <c r="AI19" s="41"/>
      <c r="AJ19" s="41"/>
      <c r="AK19" s="41"/>
      <c r="AL19" s="41"/>
      <c r="AM19" s="41"/>
      <c r="AN19" s="41"/>
    </row>
    <row r="20" spans="1:40" ht="20">
      <c r="A20" s="5" t="s">
        <v>92</v>
      </c>
      <c r="B20" s="41" t="s">
        <v>92</v>
      </c>
      <c r="C20" s="259"/>
      <c r="D20" s="271"/>
      <c r="E20" s="271"/>
      <c r="F20" s="272"/>
      <c r="G20" s="273"/>
      <c r="H20" s="271"/>
      <c r="I20" s="272"/>
      <c r="J20" s="255"/>
      <c r="K20" s="271"/>
      <c r="L20" s="272"/>
      <c r="M20" s="273"/>
      <c r="N20" s="272"/>
      <c r="O20" s="255"/>
      <c r="P20" s="271"/>
      <c r="Q20" s="272"/>
      <c r="R20" s="273"/>
      <c r="S20" s="272"/>
      <c r="T20" s="41"/>
      <c r="U20" s="41"/>
      <c r="W20" s="254"/>
      <c r="X20" s="274"/>
      <c r="Y20" s="41"/>
      <c r="Z20" s="41"/>
      <c r="AA20" s="41"/>
      <c r="AB20" s="41"/>
      <c r="AC20" s="41"/>
      <c r="AD20" s="41"/>
      <c r="AE20" s="41"/>
      <c r="AF20" s="41"/>
      <c r="AG20" s="41"/>
      <c r="AH20" s="41"/>
      <c r="AI20" s="41"/>
      <c r="AJ20" s="41"/>
      <c r="AK20" s="41"/>
      <c r="AL20" s="41"/>
      <c r="AM20" s="41"/>
      <c r="AN20" s="41"/>
    </row>
    <row r="21" spans="1:40" ht="15.75" customHeight="1">
      <c r="A21" s="5" t="s">
        <v>363</v>
      </c>
      <c r="B21" s="41" t="s">
        <v>92</v>
      </c>
      <c r="C21" s="253" t="s">
        <v>105</v>
      </c>
      <c r="D21" s="254">
        <f>+INDEX('Budget original'!$A$2:$AO$501,MATCH($A21,'Budget original'!$A$2:$A$501,0),MATCH(D$2,'Budget original'!$A$2:$AO$2,0))</f>
        <v>0</v>
      </c>
      <c r="E21" s="254">
        <f>IF(D21=0,0,F21/D21)</f>
        <v>0</v>
      </c>
      <c r="F21" s="254">
        <f>+INDEX('Budget original'!$A$2:$AO$501,MATCH($A21,'Budget original'!$A$2:$A$501,0),MATCH(F$2,'Budget original'!$A$2:$AO$2,0))</f>
        <v>2750</v>
      </c>
      <c r="G21" s="255"/>
      <c r="H21" s="254"/>
      <c r="I21" s="254"/>
      <c r="J21" s="255"/>
      <c r="K21" s="254">
        <f>IF(J13=0,0,L21/(J13+J15))</f>
        <v>19.229687500000001</v>
      </c>
      <c r="L21" s="256">
        <f>-SUMIFS(BV_Data_An_Cour!$O:$O,BV_Data_An_Cour!$U:$U,$B21,BV_Data_An_Cour!$V:$V,$C21,BV_Data_An_Cour!$W:$W,L$2)</f>
        <v>615.35</v>
      </c>
      <c r="M21" s="255"/>
      <c r="N21" s="256">
        <f>L21-F21</f>
        <v>-2134.65</v>
      </c>
      <c r="O21" s="255"/>
      <c r="P21" s="254"/>
      <c r="Q21" s="256">
        <f t="array" ref="Q21">+INDEX('Réel 2024'!$A$2:$AO$501,MATCH($A21,'Réel 2024'!$A$2:$A$501,0),MATCH(Q$2,'Réel 2024'!$A$2:$AO$2,0))</f>
        <v>8428.1200000000008</v>
      </c>
      <c r="R21" s="255">
        <f t="shared" ref="R21:R23" si="12">O21-K21</f>
        <v>-19.229687500000001</v>
      </c>
      <c r="S21" s="256">
        <f t="shared" ref="S21:S24" si="13">L21-Q21</f>
        <v>-7812.77</v>
      </c>
      <c r="T21" s="41"/>
      <c r="U21" s="41"/>
      <c r="W21" s="41"/>
      <c r="X21" s="274"/>
      <c r="Y21" s="41"/>
      <c r="Z21" s="41"/>
      <c r="AA21" s="41"/>
      <c r="AB21" s="41"/>
      <c r="AC21" s="41"/>
      <c r="AD21" s="41"/>
      <c r="AE21" s="41"/>
      <c r="AF21" s="41"/>
      <c r="AG21" s="41"/>
      <c r="AH21" s="41"/>
      <c r="AI21" s="41"/>
      <c r="AJ21" s="41"/>
      <c r="AK21" s="41"/>
      <c r="AL21" s="41"/>
      <c r="AM21" s="41"/>
      <c r="AN21" s="41"/>
    </row>
    <row r="22" spans="1:40" ht="18" customHeight="1">
      <c r="A22" s="5" t="s">
        <v>364</v>
      </c>
      <c r="B22" s="41" t="s">
        <v>92</v>
      </c>
      <c r="C22" s="253" t="s">
        <v>106</v>
      </c>
      <c r="D22" s="254">
        <f>+INDEX('Budget original'!$A$2:$AO$501,MATCH($A22,'Budget original'!$A$2:$A$501,0),MATCH(D$2,'Budget original'!$A$2:$AO$2,0))</f>
        <v>0</v>
      </c>
      <c r="E22" s="254">
        <f>IF(D22=0,0,F22/D22)</f>
        <v>0</v>
      </c>
      <c r="F22" s="254">
        <f>+INDEX('Budget original'!$A$2:$AO$501,MATCH($A22,'Budget original'!$A$2:$A$501,0),MATCH(F$2,'Budget original'!$A$2:$AO$2,0))</f>
        <v>51150</v>
      </c>
      <c r="G22" s="255"/>
      <c r="H22" s="254"/>
      <c r="I22" s="254"/>
      <c r="J22" s="255"/>
      <c r="K22" s="254">
        <f>IF(J13=0,0,L22/(J13+J15))</f>
        <v>984.25156249999998</v>
      </c>
      <c r="L22" s="256">
        <f>-SUMIFS(BV_Data_An_Cour!$O:$O,BV_Data_An_Cour!$U:$U,$B22,BV_Data_An_Cour!$V:$V,$C22,BV_Data_An_Cour!$W:$W,L$2)</f>
        <v>31496.05</v>
      </c>
      <c r="M22" s="255"/>
      <c r="N22" s="256">
        <f>L22-F22</f>
        <v>-19653.95</v>
      </c>
      <c r="O22" s="255"/>
      <c r="P22" s="254"/>
      <c r="Q22" s="256">
        <f t="array" ref="Q22">+INDEX('Réel 2024'!$A$2:$AO$501,MATCH($A22,'Réel 2024'!$A$2:$A$501,0),MATCH(Q$2,'Réel 2024'!$A$2:$AO$2,0))</f>
        <v>65652.13</v>
      </c>
      <c r="R22" s="255">
        <f t="shared" si="12"/>
        <v>-984.25156249999998</v>
      </c>
      <c r="S22" s="256">
        <f t="shared" si="13"/>
        <v>-34156.080000000002</v>
      </c>
      <c r="T22" s="41"/>
      <c r="U22" s="41"/>
      <c r="V22" s="41"/>
      <c r="W22" s="41"/>
      <c r="X22" s="41"/>
      <c r="Y22" s="41"/>
      <c r="Z22" s="41"/>
      <c r="AA22" s="41"/>
      <c r="AB22" s="41"/>
      <c r="AC22" s="41"/>
      <c r="AD22" s="41"/>
      <c r="AE22" s="41"/>
      <c r="AF22" s="41"/>
      <c r="AG22" s="41"/>
      <c r="AH22" s="41"/>
      <c r="AI22" s="41"/>
      <c r="AJ22" s="41"/>
      <c r="AK22" s="41"/>
      <c r="AL22" s="41"/>
      <c r="AM22" s="41"/>
      <c r="AN22" s="41"/>
    </row>
    <row r="23" spans="1:40" ht="19.5" customHeight="1">
      <c r="A23" s="5" t="s">
        <v>365</v>
      </c>
      <c r="B23" s="41" t="s">
        <v>92</v>
      </c>
      <c r="C23" s="253" t="s">
        <v>107</v>
      </c>
      <c r="D23" s="254">
        <f>+INDEX('Budget original'!$A$2:$AO$501,MATCH($A23,'Budget original'!$A$2:$A$501,0),MATCH(D$2,'Budget original'!$A$2:$AO$2,0))</f>
        <v>0</v>
      </c>
      <c r="E23" s="254">
        <f>IF(D23=0,0,F23/D23)</f>
        <v>0</v>
      </c>
      <c r="F23" s="254">
        <f>+INDEX('Budget original'!$A$2:$AO$501,MATCH($A23,'Budget original'!$A$2:$A$501,0),MATCH(F$2,'Budget original'!$A$2:$AO$2,0))</f>
        <v>1100</v>
      </c>
      <c r="G23" s="255"/>
      <c r="H23" s="254"/>
      <c r="I23" s="254"/>
      <c r="J23" s="255"/>
      <c r="K23" s="254">
        <f>IF(J13=0,0,L23/(J13+J15))</f>
        <v>13.862500000000001</v>
      </c>
      <c r="L23" s="256">
        <f>-SUMIFS(BV_Data_An_Cour!$O:$O,BV_Data_An_Cour!$U:$U,$B23,BV_Data_An_Cour!$V:$V,$C23,BV_Data_An_Cour!$W:$W,L$2)</f>
        <v>443.6</v>
      </c>
      <c r="M23" s="267"/>
      <c r="N23" s="256">
        <f>L23-F23</f>
        <v>-656.4</v>
      </c>
      <c r="O23" s="255"/>
      <c r="P23" s="254"/>
      <c r="Q23" s="256">
        <f t="array" ref="Q23">+INDEX('Réel 2024'!$A$2:$AO$501,MATCH($A23,'Réel 2024'!$A$2:$A$501,0),MATCH(Q$2,'Réel 2024'!$A$2:$AO$2,0))</f>
        <v>0</v>
      </c>
      <c r="R23" s="255">
        <f t="shared" si="12"/>
        <v>-13.862500000000001</v>
      </c>
      <c r="S23" s="256">
        <f t="shared" si="13"/>
        <v>443.6</v>
      </c>
      <c r="T23" s="41"/>
      <c r="U23" s="41"/>
      <c r="V23" s="41"/>
      <c r="W23" s="41"/>
      <c r="X23" s="41"/>
      <c r="Y23" s="41"/>
      <c r="Z23" s="41"/>
      <c r="AA23" s="41"/>
      <c r="AB23" s="41"/>
      <c r="AC23" s="41"/>
      <c r="AD23" s="41"/>
      <c r="AE23" s="41"/>
      <c r="AF23" s="41"/>
      <c r="AG23" s="41"/>
      <c r="AH23" s="41"/>
      <c r="AI23" s="41"/>
      <c r="AJ23" s="41"/>
      <c r="AK23" s="41"/>
      <c r="AL23" s="41"/>
      <c r="AM23" s="41"/>
      <c r="AN23" s="41"/>
    </row>
    <row r="24" spans="1:40" ht="18" customHeight="1">
      <c r="A24" s="5" t="s">
        <v>366</v>
      </c>
      <c r="B24" s="41" t="s">
        <v>92</v>
      </c>
      <c r="C24" s="259" t="s">
        <v>108</v>
      </c>
      <c r="D24" s="260">
        <f>+D15+D13</f>
        <v>55</v>
      </c>
      <c r="E24" s="260">
        <f>IF(D24&lt;=0,0,F24/D24)</f>
        <v>1000</v>
      </c>
      <c r="F24" s="261">
        <f>F21+F22+F23</f>
        <v>55000</v>
      </c>
      <c r="G24" s="262"/>
      <c r="H24" s="260"/>
      <c r="I24" s="261"/>
      <c r="J24" s="262">
        <f>+J15+J13</f>
        <v>32</v>
      </c>
      <c r="K24" s="260">
        <f>IF(J24&lt;=0,0,L24/J24)</f>
        <v>1017.3437499999999</v>
      </c>
      <c r="L24" s="261">
        <f>L21+L22+L23</f>
        <v>32554.999999999996</v>
      </c>
      <c r="M24" s="275">
        <f>J24-D24</f>
        <v>-23</v>
      </c>
      <c r="N24" s="261">
        <f>L24-F24</f>
        <v>-22445.000000000004</v>
      </c>
      <c r="O24" s="262">
        <f>+O15+O13</f>
        <v>73</v>
      </c>
      <c r="P24" s="260">
        <f>IF(O24&lt;=0,0,Q24/O24)</f>
        <v>1014.7979452054794</v>
      </c>
      <c r="Q24" s="261">
        <f>Q21+Q22+Q23</f>
        <v>74080.25</v>
      </c>
      <c r="R24" s="273"/>
      <c r="S24" s="261">
        <f t="shared" si="13"/>
        <v>-41525.25</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
        <v>92</v>
      </c>
      <c r="B25" s="41" t="s">
        <v>92</v>
      </c>
      <c r="C25" s="253"/>
      <c r="D25" s="41"/>
      <c r="E25" s="41"/>
      <c r="F25" s="276"/>
      <c r="G25" s="253"/>
      <c r="H25" s="41"/>
      <c r="I25" s="276"/>
      <c r="J25" s="253"/>
      <c r="K25" s="41"/>
      <c r="L25" s="276"/>
      <c r="M25" s="264"/>
      <c r="N25" s="265">
        <f>IF(N24=0,0,N24/F24)</f>
        <v>-0.40809090909090917</v>
      </c>
      <c r="O25" s="253"/>
      <c r="P25" s="41"/>
      <c r="Q25" s="276"/>
      <c r="R25" s="277"/>
      <c r="S25" s="265">
        <f>IF(Q24=0,0,(S24/Q24))</f>
        <v>-0.56054413963235816</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
        <v>92</v>
      </c>
      <c r="B26" s="41" t="s">
        <v>92</v>
      </c>
      <c r="C26" s="253"/>
      <c r="D26" s="41"/>
      <c r="E26" s="41"/>
      <c r="F26" s="263"/>
      <c r="G26" s="253"/>
      <c r="H26" s="41"/>
      <c r="I26" s="263"/>
      <c r="J26" s="253"/>
      <c r="K26" s="41"/>
      <c r="L26" s="263"/>
      <c r="M26" s="253"/>
      <c r="N26" s="263"/>
      <c r="O26" s="253"/>
      <c r="P26" s="41"/>
      <c r="Q26" s="263"/>
      <c r="R26" s="253"/>
      <c r="S26" s="263"/>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
        <v>367</v>
      </c>
      <c r="B27" s="41" t="s">
        <v>92</v>
      </c>
      <c r="C27" s="278" t="s">
        <v>109</v>
      </c>
      <c r="D27" s="279">
        <f>+D13+D15+D17</f>
        <v>56</v>
      </c>
      <c r="E27" s="280">
        <f>IF(D27&lt;=0,0,F27/D27)</f>
        <v>3351.6709759861687</v>
      </c>
      <c r="F27" s="281">
        <f>F13+F17+F24+F19+F15</f>
        <v>187693.57465522544</v>
      </c>
      <c r="G27" s="282"/>
      <c r="H27" s="280"/>
      <c r="I27" s="281"/>
      <c r="J27" s="282">
        <f>+J13+J15+J17</f>
        <v>40</v>
      </c>
      <c r="K27" s="280">
        <f>IF(J27&lt;=0,0,L27/J27)</f>
        <v>2883.7730000000001</v>
      </c>
      <c r="L27" s="281">
        <f>L13+L17+L24+L19+L15</f>
        <v>115350.92</v>
      </c>
      <c r="M27" s="282">
        <f>J27-D27</f>
        <v>-16</v>
      </c>
      <c r="N27" s="281">
        <f>L27-F27</f>
        <v>-72342.654655225444</v>
      </c>
      <c r="O27" s="282">
        <f>+O13+O15+O17</f>
        <v>75</v>
      </c>
      <c r="P27" s="280">
        <f>IF(O27&lt;=0,0,Q27/O27)</f>
        <v>3379.767066666665</v>
      </c>
      <c r="Q27" s="281">
        <f>Q13+Q17+Q24+Q19+Q15</f>
        <v>253482.52999999988</v>
      </c>
      <c r="R27" s="282">
        <f>J27-O27</f>
        <v>-35</v>
      </c>
      <c r="S27" s="281">
        <f>L27-Q27</f>
        <v>-138131.60999999987</v>
      </c>
      <c r="T27" s="41"/>
      <c r="U27" s="41"/>
      <c r="V27" s="41"/>
      <c r="W27" s="41"/>
      <c r="X27" s="41"/>
      <c r="Y27" s="41"/>
      <c r="Z27" s="41"/>
      <c r="AA27" s="41"/>
      <c r="AB27" s="41"/>
      <c r="AC27" s="41"/>
      <c r="AD27" s="41"/>
      <c r="AE27" s="41"/>
      <c r="AF27" s="41"/>
      <c r="AG27" s="41"/>
      <c r="AH27" s="41"/>
      <c r="AI27" s="41"/>
      <c r="AJ27" s="41"/>
      <c r="AK27" s="41"/>
      <c r="AL27" s="41"/>
      <c r="AM27" s="41"/>
      <c r="AN27" s="41"/>
    </row>
    <row r="28" spans="1:40" ht="22.5" customHeight="1">
      <c r="A28" s="5" t="s">
        <v>92</v>
      </c>
      <c r="B28" s="41" t="s">
        <v>92</v>
      </c>
      <c r="C28" s="283"/>
      <c r="D28" s="284"/>
      <c r="E28" s="284"/>
      <c r="F28" s="285"/>
      <c r="G28" s="283"/>
      <c r="H28" s="284"/>
      <c r="I28" s="285"/>
      <c r="J28" s="283"/>
      <c r="K28" s="1189"/>
      <c r="L28" s="950">
        <f>L27/F27</f>
        <v>0.61457042528966821</v>
      </c>
      <c r="M28" s="286">
        <f>M27/D27</f>
        <v>-0.2857142857142857</v>
      </c>
      <c r="N28" s="287">
        <f>N27/F27</f>
        <v>-0.38542957471033173</v>
      </c>
      <c r="O28" s="283"/>
      <c r="P28" s="284"/>
      <c r="Q28" s="285"/>
      <c r="R28" s="286">
        <f>R27/O27</f>
        <v>-0.46666666666666667</v>
      </c>
      <c r="S28" s="287">
        <f>IF(Q27=0,0,S27/Q27)</f>
        <v>-0.54493542414934837</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
        <v>92</v>
      </c>
      <c r="B29" s="41" t="s">
        <v>92</v>
      </c>
      <c r="C29" s="270"/>
      <c r="D29" s="11"/>
      <c r="E29" s="11"/>
      <c r="F29" s="288"/>
      <c r="G29" s="270"/>
      <c r="H29" s="11"/>
      <c r="I29" s="288"/>
      <c r="J29" s="270"/>
      <c r="K29" s="11"/>
      <c r="L29" s="288"/>
      <c r="M29" s="264"/>
      <c r="N29" s="265"/>
      <c r="O29" s="270"/>
      <c r="P29" s="11"/>
      <c r="Q29" s="288"/>
      <c r="R29" s="264"/>
      <c r="S29" s="265"/>
      <c r="T29" s="41"/>
      <c r="U29" s="291"/>
      <c r="V29" s="41"/>
      <c r="W29" s="41"/>
      <c r="X29" s="41"/>
      <c r="Y29" s="41"/>
      <c r="Z29" s="41"/>
      <c r="AA29" s="41"/>
      <c r="AB29" s="41"/>
      <c r="AC29" s="41"/>
      <c r="AD29" s="41"/>
      <c r="AE29" s="41"/>
      <c r="AF29" s="41"/>
      <c r="AG29" s="41"/>
      <c r="AH29" s="41"/>
      <c r="AI29" s="41"/>
      <c r="AJ29" s="41"/>
      <c r="AK29" s="41"/>
      <c r="AL29" s="41"/>
      <c r="AM29" s="41"/>
      <c r="AN29" s="41"/>
    </row>
    <row r="30" spans="1:40" ht="15.75" customHeight="1">
      <c r="A30" s="5" t="s">
        <v>368</v>
      </c>
      <c r="B30" s="41" t="s">
        <v>92</v>
      </c>
      <c r="C30" s="289" t="s">
        <v>110</v>
      </c>
      <c r="D30" s="41"/>
      <c r="E30" s="39"/>
      <c r="F30" s="276"/>
      <c r="G30" s="253"/>
      <c r="H30" s="39"/>
      <c r="I30" s="276"/>
      <c r="J30" s="253"/>
      <c r="K30" s="39"/>
      <c r="L30" s="263"/>
      <c r="M30" s="253"/>
      <c r="N30" s="263"/>
      <c r="O30" s="253"/>
      <c r="P30" s="39"/>
      <c r="Q30" s="263"/>
      <c r="R30" s="253"/>
      <c r="S30" s="263"/>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
        <v>369</v>
      </c>
      <c r="B31" s="41" t="s">
        <v>92</v>
      </c>
      <c r="C31" s="253" t="s">
        <v>111</v>
      </c>
      <c r="D31" s="290">
        <f>F31/(F13+F15)</f>
        <v>0.3335806878178777</v>
      </c>
      <c r="E31" s="291">
        <f t="shared" ref="E31:E36" si="14">F31/D$24</f>
        <v>755.22499437188583</v>
      </c>
      <c r="F31" s="254">
        <f>+INDEX('Budget original'!$A$2:$AO$501,MATCH($A31,'Budget original'!$A$2:$A$501,0),MATCH(F$2,'Budget original'!$A$2:$AO$2,0))</f>
        <v>41537.374690453718</v>
      </c>
      <c r="G31" s="292"/>
      <c r="H31" s="291"/>
      <c r="I31" s="254"/>
      <c r="J31" s="1219">
        <f>L31/(L15+L13+L17)</f>
        <v>0.35623318522457686</v>
      </c>
      <c r="K31" s="291">
        <f t="shared" ref="K31:K40" si="15">IF(L31=0,0,L31/J$24)</f>
        <v>846.56</v>
      </c>
      <c r="L31" s="254">
        <f>SUMIFS(BV_Data_An_Cour!$O:$O,BV_Data_An_Cour!$U:$U,$B31,BV_Data_An_Cour!$V:$V,$C31,BV_Data_An_Cour!$W:$W,L$2)</f>
        <v>27089.919999999998</v>
      </c>
      <c r="M31" s="253"/>
      <c r="N31" s="276">
        <f t="shared" ref="N31:N53" si="16">L31-F31</f>
        <v>-14447.45469045372</v>
      </c>
      <c r="O31" s="1145">
        <f>Q31/(Q13+Q15+Q17)</f>
        <v>0.26475596554389164</v>
      </c>
      <c r="P31" s="291">
        <f t="shared" ref="P31:P40" si="17">Q31/O$24</f>
        <v>636.14794520547946</v>
      </c>
      <c r="Q31" s="256">
        <f t="array" ref="Q31">+INDEX('Réel 2024'!$A$2:$AO$501,MATCH($A31,'Réel 2024'!$A$2:$A$501,0),MATCH(Q$2,'Réel 2024'!$A$2:$AO$2,0))</f>
        <v>46438.8</v>
      </c>
      <c r="R31" s="253"/>
      <c r="S31" s="276">
        <f t="shared" ref="S31:S53" si="18">L31-Q31</f>
        <v>-19348.880000000005</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
        <v>370</v>
      </c>
      <c r="B32" s="41" t="s">
        <v>92</v>
      </c>
      <c r="C32" s="246" t="s">
        <v>112</v>
      </c>
      <c r="D32" s="293">
        <f>F32/F24</f>
        <v>0.28000000000000003</v>
      </c>
      <c r="E32" s="294">
        <f t="shared" si="14"/>
        <v>280.00000000000006</v>
      </c>
      <c r="F32" s="248">
        <f>+INDEX('Budget original'!$A$2:$AO$501,MATCH($A32,'Budget original'!$A$2:$A$501,0),MATCH(F$2,'Budget original'!$A$2:$AO$2,0))</f>
        <v>15400.000000000002</v>
      </c>
      <c r="G32" s="295"/>
      <c r="H32" s="294"/>
      <c r="I32" s="248"/>
      <c r="J32" s="295">
        <f>L32/L24</f>
        <v>0.24998525572108743</v>
      </c>
      <c r="K32" s="294">
        <f t="shared" si="15"/>
        <v>254.32093750000001</v>
      </c>
      <c r="L32" s="248">
        <f>SUMIFS(BV_Data_An_Cour!$O:$O,BV_Data_An_Cour!$U:$U,$B32,BV_Data_An_Cour!$V:$V,$C32,BV_Data_An_Cour!$W:$W,L$2)</f>
        <v>8138.27</v>
      </c>
      <c r="M32" s="246"/>
      <c r="N32" s="296">
        <f t="shared" si="16"/>
        <v>-7261.7300000000014</v>
      </c>
      <c r="O32" s="1146">
        <f>Q32/Q24</f>
        <v>0.30043054660317697</v>
      </c>
      <c r="P32" s="294">
        <f t="shared" si="17"/>
        <v>304.87630136986303</v>
      </c>
      <c r="Q32" s="248">
        <f t="array" ref="Q32">+INDEX('Réel 2024'!$A$2:$AO$501,MATCH($A32,'Réel 2024'!$A$2:$A$501,0),MATCH(Q$2,'Réel 2024'!$A$2:$AO$2,0))</f>
        <v>22255.97</v>
      </c>
      <c r="R32" s="246"/>
      <c r="S32" s="296">
        <f t="shared" si="18"/>
        <v>-14117.7</v>
      </c>
      <c r="T32" s="41"/>
      <c r="Z32" s="41"/>
      <c r="AA32" s="41"/>
      <c r="AB32" s="41"/>
      <c r="AC32" s="41"/>
      <c r="AD32" s="41"/>
      <c r="AE32" s="41"/>
      <c r="AF32" s="41"/>
      <c r="AG32" s="41"/>
      <c r="AH32" s="41"/>
      <c r="AI32" s="41"/>
      <c r="AJ32" s="41"/>
      <c r="AK32" s="41"/>
      <c r="AL32" s="41"/>
      <c r="AM32" s="41"/>
      <c r="AN32" s="41"/>
    </row>
    <row r="33" spans="1:40" ht="15.75" customHeight="1">
      <c r="A33" s="5" t="s">
        <v>371</v>
      </c>
      <c r="B33" s="41" t="s">
        <v>92</v>
      </c>
      <c r="C33" s="253" t="s">
        <v>113</v>
      </c>
      <c r="D33" s="297"/>
      <c r="E33" s="291">
        <f t="shared" si="14"/>
        <v>115</v>
      </c>
      <c r="F33" s="254">
        <f>+INDEX('Budget original'!$A$2:$AO$501,MATCH($A33,'Budget original'!$A$2:$A$501,0),MATCH(F$2,'Budget original'!$A$2:$AO$2,0))</f>
        <v>6325</v>
      </c>
      <c r="G33" s="298"/>
      <c r="H33" s="291"/>
      <c r="I33" s="254"/>
      <c r="J33" s="253"/>
      <c r="K33" s="291">
        <f t="shared" si="15"/>
        <v>98.328437500000007</v>
      </c>
      <c r="L33" s="254">
        <f>SUMIFS(BV_Data_An_Cour!$O:$O,BV_Data_An_Cour!$U:$U,$B33,BV_Data_An_Cour!$V:$V,$C33,BV_Data_An_Cour!$W:$W,L$2)</f>
        <v>3146.51</v>
      </c>
      <c r="M33" s="253"/>
      <c r="N33" s="276">
        <f t="shared" si="16"/>
        <v>-3178.49</v>
      </c>
      <c r="O33" s="253"/>
      <c r="P33" s="291">
        <f t="shared" si="17"/>
        <v>117.11219178082193</v>
      </c>
      <c r="Q33" s="256">
        <f t="array" ref="Q33">+INDEX('Réel 2024'!$A$2:$AO$501,MATCH($A33,'Réel 2024'!$A$2:$A$501,0),MATCH(Q$2,'Réel 2024'!$A$2:$AO$2,0))</f>
        <v>8549.19</v>
      </c>
      <c r="R33" s="253"/>
      <c r="S33" s="276">
        <f t="shared" si="18"/>
        <v>-5402.68</v>
      </c>
      <c r="T33" s="41"/>
      <c r="U33" s="1196"/>
      <c r="Z33" s="41"/>
      <c r="AA33" s="41"/>
      <c r="AB33" s="41"/>
      <c r="AC33" s="41"/>
      <c r="AD33" s="41"/>
      <c r="AE33" s="41"/>
      <c r="AF33" s="41"/>
      <c r="AG33" s="41"/>
      <c r="AH33" s="41"/>
      <c r="AI33" s="41"/>
      <c r="AJ33" s="41"/>
      <c r="AK33" s="41"/>
      <c r="AL33" s="41"/>
      <c r="AM33" s="41"/>
      <c r="AN33" s="41"/>
    </row>
    <row r="34" spans="1:40" ht="15.75" customHeight="1">
      <c r="A34" s="5" t="s">
        <v>372</v>
      </c>
      <c r="B34" s="41" t="s">
        <v>92</v>
      </c>
      <c r="C34" s="253" t="s">
        <v>114</v>
      </c>
      <c r="D34" s="297"/>
      <c r="E34" s="291">
        <f t="shared" si="14"/>
        <v>10</v>
      </c>
      <c r="F34" s="254">
        <f>+INDEX('Budget original'!$A$2:$AO$501,MATCH($A34,'Budget original'!$A$2:$A$501,0),MATCH(F$2,'Budget original'!$A$2:$AO$2,0))</f>
        <v>550</v>
      </c>
      <c r="G34" s="298"/>
      <c r="H34" s="291"/>
      <c r="I34" s="254"/>
      <c r="J34" s="253"/>
      <c r="K34" s="291">
        <f t="shared" si="15"/>
        <v>30.533124999999998</v>
      </c>
      <c r="L34" s="254">
        <f>SUMIFS(BV_Data_An_Cour!$O:$O,BV_Data_An_Cour!$U:$U,$B34,BV_Data_An_Cour!$V:$V,$C34,BV_Data_An_Cour!$W:$W,L$2)</f>
        <v>977.06</v>
      </c>
      <c r="M34" s="253"/>
      <c r="N34" s="276">
        <f t="shared" si="16"/>
        <v>427.05999999999995</v>
      </c>
      <c r="O34" s="253"/>
      <c r="P34" s="291">
        <f t="shared" si="17"/>
        <v>17.555205479452056</v>
      </c>
      <c r="Q34" s="256">
        <f t="array" ref="Q34">+INDEX('Réel 2024'!$A$2:$AO$501,MATCH($A34,'Réel 2024'!$A$2:$A$501,0),MATCH(Q$2,'Réel 2024'!$A$2:$AO$2,0))</f>
        <v>1281.53</v>
      </c>
      <c r="R34" s="253"/>
      <c r="S34" s="276">
        <f t="shared" si="18"/>
        <v>-304.47000000000003</v>
      </c>
      <c r="T34" s="41"/>
      <c r="Z34" s="41"/>
      <c r="AA34" s="41"/>
      <c r="AB34" s="41"/>
      <c r="AC34" s="41"/>
      <c r="AD34" s="41"/>
      <c r="AE34" s="41"/>
      <c r="AF34" s="41"/>
      <c r="AG34" s="41"/>
      <c r="AH34" s="41"/>
      <c r="AI34" s="41"/>
      <c r="AJ34" s="41"/>
      <c r="AK34" s="41"/>
      <c r="AL34" s="41"/>
      <c r="AM34" s="41"/>
      <c r="AN34" s="41"/>
    </row>
    <row r="35" spans="1:40" ht="15.75" customHeight="1">
      <c r="A35" s="5" t="s">
        <v>373</v>
      </c>
      <c r="B35" s="41" t="s">
        <v>92</v>
      </c>
      <c r="C35" s="246" t="s">
        <v>115</v>
      </c>
      <c r="D35" s="299"/>
      <c r="E35" s="294">
        <f t="shared" si="14"/>
        <v>120.75</v>
      </c>
      <c r="F35" s="248">
        <f>+INDEX('Budget original'!$A$2:$AO$501,MATCH($A35,'Budget original'!$A$2:$A$501,0),MATCH(F$2,'Budget original'!$A$2:$AO$2,0))</f>
        <v>6641.25</v>
      </c>
      <c r="G35" s="300"/>
      <c r="H35" s="294"/>
      <c r="I35" s="248"/>
      <c r="J35" s="246"/>
      <c r="K35" s="294">
        <f t="shared" si="15"/>
        <v>268.93781250000001</v>
      </c>
      <c r="L35" s="1218">
        <f>SUMIFS(BV_Data_An_Cour!$O:$O,BV_Data_An_Cour!$U:$U,$B35,BV_Data_An_Cour!$V:$V,$C35,BV_Data_An_Cour!$W:$W,L$2)</f>
        <v>8606.01</v>
      </c>
      <c r="M35" s="246"/>
      <c r="N35" s="296">
        <f t="shared" si="16"/>
        <v>1964.7600000000002</v>
      </c>
      <c r="O35" s="246"/>
      <c r="P35" s="294">
        <f t="shared" si="17"/>
        <v>32.798493150684934</v>
      </c>
      <c r="Q35" s="256">
        <f t="array" ref="Q35">+INDEX('Réel 2024'!$A$2:$AO$501,MATCH($A35,'Réel 2024'!$A$2:$A$501,0),MATCH(Q$2,'Réel 2024'!$A$2:$AO$2,0))</f>
        <v>2394.29</v>
      </c>
      <c r="R35" s="246"/>
      <c r="S35" s="296">
        <f t="shared" si="18"/>
        <v>6211.72</v>
      </c>
      <c r="T35" s="41"/>
      <c r="Z35" s="41"/>
      <c r="AA35" s="41"/>
      <c r="AB35" s="41"/>
      <c r="AC35" s="41"/>
      <c r="AD35" s="41"/>
      <c r="AE35" s="41"/>
      <c r="AF35" s="41"/>
      <c r="AG35" s="41"/>
      <c r="AH35" s="41"/>
      <c r="AI35" s="41"/>
      <c r="AJ35" s="41"/>
      <c r="AK35" s="41"/>
      <c r="AL35" s="41"/>
      <c r="AM35" s="41"/>
      <c r="AN35" s="41"/>
    </row>
    <row r="36" spans="1:40" ht="15.75" customHeight="1">
      <c r="A36" s="5" t="s">
        <v>374</v>
      </c>
      <c r="B36" s="41" t="s">
        <v>92</v>
      </c>
      <c r="C36" s="253" t="s">
        <v>116</v>
      </c>
      <c r="D36" s="297"/>
      <c r="E36" s="291">
        <f t="shared" si="14"/>
        <v>108.4</v>
      </c>
      <c r="F36" s="254">
        <f>+INDEX('Budget original'!$A$2:$AO$501,MATCH($A36,'Budget original'!$A$2:$A$501,0),MATCH(F$2,'Budget original'!$A$2:$AO$2,0))</f>
        <v>5962</v>
      </c>
      <c r="G36" s="298"/>
      <c r="H36" s="291"/>
      <c r="I36" s="254"/>
      <c r="J36" s="253"/>
      <c r="K36" s="291">
        <f t="shared" si="15"/>
        <v>137.4765625</v>
      </c>
      <c r="L36" s="301">
        <f>SUMIFS(BV_Data_An_Cour!$O:$O,BV_Data_An_Cour!$U:$U,$B36,BV_Data_An_Cour!$V:$V,$C36,BV_Data_An_Cour!$W:$W,L$2)</f>
        <v>4399.25</v>
      </c>
      <c r="M36" s="41"/>
      <c r="N36" s="276">
        <f t="shared" si="16"/>
        <v>-1562.75</v>
      </c>
      <c r="O36" s="253"/>
      <c r="P36" s="291">
        <f t="shared" si="17"/>
        <v>-25.284383561643835</v>
      </c>
      <c r="Q36" s="272">
        <f t="array" ref="Q36">+INDEX('Réel 2024'!$A$2:$AO$501,MATCH($A36,'Réel 2024'!$A$2:$A$501,0),MATCH(Q$2,'Réel 2024'!$A$2:$AO$2,0))</f>
        <v>-1845.76</v>
      </c>
      <c r="R36" s="253"/>
      <c r="S36" s="276">
        <f t="shared" si="18"/>
        <v>6245.01</v>
      </c>
      <c r="T36" s="41"/>
      <c r="U36" s="1190"/>
      <c r="Z36" s="41"/>
      <c r="AA36" s="41"/>
      <c r="AB36" s="41"/>
      <c r="AC36" s="41"/>
      <c r="AD36" s="41"/>
      <c r="AE36" s="41"/>
      <c r="AF36" s="41"/>
      <c r="AG36" s="41"/>
      <c r="AH36" s="41"/>
      <c r="AI36" s="41"/>
      <c r="AJ36" s="41"/>
      <c r="AK36" s="41"/>
      <c r="AL36" s="41"/>
      <c r="AM36" s="41"/>
      <c r="AN36" s="41"/>
    </row>
    <row r="37" spans="1:40" ht="15.75" customHeight="1">
      <c r="A37" s="5" t="s">
        <v>375</v>
      </c>
      <c r="B37" s="41" t="s">
        <v>92</v>
      </c>
      <c r="C37" s="253" t="s">
        <v>117</v>
      </c>
      <c r="D37" s="297"/>
      <c r="E37" s="291">
        <f>F37/D$24</f>
        <v>623.20302355257672</v>
      </c>
      <c r="F37" s="254">
        <f>+INDEX('Budget original'!$A$2:$AO$501,MATCH($A37,'Budget original'!$A$2:$A$501,0),MATCH(F$2,'Budget original'!$A$2:$AO$2,0))</f>
        <v>34276.166295391718</v>
      </c>
      <c r="G37" s="298"/>
      <c r="H37" s="291"/>
      <c r="I37" s="254"/>
      <c r="J37" s="253"/>
      <c r="K37" s="291">
        <f t="shared" si="15"/>
        <v>-353.66</v>
      </c>
      <c r="L37" s="1226">
        <f>SUMIFS(BV_Data_An_Cour!$O:$O,BV_Data_An_Cour!$U:$U,$B37,BV_Data_An_Cour!$V:$V,$C37,BV_Data_An_Cour!$W:$W,L$2)</f>
        <v>-11317.12</v>
      </c>
      <c r="M37" s="41"/>
      <c r="N37" s="961">
        <f t="shared" si="16"/>
        <v>-45593.286295391721</v>
      </c>
      <c r="O37" s="253"/>
      <c r="P37" s="291">
        <f t="shared" si="17"/>
        <v>418.82698630136986</v>
      </c>
      <c r="Q37" s="256">
        <f t="array" ref="Q37">+INDEX('Réel 2024'!$A$2:$AO$501,MATCH($A37,'Réel 2024'!$A$2:$A$501,0),MATCH(Q$2,'Réel 2024'!$A$2:$AO$2,0))</f>
        <v>30574.37</v>
      </c>
      <c r="R37" s="253"/>
      <c r="S37" s="276">
        <f t="shared" si="18"/>
        <v>-41891.49</v>
      </c>
      <c r="T37" s="41"/>
      <c r="Z37" s="41"/>
      <c r="AA37" s="41"/>
      <c r="AB37" s="41"/>
      <c r="AC37" s="41"/>
      <c r="AD37" s="41"/>
      <c r="AE37" s="41"/>
      <c r="AF37" s="41"/>
      <c r="AG37" s="41"/>
      <c r="AH37" s="41"/>
      <c r="AI37" s="41"/>
      <c r="AJ37" s="41"/>
      <c r="AK37" s="41"/>
      <c r="AL37" s="41"/>
      <c r="AM37" s="41"/>
      <c r="AN37" s="41"/>
    </row>
    <row r="38" spans="1:40" ht="15.75" hidden="1" customHeight="1">
      <c r="A38" s="5" t="s">
        <v>358</v>
      </c>
      <c r="B38" s="41" t="s">
        <v>92</v>
      </c>
      <c r="C38" s="253" t="s">
        <v>59</v>
      </c>
      <c r="D38" s="297"/>
      <c r="E38" s="291">
        <f>F38/D$24</f>
        <v>0</v>
      </c>
      <c r="F38" s="254">
        <f>+INDEX('Budget original'!$A$2:$AO$501,MATCH($A38,'Budget original'!$A$2:$A$501,0),MATCH(F$2,'Budget original'!$A$2:$AO$2,0))</f>
        <v>0</v>
      </c>
      <c r="G38" s="298"/>
      <c r="H38" s="291"/>
      <c r="I38" s="254"/>
      <c r="J38" s="253"/>
      <c r="K38" s="291">
        <f t="shared" si="15"/>
        <v>0</v>
      </c>
      <c r="L38" s="302">
        <f>SUMIFS(BV_Data_An_Cour!$O:$O,BV_Data_An_Cour!$U:$U,$B38,BV_Data_An_Cour!$V:$V,$C38,BV_Data_An_Cour!$W:$W,L$2)</f>
        <v>0</v>
      </c>
      <c r="M38" s="41"/>
      <c r="N38" s="276">
        <f t="shared" si="16"/>
        <v>0</v>
      </c>
      <c r="O38" s="253"/>
      <c r="P38" s="291">
        <f t="shared" si="17"/>
        <v>0</v>
      </c>
      <c r="Q38" s="256">
        <f t="array" ref="Q38">+INDEX('Réel 2024'!$A$2:$AO$501,MATCH($A38,'Réel 2024'!$A$2:$A$501,0),MATCH(Q$2,'Réel 2024'!$A$2:$AO$2,0))</f>
        <v>0</v>
      </c>
      <c r="R38" s="253"/>
      <c r="S38" s="276">
        <f t="shared" si="18"/>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
        <v>358</v>
      </c>
      <c r="B39" s="41" t="s">
        <v>92</v>
      </c>
      <c r="C39" s="253" t="s">
        <v>59</v>
      </c>
      <c r="D39" s="297"/>
      <c r="E39" s="291">
        <f>F39/D$24</f>
        <v>0</v>
      </c>
      <c r="F39" s="254">
        <f>+INDEX('Budget original'!$A$2:$AO$501,MATCH($A39,'Budget original'!$A$2:$A$501,0),MATCH(F$2,'Budget original'!$A$2:$AO$2,0))</f>
        <v>0</v>
      </c>
      <c r="G39" s="298"/>
      <c r="H39" s="291"/>
      <c r="I39" s="254"/>
      <c r="J39" s="253"/>
      <c r="K39" s="291">
        <f t="shared" si="15"/>
        <v>0</v>
      </c>
      <c r="L39" s="302">
        <f>SUMIFS(BV_Data_An_Cour!$O:$O,BV_Data_An_Cour!$U:$U,$B39,BV_Data_An_Cour!$V:$V,$C39,BV_Data_An_Cour!$W:$W,L$2)</f>
        <v>0</v>
      </c>
      <c r="M39" s="41"/>
      <c r="N39" s="276">
        <f t="shared" si="16"/>
        <v>0</v>
      </c>
      <c r="O39" s="253"/>
      <c r="P39" s="291">
        <f t="shared" si="17"/>
        <v>0</v>
      </c>
      <c r="Q39" s="256">
        <f t="array" ref="Q39">+INDEX('Réel 2024'!$A$2:$AO$501,MATCH($A39,'Réel 2024'!$A$2:$A$501,0),MATCH(Q$2,'Réel 2024'!$A$2:$AO$2,0))</f>
        <v>0</v>
      </c>
      <c r="R39" s="253"/>
      <c r="S39" s="276">
        <f t="shared" si="18"/>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
        <v>358</v>
      </c>
      <c r="B40" s="41" t="s">
        <v>92</v>
      </c>
      <c r="C40" s="253" t="s">
        <v>59</v>
      </c>
      <c r="D40" s="297"/>
      <c r="E40" s="291">
        <f>F40/D$24</f>
        <v>0</v>
      </c>
      <c r="F40" s="254">
        <f>+INDEX('Budget original'!$A$2:$AO$501,MATCH($A40,'Budget original'!$A$2:$A$501,0),MATCH(F$2,'Budget original'!$A$2:$AO$2,0))</f>
        <v>0</v>
      </c>
      <c r="G40" s="298"/>
      <c r="H40" s="291"/>
      <c r="I40" s="254"/>
      <c r="J40" s="253"/>
      <c r="K40" s="291">
        <f t="shared" si="15"/>
        <v>0</v>
      </c>
      <c r="L40" s="303">
        <f>SUMIFS(BV_Data_An_Cour!$O:$O,BV_Data_An_Cour!$U:$U,$B40,BV_Data_An_Cour!$V:$V,$C40,BV_Data_An_Cour!$W:$W,L$2)</f>
        <v>0</v>
      </c>
      <c r="M40" s="41"/>
      <c r="N40" s="276">
        <f t="shared" si="16"/>
        <v>0</v>
      </c>
      <c r="O40" s="253"/>
      <c r="P40" s="291">
        <f t="shared" si="17"/>
        <v>0</v>
      </c>
      <c r="Q40" s="256">
        <f t="array" ref="Q40">+INDEX('Réel 2024'!$A$2:$AO$501,MATCH($A40,'Réel 2024'!$A$2:$A$501,0),MATCH(Q$2,'Réel 2024'!$A$2:$AO$2,0))</f>
        <v>0</v>
      </c>
      <c r="R40" s="253"/>
      <c r="S40" s="276">
        <f t="shared" si="18"/>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
        <v>376</v>
      </c>
      <c r="B41" s="41" t="s">
        <v>92</v>
      </c>
      <c r="C41" s="304" t="s">
        <v>118</v>
      </c>
      <c r="D41" s="305" t="s">
        <v>119</v>
      </c>
      <c r="E41" s="306">
        <f>F41/F$27</f>
        <v>0.58974736449649556</v>
      </c>
      <c r="F41" s="307">
        <f>SUM(F31:F40)</f>
        <v>110691.79098584544</v>
      </c>
      <c r="G41" s="308"/>
      <c r="H41" s="306"/>
      <c r="I41" s="307"/>
      <c r="J41" s="308" t="s">
        <v>119</v>
      </c>
      <c r="K41" s="306">
        <f>L41/L$27</f>
        <v>0.35578303146606893</v>
      </c>
      <c r="L41" s="307">
        <f>SUM(L31:L40)</f>
        <v>41039.9</v>
      </c>
      <c r="M41" s="309"/>
      <c r="N41" s="307">
        <f t="shared" si="16"/>
        <v>-69651.890985845443</v>
      </c>
      <c r="O41" s="308" t="s">
        <v>119</v>
      </c>
      <c r="P41" s="306">
        <f>Q41/Q$27</f>
        <v>0.4325678381070287</v>
      </c>
      <c r="Q41" s="310">
        <f>SUM(Q31:Q40)</f>
        <v>109648.39</v>
      </c>
      <c r="R41" s="311"/>
      <c r="S41" s="307">
        <f t="shared" si="18"/>
        <v>-68608.489999999991</v>
      </c>
      <c r="T41" s="41"/>
      <c r="U41" s="41"/>
      <c r="V41" s="41"/>
      <c r="W41" s="41"/>
      <c r="X41" s="41"/>
      <c r="Y41" s="41"/>
      <c r="Z41" s="41"/>
      <c r="AA41" s="41"/>
      <c r="AB41" s="41"/>
      <c r="AC41" s="41"/>
      <c r="AD41" s="41"/>
      <c r="AE41" s="41"/>
      <c r="AF41" s="41"/>
      <c r="AG41" s="41"/>
      <c r="AH41" s="41"/>
      <c r="AI41" s="41"/>
      <c r="AJ41" s="41"/>
      <c r="AK41" s="41"/>
      <c r="AL41" s="41"/>
      <c r="AM41" s="41"/>
      <c r="AN41" s="41"/>
    </row>
    <row r="42" spans="1:40" ht="15.75" customHeight="1">
      <c r="A42" s="5" t="s">
        <v>377</v>
      </c>
      <c r="B42" s="41" t="s">
        <v>92</v>
      </c>
      <c r="C42" s="312" t="s">
        <v>120</v>
      </c>
      <c r="D42" s="41"/>
      <c r="E42" s="41"/>
      <c r="F42" s="254">
        <f>+INDEX('Budget original'!$A$2:$AO$501,MATCH($A42,'Budget original'!$A$2:$A$501,0),MATCH(F$2,'Budget original'!$A$2:$AO$2,0))</f>
        <v>24486.465384615389</v>
      </c>
      <c r="G42" s="253"/>
      <c r="H42" s="41"/>
      <c r="I42" s="254"/>
      <c r="J42" s="253"/>
      <c r="K42" s="41"/>
      <c r="L42" s="256">
        <f>SUMIFS(BV_Data_An_Cour!$O:$O,BV_Data_An_Cour!$U:$U,$B42,BV_Data_An_Cour!$V:$V,$C42,BV_Data_An_Cour!$W:$W,L$2)</f>
        <v>14507.52</v>
      </c>
      <c r="M42" s="253"/>
      <c r="N42" s="276">
        <f t="shared" si="16"/>
        <v>-9978.9453846153883</v>
      </c>
      <c r="O42" s="253"/>
      <c r="P42" s="1144">
        <f>Q42/Q27</f>
        <v>7.3725593633612585E-2</v>
      </c>
      <c r="Q42" s="256">
        <f t="array" ref="Q42">+INDEX('Réel 2024'!$A$2:$AO$501,MATCH($A42,'Réel 2024'!$A$2:$A$501,0),MATCH(Q$2,'Réel 2024'!$A$2:$AO$2,0))</f>
        <v>18688.150000000001</v>
      </c>
      <c r="R42" s="253"/>
      <c r="S42" s="276">
        <f t="shared" si="18"/>
        <v>-4180.630000000001</v>
      </c>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
        <v>378</v>
      </c>
      <c r="B43" s="41" t="s">
        <v>92</v>
      </c>
      <c r="C43" s="313" t="s">
        <v>121</v>
      </c>
      <c r="D43" s="297"/>
      <c r="E43" s="41"/>
      <c r="F43" s="248">
        <f>+INDEX('Budget original'!$A$2:$AO$501,MATCH($A43,'Budget original'!$A$2:$A$501,0),MATCH(F$2,'Budget original'!$A$2:$AO$2,0))</f>
        <v>13904.219076923078</v>
      </c>
      <c r="G43" s="298"/>
      <c r="H43" s="41"/>
      <c r="I43" s="248"/>
      <c r="J43" s="253"/>
      <c r="K43" s="41"/>
      <c r="L43" s="256">
        <f>SUMIFS(BV_Data_An_Cour!$O:$O,BV_Data_An_Cour!$U:$U,$B43,BV_Data_An_Cour!$V:$V,$C43,BV_Data_An_Cour!$W:$W,L$2)</f>
        <v>12111.66</v>
      </c>
      <c r="M43" s="253"/>
      <c r="N43" s="276">
        <f t="shared" si="16"/>
        <v>-1792.5590769230785</v>
      </c>
      <c r="O43" s="253"/>
      <c r="P43" s="41"/>
      <c r="Q43" s="256">
        <f t="array" ref="Q43">+INDEX('Réel 2024'!$A$2:$AO$501,MATCH($A43,'Réel 2024'!$A$2:$A$501,0),MATCH(Q$2,'Réel 2024'!$A$2:$AO$2,0))</f>
        <v>8496.6200000000008</v>
      </c>
      <c r="R43" s="253"/>
      <c r="S43" s="276">
        <f t="shared" si="18"/>
        <v>3615.0399999999991</v>
      </c>
      <c r="T43" s="41"/>
      <c r="U43" s="41"/>
      <c r="V43" s="41"/>
      <c r="W43" s="41"/>
      <c r="X43" s="41"/>
      <c r="Y43" s="41"/>
      <c r="Z43" s="41"/>
      <c r="AA43" s="41"/>
      <c r="AB43" s="41"/>
      <c r="AC43" s="41"/>
      <c r="AD43" s="41"/>
      <c r="AE43" s="41"/>
      <c r="AF43" s="41"/>
      <c r="AG43" s="41"/>
      <c r="AH43" s="41"/>
      <c r="AI43" s="41"/>
      <c r="AJ43" s="41"/>
      <c r="AK43" s="41"/>
      <c r="AL43" s="41"/>
      <c r="AM43" s="41"/>
      <c r="AN43" s="41"/>
    </row>
    <row r="44" spans="1:40" ht="15.75" customHeight="1">
      <c r="A44" s="5" t="s">
        <v>379</v>
      </c>
      <c r="B44" s="41" t="s">
        <v>92</v>
      </c>
      <c r="C44" s="312" t="s">
        <v>122</v>
      </c>
      <c r="D44" s="314"/>
      <c r="E44" s="315"/>
      <c r="F44" s="254">
        <f>+INDEX('Budget original'!$A$2:$AO$501,MATCH($A44,'Budget original'!$A$2:$A$501,0),MATCH(F$2,'Budget original'!$A$2:$AO$2,0))</f>
        <v>315.55384615384617</v>
      </c>
      <c r="G44" s="316"/>
      <c r="H44" s="315"/>
      <c r="I44" s="254"/>
      <c r="J44" s="241"/>
      <c r="K44" s="315"/>
      <c r="L44" s="272">
        <f>SUMIFS(BV_Data_An_Cour!$O:$O,BV_Data_An_Cour!$U:$U,$B44,BV_Data_An_Cour!$V:$V,$C44,BV_Data_An_Cour!$W:$W,L$2)</f>
        <v>2451</v>
      </c>
      <c r="M44" s="241"/>
      <c r="N44" s="317">
        <f t="shared" si="16"/>
        <v>2135.4461538461537</v>
      </c>
      <c r="O44" s="241"/>
      <c r="P44" s="315"/>
      <c r="Q44" s="272">
        <f t="array" ref="Q44">+INDEX('Réel 2024'!$A$2:$AO$501,MATCH($A44,'Réel 2024'!$A$2:$A$501,0),MATCH(Q$2,'Réel 2024'!$A$2:$AO$2,0))</f>
        <v>3562.25</v>
      </c>
      <c r="R44" s="241"/>
      <c r="S44" s="317">
        <f t="shared" si="18"/>
        <v>-1111.25</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
        <v>380</v>
      </c>
      <c r="B45" s="41" t="s">
        <v>92</v>
      </c>
      <c r="C45" s="312" t="s">
        <v>123</v>
      </c>
      <c r="D45" s="297"/>
      <c r="E45" s="41"/>
      <c r="F45" s="254">
        <f>+INDEX('Budget original'!$A$2:$AO$501,MATCH($A45,'Budget original'!$A$2:$A$501,0),MATCH(F$2,'Budget original'!$A$2:$AO$2,0))</f>
        <v>0</v>
      </c>
      <c r="G45" s="298"/>
      <c r="H45" s="41"/>
      <c r="I45" s="254"/>
      <c r="J45" s="253"/>
      <c r="K45" s="41"/>
      <c r="L45" s="256">
        <f>SUMIFS(BV_Data_An_Cour!$O:$O,BV_Data_An_Cour!$U:$U,$B45,BV_Data_An_Cour!$V:$V,$C45,BV_Data_An_Cour!$W:$W,L$2)</f>
        <v>0</v>
      </c>
      <c r="M45" s="253"/>
      <c r="N45" s="276">
        <f t="shared" si="16"/>
        <v>0</v>
      </c>
      <c r="O45" s="253"/>
      <c r="P45" s="41"/>
      <c r="Q45" s="256">
        <f t="array" ref="Q45">+INDEX('Réel 2024'!$A$2:$AO$501,MATCH($A45,'Réel 2024'!$A$2:$A$501,0),MATCH(Q$2,'Réel 2024'!$A$2:$AO$2,0))</f>
        <v>0</v>
      </c>
      <c r="R45" s="253"/>
      <c r="S45" s="276">
        <f t="shared" si="18"/>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
        <v>358</v>
      </c>
      <c r="B46" s="41" t="s">
        <v>92</v>
      </c>
      <c r="C46" s="312" t="s">
        <v>59</v>
      </c>
      <c r="D46" s="297"/>
      <c r="E46" s="41"/>
      <c r="F46" s="254">
        <f>+INDEX('Budget original'!$A$2:$AO$501,MATCH($A46,'Budget original'!$A$2:$A$501,0),MATCH(F$2,'Budget original'!$A$2:$AO$2,0))</f>
        <v>0</v>
      </c>
      <c r="G46" s="298"/>
      <c r="H46" s="41"/>
      <c r="I46" s="254"/>
      <c r="J46" s="253"/>
      <c r="K46" s="41"/>
      <c r="L46" s="256">
        <f>SUMIFS(BV_Data_An_Cour!$O:$O,BV_Data_An_Cour!$U:$U,$B46,BV_Data_An_Cour!$V:$V,$C46,BV_Data_An_Cour!$W:$W,L$2)</f>
        <v>0</v>
      </c>
      <c r="M46" s="253"/>
      <c r="N46" s="276">
        <f t="shared" si="16"/>
        <v>0</v>
      </c>
      <c r="O46" s="253"/>
      <c r="P46" s="41"/>
      <c r="Q46" s="256">
        <f t="array" ref="Q46">+INDEX('Réel 2024'!$A$2:$AO$501,MATCH($A46,'Réel 2024'!$A$2:$A$501,0),MATCH(Q$2,'Réel 2024'!$A$2:$AO$2,0))</f>
        <v>0</v>
      </c>
      <c r="R46" s="253"/>
      <c r="S46" s="276">
        <f t="shared" si="18"/>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
        <v>358</v>
      </c>
      <c r="B47" s="41" t="s">
        <v>92</v>
      </c>
      <c r="C47" s="312" t="s">
        <v>59</v>
      </c>
      <c r="D47" s="297"/>
      <c r="E47" s="41"/>
      <c r="F47" s="254">
        <f>+INDEX('Budget original'!$A$2:$AO$501,MATCH($A47,'Budget original'!$A$2:$A$501,0),MATCH(F$2,'Budget original'!$A$2:$AO$2,0))</f>
        <v>0</v>
      </c>
      <c r="G47" s="298"/>
      <c r="H47" s="41"/>
      <c r="I47" s="254"/>
      <c r="J47" s="253"/>
      <c r="K47" s="41"/>
      <c r="L47" s="256">
        <f>SUMIFS(BV_Data_An_Cour!$O:$O,BV_Data_An_Cour!$U:$U,$B47,BV_Data_An_Cour!$V:$V,$C47,BV_Data_An_Cour!$W:$W,L$2)</f>
        <v>0</v>
      </c>
      <c r="M47" s="253"/>
      <c r="N47" s="276">
        <f t="shared" si="16"/>
        <v>0</v>
      </c>
      <c r="O47" s="253"/>
      <c r="P47" s="41"/>
      <c r="Q47" s="256">
        <f t="array" ref="Q47">+INDEX('Réel 2024'!$A$2:$AO$501,MATCH($A47,'Réel 2024'!$A$2:$A$501,0),MATCH(Q$2,'Réel 2024'!$A$2:$AO$2,0))</f>
        <v>0</v>
      </c>
      <c r="R47" s="253"/>
      <c r="S47" s="276">
        <f t="shared" si="18"/>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
        <v>358</v>
      </c>
      <c r="B48" s="41" t="s">
        <v>92</v>
      </c>
      <c r="C48" s="312" t="s">
        <v>59</v>
      </c>
      <c r="D48" s="297"/>
      <c r="E48" s="41"/>
      <c r="F48" s="254">
        <f>+INDEX('Budget original'!$A$2:$AO$501,MATCH($A48,'Budget original'!$A$2:$A$501,0),MATCH(F$2,'Budget original'!$A$2:$AO$2,0))</f>
        <v>0</v>
      </c>
      <c r="G48" s="298"/>
      <c r="H48" s="41"/>
      <c r="I48" s="254"/>
      <c r="J48" s="253"/>
      <c r="K48" s="41"/>
      <c r="L48" s="256">
        <f>SUMIFS(BV_Data_An_Cour!$O:$O,BV_Data_An_Cour!$U:$U,$B48,BV_Data_An_Cour!$V:$V,$C48,BV_Data_An_Cour!$W:$W,L$2)</f>
        <v>0</v>
      </c>
      <c r="M48" s="253"/>
      <c r="N48" s="276">
        <f t="shared" si="16"/>
        <v>0</v>
      </c>
      <c r="O48" s="253"/>
      <c r="P48" s="41"/>
      <c r="Q48" s="256">
        <f t="array" ref="Q48">+INDEX('Réel 2024'!$A$2:$AO$501,MATCH($A48,'Réel 2024'!$A$2:$A$501,0),MATCH(Q$2,'Réel 2024'!$A$2:$AO$2,0))</f>
        <v>0</v>
      </c>
      <c r="R48" s="253"/>
      <c r="S48" s="276">
        <f t="shared" si="18"/>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
        <v>381</v>
      </c>
      <c r="B49" s="41" t="s">
        <v>92</v>
      </c>
      <c r="C49" s="313" t="s">
        <v>124</v>
      </c>
      <c r="D49" s="297"/>
      <c r="E49" s="41"/>
      <c r="F49" s="248">
        <f>+INDEX('Budget original'!$A$2:$AO$501,MATCH($A49,'Budget original'!$A$2:$A$501,0),MATCH(F$2,'Budget original'!$A$2:$AO$2,0))</f>
        <v>9735.8914894858408</v>
      </c>
      <c r="G49" s="298"/>
      <c r="H49" s="41"/>
      <c r="I49" s="248"/>
      <c r="J49" s="253"/>
      <c r="K49" s="41"/>
      <c r="L49" s="248">
        <f>SUMIFS(BV_Data_An_Cour!$O:$O,BV_Data_An_Cour!$U:$U,$B49,BV_Data_An_Cour!$V:$V,$C49,BV_Data_An_Cour!$W:$W,L$2)</f>
        <v>8944.73</v>
      </c>
      <c r="M49" s="253"/>
      <c r="N49" s="276">
        <f t="shared" si="16"/>
        <v>-791.16148948584123</v>
      </c>
      <c r="O49" s="253"/>
      <c r="P49" s="41"/>
      <c r="Q49" s="248">
        <f t="array" ref="Q49">+INDEX('Réel 2024'!$A$2:$AO$501,MATCH($A49,'Réel 2024'!$A$2:$A$501,0),MATCH(Q$2,'Réel 2024'!$A$2:$AO$2,0))</f>
        <v>9094.5300000000007</v>
      </c>
      <c r="R49" s="253"/>
      <c r="S49" s="276">
        <f t="shared" si="18"/>
        <v>-149.80000000000109</v>
      </c>
      <c r="T49" s="41"/>
      <c r="U49" s="41"/>
      <c r="V49" s="41"/>
      <c r="W49" s="41"/>
      <c r="X49" s="38"/>
      <c r="Y49" s="41"/>
      <c r="Z49" s="41"/>
      <c r="AA49" s="41"/>
      <c r="AB49" s="41"/>
      <c r="AC49" s="41"/>
      <c r="AD49" s="41"/>
      <c r="AE49" s="41"/>
      <c r="AF49" s="41"/>
      <c r="AG49" s="41"/>
      <c r="AH49" s="41"/>
      <c r="AI49" s="41"/>
      <c r="AJ49" s="41"/>
      <c r="AK49" s="41"/>
      <c r="AL49" s="41"/>
      <c r="AM49" s="41"/>
      <c r="AN49" s="41"/>
    </row>
    <row r="50" spans="1:40" ht="15.75" customHeight="1">
      <c r="A50" s="5" t="s">
        <v>382</v>
      </c>
      <c r="B50" s="41" t="s">
        <v>92</v>
      </c>
      <c r="C50" s="312" t="s">
        <v>125</v>
      </c>
      <c r="D50" s="314"/>
      <c r="E50" s="315"/>
      <c r="F50" s="254">
        <f>+INDEX('Budget original'!$A$2:$AO$501,MATCH($A50,'Budget original'!$A$2:$A$501,0),MATCH(F$2,'Budget original'!$A$2:$AO$2,0))</f>
        <v>11837.471590740493</v>
      </c>
      <c r="G50" s="316"/>
      <c r="H50" s="315"/>
      <c r="I50" s="254"/>
      <c r="J50" s="241"/>
      <c r="K50" s="315"/>
      <c r="L50" s="256">
        <f>SUMIFS(BV_Data_An_Cour!$O:$O,BV_Data_An_Cour!$U:$U,$B50,BV_Data_An_Cour!$V:$V,$C50,BV_Data_An_Cour!$W:$W,L$2)</f>
        <v>12821.25</v>
      </c>
      <c r="M50" s="241"/>
      <c r="N50" s="317">
        <f t="shared" si="16"/>
        <v>983.77840925950659</v>
      </c>
      <c r="O50" s="241"/>
      <c r="P50" s="315"/>
      <c r="Q50" s="256">
        <f t="array" ref="Q50">+INDEX('Réel 2024'!$A$2:$AO$501,MATCH($A50,'Réel 2024'!$A$2:$A$501,0),MATCH(Q$2,'Réel 2024'!$A$2:$AO$2,0))</f>
        <v>14498.97</v>
      </c>
      <c r="R50" s="241"/>
      <c r="S50" s="317">
        <f t="shared" si="18"/>
        <v>-1677.7199999999993</v>
      </c>
      <c r="T50" s="41"/>
      <c r="U50" s="41"/>
      <c r="V50" s="41"/>
      <c r="W50" s="41"/>
      <c r="X50" s="38"/>
      <c r="Y50" s="41"/>
      <c r="Z50" s="41"/>
      <c r="AA50" s="41"/>
      <c r="AB50" s="41"/>
      <c r="AC50" s="41"/>
      <c r="AD50" s="41"/>
      <c r="AE50" s="41"/>
      <c r="AF50" s="41"/>
      <c r="AG50" s="41"/>
      <c r="AH50" s="41"/>
      <c r="AI50" s="41"/>
      <c r="AJ50" s="41"/>
      <c r="AK50" s="41"/>
      <c r="AL50" s="41"/>
      <c r="AM50" s="41"/>
      <c r="AN50" s="41"/>
    </row>
    <row r="51" spans="1:40" ht="15.75" customHeight="1">
      <c r="A51" s="5" t="s">
        <v>383</v>
      </c>
      <c r="B51" s="41" t="s">
        <v>92</v>
      </c>
      <c r="C51" s="312" t="s">
        <v>126</v>
      </c>
      <c r="D51" s="297"/>
      <c r="E51" s="41"/>
      <c r="F51" s="254">
        <f>+INDEX('Budget original'!$A$2:$AO$501,MATCH($A51,'Budget original'!$A$2:$A$501,0),MATCH(F$2,'Budget original'!$A$2:$AO$2,0))</f>
        <v>6098.8712326206451</v>
      </c>
      <c r="G51" s="298"/>
      <c r="H51" s="41"/>
      <c r="I51" s="254"/>
      <c r="J51" s="253"/>
      <c r="K51" s="41"/>
      <c r="L51" s="256">
        <f>SUMIFS(BV_Data_An_Cour!$O:$O,BV_Data_An_Cour!$U:$U,$B51,BV_Data_An_Cour!$V:$V,$C51,BV_Data_An_Cour!$W:$W,L$2)</f>
        <v>4964.91</v>
      </c>
      <c r="M51" s="253"/>
      <c r="N51" s="276">
        <f t="shared" si="16"/>
        <v>-1133.9612326206452</v>
      </c>
      <c r="O51" s="253"/>
      <c r="P51" s="41"/>
      <c r="Q51" s="256">
        <f t="array" ref="Q51">+INDEX('Réel 2024'!$A$2:$AO$501,MATCH($A51,'Réel 2024'!$A$2:$A$501,0),MATCH(Q$2,'Réel 2024'!$A$2:$AO$2,0))</f>
        <v>6952.68</v>
      </c>
      <c r="R51" s="253"/>
      <c r="S51" s="276">
        <f t="shared" si="18"/>
        <v>-1987.7700000000004</v>
      </c>
      <c r="T51" s="41"/>
      <c r="U51" s="41"/>
      <c r="V51" s="41"/>
      <c r="W51" s="41"/>
      <c r="X51" s="38"/>
      <c r="Y51" s="41"/>
      <c r="Z51" s="41"/>
      <c r="AA51" s="41"/>
      <c r="AB51" s="41"/>
      <c r="AC51" s="41"/>
      <c r="AD51" s="41"/>
      <c r="AE51" s="41"/>
      <c r="AF51" s="41"/>
      <c r="AG51" s="41"/>
      <c r="AH51" s="41"/>
      <c r="AI51" s="41"/>
      <c r="AJ51" s="41"/>
      <c r="AK51" s="41"/>
      <c r="AL51" s="41"/>
      <c r="AM51" s="41"/>
      <c r="AN51" s="41"/>
    </row>
    <row r="52" spans="1:40" ht="15.75" customHeight="1">
      <c r="A52" s="5" t="s">
        <v>384</v>
      </c>
      <c r="B52" s="41" t="s">
        <v>92</v>
      </c>
      <c r="C52" s="312" t="s">
        <v>127</v>
      </c>
      <c r="D52" s="297"/>
      <c r="E52" s="41"/>
      <c r="F52" s="254">
        <f>+INDEX('Budget original'!$A$2:$AO$501,MATCH($A52,'Budget original'!$A$2:$A$501,0),MATCH(F$2,'Budget original'!$A$2:$AO$2,0))</f>
        <v>2659.1421689344584</v>
      </c>
      <c r="G52" s="298"/>
      <c r="H52" s="41"/>
      <c r="I52" s="254"/>
      <c r="J52" s="253"/>
      <c r="K52" s="41"/>
      <c r="L52" s="256">
        <f>SUMIFS(BV_Data_An_Cour!$O:$O,BV_Data_An_Cour!$U:$U,$B52,BV_Data_An_Cour!$V:$V,$C52,BV_Data_An_Cour!$W:$W,L$2)</f>
        <v>3329.22</v>
      </c>
      <c r="M52" s="253"/>
      <c r="N52" s="276">
        <f t="shared" si="16"/>
        <v>670.07783106554143</v>
      </c>
      <c r="O52" s="253"/>
      <c r="P52" s="41"/>
      <c r="Q52" s="256">
        <f t="array" ref="Q52">+INDEX('Réel 2024'!$A$2:$AO$501,MATCH($A52,'Réel 2024'!$A$2:$A$501,0),MATCH(Q$2,'Réel 2024'!$A$2:$AO$2,0))</f>
        <v>2844.68</v>
      </c>
      <c r="R52" s="253"/>
      <c r="S52" s="276">
        <f t="shared" si="18"/>
        <v>484.53999999999996</v>
      </c>
      <c r="T52" s="41"/>
      <c r="U52" s="41"/>
      <c r="V52" s="41"/>
      <c r="W52" s="41"/>
      <c r="X52" s="38"/>
      <c r="Y52" s="41"/>
      <c r="Z52" s="41"/>
      <c r="AA52" s="41"/>
      <c r="AB52" s="41"/>
      <c r="AC52" s="41"/>
      <c r="AD52" s="41"/>
      <c r="AE52" s="41"/>
      <c r="AF52" s="41"/>
      <c r="AG52" s="41"/>
      <c r="AH52" s="41"/>
      <c r="AI52" s="41"/>
      <c r="AJ52" s="41"/>
      <c r="AK52" s="41"/>
      <c r="AL52" s="41"/>
      <c r="AM52" s="41"/>
      <c r="AN52" s="41"/>
    </row>
    <row r="53" spans="1:40" ht="15.75" hidden="1" customHeight="1">
      <c r="A53" s="5" t="s">
        <v>358</v>
      </c>
      <c r="B53" s="41" t="s">
        <v>92</v>
      </c>
      <c r="C53" s="253" t="s">
        <v>59</v>
      </c>
      <c r="D53" s="299" t="e">
        <f>VLOOKUP(C53,$B$2:$B$46,1,FALSE)</f>
        <v>#N/A</v>
      </c>
      <c r="E53" s="318"/>
      <c r="F53" s="254">
        <f>+INDEX('Budget original'!$A$2:$AO$501,MATCH($A53,'Budget original'!$A$2:$A$501,0),MATCH(F$2,'Budget original'!$A$2:$AO$2,0))</f>
        <v>0</v>
      </c>
      <c r="G53" s="300"/>
      <c r="H53" s="318"/>
      <c r="I53" s="254"/>
      <c r="J53" s="246"/>
      <c r="K53" s="318"/>
      <c r="L53" s="256">
        <f>SUMIFS(BV_Data_An_Cour!$O:$O,BV_Data_An_Cour!$U:$U,$B53,BV_Data_An_Cour!$V:$V,$C53,BV_Data_An_Cour!$W:$W,L$2)</f>
        <v>0</v>
      </c>
      <c r="M53" s="246"/>
      <c r="N53" s="296">
        <f t="shared" si="16"/>
        <v>0</v>
      </c>
      <c r="O53" s="246"/>
      <c r="P53" s="318"/>
      <c r="Q53" s="256">
        <f t="array" ref="Q53">+INDEX('Réel 2024'!$A$2:$AO$501,MATCH($A53,'Réel 2024'!$A$2:$A$501,0),MATCH(Q$2,'Réel 2024'!$A$2:$AO$2,0))</f>
        <v>0</v>
      </c>
      <c r="R53" s="246"/>
      <c r="S53" s="296">
        <f t="shared" si="18"/>
        <v>0</v>
      </c>
      <c r="T53" s="41"/>
      <c r="U53" s="41"/>
      <c r="V53" s="41"/>
      <c r="W53" s="41"/>
      <c r="X53" s="38"/>
      <c r="Y53" s="41"/>
      <c r="Z53" s="41"/>
      <c r="AA53" s="41"/>
      <c r="AB53" s="41"/>
      <c r="AC53" s="41"/>
      <c r="AD53" s="41"/>
      <c r="AE53" s="41"/>
      <c r="AF53" s="41"/>
      <c r="AG53" s="41"/>
      <c r="AH53" s="41"/>
      <c r="AI53" s="41"/>
      <c r="AJ53" s="41"/>
      <c r="AK53" s="41"/>
      <c r="AL53" s="41"/>
      <c r="AM53" s="41"/>
      <c r="AN53" s="41"/>
    </row>
    <row r="54" spans="1:40" ht="15.75" customHeight="1">
      <c r="A54" s="5" t="s">
        <v>385</v>
      </c>
      <c r="B54" s="41" t="s">
        <v>92</v>
      </c>
      <c r="C54" s="304" t="s">
        <v>128</v>
      </c>
      <c r="D54" s="305" t="s">
        <v>119</v>
      </c>
      <c r="E54" s="306">
        <f>F54/F$27</f>
        <v>0.36782087461592133</v>
      </c>
      <c r="F54" s="307">
        <f>+SUM(F42:F53)</f>
        <v>69037.614789473751</v>
      </c>
      <c r="G54" s="308"/>
      <c r="H54" s="306"/>
      <c r="I54" s="307"/>
      <c r="J54" s="308" t="s">
        <v>119</v>
      </c>
      <c r="K54" s="306">
        <f>L54/L$27</f>
        <v>0.51261220976824462</v>
      </c>
      <c r="L54" s="307">
        <f>+SUM(L42:L53)</f>
        <v>59130.290000000008</v>
      </c>
      <c r="M54" s="311"/>
      <c r="N54" s="307">
        <f>+SUM(N42:N53)</f>
        <v>-9907.3247894737542</v>
      </c>
      <c r="O54" s="308" t="s">
        <v>119</v>
      </c>
      <c r="P54" s="306">
        <f>Q54/Q$27</f>
        <v>0.25302682595127968</v>
      </c>
      <c r="Q54" s="307">
        <f>+SUM(Q42:Q53)</f>
        <v>64137.880000000005</v>
      </c>
      <c r="R54" s="311"/>
      <c r="S54" s="307">
        <f>+SUM(S42:S53)</f>
        <v>-5007.5900000000029</v>
      </c>
      <c r="T54" s="291"/>
      <c r="U54" s="41"/>
      <c r="V54" s="41"/>
      <c r="W54" s="41"/>
      <c r="X54" s="38"/>
      <c r="Y54" s="41"/>
      <c r="Z54" s="41"/>
      <c r="AA54" s="41"/>
      <c r="AB54" s="41"/>
      <c r="AC54" s="41"/>
      <c r="AD54" s="41"/>
      <c r="AE54" s="41"/>
      <c r="AF54" s="41"/>
      <c r="AG54" s="41"/>
      <c r="AH54" s="41"/>
      <c r="AI54" s="41"/>
      <c r="AJ54" s="41"/>
      <c r="AK54" s="41"/>
      <c r="AL54" s="41"/>
      <c r="AM54" s="41"/>
      <c r="AN54" s="41"/>
    </row>
    <row r="55" spans="1:40" ht="15.75" hidden="1" customHeight="1">
      <c r="A55" s="5" t="s">
        <v>386</v>
      </c>
      <c r="B55" s="41" t="s">
        <v>92</v>
      </c>
      <c r="C55" s="253" t="s">
        <v>129</v>
      </c>
      <c r="D55" s="297"/>
      <c r="E55" s="41"/>
      <c r="F55" s="254">
        <f>+INDEX('Budget original'!$A$2:$AO$501,MATCH($A55,'Budget original'!$A$2:$A$501,0),MATCH(F$2,'Budget original'!$A$2:$AO$2,0))</f>
        <v>0</v>
      </c>
      <c r="G55" s="298"/>
      <c r="H55" s="41"/>
      <c r="I55" s="254"/>
      <c r="J55" s="253"/>
      <c r="K55" s="41"/>
      <c r="L55" s="256">
        <f>SUMIFS(BV_Data_An_Cour!$O:$O,BV_Data_An_Cour!$U:$U,$B55,BV_Data_An_Cour!$V:$V,$C55,BV_Data_An_Cour!$W:$W,L$2)</f>
        <v>0</v>
      </c>
      <c r="M55" s="253"/>
      <c r="N55" s="276">
        <f t="shared" ref="N55:N71" si="19">L55-F55</f>
        <v>0</v>
      </c>
      <c r="O55" s="253"/>
      <c r="P55" s="41"/>
      <c r="Q55" s="256">
        <f t="array" ref="Q55">+INDEX('Réel 2024'!$A$2:$AO$501,MATCH($A55,'Réel 2024'!$A$2:$A$501,0),MATCH(Q$2,'Réel 2024'!$A$2:$AO$2,0))</f>
        <v>0</v>
      </c>
      <c r="R55" s="253"/>
      <c r="S55" s="276">
        <f t="shared" ref="S55:S71" si="20">L55-Q55</f>
        <v>0</v>
      </c>
      <c r="T55" s="291"/>
      <c r="U55" s="41"/>
      <c r="V55" s="41"/>
      <c r="W55" s="41"/>
      <c r="X55" s="38"/>
      <c r="Y55" s="41"/>
      <c r="Z55" s="41"/>
      <c r="AA55" s="41"/>
      <c r="AB55" s="41"/>
      <c r="AC55" s="41"/>
      <c r="AD55" s="41"/>
      <c r="AE55" s="41"/>
      <c r="AF55" s="41"/>
      <c r="AG55" s="41"/>
      <c r="AH55" s="41"/>
      <c r="AI55" s="41"/>
      <c r="AJ55" s="41"/>
      <c r="AK55" s="41"/>
      <c r="AL55" s="41"/>
      <c r="AM55" s="41"/>
      <c r="AN55" s="41"/>
    </row>
    <row r="56" spans="1:40" ht="15.75" hidden="1" customHeight="1">
      <c r="A56" s="5" t="s">
        <v>387</v>
      </c>
      <c r="B56" s="41" t="s">
        <v>92</v>
      </c>
      <c r="C56" s="253" t="s">
        <v>130</v>
      </c>
      <c r="D56" s="297"/>
      <c r="E56" s="41"/>
      <c r="F56" s="254">
        <f>+INDEX('Budget original'!$A$2:$AO$501,MATCH($A56,'Budget original'!$A$2:$A$501,0),MATCH(F$2,'Budget original'!$A$2:$AO$2,0))</f>
        <v>0</v>
      </c>
      <c r="G56" s="298"/>
      <c r="H56" s="41"/>
      <c r="I56" s="254"/>
      <c r="J56" s="253"/>
      <c r="K56" s="41"/>
      <c r="L56" s="256">
        <f>SUMIFS(BV_Data_An_Cour!$O:$O,BV_Data_An_Cour!$U:$U,$B56,BV_Data_An_Cour!$V:$V,$C56,BV_Data_An_Cour!$W:$W,L$2)</f>
        <v>0</v>
      </c>
      <c r="M56" s="253"/>
      <c r="N56" s="276">
        <f t="shared" si="19"/>
        <v>0</v>
      </c>
      <c r="O56" s="253"/>
      <c r="P56" s="41"/>
      <c r="Q56" s="256">
        <f t="array" ref="Q56">+INDEX('Réel 2024'!$A$2:$AO$501,MATCH($A56,'Réel 2024'!$A$2:$A$501,0),MATCH(Q$2,'Réel 2024'!$A$2:$AO$2,0))</f>
        <v>0</v>
      </c>
      <c r="R56" s="253"/>
      <c r="S56" s="276">
        <f t="shared" si="20"/>
        <v>0</v>
      </c>
      <c r="T56" s="291"/>
      <c r="U56" s="41"/>
      <c r="V56" s="41"/>
      <c r="W56" s="41"/>
      <c r="X56" s="38"/>
      <c r="Y56" s="41"/>
      <c r="Z56" s="41"/>
      <c r="AA56" s="41"/>
      <c r="AB56" s="41"/>
      <c r="AC56" s="41"/>
      <c r="AD56" s="41"/>
      <c r="AE56" s="41"/>
      <c r="AF56" s="41"/>
      <c r="AG56" s="41"/>
      <c r="AH56" s="41"/>
      <c r="AI56" s="41"/>
      <c r="AJ56" s="41"/>
      <c r="AK56" s="41"/>
      <c r="AL56" s="41"/>
      <c r="AM56" s="41"/>
      <c r="AN56" s="41"/>
    </row>
    <row r="57" spans="1:40" ht="15.75" customHeight="1">
      <c r="A57" s="5" t="s">
        <v>388</v>
      </c>
      <c r="B57" s="41" t="s">
        <v>92</v>
      </c>
      <c r="C57" s="246" t="s">
        <v>131</v>
      </c>
      <c r="D57" s="299"/>
      <c r="E57" s="318"/>
      <c r="F57" s="248">
        <f>+INDEX('Budget original'!$A$2:$AO$501,MATCH($A57,'Budget original'!$A$2:$A$501,0),MATCH(F$2,'Budget original'!$A$2:$AO$2,0))</f>
        <v>8952.5479333333333</v>
      </c>
      <c r="G57" s="300"/>
      <c r="H57" s="318"/>
      <c r="I57" s="248"/>
      <c r="J57" s="246"/>
      <c r="K57" s="318"/>
      <c r="L57" s="1218">
        <f>SUMIFS(BV_Data_An_Cour!$O:$O,BV_Data_An_Cour!$U:$U,$B57,BV_Data_An_Cour!$V:$V,$C57,BV_Data_An_Cour!$W:$W,L$2)</f>
        <v>10438.73</v>
      </c>
      <c r="M57" s="246"/>
      <c r="N57" s="1215">
        <f t="shared" si="19"/>
        <v>1486.1820666666663</v>
      </c>
      <c r="O57" s="246"/>
      <c r="P57" s="318"/>
      <c r="Q57" s="248">
        <f t="array" ref="Q57">+INDEX('Réel 2024'!$A$2:$AO$501,MATCH($A57,'Réel 2024'!$A$2:$A$501,0),MATCH(Q$2,'Réel 2024'!$A$2:$AO$2,0))</f>
        <v>7358.99</v>
      </c>
      <c r="R57" s="246"/>
      <c r="S57" s="296">
        <f t="shared" si="20"/>
        <v>3079.74</v>
      </c>
      <c r="T57" s="319"/>
      <c r="U57" s="41"/>
      <c r="V57" s="41"/>
      <c r="W57" s="41"/>
      <c r="X57" s="38"/>
      <c r="Y57" s="41"/>
      <c r="Z57" s="41"/>
      <c r="AA57" s="41"/>
      <c r="AB57" s="41"/>
      <c r="AC57" s="41"/>
      <c r="AD57" s="41"/>
      <c r="AE57" s="41"/>
      <c r="AF57" s="41"/>
      <c r="AG57" s="41"/>
      <c r="AH57" s="41"/>
      <c r="AI57" s="41"/>
      <c r="AJ57" s="41"/>
      <c r="AK57" s="41"/>
      <c r="AL57" s="41"/>
      <c r="AM57" s="41"/>
      <c r="AN57" s="41"/>
    </row>
    <row r="58" spans="1:40" ht="15.75" customHeight="1">
      <c r="A58" s="5" t="s">
        <v>389</v>
      </c>
      <c r="B58" s="41" t="s">
        <v>92</v>
      </c>
      <c r="C58" s="253" t="s">
        <v>132</v>
      </c>
      <c r="D58" s="297"/>
      <c r="E58" s="41"/>
      <c r="F58" s="254">
        <f>+INDEX('Budget original'!$A$2:$AO$501,MATCH($A58,'Budget original'!$A$2:$A$501,0),MATCH(F$2,'Budget original'!$A$2:$AO$2,0))</f>
        <v>7960.9947585155569</v>
      </c>
      <c r="G58" s="298"/>
      <c r="H58" s="41"/>
      <c r="I58" s="254"/>
      <c r="J58" s="253"/>
      <c r="K58" s="41"/>
      <c r="L58" s="256">
        <f>SUMIFS(BV_Data_An_Cour!$O:$O,BV_Data_An_Cour!$U:$U,$B58,BV_Data_An_Cour!$V:$V,$C58,BV_Data_An_Cour!$W:$W,L$2)</f>
        <v>6313.34</v>
      </c>
      <c r="M58" s="253"/>
      <c r="N58" s="276">
        <f t="shared" si="19"/>
        <v>-1647.6547585155568</v>
      </c>
      <c r="O58" s="253"/>
      <c r="P58" s="41"/>
      <c r="Q58" s="256">
        <f t="array" ref="Q58">+INDEX('Réel 2024'!$A$2:$AO$501,MATCH($A58,'Réel 2024'!$A$2:$A$501,0),MATCH(Q$2,'Réel 2024'!$A$2:$AO$2,0))</f>
        <v>7119.2</v>
      </c>
      <c r="R58" s="253"/>
      <c r="S58" s="276">
        <f t="shared" si="20"/>
        <v>-805.85999999999967</v>
      </c>
      <c r="T58" s="291"/>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
        <v>390</v>
      </c>
      <c r="B59" s="41" t="s">
        <v>92</v>
      </c>
      <c r="C59" s="253" t="s">
        <v>133</v>
      </c>
      <c r="D59" s="297"/>
      <c r="E59" s="41"/>
      <c r="F59" s="254">
        <f>+INDEX('Budget original'!$A$2:$AO$501,MATCH($A59,'Budget original'!$A$2:$A$501,0),MATCH(F$2,'Budget original'!$A$2:$AO$2,0))</f>
        <v>1266.6975008629806</v>
      </c>
      <c r="G59" s="298"/>
      <c r="H59" s="41"/>
      <c r="I59" s="254"/>
      <c r="J59" s="253"/>
      <c r="K59" s="41"/>
      <c r="L59" s="256">
        <f>SUMIFS(BV_Data_An_Cour!$O:$O,BV_Data_An_Cour!$U:$U,$B59,BV_Data_An_Cour!$V:$V,$C59,BV_Data_An_Cour!$W:$W,L$2)</f>
        <v>995.9</v>
      </c>
      <c r="M59" s="253"/>
      <c r="N59" s="276">
        <f t="shared" si="19"/>
        <v>-270.79750086298066</v>
      </c>
      <c r="O59" s="253"/>
      <c r="P59" s="41"/>
      <c r="Q59" s="256">
        <f t="array" ref="Q59">+INDEX('Réel 2024'!$A$2:$AO$501,MATCH($A59,'Réel 2024'!$A$2:$A$501,0),MATCH(Q$2,'Réel 2024'!$A$2:$AO$2,0))</f>
        <v>230.83</v>
      </c>
      <c r="R59" s="253"/>
      <c r="S59" s="276">
        <f t="shared" si="20"/>
        <v>765.06999999999994</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
        <v>391</v>
      </c>
      <c r="B60" s="41" t="s">
        <v>92</v>
      </c>
      <c r="C60" s="246" t="s">
        <v>134</v>
      </c>
      <c r="D60" s="299"/>
      <c r="E60" s="318"/>
      <c r="F60" s="248">
        <f>+INDEX('Budget original'!$A$2:$AO$501,MATCH($A60,'Budget original'!$A$2:$A$501,0),MATCH(F$2,'Budget original'!$A$2:$AO$2,0))</f>
        <v>7215.7407235875298</v>
      </c>
      <c r="G60" s="300"/>
      <c r="H60" s="318"/>
      <c r="I60" s="248"/>
      <c r="J60" s="246"/>
      <c r="K60" s="318"/>
      <c r="L60" s="1218">
        <f>SUMIFS(BV_Data_An_Cour!$O:$O,BV_Data_An_Cour!$U:$U,$B60,BV_Data_An_Cour!$V:$V,$C60,BV_Data_An_Cour!$W:$W,L$2)</f>
        <v>7771.09</v>
      </c>
      <c r="M60" s="246"/>
      <c r="N60" s="296">
        <f t="shared" si="19"/>
        <v>555.34927641247032</v>
      </c>
      <c r="O60" s="246"/>
      <c r="P60" s="318"/>
      <c r="Q60" s="248">
        <f t="array" ref="Q60">+INDEX('Réel 2024'!$A$2:$AO$501,MATCH($A60,'Réel 2024'!$A$2:$A$501,0),MATCH(Q$2,'Réel 2024'!$A$2:$AO$2,0))</f>
        <v>6706.21</v>
      </c>
      <c r="R60" s="246"/>
      <c r="S60" s="296">
        <f t="shared" si="20"/>
        <v>1064.8800000000001</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
        <v>392</v>
      </c>
      <c r="B61" s="41" t="s">
        <v>92</v>
      </c>
      <c r="C61" s="253" t="s">
        <v>135</v>
      </c>
      <c r="D61" s="297"/>
      <c r="E61" s="41"/>
      <c r="F61" s="254">
        <f>+INDEX('Budget original'!$A$2:$AO$501,MATCH($A61,'Budget original'!$A$2:$A$501,0),MATCH(F$2,'Budget original'!$A$2:$AO$2,0))</f>
        <v>97.257333333333349</v>
      </c>
      <c r="G61" s="298"/>
      <c r="H61" s="41"/>
      <c r="I61" s="254"/>
      <c r="J61" s="253"/>
      <c r="K61" s="41"/>
      <c r="L61" s="256">
        <f>SUMIFS(BV_Data_An_Cour!$O:$O,BV_Data_An_Cour!$U:$U,$B61,BV_Data_An_Cour!$V:$V,$C61,BV_Data_An_Cour!$W:$W,L$2)</f>
        <v>165.98</v>
      </c>
      <c r="M61" s="253"/>
      <c r="N61" s="276">
        <f t="shared" si="19"/>
        <v>68.72266666666664</v>
      </c>
      <c r="O61" s="253"/>
      <c r="P61" s="41"/>
      <c r="Q61" s="256">
        <f t="array" ref="Q61">+INDEX('Réel 2024'!$A$2:$AO$501,MATCH($A61,'Réel 2024'!$A$2:$A$501,0),MATCH(Q$2,'Réel 2024'!$A$2:$AO$2,0))</f>
        <v>0</v>
      </c>
      <c r="R61" s="253"/>
      <c r="S61" s="276">
        <f t="shared" si="20"/>
        <v>165.98</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
        <v>393</v>
      </c>
      <c r="B62" s="41" t="s">
        <v>92</v>
      </c>
      <c r="C62" s="253" t="s">
        <v>136</v>
      </c>
      <c r="D62" s="297"/>
      <c r="E62" s="41"/>
      <c r="F62" s="254">
        <f>+INDEX('Budget original'!$A$2:$AO$501,MATCH($A62,'Budget original'!$A$2:$A$501,0),MATCH(F$2,'Budget original'!$A$2:$AO$2,0))</f>
        <v>28.333333333333332</v>
      </c>
      <c r="G62" s="298"/>
      <c r="H62" s="41"/>
      <c r="I62" s="254"/>
      <c r="J62" s="253"/>
      <c r="K62" s="41"/>
      <c r="L62" s="256">
        <f>SUMIFS(BV_Data_An_Cour!$O:$O,BV_Data_An_Cour!$U:$U,$B62,BV_Data_An_Cour!$V:$V,$C62,BV_Data_An_Cour!$W:$W,L$2)</f>
        <v>0</v>
      </c>
      <c r="M62" s="253"/>
      <c r="N62" s="276">
        <f t="shared" si="19"/>
        <v>-28.333333333333332</v>
      </c>
      <c r="O62" s="253"/>
      <c r="P62" s="41"/>
      <c r="Q62" s="256">
        <f t="array" ref="Q62">+INDEX('Réel 2024'!$A$2:$AO$501,MATCH($A62,'Réel 2024'!$A$2:$A$501,0),MATCH(Q$2,'Réel 2024'!$A$2:$AO$2,0))</f>
        <v>0</v>
      </c>
      <c r="R62" s="253"/>
      <c r="S62" s="276">
        <f t="shared" si="20"/>
        <v>0</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
        <v>394</v>
      </c>
      <c r="B63" s="41" t="s">
        <v>92</v>
      </c>
      <c r="C63" s="253" t="s">
        <v>137</v>
      </c>
      <c r="D63" s="297"/>
      <c r="E63" s="41"/>
      <c r="F63" s="254">
        <f>+INDEX('Budget original'!$A$2:$AO$501,MATCH($A63,'Budget original'!$A$2:$A$501,0),MATCH(F$2,'Budget original'!$A$2:$AO$2,0))</f>
        <v>741.43089466911999</v>
      </c>
      <c r="G63" s="298"/>
      <c r="H63" s="41"/>
      <c r="I63" s="254"/>
      <c r="J63" s="253"/>
      <c r="K63" s="41"/>
      <c r="L63" s="256">
        <f>SUMIFS(BV_Data_An_Cour!$O:$O,BV_Data_An_Cour!$U:$U,$B63,BV_Data_An_Cour!$V:$V,$C63,BV_Data_An_Cour!$W:$W,L$2)</f>
        <v>1041.95</v>
      </c>
      <c r="M63" s="253"/>
      <c r="N63" s="276">
        <f t="shared" si="19"/>
        <v>300.51910533088005</v>
      </c>
      <c r="O63" s="253"/>
      <c r="P63" s="41"/>
      <c r="Q63" s="256">
        <f t="array" ref="Q63">+INDEX('Réel 2024'!$A$2:$AO$501,MATCH($A63,'Réel 2024'!$A$2:$A$501,0),MATCH(Q$2,'Réel 2024'!$A$2:$AO$2,0))</f>
        <v>1331.47</v>
      </c>
      <c r="R63" s="253"/>
      <c r="S63" s="276">
        <f t="shared" si="20"/>
        <v>-289.52</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
        <v>395</v>
      </c>
      <c r="B64" s="41" t="s">
        <v>92</v>
      </c>
      <c r="C64" s="253" t="s">
        <v>138</v>
      </c>
      <c r="D64" s="297"/>
      <c r="E64" s="41"/>
      <c r="F64" s="254">
        <f>+INDEX('Budget original'!$A$2:$AO$501,MATCH($A64,'Budget original'!$A$2:$A$501,0),MATCH(F$2,'Budget original'!$A$2:$AO$2,0))</f>
        <v>344.80198491798222</v>
      </c>
      <c r="G64" s="298"/>
      <c r="H64" s="41"/>
      <c r="I64" s="254"/>
      <c r="J64" s="253"/>
      <c r="K64" s="41"/>
      <c r="L64" s="256">
        <f>SUMIFS(BV_Data_An_Cour!$O:$O,BV_Data_An_Cour!$U:$U,$B64,BV_Data_An_Cour!$V:$V,$C64,BV_Data_An_Cour!$W:$W,L$2)</f>
        <v>439.54</v>
      </c>
      <c r="M64" s="253"/>
      <c r="N64" s="276">
        <f t="shared" si="19"/>
        <v>94.738015082017796</v>
      </c>
      <c r="O64" s="253"/>
      <c r="P64" s="41"/>
      <c r="Q64" s="256">
        <f t="array" ref="Q64">+INDEX('Réel 2024'!$A$2:$AO$501,MATCH($A64,'Réel 2024'!$A$2:$A$501,0),MATCH(Q$2,'Réel 2024'!$A$2:$AO$2,0))</f>
        <v>318.49</v>
      </c>
      <c r="R64" s="253"/>
      <c r="S64" s="276">
        <f t="shared" si="20"/>
        <v>121.05000000000001</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
        <v>396</v>
      </c>
      <c r="B65" s="41" t="s">
        <v>92</v>
      </c>
      <c r="C65" s="253" t="s">
        <v>139</v>
      </c>
      <c r="D65" s="297"/>
      <c r="E65" s="41"/>
      <c r="F65" s="254">
        <f>+INDEX('Budget original'!$A$2:$AO$501,MATCH($A65,'Budget original'!$A$2:$A$501,0),MATCH(F$2,'Budget original'!$A$2:$AO$2,0))</f>
        <v>102.82239536841776</v>
      </c>
      <c r="G65" s="298"/>
      <c r="H65" s="41"/>
      <c r="I65" s="254"/>
      <c r="J65" s="253"/>
      <c r="K65" s="41"/>
      <c r="L65" s="256">
        <f>SUMIFS(BV_Data_An_Cour!$O:$O,BV_Data_An_Cour!$U:$U,$B65,BV_Data_An_Cour!$V:$V,$C65,BV_Data_An_Cour!$W:$W,L$2)</f>
        <v>447.9</v>
      </c>
      <c r="M65" s="253"/>
      <c r="N65" s="276">
        <f t="shared" si="19"/>
        <v>345.07760463158223</v>
      </c>
      <c r="O65" s="253"/>
      <c r="P65" s="41"/>
      <c r="Q65" s="256">
        <f t="array" ref="Q65">+INDEX('Réel 2024'!$A$2:$AO$501,MATCH($A65,'Réel 2024'!$A$2:$A$501,0),MATCH(Q$2,'Réel 2024'!$A$2:$AO$2,0))</f>
        <v>222.02</v>
      </c>
      <c r="R65" s="253"/>
      <c r="S65" s="276">
        <f t="shared" si="20"/>
        <v>225.87999999999997</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
        <v>397</v>
      </c>
      <c r="B66" s="41" t="s">
        <v>92</v>
      </c>
      <c r="C66" s="253" t="s">
        <v>140</v>
      </c>
      <c r="D66" s="297"/>
      <c r="E66" s="41"/>
      <c r="F66" s="254">
        <f>+INDEX('Budget original'!$A$2:$AO$501,MATCH($A66,'Budget original'!$A$2:$A$501,0),MATCH(F$2,'Budget original'!$A$2:$AO$2,0))</f>
        <v>201.17038516793778</v>
      </c>
      <c r="G66" s="298"/>
      <c r="H66" s="41"/>
      <c r="I66" s="254"/>
      <c r="J66" s="253"/>
      <c r="K66" s="41"/>
      <c r="L66" s="256">
        <f>SUMIFS(BV_Data_An_Cour!$O:$O,BV_Data_An_Cour!$U:$U,$B66,BV_Data_An_Cour!$V:$V,$C66,BV_Data_An_Cour!$W:$W,L$2)</f>
        <v>71.209999999999994</v>
      </c>
      <c r="M66" s="253"/>
      <c r="N66" s="276">
        <f t="shared" si="19"/>
        <v>-129.96038516793777</v>
      </c>
      <c r="O66" s="253"/>
      <c r="P66" s="41"/>
      <c r="Q66" s="256">
        <f t="array" ref="Q66">+INDEX('Réel 2024'!$A$2:$AO$501,MATCH($A66,'Réel 2024'!$A$2:$A$501,0),MATCH(Q$2,'Réel 2024'!$A$2:$AO$2,0))</f>
        <v>205.65</v>
      </c>
      <c r="R66" s="253"/>
      <c r="S66" s="276">
        <f t="shared" si="20"/>
        <v>-134.44</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
        <v>398</v>
      </c>
      <c r="B67" s="41" t="s">
        <v>92</v>
      </c>
      <c r="C67" s="253" t="s">
        <v>141</v>
      </c>
      <c r="D67" s="297"/>
      <c r="E67" s="41"/>
      <c r="F67" s="254">
        <f>+INDEX('Budget original'!$A$2:$AO$501,MATCH($A67,'Budget original'!$A$2:$A$501,0),MATCH(F$2,'Budget original'!$A$2:$AO$2,0))</f>
        <v>1934.7062499999995</v>
      </c>
      <c r="G67" s="298"/>
      <c r="H67" s="41"/>
      <c r="I67" s="254"/>
      <c r="J67" s="253"/>
      <c r="K67" s="41"/>
      <c r="L67" s="256">
        <f>SUMIFS(BV_Data_An_Cour!$O:$O,BV_Data_An_Cour!$U:$U,$B67,BV_Data_An_Cour!$V:$V,$C67,BV_Data_An_Cour!$W:$W,L$2)</f>
        <v>683.97</v>
      </c>
      <c r="M67" s="253"/>
      <c r="N67" s="276">
        <f t="shared" si="19"/>
        <v>-1250.7362499999995</v>
      </c>
      <c r="O67" s="253"/>
      <c r="P67" s="41"/>
      <c r="Q67" s="256">
        <f t="array" ref="Q67">+INDEX('Réel 2024'!$A$2:$AO$501,MATCH($A67,'Réel 2024'!$A$2:$A$501,0),MATCH(Q$2,'Réel 2024'!$A$2:$AO$2,0))</f>
        <v>1135.45</v>
      </c>
      <c r="R67" s="253"/>
      <c r="S67" s="276">
        <f t="shared" si="20"/>
        <v>-451.48</v>
      </c>
      <c r="T67" s="41"/>
      <c r="U67" s="1193"/>
      <c r="X67" s="41"/>
      <c r="Y67" s="41"/>
      <c r="Z67" s="41"/>
      <c r="AA67" s="41"/>
      <c r="AB67" s="41"/>
      <c r="AC67" s="41"/>
      <c r="AD67" s="41"/>
      <c r="AE67" s="41"/>
      <c r="AF67" s="41"/>
      <c r="AG67" s="41"/>
      <c r="AH67" s="41"/>
      <c r="AI67" s="41"/>
      <c r="AJ67" s="41"/>
      <c r="AK67" s="41"/>
      <c r="AL67" s="41"/>
      <c r="AM67" s="41"/>
      <c r="AN67" s="41"/>
    </row>
    <row r="68" spans="1:40" ht="15.75" customHeight="1">
      <c r="A68" s="5" t="s">
        <v>399</v>
      </c>
      <c r="B68" s="41" t="s">
        <v>92</v>
      </c>
      <c r="C68" s="253" t="s">
        <v>142</v>
      </c>
      <c r="D68" s="297"/>
      <c r="E68" s="41"/>
      <c r="F68" s="254">
        <f>+INDEX('Budget original'!$A$2:$AO$501,MATCH($A68,'Budget original'!$A$2:$A$501,0),MATCH(F$2,'Budget original'!$A$2:$AO$2,0))</f>
        <v>2686.9399197668931</v>
      </c>
      <c r="G68" s="298"/>
      <c r="H68" s="41"/>
      <c r="I68" s="254"/>
      <c r="J68" s="253"/>
      <c r="K68" s="41"/>
      <c r="L68" s="952">
        <f>SUMIFS(BV_Data_An_Cour!$O:$O,BV_Data_An_Cour!$U:$U,$B68,BV_Data_An_Cour!$V:$V,$C68,BV_Data_An_Cour!$W:$W,L$2)</f>
        <v>2165.37</v>
      </c>
      <c r="M68" s="253"/>
      <c r="N68" s="961">
        <f t="shared" si="19"/>
        <v>-521.56991976689324</v>
      </c>
      <c r="O68" s="253"/>
      <c r="P68" s="41"/>
      <c r="Q68" s="256">
        <f t="array" ref="Q68">+INDEX('Réel 2024'!$A$2:$AO$501,MATCH($A68,'Réel 2024'!$A$2:$A$501,0),MATCH(Q$2,'Réel 2024'!$A$2:$AO$2,0))</f>
        <v>2438.09</v>
      </c>
      <c r="R68" s="253"/>
      <c r="S68" s="276">
        <f t="shared" si="20"/>
        <v>-272.72000000000025</v>
      </c>
      <c r="T68" s="41"/>
      <c r="X68" s="41"/>
      <c r="Y68" s="41"/>
      <c r="Z68" s="41"/>
      <c r="AA68" s="41"/>
      <c r="AB68" s="41"/>
      <c r="AC68" s="41"/>
      <c r="AD68" s="41"/>
      <c r="AE68" s="41"/>
      <c r="AF68" s="41"/>
      <c r="AG68" s="41"/>
      <c r="AH68" s="41"/>
      <c r="AI68" s="41"/>
      <c r="AJ68" s="41"/>
      <c r="AK68" s="41"/>
      <c r="AL68" s="41"/>
      <c r="AM68" s="41"/>
      <c r="AN68" s="41"/>
    </row>
    <row r="69" spans="1:40" ht="15.75" hidden="1" customHeight="1">
      <c r="A69" s="5" t="s">
        <v>358</v>
      </c>
      <c r="B69" s="41" t="s">
        <v>92</v>
      </c>
      <c r="C69" s="253" t="s">
        <v>59</v>
      </c>
      <c r="D69" s="297"/>
      <c r="E69" s="41"/>
      <c r="F69" s="254">
        <f>+INDEX('Budget original'!$A$2:$AO$501,MATCH($A69,'Budget original'!$A$2:$A$501,0),MATCH(F$2,'Budget original'!$A$2:$AO$2,0))</f>
        <v>0</v>
      </c>
      <c r="G69" s="298"/>
      <c r="H69" s="41"/>
      <c r="I69" s="254"/>
      <c r="J69" s="253"/>
      <c r="K69" s="41"/>
      <c r="L69" s="256"/>
      <c r="M69" s="253"/>
      <c r="N69" s="276">
        <f t="shared" si="19"/>
        <v>0</v>
      </c>
      <c r="O69" s="253"/>
      <c r="P69" s="41"/>
      <c r="Q69" s="256">
        <f t="array" ref="Q69">+INDEX('Réel 2024'!$A$2:$AO$501,MATCH($A69,'Réel 2024'!$A$2:$A$501,0),MATCH(Q$2,'Réel 2024'!$A$2:$AO$2,0))</f>
        <v>0</v>
      </c>
      <c r="R69" s="253"/>
      <c r="S69" s="276">
        <f t="shared" si="20"/>
        <v>0</v>
      </c>
      <c r="T69" s="41"/>
      <c r="X69" s="41"/>
      <c r="Y69" s="41"/>
      <c r="Z69" s="41"/>
      <c r="AA69" s="41"/>
      <c r="AB69" s="41"/>
      <c r="AC69" s="41"/>
      <c r="AD69" s="41"/>
      <c r="AE69" s="41"/>
      <c r="AF69" s="41"/>
      <c r="AG69" s="41"/>
      <c r="AH69" s="41"/>
      <c r="AI69" s="41"/>
      <c r="AJ69" s="41"/>
      <c r="AK69" s="41"/>
      <c r="AL69" s="41"/>
      <c r="AM69" s="41"/>
      <c r="AN69" s="41"/>
    </row>
    <row r="70" spans="1:40" ht="15.75" hidden="1" customHeight="1">
      <c r="A70" s="5" t="s">
        <v>358</v>
      </c>
      <c r="B70" s="41" t="s">
        <v>92</v>
      </c>
      <c r="C70" s="253" t="s">
        <v>59</v>
      </c>
      <c r="D70" s="297"/>
      <c r="E70" s="41"/>
      <c r="F70" s="254">
        <f>+INDEX('Budget original'!$A$2:$AO$501,MATCH($A70,'Budget original'!$A$2:$A$501,0),MATCH(F$2,'Budget original'!$A$2:$AO$2,0))</f>
        <v>0</v>
      </c>
      <c r="G70" s="298"/>
      <c r="H70" s="41"/>
      <c r="I70" s="254"/>
      <c r="J70" s="253"/>
      <c r="K70" s="41"/>
      <c r="L70" s="256">
        <f>SUMIFS(BV_Data_An_Cour!$O:$O,BV_Data_An_Cour!$U:$U,$B70,BV_Data_An_Cour!$V:$V,$C70,BV_Data_An_Cour!$W:$W,L$2)</f>
        <v>0</v>
      </c>
      <c r="M70" s="253"/>
      <c r="N70" s="276">
        <f t="shared" si="19"/>
        <v>0</v>
      </c>
      <c r="O70" s="253"/>
      <c r="P70" s="41"/>
      <c r="Q70" s="256">
        <f t="array" ref="Q70">+INDEX('Réel 2024'!$A$2:$AO$501,MATCH($A70,'Réel 2024'!$A$2:$A$501,0),MATCH(Q$2,'Réel 2024'!$A$2:$AO$2,0))</f>
        <v>0</v>
      </c>
      <c r="R70" s="253"/>
      <c r="S70" s="276">
        <f t="shared" si="20"/>
        <v>0</v>
      </c>
      <c r="T70" s="41"/>
      <c r="X70" s="41"/>
      <c r="Y70" s="41"/>
      <c r="Z70" s="41"/>
      <c r="AA70" s="41"/>
      <c r="AB70" s="41"/>
      <c r="AC70" s="41"/>
      <c r="AD70" s="41"/>
      <c r="AE70" s="41"/>
      <c r="AF70" s="41"/>
      <c r="AG70" s="41"/>
      <c r="AH70" s="41"/>
      <c r="AI70" s="41"/>
      <c r="AJ70" s="41"/>
      <c r="AK70" s="41"/>
      <c r="AL70" s="41"/>
      <c r="AM70" s="41"/>
      <c r="AN70" s="41"/>
    </row>
    <row r="71" spans="1:40" ht="15.75" hidden="1" customHeight="1">
      <c r="A71" s="5" t="s">
        <v>358</v>
      </c>
      <c r="B71" s="41" t="s">
        <v>92</v>
      </c>
      <c r="C71" s="253" t="s">
        <v>59</v>
      </c>
      <c r="D71" s="297"/>
      <c r="E71" s="41"/>
      <c r="F71" s="254">
        <f>+INDEX('Budget original'!$A$2:$AO$501,MATCH($A71,'Budget original'!$A$2:$A$501,0),MATCH(F$2,'Budget original'!$A$2:$AO$2,0))</f>
        <v>0</v>
      </c>
      <c r="G71" s="298"/>
      <c r="H71" s="41"/>
      <c r="I71" s="254"/>
      <c r="J71" s="253"/>
      <c r="K71" s="41"/>
      <c r="L71" s="256">
        <f>SUMIFS(BV_Data_An_Cour!$O:$O,BV_Data_An_Cour!$U:$U,$B71,BV_Data_An_Cour!$V:$V,$C71,BV_Data_An_Cour!$W:$W,L$2)*0.32</f>
        <v>0</v>
      </c>
      <c r="M71" s="253"/>
      <c r="N71" s="276">
        <f t="shared" si="19"/>
        <v>0</v>
      </c>
      <c r="O71" s="253"/>
      <c r="P71" s="41"/>
      <c r="Q71" s="256">
        <f t="array" ref="Q71">+INDEX('Réel 2024'!$A$2:$AO$501,MATCH($A71,'Réel 2024'!$A$2:$A$501,0),MATCH(Q$2,'Réel 2024'!$A$2:$AO$2,0))</f>
        <v>0</v>
      </c>
      <c r="R71" s="253"/>
      <c r="S71" s="276">
        <f t="shared" si="20"/>
        <v>0</v>
      </c>
      <c r="T71" s="41"/>
      <c r="X71" s="41"/>
      <c r="Y71" s="41"/>
      <c r="Z71" s="41"/>
      <c r="AA71" s="41"/>
      <c r="AB71" s="41"/>
      <c r="AC71" s="41"/>
      <c r="AD71" s="41"/>
      <c r="AE71" s="41"/>
      <c r="AF71" s="41"/>
      <c r="AG71" s="41"/>
      <c r="AH71" s="41"/>
      <c r="AI71" s="41"/>
      <c r="AJ71" s="41"/>
      <c r="AK71" s="41"/>
      <c r="AL71" s="41"/>
      <c r="AM71" s="41"/>
      <c r="AN71" s="41"/>
    </row>
    <row r="72" spans="1:40" ht="15.75" customHeight="1">
      <c r="A72" s="5" t="s">
        <v>400</v>
      </c>
      <c r="B72" s="41" t="s">
        <v>92</v>
      </c>
      <c r="C72" s="304" t="s">
        <v>143</v>
      </c>
      <c r="D72" s="305" t="s">
        <v>119</v>
      </c>
      <c r="E72" s="306">
        <f>F72/F$27</f>
        <v>0.16800491690128572</v>
      </c>
      <c r="F72" s="307">
        <f>+SUM(F55:F71)</f>
        <v>31533.443412856417</v>
      </c>
      <c r="G72" s="308"/>
      <c r="H72" s="306"/>
      <c r="I72" s="307"/>
      <c r="J72" s="308" t="s">
        <v>119</v>
      </c>
      <c r="K72" s="306">
        <f>L72/L$27</f>
        <v>0.26471379682103968</v>
      </c>
      <c r="L72" s="307">
        <f>+SUM(L55:L71)</f>
        <v>30534.980000000003</v>
      </c>
      <c r="M72" s="311"/>
      <c r="N72" s="307">
        <f>+SUM(N55:N71)</f>
        <v>-998.46341285641802</v>
      </c>
      <c r="O72" s="308" t="s">
        <v>119</v>
      </c>
      <c r="P72" s="306">
        <f>Q72/Q$27</f>
        <v>0.10677816731590938</v>
      </c>
      <c r="Q72" s="307">
        <f>+SUM(Q55:Q71)</f>
        <v>27066.400000000005</v>
      </c>
      <c r="R72" s="311"/>
      <c r="S72" s="307">
        <f>+SUM(S55:S71)</f>
        <v>3468.5799999999995</v>
      </c>
      <c r="T72" s="41"/>
      <c r="X72" s="41"/>
      <c r="Y72" s="41"/>
      <c r="Z72" s="41"/>
      <c r="AA72" s="41"/>
      <c r="AB72" s="41"/>
      <c r="AC72" s="41"/>
      <c r="AD72" s="41"/>
      <c r="AE72" s="41"/>
      <c r="AF72" s="41"/>
      <c r="AG72" s="41"/>
      <c r="AH72" s="41"/>
      <c r="AI72" s="41"/>
      <c r="AJ72" s="41"/>
      <c r="AK72" s="41"/>
      <c r="AL72" s="41"/>
      <c r="AM72" s="41"/>
      <c r="AN72" s="41"/>
    </row>
    <row r="73" spans="1:40" ht="15.75" customHeight="1">
      <c r="A73" s="5" t="s">
        <v>92</v>
      </c>
      <c r="B73" s="41" t="s">
        <v>92</v>
      </c>
      <c r="C73" s="246"/>
      <c r="D73" s="299"/>
      <c r="E73" s="318"/>
      <c r="F73" s="276"/>
      <c r="G73" s="300"/>
      <c r="H73" s="318"/>
      <c r="I73" s="276"/>
      <c r="J73" s="246"/>
      <c r="K73" s="318"/>
      <c r="L73" s="296"/>
      <c r="M73" s="246"/>
      <c r="N73" s="296"/>
      <c r="O73" s="246"/>
      <c r="P73" s="318"/>
      <c r="Q73" s="296"/>
      <c r="R73" s="246"/>
      <c r="S73" s="296"/>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
        <v>401</v>
      </c>
      <c r="B74" s="41" t="s">
        <v>92</v>
      </c>
      <c r="C74" s="304" t="s">
        <v>144</v>
      </c>
      <c r="D74" s="305" t="s">
        <v>119</v>
      </c>
      <c r="E74" s="306">
        <f>F74/F$27</f>
        <v>1.1255731560137028</v>
      </c>
      <c r="F74" s="307">
        <f>F41+F54+F72</f>
        <v>211262.84918817563</v>
      </c>
      <c r="G74" s="308"/>
      <c r="H74" s="306"/>
      <c r="I74" s="307"/>
      <c r="J74" s="308" t="s">
        <v>119</v>
      </c>
      <c r="K74" s="306">
        <f>L74/L$27</f>
        <v>1.1331090380553532</v>
      </c>
      <c r="L74" s="307">
        <f>L41+L54+L72</f>
        <v>130705.17000000001</v>
      </c>
      <c r="M74" s="311"/>
      <c r="N74" s="320">
        <f t="shared" ref="N74:N82" si="21">L74-F74</f>
        <v>-80557.679188175622</v>
      </c>
      <c r="O74" s="308" t="s">
        <v>119</v>
      </c>
      <c r="P74" s="306">
        <f>Q74/Q$27</f>
        <v>0.79237283137421777</v>
      </c>
      <c r="Q74" s="307">
        <f>Q41+Q54+Q72</f>
        <v>200852.67</v>
      </c>
      <c r="R74" s="311"/>
      <c r="S74" s="320">
        <f>L74-Q74</f>
        <v>-70147.5</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
        <v>402</v>
      </c>
      <c r="B75" s="41" t="s">
        <v>92</v>
      </c>
      <c r="C75" s="253" t="s">
        <v>145</v>
      </c>
      <c r="D75" s="297"/>
      <c r="E75" s="41"/>
      <c r="F75" s="254">
        <f>+INDEX('Budget original'!$A$2:$AO$501,MATCH($A75,'Budget original'!$A$2:$A$501,0),MATCH(F$2,'Budget original'!$A$2:$AO$2,0))</f>
        <v>0</v>
      </c>
      <c r="G75" s="298"/>
      <c r="H75" s="41"/>
      <c r="I75" s="254"/>
      <c r="J75" s="253"/>
      <c r="K75" s="41"/>
      <c r="L75" s="256">
        <f>-SUMIFS(BV_Data_An_Cour!$O:$O,BV_Data_An_Cour!$U:$U,$B75,BV_Data_An_Cour!$V:$V,$C75,BV_Data_An_Cour!$W:$W,L$2)-L156</f>
        <v>0</v>
      </c>
      <c r="M75" s="253"/>
      <c r="N75" s="276">
        <f t="shared" si="21"/>
        <v>0</v>
      </c>
      <c r="O75" s="253"/>
      <c r="P75" s="41"/>
      <c r="Q75" s="256">
        <f>+INDEX('Réel 2024'!$A$2:$AO$501,MATCH($A75,'Réel 2024'!$A$2:$A$501,0),MATCH(Q$2,'Réel 2024'!$A$2:$AO$2,0))</f>
        <v>0</v>
      </c>
      <c r="R75" s="253"/>
      <c r="S75" s="276"/>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
        <v>403</v>
      </c>
      <c r="B76" s="41" t="s">
        <v>92</v>
      </c>
      <c r="C76" s="253" t="s">
        <v>146</v>
      </c>
      <c r="D76" s="297"/>
      <c r="E76" s="41"/>
      <c r="F76" s="254">
        <f>+INDEX('Budget original'!$A$2:$AO$501,MATCH($A76,'Budget original'!$A$2:$A$501,0),MATCH(F$2,'Budget original'!$A$2:$AO$2,0))</f>
        <v>0</v>
      </c>
      <c r="G76" s="298"/>
      <c r="H76" s="41"/>
      <c r="I76" s="254"/>
      <c r="J76" s="253"/>
      <c r="K76" s="41"/>
      <c r="L76" s="256">
        <f>-SUMIFS(BV_Data_An_Cour!$O:$O,BV_Data_An_Cour!$U:$U,$B76,BV_Data_An_Cour!$V:$V,$C76,BV_Data_An_Cour!$W:$W,L$2)</f>
        <v>0</v>
      </c>
      <c r="M76" s="253"/>
      <c r="N76" s="276">
        <f t="shared" si="21"/>
        <v>0</v>
      </c>
      <c r="O76" s="253"/>
      <c r="P76" s="41"/>
      <c r="Q76" s="256">
        <f t="array" ref="Q76">+INDEX('Réel 2024'!$A$2:$AO$501,MATCH($A76,'Réel 2024'!$A$2:$A$501,0),MATCH(Q$2,'Réel 2024'!$A$2:$AO$2,0))</f>
        <v>0</v>
      </c>
      <c r="R76" s="253"/>
      <c r="S76" s="276">
        <f t="shared" ref="S76:S82" si="22">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
        <v>404</v>
      </c>
      <c r="B77" s="41" t="s">
        <v>92</v>
      </c>
      <c r="C77" s="253" t="s">
        <v>147</v>
      </c>
      <c r="D77" s="297"/>
      <c r="E77" s="41"/>
      <c r="F77" s="254">
        <f>+INDEX('Budget original'!$A$2:$AO$501,MATCH($A77,'Budget original'!$A$2:$A$501,0),MATCH(F$2,'Budget original'!$A$2:$AO$2,0))</f>
        <v>0</v>
      </c>
      <c r="G77" s="298"/>
      <c r="H77" s="41"/>
      <c r="I77" s="254"/>
      <c r="J77" s="253"/>
      <c r="K77" s="41"/>
      <c r="L77" s="256">
        <f>-SUMIFS(BV_Data_An_Cour!$O:$O,BV_Data_An_Cour!$U:$U,$B77,BV_Data_An_Cour!$V:$V,$C77,BV_Data_An_Cour!$W:$W,L$2)</f>
        <v>0</v>
      </c>
      <c r="M77" s="253"/>
      <c r="N77" s="276">
        <f t="shared" si="21"/>
        <v>0</v>
      </c>
      <c r="O77" s="253"/>
      <c r="P77" s="41"/>
      <c r="Q77" s="256">
        <f t="array" ref="Q77">+INDEX('Réel 2024'!$A$2:$AO$501,MATCH($A77,'Réel 2024'!$A$2:$A$501,0),MATCH(Q$2,'Réel 2024'!$A$2:$AO$2,0))</f>
        <v>0</v>
      </c>
      <c r="R77" s="253"/>
      <c r="S77" s="276">
        <f t="shared" si="22"/>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
        <v>405</v>
      </c>
      <c r="B78" s="41" t="s">
        <v>92</v>
      </c>
      <c r="C78" s="253" t="s">
        <v>148</v>
      </c>
      <c r="D78" s="297"/>
      <c r="E78" s="1017">
        <f>+F78/D27</f>
        <v>1373.1417412140138</v>
      </c>
      <c r="F78" s="254">
        <f>+INDEX('Budget original'!$A$2:$AO$501,MATCH($A78,'Budget original'!$A$2:$A$501,0),MATCH(F$2,'Budget original'!$A$2:$AO$2,0))</f>
        <v>76895.937507984767</v>
      </c>
      <c r="G78" s="298"/>
      <c r="H78" s="41"/>
      <c r="I78" s="254"/>
      <c r="J78" s="1213"/>
      <c r="K78" s="1017">
        <f>+L78/J27</f>
        <v>1190.875</v>
      </c>
      <c r="L78" s="256">
        <f>-SUMIFS(BV_Data_An_Cour!$O:$O,BV_Data_An_Cour!$U:$U,$B78,BV_Data_An_Cour!$V:$V,$C78,BV_Data_An_Cour!$W:$W,L$2)</f>
        <v>47635</v>
      </c>
      <c r="M78" s="253"/>
      <c r="N78" s="276">
        <f t="shared" si="21"/>
        <v>-29260.937507984767</v>
      </c>
      <c r="O78" s="253"/>
      <c r="P78" s="41"/>
      <c r="Q78" s="256">
        <f t="array" ref="Q78">+INDEX('Réel 2024'!$A$2:$AO$501,MATCH($A78,'Réel 2024'!$A$2:$A$501,0),MATCH(Q$2,'Réel 2024'!$A$2:$AO$2,0))</f>
        <v>91804.85</v>
      </c>
      <c r="R78" s="253"/>
      <c r="S78" s="276">
        <f t="shared" si="22"/>
        <v>-44169.850000000006</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
        <v>358</v>
      </c>
      <c r="B79" s="41" t="s">
        <v>92</v>
      </c>
      <c r="C79" s="253" t="s">
        <v>59</v>
      </c>
      <c r="D79" s="297"/>
      <c r="E79" s="41"/>
      <c r="F79" s="254">
        <f>+INDEX('Budget original'!$A$2:$AO$501,MATCH($A79,'Budget original'!$A$2:$A$501,0),MATCH(F$2,'Budget original'!$A$2:$AO$2,0))</f>
        <v>0</v>
      </c>
      <c r="G79" s="298"/>
      <c r="H79" s="41"/>
      <c r="I79" s="254"/>
      <c r="J79" s="253"/>
      <c r="K79" s="41"/>
      <c r="L79" s="256">
        <f>-SUMIFS(BV_Data_An_Cour!$O:$O,BV_Data_An_Cour!$U:$U,$B79,BV_Data_An_Cour!$V:$V,$C79,BV_Data_An_Cour!$W:$W,L$2)</f>
        <v>0</v>
      </c>
      <c r="M79" s="253"/>
      <c r="N79" s="276">
        <f t="shared" si="21"/>
        <v>0</v>
      </c>
      <c r="O79" s="253"/>
      <c r="P79" s="41"/>
      <c r="Q79" s="256">
        <f t="array" ref="Q79">+INDEX('Réel 2024'!$A$2:$AO$501,MATCH($A79,'Réel 2024'!$A$2:$A$501,0),MATCH(Q$2,'Réel 2024'!$A$2:$AO$2,0))</f>
        <v>0</v>
      </c>
      <c r="R79" s="253"/>
      <c r="S79" s="276">
        <f t="shared" si="22"/>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
        <v>358</v>
      </c>
      <c r="B80" s="41" t="s">
        <v>92</v>
      </c>
      <c r="C80" s="253" t="s">
        <v>59</v>
      </c>
      <c r="D80" s="297"/>
      <c r="E80" s="41"/>
      <c r="F80" s="254">
        <f>+INDEX('Budget original'!$A$2:$AO$501,MATCH($A80,'Budget original'!$A$2:$A$501,0),MATCH(F$2,'Budget original'!$A$2:$AO$2,0))</f>
        <v>0</v>
      </c>
      <c r="G80" s="298"/>
      <c r="H80" s="41"/>
      <c r="I80" s="254"/>
      <c r="J80" s="253"/>
      <c r="K80" s="41"/>
      <c r="L80" s="256">
        <f>-SUMIFS(BV_Data_An_Cour!$O:$O,BV_Data_An_Cour!$U:$U,$B80,BV_Data_An_Cour!$V:$V,$C80,BV_Data_An_Cour!$W:$W,L$2)</f>
        <v>0</v>
      </c>
      <c r="M80" s="253"/>
      <c r="N80" s="276">
        <f t="shared" si="21"/>
        <v>0</v>
      </c>
      <c r="O80" s="253"/>
      <c r="P80" s="41"/>
      <c r="Q80" s="256">
        <f t="array" ref="Q80">+INDEX('Réel 2024'!$A$2:$AO$501,MATCH($A80,'Réel 2024'!$A$2:$A$501,0),MATCH(Q$2,'Réel 2024'!$A$2:$AO$2,0))</f>
        <v>0</v>
      </c>
      <c r="R80" s="253"/>
      <c r="S80" s="276">
        <f t="shared" si="22"/>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
        <v>358</v>
      </c>
      <c r="B81" s="41" t="s">
        <v>92</v>
      </c>
      <c r="C81" s="253" t="s">
        <v>59</v>
      </c>
      <c r="D81" s="297"/>
      <c r="E81" s="41"/>
      <c r="F81" s="254">
        <f>+INDEX('Budget original'!$A$2:$AO$501,MATCH($A81,'Budget original'!$A$2:$A$501,0),MATCH(F$2,'Budget original'!$A$2:$AO$2,0))</f>
        <v>0</v>
      </c>
      <c r="G81" s="298"/>
      <c r="H81" s="41"/>
      <c r="I81" s="254"/>
      <c r="J81" s="253"/>
      <c r="K81" s="41"/>
      <c r="L81" s="256">
        <f>-SUMIFS(BV_Data_An_Cour!$O:$O,BV_Data_An_Cour!$U:$U,$B81,BV_Data_An_Cour!$V:$V,$C81,BV_Data_An_Cour!$W:$W,L$2)</f>
        <v>0</v>
      </c>
      <c r="M81" s="253"/>
      <c r="N81" s="276">
        <f t="shared" si="21"/>
        <v>0</v>
      </c>
      <c r="O81" s="253"/>
      <c r="P81" s="41"/>
      <c r="Q81" s="256">
        <f t="array" ref="Q81">+INDEX('Réel 2024'!$A$2:$AO$501,MATCH($A81,'Réel 2024'!$A$2:$A$501,0),MATCH(Q$2,'Réel 2024'!$A$2:$AO$2,0))</f>
        <v>0</v>
      </c>
      <c r="R81" s="253"/>
      <c r="S81" s="276">
        <f t="shared" si="22"/>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153" t="s">
        <v>406</v>
      </c>
      <c r="B82" s="321" t="s">
        <v>92</v>
      </c>
      <c r="C82" s="253" t="s">
        <v>149</v>
      </c>
      <c r="D82" s="1160">
        <f>E82/499</f>
        <v>0.95</v>
      </c>
      <c r="E82" s="323">
        <f>+F82/D24</f>
        <v>474.04999999999995</v>
      </c>
      <c r="F82" s="254">
        <f>+INDEX('Budget original'!$A$2:$AO$501,MATCH($A82,'Budget original'!$A$2:$A$501,0),MATCH(F$2,'Budget original'!$A$2:$AO$2,0))</f>
        <v>26072.749999999996</v>
      </c>
      <c r="G82" s="298"/>
      <c r="H82" s="41"/>
      <c r="I82" s="254"/>
      <c r="J82" s="1162">
        <f>K82/474</f>
        <v>1.0506329113924051</v>
      </c>
      <c r="K82" s="323">
        <f>+L82/J24</f>
        <v>498</v>
      </c>
      <c r="L82" s="256">
        <f>-SUMIFS(BV_Data_An_Cour!$O:$O,BV_Data_An_Cour!$U:$U,$B82,BV_Data_An_Cour!$V:$V,$C82,BV_Data_An_Cour!$W:$W,L$2)</f>
        <v>15936</v>
      </c>
      <c r="M82" s="253"/>
      <c r="N82" s="276">
        <f t="shared" si="21"/>
        <v>-10136.749999999996</v>
      </c>
      <c r="O82" s="253"/>
      <c r="P82" s="41"/>
      <c r="Q82" s="256">
        <f t="array" ref="Q82">+INDEX('Réel 2024'!$A$2:$AO$501,MATCH($A82,'Réel 2024'!$A$2:$A$501,0),MATCH(Q$2,'Réel 2024'!$A$2:$AO$2,0))</f>
        <v>30949</v>
      </c>
      <c r="R82" s="253"/>
      <c r="S82" s="276">
        <f t="shared" si="22"/>
        <v>-15013</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
        <v>407</v>
      </c>
      <c r="B83" s="41" t="s">
        <v>92</v>
      </c>
      <c r="C83" s="304" t="s">
        <v>150</v>
      </c>
      <c r="D83" s="305"/>
      <c r="E83" s="306"/>
      <c r="F83" s="307">
        <f>+SUM(F75:F82)</f>
        <v>102968.68750798477</v>
      </c>
      <c r="G83" s="308"/>
      <c r="H83" s="306"/>
      <c r="I83" s="307"/>
      <c r="J83" s="308"/>
      <c r="K83" s="306"/>
      <c r="L83" s="307">
        <f>+SUM(L75:L82)</f>
        <v>63571</v>
      </c>
      <c r="M83" s="311"/>
      <c r="N83" s="307">
        <f>+SUM(N75:N82)</f>
        <v>-39397.687507984767</v>
      </c>
      <c r="O83" s="308"/>
      <c r="P83" s="306"/>
      <c r="Q83" s="307">
        <f>+SUM(Q75:Q82)</f>
        <v>122753.85</v>
      </c>
      <c r="R83" s="311"/>
      <c r="S83" s="307">
        <f>+SUM(S75:S82)</f>
        <v>-59182.850000000006</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
        <v>92</v>
      </c>
      <c r="B84" s="41" t="s">
        <v>92</v>
      </c>
      <c r="C84" s="324"/>
      <c r="D84" s="325"/>
      <c r="E84" s="326"/>
      <c r="F84" s="327"/>
      <c r="G84" s="328"/>
      <c r="H84" s="326"/>
      <c r="I84" s="327"/>
      <c r="J84" s="329"/>
      <c r="K84" s="330"/>
      <c r="L84" s="327"/>
      <c r="M84" s="329"/>
      <c r="N84" s="331"/>
      <c r="O84" s="329"/>
      <c r="P84" s="330"/>
      <c r="Q84" s="327"/>
      <c r="R84" s="329"/>
      <c r="S84" s="331"/>
      <c r="T84" s="41"/>
      <c r="U84" s="41"/>
      <c r="V84" s="41"/>
      <c r="W84" s="41"/>
      <c r="X84" s="41"/>
      <c r="Y84" s="41"/>
      <c r="Z84" s="41"/>
      <c r="AA84" s="41"/>
      <c r="AB84" s="41"/>
      <c r="AC84" s="41"/>
      <c r="AD84" s="41"/>
      <c r="AE84" s="41"/>
      <c r="AF84" s="41"/>
      <c r="AG84" s="41"/>
      <c r="AH84" s="41"/>
      <c r="AI84" s="41"/>
      <c r="AJ84" s="41"/>
      <c r="AK84" s="41"/>
      <c r="AL84" s="41"/>
      <c r="AM84" s="41"/>
      <c r="AN84" s="41"/>
    </row>
    <row r="85" spans="1:40" ht="22.5" customHeight="1">
      <c r="A85" s="5" t="s">
        <v>408</v>
      </c>
      <c r="B85" s="41" t="s">
        <v>92</v>
      </c>
      <c r="C85" s="332" t="s">
        <v>151</v>
      </c>
      <c r="D85" s="333"/>
      <c r="E85" s="334"/>
      <c r="F85" s="335">
        <f>F27-F74+F83</f>
        <v>79399.412975034575</v>
      </c>
      <c r="G85" s="336"/>
      <c r="H85" s="334"/>
      <c r="I85" s="335"/>
      <c r="J85" s="336"/>
      <c r="K85" s="333"/>
      <c r="L85" s="335">
        <f>L27-L74+L83</f>
        <v>48216.749999999985</v>
      </c>
      <c r="M85" s="336"/>
      <c r="N85" s="335">
        <f>N27-N41-N54-N72+N83</f>
        <v>-31182.662975034596</v>
      </c>
      <c r="O85" s="336"/>
      <c r="P85" s="1147">
        <f>Q85/Q5</f>
        <v>4.7286588201691446E-2</v>
      </c>
      <c r="Q85" s="335">
        <f>Q27-Q74+Q83</f>
        <v>175383.70999999988</v>
      </c>
      <c r="R85" s="336"/>
      <c r="S85" s="335">
        <f>S27-S41-S54-S72+S83</f>
        <v>-127166.95999999988</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337"/>
      <c r="K86" s="59"/>
      <c r="L86" s="1176"/>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12.75" customHeight="1">
      <c r="B87" s="59"/>
      <c r="C87" s="59"/>
      <c r="D87" s="59"/>
      <c r="E87" s="59"/>
      <c r="F87" s="59"/>
      <c r="G87" s="59"/>
      <c r="H87" s="59"/>
      <c r="I87" s="338"/>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39" t="str">
        <f>C1</f>
        <v>Volks</v>
      </c>
      <c r="D89" s="232"/>
      <c r="E89" s="232"/>
      <c r="F89" s="232"/>
      <c r="G89" s="232"/>
      <c r="H89" s="36"/>
      <c r="I89" s="36"/>
      <c r="J89" s="36"/>
      <c r="K89" s="9" t="s">
        <v>152</v>
      </c>
      <c r="L89" s="232"/>
      <c r="M89" s="232"/>
      <c r="N89" s="36"/>
      <c r="O89" s="36"/>
      <c r="P89" s="232"/>
      <c r="Q89" s="36"/>
      <c r="R89" s="232"/>
      <c r="S89" s="10" t="str">
        <f>$S$1</f>
        <v>Réalisé, Février 2025</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8"/>
      <c r="D91" s="1239" t="s">
        <v>343</v>
      </c>
      <c r="E91" s="1240"/>
      <c r="F91" s="1241"/>
      <c r="G91" s="1242"/>
      <c r="H91" s="1240"/>
      <c r="I91" s="1241"/>
      <c r="J91" s="1242" t="s">
        <v>344</v>
      </c>
      <c r="K91" s="1240"/>
      <c r="L91" s="1241"/>
      <c r="M91" s="1242" t="s">
        <v>3310</v>
      </c>
      <c r="N91" s="1241"/>
      <c r="O91" s="1239" t="s">
        <v>345</v>
      </c>
      <c r="P91" s="1240"/>
      <c r="Q91" s="1241"/>
      <c r="R91" s="1243" t="s">
        <v>3312</v>
      </c>
      <c r="S91" s="1244"/>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3"/>
      <c r="D92" s="242" t="s">
        <v>93</v>
      </c>
      <c r="E92" s="243" t="s">
        <v>348</v>
      </c>
      <c r="F92" s="244" t="s">
        <v>95</v>
      </c>
      <c r="G92" s="245"/>
      <c r="H92" s="243"/>
      <c r="I92" s="244"/>
      <c r="J92" s="245" t="s">
        <v>3318</v>
      </c>
      <c r="K92" s="243" t="s">
        <v>94</v>
      </c>
      <c r="L92" s="244" t="s">
        <v>95</v>
      </c>
      <c r="M92" s="245" t="s">
        <v>3318</v>
      </c>
      <c r="N92" s="244" t="s">
        <v>95</v>
      </c>
      <c r="O92" s="243" t="s">
        <v>93</v>
      </c>
      <c r="P92" s="243" t="s">
        <v>348</v>
      </c>
      <c r="Q92" s="244" t="s">
        <v>95</v>
      </c>
      <c r="R92" s="245" t="s">
        <v>3318</v>
      </c>
      <c r="S92" s="244"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
        <v>409</v>
      </c>
      <c r="B93" s="41" t="s">
        <v>152</v>
      </c>
      <c r="C93" s="246" t="s">
        <v>96</v>
      </c>
      <c r="D93" s="250"/>
      <c r="E93" s="250"/>
      <c r="F93" s="248">
        <f>+INDEX('Budget original'!$A$2:$AO$501,MATCH($A93,'Budget original'!$A$2:$A$501,0),MATCH(F$2,'Budget original'!$A$2:$AO$2,0))</f>
        <v>1318990.1726734482</v>
      </c>
      <c r="G93" s="267"/>
      <c r="H93" s="250"/>
      <c r="I93" s="248"/>
      <c r="J93" s="246"/>
      <c r="K93" s="250"/>
      <c r="L93" s="248">
        <f>-SUMIFS(BV_Data_An_Cour!$O:$O,BV_Data_An_Cour!$X:$X,"Oui",BV_Data_An_Cour!$U:$U,$B93)</f>
        <v>616311.44000000006</v>
      </c>
      <c r="M93" s="342"/>
      <c r="N93" s="343"/>
      <c r="O93" s="246"/>
      <c r="P93" s="250"/>
      <c r="Q93" s="248">
        <f t="array" ref="Q93">+INDEX('Réel 2024'!$A$2:$AO$501,MATCH($A93,'Réel 2024'!$A$2:$A$501,0),MATCH(Q$2,'Réel 2024'!$A$2:$AO$2,0))</f>
        <v>1454969.42</v>
      </c>
      <c r="R93" s="342"/>
      <c r="S93" s="343"/>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
        <v>410</v>
      </c>
      <c r="B94" s="41" t="s">
        <v>152</v>
      </c>
      <c r="C94" s="253" t="s">
        <v>153</v>
      </c>
      <c r="D94" s="254">
        <f>+INDEX('Budget original'!$A$2:$AO$501,MATCH($A94,'Budget original'!$A$2:$A$501,0),MATCH(D$2,'Budget original'!$A$2:$AO$2,0))</f>
        <v>20</v>
      </c>
      <c r="E94" s="254">
        <f>IF(D94=0,0,F94/D94)</f>
        <v>1400</v>
      </c>
      <c r="F94" s="254">
        <f>+INDEX('Budget original'!$A$2:$AO$501,MATCH($A94,'Budget original'!$A$2:$A$501,0),MATCH(F$2,'Budget original'!$A$2:$AO$2,0))</f>
        <v>28000</v>
      </c>
      <c r="G94" s="255"/>
      <c r="H94" s="254"/>
      <c r="I94" s="254"/>
      <c r="J94" s="255">
        <f>-SUMIFS(BV_Data_An_Cour!$O:$O,BV_Data_An_Cour!$U:$U,$B94,BV_Data_An_Cour!$V:$V,$C94,BV_Data_An_Cour!$W:$W,J$2)</f>
        <v>13</v>
      </c>
      <c r="K94" s="254">
        <f t="shared" ref="K94:K95" si="23">IF(J94=0,0,L94/J94)</f>
        <v>1495.4061538461515</v>
      </c>
      <c r="L94" s="256">
        <f>-SUMIFS(BV_Data_An_Cour!$O:$O,BV_Data_An_Cour!$U:$U,$B94,BV_Data_An_Cour!$V:$V,$C94,BV_Data_An_Cour!$W:$W,$L2)</f>
        <v>19440.27999999997</v>
      </c>
      <c r="M94" s="255">
        <f>J94-D94</f>
        <v>-7</v>
      </c>
      <c r="N94" s="256">
        <f>L94-F94</f>
        <v>-8559.7200000000303</v>
      </c>
      <c r="O94" s="255">
        <f t="array" ref="O94">+INDEX('Réel 2024'!$A$2:$AO$501,MATCH($A94,'Réel 2024'!$A$2:$A$501,0),MATCH(O$2,'Réel 2024'!$A$2:$AO$2,0))</f>
        <v>25</v>
      </c>
      <c r="P94" s="254">
        <f t="shared" ref="P94:P96" si="24">IF(O94=0,0,Q94/O94)</f>
        <v>127.26040000000359</v>
      </c>
      <c r="Q94" s="256">
        <f t="array" ref="Q94">+INDEX('Réel 2024'!$A$2:$AO$501,MATCH($A94,'Réel 2024'!$A$2:$A$501,0),MATCH(Q$2,'Réel 2024'!$A$2:$AO$2,0))</f>
        <v>3181.5100000000898</v>
      </c>
      <c r="R94" s="255">
        <f t="shared" ref="R94:R95" si="25">J94-O94</f>
        <v>-12</v>
      </c>
      <c r="S94" s="256">
        <f t="shared" ref="S94:S95" si="26">L94-Q94</f>
        <v>16258.76999999988</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
        <v>411</v>
      </c>
      <c r="B95" s="41" t="s">
        <v>152</v>
      </c>
      <c r="C95" s="253" t="s">
        <v>154</v>
      </c>
      <c r="D95" s="254">
        <f>+INDEX('Budget original'!$A$2:$AO$501,MATCH($A95,'Budget original'!$A$2:$A$501,0),MATCH(D$2,'Budget original'!$A$2:$AO$2,0))</f>
        <v>2</v>
      </c>
      <c r="E95" s="1076">
        <f t="shared" ref="E95:E105" si="27">IF(D95=0,0,F95/D95)</f>
        <v>1800</v>
      </c>
      <c r="F95" s="254">
        <f>+INDEX('Budget original'!$A$2:$AO$501,MATCH($A95,'Budget original'!$A$2:$A$501,0),MATCH(F$2,'Budget original'!$A$2:$AO$2,0))</f>
        <v>3600</v>
      </c>
      <c r="G95" s="255"/>
      <c r="H95" s="254"/>
      <c r="I95" s="254"/>
      <c r="J95" s="255">
        <f>-SUMIFS(BV_Data_An_Cour!$O:$O,BV_Data_An_Cour!$U:$U,$B95,BV_Data_An_Cour!$V:$V,$C95,BV_Data_An_Cour!$W:$W,J$2)</f>
        <v>2</v>
      </c>
      <c r="K95" s="254">
        <f t="shared" si="23"/>
        <v>-4481.2950000000001</v>
      </c>
      <c r="L95" s="256">
        <f>-SUMIFS(BV_Data_An_Cour!$O:$O,BV_Data_An_Cour!$U:$U,$B95,BV_Data_An_Cour!$V:$V,$C95,BV_Data_An_Cour!$W:$W,$L2)</f>
        <v>-8962.59</v>
      </c>
      <c r="M95" s="255">
        <f>J95-D95</f>
        <v>0</v>
      </c>
      <c r="N95" s="256">
        <f>L95-F95</f>
        <v>-12562.59</v>
      </c>
      <c r="O95" s="255">
        <f t="array" ref="O95">+INDEX('Réel 2024'!$A$2:$AO$501,MATCH($A95,'Réel 2024'!$A$2:$A$501,0),MATCH(O$2,'Réel 2024'!$A$2:$AO$2,0))</f>
        <v>2</v>
      </c>
      <c r="P95" s="254">
        <f t="shared" si="24"/>
        <v>-4595.2099999999946</v>
      </c>
      <c r="Q95" s="256">
        <f t="array" ref="Q95">+INDEX('Réel 2024'!$A$2:$AO$501,MATCH($A95,'Réel 2024'!$A$2:$A$501,0),MATCH(Q$2,'Réel 2024'!$A$2:$AO$2,0))</f>
        <v>-9190.4199999999892</v>
      </c>
      <c r="R95" s="255">
        <f t="shared" si="25"/>
        <v>0</v>
      </c>
      <c r="S95" s="256">
        <f t="shared" si="26"/>
        <v>227.82999999998901</v>
      </c>
      <c r="T95" s="41"/>
      <c r="U95" s="41"/>
      <c r="V95" s="344"/>
      <c r="W95" s="41"/>
      <c r="X95" s="41"/>
      <c r="Y95" s="41"/>
      <c r="Z95" s="41"/>
      <c r="AA95" s="41"/>
      <c r="AB95" s="41"/>
      <c r="AC95" s="41"/>
      <c r="AD95" s="41"/>
      <c r="AE95" s="41"/>
      <c r="AF95" s="41"/>
      <c r="AG95" s="41"/>
      <c r="AH95" s="41"/>
      <c r="AI95" s="41"/>
      <c r="AJ95" s="41"/>
      <c r="AK95" s="41"/>
      <c r="AL95" s="41"/>
      <c r="AM95" s="41"/>
      <c r="AN95" s="41"/>
    </row>
    <row r="96" spans="1:40" ht="18.75" customHeight="1">
      <c r="A96" s="5" t="str">
        <f>B96&amp;C96</f>
        <v>Véhicules usagésAutres Marques</v>
      </c>
      <c r="B96" s="41" t="s">
        <v>152</v>
      </c>
      <c r="C96" s="987" t="s">
        <v>3859</v>
      </c>
      <c r="D96" s="254">
        <f>+INDEX('Budget original'!$A$2:$AO$501,MATCH($A96,'Budget original'!$A$2:$A$501,0),MATCH(D$2,'Budget original'!$A$2:$AO$2,0))</f>
        <v>3</v>
      </c>
      <c r="E96" s="1078">
        <f t="shared" si="27"/>
        <v>1500</v>
      </c>
      <c r="F96" s="254">
        <f>+INDEX('Budget original'!$A$2:$AO$501,MATCH($A96,'Budget original'!$A$2:$A$501,0),MATCH(F$2,'Budget original'!$A$2:$AO$2,0))</f>
        <v>4500</v>
      </c>
      <c r="G96" s="1077"/>
      <c r="H96" s="254"/>
      <c r="I96" s="254"/>
      <c r="J96" s="1077">
        <f>-SUMIFS(BV_Data_An_Cour!$O:$O,BV_Data_An_Cour!$U:$U,$B96,BV_Data_An_Cour!$V:$V,$C96,BV_Data_An_Cour!$W:$W,J$2)</f>
        <v>2</v>
      </c>
      <c r="K96" s="254">
        <f t="shared" ref="K96" si="28">IF(J96=0,0,L96/J96)</f>
        <v>3107.6750000000011</v>
      </c>
      <c r="L96" s="952">
        <f>-SUMIFS(BV_Data_An_Cour!$O:$O,BV_Data_An_Cour!$U:$U,$B96,BV_Data_An_Cour!$V:$V,$C96,BV_Data_An_Cour!$W:$W,$L2)</f>
        <v>6215.3500000000022</v>
      </c>
      <c r="M96" s="1077">
        <f>J96-D96</f>
        <v>-1</v>
      </c>
      <c r="N96" s="952">
        <f>L96-F96</f>
        <v>1715.3500000000022</v>
      </c>
      <c r="O96" s="1077">
        <f>+INDEX('Réel 2024'!$A$2:$AO$501,MATCH($A96,'Réel 2024'!$A$2:$A$501,0),MATCH(O$2,'Réel 2024'!$A$2:$AO$2,0))</f>
        <v>0</v>
      </c>
      <c r="P96" s="254">
        <f t="shared" si="24"/>
        <v>0</v>
      </c>
      <c r="Q96" s="952">
        <f>+INDEX('Réel 2024'!$A$2:$AO$501,MATCH($A96,'Réel 2024'!$A$2:$A$501,0),MATCH(Q$2,'Réel 2024'!$A$2:$AO$2,0))</f>
        <v>0</v>
      </c>
      <c r="R96" s="1077">
        <f>J96-O96</f>
        <v>2</v>
      </c>
      <c r="S96" s="952">
        <f>L96-Q96</f>
        <v>6215.3500000000022</v>
      </c>
      <c r="T96" s="41"/>
      <c r="U96" s="41"/>
      <c r="V96" s="344"/>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ref="A97:A99" si="29">B97&amp;C97</f>
        <v>Véhicules usagésTotal Usagés</v>
      </c>
      <c r="B97" s="41" t="s">
        <v>152</v>
      </c>
      <c r="C97" s="259" t="s">
        <v>155</v>
      </c>
      <c r="D97" s="260">
        <f>+D95+D94+D96</f>
        <v>25</v>
      </c>
      <c r="E97" s="254">
        <f t="shared" si="27"/>
        <v>1444</v>
      </c>
      <c r="F97" s="261">
        <f>+F94+F95+F96</f>
        <v>36100</v>
      </c>
      <c r="G97" s="262"/>
      <c r="H97" s="260"/>
      <c r="I97" s="261"/>
      <c r="J97" s="262">
        <f>+J94+J95+J96</f>
        <v>17</v>
      </c>
      <c r="K97" s="1220">
        <f>IF(J97&lt;=0,0,L97/J97)</f>
        <v>981.94352941176305</v>
      </c>
      <c r="L97" s="261">
        <f>+L94+L95+L96</f>
        <v>16693.039999999972</v>
      </c>
      <c r="M97" s="262">
        <f>J97-D97</f>
        <v>-8</v>
      </c>
      <c r="N97" s="261">
        <f>L97-F97</f>
        <v>-19406.960000000028</v>
      </c>
      <c r="O97" s="262">
        <f>+O95+O94+O96</f>
        <v>27</v>
      </c>
      <c r="P97" s="260">
        <f>IF(O97=0,0,Q97/O97)</f>
        <v>-222.55222222221852</v>
      </c>
      <c r="Q97" s="261">
        <f>+Q94+Q95+Q96</f>
        <v>-6008.9099999998998</v>
      </c>
      <c r="R97" s="262">
        <f>R94+R95</f>
        <v>-12</v>
      </c>
      <c r="S97" s="261">
        <f>S94+S95</f>
        <v>16486.599999999868</v>
      </c>
      <c r="T97" s="41"/>
      <c r="U97" s="41"/>
      <c r="V97" s="41"/>
      <c r="W97" s="41"/>
      <c r="X97" s="41"/>
      <c r="Y97" s="41"/>
      <c r="Z97" s="41"/>
      <c r="AA97" s="41"/>
      <c r="AB97" s="41"/>
      <c r="AC97" s="291"/>
      <c r="AD97" s="41"/>
      <c r="AE97" s="41"/>
      <c r="AF97" s="291"/>
      <c r="AG97" s="41"/>
      <c r="AH97" s="41"/>
      <c r="AI97" s="41"/>
      <c r="AJ97" s="41"/>
      <c r="AK97" s="41"/>
      <c r="AL97" s="41"/>
      <c r="AM97" s="41"/>
      <c r="AN97" s="41"/>
    </row>
    <row r="98" spans="1:40" ht="15.75" customHeight="1">
      <c r="A98" s="5" t="str">
        <f t="shared" si="29"/>
        <v>Véhicules usagés</v>
      </c>
      <c r="B98" s="41" t="s">
        <v>152</v>
      </c>
      <c r="C98" s="253"/>
      <c r="D98" s="41"/>
      <c r="E98" s="254">
        <f t="shared" si="27"/>
        <v>0</v>
      </c>
      <c r="F98" s="263"/>
      <c r="G98" s="253"/>
      <c r="H98" s="41"/>
      <c r="I98" s="263"/>
      <c r="J98" s="253"/>
      <c r="K98" s="41"/>
      <c r="L98" s="263"/>
      <c r="M98" s="345">
        <f>M97/D97</f>
        <v>-0.32</v>
      </c>
      <c r="N98" s="346">
        <f>N97/F97</f>
        <v>-0.53758891966759081</v>
      </c>
      <c r="O98" s="253"/>
      <c r="P98" s="41">
        <f t="shared" ref="P98" si="30">IF(O98=0,0,Q98/O98)</f>
        <v>0</v>
      </c>
      <c r="Q98" s="263"/>
      <c r="R98" s="345">
        <f>R97/O97</f>
        <v>-0.44444444444444442</v>
      </c>
      <c r="S98" s="346">
        <f>IF(Q97=0,0,(S97/Q97))</f>
        <v>-2.7436922836255064</v>
      </c>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9"/>
        <v>Véhicules usagés</v>
      </c>
      <c r="B99" s="41" t="s">
        <v>152</v>
      </c>
      <c r="C99" s="253"/>
      <c r="D99" s="254">
        <f>+INDEX('Budget original'!$A$2:$AO$501,MATCH($A99,'Budget original'!$A$2:$A$501,0),MATCH(D$2,'Budget original'!$A$2:$AO$2,0))</f>
        <v>0</v>
      </c>
      <c r="E99" s="254">
        <f>IF(D99=0,0,F99/D99)</f>
        <v>0</v>
      </c>
      <c r="F99" s="254">
        <f>+INDEX('Budget original'!$A$2:$AO$501,MATCH($A99,'Budget original'!$A$2:$A$501,0),MATCH(F$2,'Budget original'!$A$2:$AO$2,0))</f>
        <v>0</v>
      </c>
      <c r="G99" s="255"/>
      <c r="H99" s="254"/>
      <c r="I99" s="254"/>
      <c r="J99" s="255"/>
      <c r="K99" s="254"/>
      <c r="L99" s="256"/>
      <c r="M99" s="255"/>
      <c r="N99" s="256"/>
      <c r="O99" s="255"/>
      <c r="P99" s="254"/>
      <c r="Q99" s="256"/>
      <c r="R99" s="255"/>
      <c r="S99" s="256"/>
      <c r="T99" s="41"/>
      <c r="U99" s="41"/>
      <c r="V99" s="41"/>
      <c r="W99" s="254"/>
      <c r="X99" s="254"/>
      <c r="Y99" s="41"/>
      <c r="Z99" s="41"/>
      <c r="AA99" s="41"/>
      <c r="AB99" s="41"/>
      <c r="AC99" s="41"/>
      <c r="AD99" s="41"/>
      <c r="AE99" s="41"/>
      <c r="AF99" s="41"/>
      <c r="AG99" s="41"/>
      <c r="AH99" s="41"/>
      <c r="AI99" s="41"/>
      <c r="AJ99" s="41"/>
      <c r="AK99" s="41"/>
      <c r="AL99" s="41"/>
      <c r="AM99" s="41"/>
      <c r="AN99" s="41"/>
    </row>
    <row r="100" spans="1:40" ht="15.75" customHeight="1">
      <c r="A100" s="5" t="s">
        <v>413</v>
      </c>
      <c r="B100" s="41" t="s">
        <v>152</v>
      </c>
      <c r="C100" s="253" t="s">
        <v>156</v>
      </c>
      <c r="D100" s="254">
        <f>+INDEX('Budget original'!$A$2:$AO$501,MATCH($A100,'Budget original'!$A$2:$A$501,0),MATCH(D$2,'Budget original'!$A$2:$AO$2,0))</f>
        <v>29</v>
      </c>
      <c r="E100" s="254">
        <f t="shared" si="27"/>
        <v>400</v>
      </c>
      <c r="F100" s="254">
        <f>+INDEX('Budget original'!$A$2:$AO$501,MATCH($A100,'Budget original'!$A$2:$A$501,0),MATCH(F$2,'Budget original'!$A$2:$AO$2,0))</f>
        <v>11600</v>
      </c>
      <c r="G100" s="255"/>
      <c r="H100" s="254"/>
      <c r="I100" s="254"/>
      <c r="J100" s="255">
        <f>-SUMIFS(BV_Data_An_Cour!$O:$O,BV_Data_An_Cour!$U:$U,$B100,BV_Data_An_Cour!$V:$V,$C100,BV_Data_An_Cour!$W:$W,J$2)</f>
        <v>10</v>
      </c>
      <c r="K100" s="254">
        <f>IF(J100=0,0,L100/J100)</f>
        <v>743.69200000000126</v>
      </c>
      <c r="L100" s="256">
        <f>-SUMIFS(BV_Data_An_Cour!$O:$O,BV_Data_An_Cour!$U:$U,$B100,BV_Data_An_Cour!$V:$V,$C100,BV_Data_An_Cour!$W:$W,L$2)</f>
        <v>7436.9200000000128</v>
      </c>
      <c r="M100" s="255">
        <f>J100-D100</f>
        <v>-19</v>
      </c>
      <c r="N100" s="256">
        <f>L100-F100</f>
        <v>-4163.0799999999872</v>
      </c>
      <c r="O100" s="255">
        <f t="array" ref="O100">+INDEX('Réel 2024'!$A$2:$AO$501,MATCH($A100,'Réel 2024'!$A$2:$A$501,0),MATCH(O$2,'Réel 2024'!$A$2:$AO$2,0))</f>
        <v>37</v>
      </c>
      <c r="P100" s="254">
        <f>IF(O100=0,0,Q100/O100)</f>
        <v>-55.195405405404863</v>
      </c>
      <c r="Q100" s="256">
        <f t="array" ref="Q100">+INDEX('Réel 2024'!$A$2:$AO$501,MATCH($A100,'Réel 2024'!$A$2:$A$501,0),MATCH(Q$2,'Réel 2024'!$A$2:$AO$2,0))</f>
        <v>-2042.22999999998</v>
      </c>
      <c r="R100" s="255">
        <f>J100-O100</f>
        <v>-27</v>
      </c>
      <c r="S100" s="256">
        <f>L100-Q100</f>
        <v>9479.1499999999924</v>
      </c>
      <c r="T100" s="41"/>
      <c r="U100" s="254"/>
      <c r="V100" s="41"/>
      <c r="W100" s="41"/>
      <c r="X100" s="41"/>
      <c r="Y100" s="41"/>
      <c r="Z100" s="41"/>
      <c r="AA100" s="41"/>
      <c r="AB100" s="41"/>
      <c r="AC100" s="291"/>
      <c r="AD100" s="41"/>
      <c r="AE100" s="41"/>
      <c r="AF100" s="347"/>
      <c r="AG100" s="41"/>
      <c r="AH100" s="41"/>
      <c r="AI100" s="41"/>
      <c r="AJ100" s="41"/>
      <c r="AK100" s="41"/>
      <c r="AL100" s="41"/>
      <c r="AM100" s="41"/>
      <c r="AN100" s="41"/>
    </row>
    <row r="101" spans="1:40" ht="15.75" customHeight="1">
      <c r="A101" s="5" t="s">
        <v>152</v>
      </c>
      <c r="B101" s="41" t="s">
        <v>152</v>
      </c>
      <c r="C101" s="246"/>
      <c r="D101" s="250"/>
      <c r="E101" s="250"/>
      <c r="F101" s="248"/>
      <c r="G101" s="267"/>
      <c r="H101" s="250"/>
      <c r="I101" s="248"/>
      <c r="J101" s="267"/>
      <c r="K101" s="250"/>
      <c r="L101" s="248"/>
      <c r="M101" s="268"/>
      <c r="N101" s="348"/>
      <c r="O101" s="267"/>
      <c r="P101" s="250"/>
      <c r="Q101" s="248"/>
      <c r="R101" s="268"/>
      <c r="S101" s="348"/>
      <c r="T101" s="41"/>
      <c r="U101" s="41"/>
      <c r="V101" s="41"/>
      <c r="W101" s="254"/>
      <c r="X101" s="41"/>
      <c r="Y101" s="41"/>
      <c r="Z101" s="41"/>
      <c r="AA101" s="41"/>
      <c r="AB101" s="41"/>
      <c r="AC101" s="41"/>
      <c r="AD101" s="41"/>
      <c r="AE101" s="41"/>
      <c r="AF101" s="347"/>
      <c r="AG101" s="41"/>
      <c r="AH101" s="41"/>
      <c r="AI101" s="41"/>
      <c r="AJ101" s="41"/>
      <c r="AK101" s="41"/>
      <c r="AL101" s="41"/>
      <c r="AM101" s="41"/>
      <c r="AN101" s="41"/>
    </row>
    <row r="102" spans="1:40" ht="15.75" customHeight="1">
      <c r="A102" s="5" t="s">
        <v>414</v>
      </c>
      <c r="B102" s="41" t="s">
        <v>152</v>
      </c>
      <c r="C102" s="253" t="s">
        <v>105</v>
      </c>
      <c r="D102" s="254">
        <f>+INDEX('Budget original'!$A$2:$AO$501,MATCH($A102,'Budget original'!$A$2:$A$501,0),MATCH(D$2,'Budget original'!$A$2:$AO$2,0))</f>
        <v>0</v>
      </c>
      <c r="E102" s="254">
        <f t="shared" si="27"/>
        <v>0</v>
      </c>
      <c r="F102" s="256">
        <f>+INDEX('Budget original'!$A$2:$AO$501,MATCH($A102,'Budget original'!$A$2:$A$501,0),MATCH(F$2,'Budget original'!$A$2:$AO$2,0))</f>
        <v>15000</v>
      </c>
      <c r="G102" s="255"/>
      <c r="H102" s="254"/>
      <c r="I102" s="254"/>
      <c r="J102" s="255"/>
      <c r="K102" s="254">
        <f>IF(J97=0,0,L102/J97)</f>
        <v>230.15882352941176</v>
      </c>
      <c r="L102" s="256">
        <f>-SUMIFS(BV_Data_An_Cour!$O:$O,BV_Data_An_Cour!$U:$U,$B102,BV_Data_An_Cour!$V:$V,$C102,BV_Data_An_Cour!$W:$W,$L2)</f>
        <v>3912.7</v>
      </c>
      <c r="M102" s="255"/>
      <c r="N102" s="256">
        <f>L102-F102</f>
        <v>-11087.3</v>
      </c>
      <c r="O102" s="255"/>
      <c r="P102" s="254"/>
      <c r="Q102" s="256">
        <f t="array" ref="Q102">+INDEX('Réel 2024'!$A$2:$AO$501,MATCH($A102,'Réel 2024'!$A$2:$A$501,0),MATCH(Q$2,'Réel 2024'!$A$2:$AO$2,0))</f>
        <v>3425.67</v>
      </c>
      <c r="R102" s="255">
        <f t="shared" ref="R102:R104" si="31">O102-K102</f>
        <v>-230.15882352941176</v>
      </c>
      <c r="S102" s="256">
        <f t="shared" ref="S102:S105" si="32">L102-Q102</f>
        <v>487.02999999999975</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
        <v>415</v>
      </c>
      <c r="B103" s="41" t="s">
        <v>152</v>
      </c>
      <c r="C103" s="253" t="s">
        <v>106</v>
      </c>
      <c r="D103" s="254">
        <f>+INDEX('Budget original'!$A$2:$AO$501,MATCH($A103,'Budget original'!$A$2:$A$501,0),MATCH(D$2,'Budget original'!$A$2:$AO$2,0))</f>
        <v>0</v>
      </c>
      <c r="E103" s="254">
        <f t="shared" si="27"/>
        <v>0</v>
      </c>
      <c r="F103" s="256">
        <f>+INDEX('Budget original'!$A$2:$AO$501,MATCH($A103,'Budget original'!$A$2:$A$501,0),MATCH(F$2,'Budget original'!$A$2:$AO$2,0))</f>
        <v>31250</v>
      </c>
      <c r="G103" s="255"/>
      <c r="H103" s="254"/>
      <c r="I103" s="254"/>
      <c r="J103" s="255"/>
      <c r="K103" s="254">
        <f>IF(J97=0,0,L103/J97)</f>
        <v>1336.4476470588236</v>
      </c>
      <c r="L103" s="256">
        <f>-SUMIFS(BV_Data_An_Cour!$O:$O,BV_Data_An_Cour!$U:$U,$B103,BV_Data_An_Cour!$V:$V,$C103,BV_Data_An_Cour!$W:$W,$L2)</f>
        <v>22719.61</v>
      </c>
      <c r="M103" s="255"/>
      <c r="N103" s="256">
        <f>L103-F103</f>
        <v>-8530.39</v>
      </c>
      <c r="O103" s="255"/>
      <c r="P103" s="254"/>
      <c r="Q103" s="256">
        <f t="array" ref="Q103">+INDEX('Réel 2024'!$A$2:$AO$501,MATCH($A103,'Réel 2024'!$A$2:$A$501,0),MATCH(Q$2,'Réel 2024'!$A$2:$AO$2,0))</f>
        <v>17187.830000000002</v>
      </c>
      <c r="R103" s="255">
        <f t="shared" si="31"/>
        <v>-1336.4476470588236</v>
      </c>
      <c r="S103" s="256">
        <f t="shared" si="32"/>
        <v>5531.7799999999988</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
        <v>416</v>
      </c>
      <c r="B104" s="41" t="s">
        <v>152</v>
      </c>
      <c r="C104" s="253" t="s">
        <v>107</v>
      </c>
      <c r="D104" s="254">
        <f>+INDEX('Budget original'!$A$2:$AO$501,MATCH($A104,'Budget original'!$A$2:$A$501,0),MATCH(D$2,'Budget original'!$A$2:$AO$2,0))</f>
        <v>0</v>
      </c>
      <c r="E104" s="250">
        <f t="shared" si="27"/>
        <v>0</v>
      </c>
      <c r="F104" s="256">
        <f>+INDEX('Budget original'!$A$2:$AO$501,MATCH($A104,'Budget original'!$A$2:$A$501,0),MATCH(F$2,'Budget original'!$A$2:$AO$2,0))</f>
        <v>1250</v>
      </c>
      <c r="G104" s="255"/>
      <c r="H104" s="250"/>
      <c r="I104" s="254"/>
      <c r="J104" s="255"/>
      <c r="K104" s="250">
        <f>IF(J97=0,0,L104/J97)</f>
        <v>14.874705882352941</v>
      </c>
      <c r="L104" s="256">
        <f>-SUMIFS(BV_Data_An_Cour!$O:$O,BV_Data_An_Cour!$U:$U,$B104,BV_Data_An_Cour!$V:$V,$C104,BV_Data_An_Cour!$W:$W,$L$2)</f>
        <v>252.87</v>
      </c>
      <c r="M104" s="267"/>
      <c r="N104" s="256">
        <f>L104-F104</f>
        <v>-997.13</v>
      </c>
      <c r="O104" s="255"/>
      <c r="P104" s="250"/>
      <c r="Q104" s="256">
        <f t="array" ref="Q104">+INDEX('Réel 2024'!$A$2:$AO$501,MATCH($A104,'Réel 2024'!$A$2:$A$501,0),MATCH(Q$2,'Réel 2024'!$A$2:$AO$2,0))</f>
        <v>0</v>
      </c>
      <c r="R104" s="255">
        <f t="shared" si="31"/>
        <v>-14.874705882352941</v>
      </c>
      <c r="S104" s="256">
        <f t="shared" si="32"/>
        <v>252.87</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
        <v>417</v>
      </c>
      <c r="B105" s="41" t="s">
        <v>152</v>
      </c>
      <c r="C105" s="259" t="s">
        <v>108</v>
      </c>
      <c r="D105" s="260">
        <f>D97</f>
        <v>25</v>
      </c>
      <c r="E105" s="254">
        <f t="shared" si="27"/>
        <v>1900</v>
      </c>
      <c r="F105" s="261">
        <f>F102+F103+F104</f>
        <v>47500</v>
      </c>
      <c r="G105" s="262"/>
      <c r="H105" s="260"/>
      <c r="I105" s="261"/>
      <c r="J105" s="262">
        <f>J97</f>
        <v>17</v>
      </c>
      <c r="K105" s="1220">
        <f>IF(J105&lt;=0,0,L105/J105)</f>
        <v>1581.4811764705883</v>
      </c>
      <c r="L105" s="261">
        <f>L102+L103+L104</f>
        <v>26885.18</v>
      </c>
      <c r="M105" s="255">
        <f>J105-D105</f>
        <v>-8</v>
      </c>
      <c r="N105" s="261">
        <f>L105-F105</f>
        <v>-20614.82</v>
      </c>
      <c r="O105" s="262">
        <f>O97</f>
        <v>27</v>
      </c>
      <c r="P105" s="260">
        <f t="shared" ref="P105" si="33">IF(O105=0,0,Q105/O105)</f>
        <v>763.46296296296293</v>
      </c>
      <c r="Q105" s="261">
        <f>Q102+Q103+Q104</f>
        <v>20613.5</v>
      </c>
      <c r="R105" s="273"/>
      <c r="S105" s="261">
        <f t="shared" si="32"/>
        <v>6271.68</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
        <v>152</v>
      </c>
      <c r="B106" s="41" t="s">
        <v>152</v>
      </c>
      <c r="C106" s="253"/>
      <c r="D106" s="41"/>
      <c r="E106" s="41"/>
      <c r="F106" s="276"/>
      <c r="G106" s="253"/>
      <c r="H106" s="349"/>
      <c r="I106" s="276"/>
      <c r="J106" s="253"/>
      <c r="K106" s="41"/>
      <c r="L106" s="276"/>
      <c r="M106" s="264"/>
      <c r="N106" s="265">
        <f>N105/F105</f>
        <v>-0.43399621052631576</v>
      </c>
      <c r="O106" s="253"/>
      <c r="P106" s="41"/>
      <c r="Q106" s="276"/>
      <c r="R106" s="277"/>
      <c r="S106" s="265">
        <f>IF(Q105=0,0,(S105/Q105))</f>
        <v>0.3042510975816819</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
        <v>152</v>
      </c>
      <c r="B107" s="41" t="s">
        <v>152</v>
      </c>
      <c r="C107" s="253"/>
      <c r="D107" s="41"/>
      <c r="E107" s="41"/>
      <c r="F107" s="276"/>
      <c r="G107" s="253"/>
      <c r="H107" s="349"/>
      <c r="I107" s="276"/>
      <c r="J107" s="253"/>
      <c r="K107" s="41"/>
      <c r="L107" s="276"/>
      <c r="M107" s="264"/>
      <c r="N107" s="265"/>
      <c r="O107" s="253"/>
      <c r="P107" s="41"/>
      <c r="Q107" s="276"/>
      <c r="R107" s="277"/>
      <c r="S107" s="265"/>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23.25" customHeight="1">
      <c r="A108" s="5" t="s">
        <v>418</v>
      </c>
      <c r="B108" s="41" t="s">
        <v>152</v>
      </c>
      <c r="C108" s="278" t="s">
        <v>157</v>
      </c>
      <c r="D108" s="279">
        <f>D97+D100</f>
        <v>54</v>
      </c>
      <c r="E108" s="280">
        <f>IF(D108&lt;=0,0,F108/D108)</f>
        <v>1762.962962962963</v>
      </c>
      <c r="F108" s="281">
        <f>F97+F105+F100</f>
        <v>95200</v>
      </c>
      <c r="G108" s="282"/>
      <c r="H108" s="350"/>
      <c r="I108" s="281"/>
      <c r="J108" s="282">
        <f>J97+J100</f>
        <v>27</v>
      </c>
      <c r="K108" s="280">
        <f>IF(J108&lt;=0,0,L108/J108)</f>
        <v>1889.449629629629</v>
      </c>
      <c r="L108" s="281">
        <f>L97+L105+L100</f>
        <v>51015.139999999985</v>
      </c>
      <c r="M108" s="282">
        <f>J108-D108</f>
        <v>-27</v>
      </c>
      <c r="N108" s="281">
        <f>L108-F108</f>
        <v>-44184.860000000015</v>
      </c>
      <c r="O108" s="282">
        <f>O97+O100</f>
        <v>64</v>
      </c>
      <c r="P108" s="280">
        <f>IF(O108&lt;=0,0,Q108/O108)</f>
        <v>196.28687500000188</v>
      </c>
      <c r="Q108" s="281">
        <f>Q97+Q105+Q100</f>
        <v>12562.360000000121</v>
      </c>
      <c r="R108" s="282">
        <f>J108-O108</f>
        <v>-37</v>
      </c>
      <c r="S108" s="281">
        <f>L108-Q108</f>
        <v>38452.779999999868</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9.5" customHeight="1">
      <c r="A109" s="5" t="s">
        <v>152</v>
      </c>
      <c r="B109" s="41" t="s">
        <v>152</v>
      </c>
      <c r="C109" s="283"/>
      <c r="D109" s="284"/>
      <c r="E109" s="284"/>
      <c r="F109" s="285"/>
      <c r="G109" s="283"/>
      <c r="H109" s="284"/>
      <c r="I109" s="285"/>
      <c r="J109" s="283"/>
      <c r="K109" s="284"/>
      <c r="L109" s="950">
        <f>L108/F108</f>
        <v>0.53587331932773097</v>
      </c>
      <c r="M109" s="286">
        <f>M108/D108</f>
        <v>-0.5</v>
      </c>
      <c r="N109" s="287">
        <f>N108/F108</f>
        <v>-0.46412668067226909</v>
      </c>
      <c r="O109" s="283"/>
      <c r="P109" s="284"/>
      <c r="Q109" s="285"/>
      <c r="R109" s="351">
        <f>O108/R108</f>
        <v>-1.7297297297297298</v>
      </c>
      <c r="S109" s="352">
        <f>IF(Q108=0,0,(S108/Q108))</f>
        <v>3.0609519230462667</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
        <v>152</v>
      </c>
      <c r="B110" s="41" t="s">
        <v>152</v>
      </c>
      <c r="C110" s="270"/>
      <c r="D110" s="11"/>
      <c r="E110" s="11"/>
      <c r="F110" s="288"/>
      <c r="G110" s="270"/>
      <c r="H110" s="11"/>
      <c r="I110" s="288"/>
      <c r="J110" s="270"/>
      <c r="K110" s="11"/>
      <c r="L110" s="288"/>
      <c r="M110" s="264"/>
      <c r="N110" s="265"/>
      <c r="O110" s="270"/>
      <c r="P110" s="11"/>
      <c r="Q110" s="288"/>
      <c r="R110" s="264"/>
      <c r="S110" s="265"/>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
        <v>419</v>
      </c>
      <c r="B111" s="41" t="s">
        <v>152</v>
      </c>
      <c r="C111" s="289" t="s">
        <v>110</v>
      </c>
      <c r="D111" s="41"/>
      <c r="E111" s="39"/>
      <c r="F111" s="276"/>
      <c r="G111" s="253"/>
      <c r="H111" s="39"/>
      <c r="I111" s="276"/>
      <c r="J111" s="253"/>
      <c r="K111" s="39"/>
      <c r="L111" s="263"/>
      <c r="M111" s="253"/>
      <c r="N111" s="263"/>
      <c r="O111" s="253"/>
      <c r="P111" s="39"/>
      <c r="Q111" s="263"/>
      <c r="R111" s="253"/>
      <c r="S111" s="263"/>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
        <v>420</v>
      </c>
      <c r="B112" s="41" t="s">
        <v>152</v>
      </c>
      <c r="C112" s="253" t="s">
        <v>111</v>
      </c>
      <c r="D112" s="1198">
        <f>F112/F97</f>
        <v>0.36247769373782024</v>
      </c>
      <c r="E112" s="291">
        <f t="shared" ref="E112:E121" si="34">F112/D$97</f>
        <v>523.41778975741238</v>
      </c>
      <c r="F112" s="254">
        <f>+INDEX('Budget original'!$A$2:$AO$501,MATCH($A112,'Budget original'!$A$2:$A$501,0),MATCH(F$2,'Budget original'!$A$2:$AO$2,0))</f>
        <v>13085.44474393531</v>
      </c>
      <c r="G112" s="292"/>
      <c r="H112" s="291"/>
      <c r="I112" s="254"/>
      <c r="J112" s="1219">
        <f>L112/L97</f>
        <v>0.53382128120462269</v>
      </c>
      <c r="K112" s="291">
        <f>IF($J$97=0,0,L112/(J$94+J$95+J96))</f>
        <v>524.18235294117653</v>
      </c>
      <c r="L112" s="256">
        <f>SUMIFS(BV_Data_An_Cour!$O:$O,BV_Data_An_Cour!$U:$U,$B112,BV_Data_An_Cour!$V:$V,$C112,BV_Data_An_Cour!$W:$W,$L$2)</f>
        <v>8911.1</v>
      </c>
      <c r="M112" s="253"/>
      <c r="N112" s="276">
        <f t="shared" ref="N112:N153" si="35">L112-F112</f>
        <v>-4174.3447439353095</v>
      </c>
      <c r="O112" s="1145">
        <f>Q112/Q97</f>
        <v>-2.0823626914033007</v>
      </c>
      <c r="P112" s="291">
        <f t="shared" ref="P112:P121" si="36">Q112/O$97</f>
        <v>463.43444444444441</v>
      </c>
      <c r="Q112" s="256">
        <f t="array" ref="Q112">+INDEX('Réel 2024'!$A$2:$AO$501,MATCH($A112,'Réel 2024'!$A$2:$A$501,0),MATCH(Q$2,'Réel 2024'!$A$2:$AO$2,0))</f>
        <v>12512.73</v>
      </c>
      <c r="R112" s="253"/>
      <c r="S112" s="276">
        <f t="shared" ref="S112:S153" si="37">L112-Q112</f>
        <v>-3601.6299999999992</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
        <v>421</v>
      </c>
      <c r="B113" s="41" t="s">
        <v>152</v>
      </c>
      <c r="C113" s="246" t="s">
        <v>112</v>
      </c>
      <c r="D113" s="1194">
        <f>F113/(F105)</f>
        <v>0.3</v>
      </c>
      <c r="E113" s="294">
        <f t="shared" si="34"/>
        <v>570</v>
      </c>
      <c r="F113" s="248">
        <f>+INDEX('Budget original'!$A$2:$AO$501,MATCH($A113,'Budget original'!$A$2:$A$501,0),MATCH(F$2,'Budget original'!$A$2:$AO$2,0))</f>
        <v>14250</v>
      </c>
      <c r="G113" s="295"/>
      <c r="H113" s="294"/>
      <c r="I113" s="248"/>
      <c r="J113" s="295">
        <f>L113/(L105)</f>
        <v>0.24999237498130941</v>
      </c>
      <c r="K113" s="294">
        <f>IF($J$97=0,0,L113/(J$94+J$95+J96))</f>
        <v>395.35823529411766</v>
      </c>
      <c r="L113" s="256">
        <f>SUMIFS(BV_Data_An_Cour!$O:$O,BV_Data_An_Cour!$U:$U,$B113,BV_Data_An_Cour!$V:$V,$C113,BV_Data_An_Cour!$W:$W,$L$2)</f>
        <v>6721.09</v>
      </c>
      <c r="M113" s="246"/>
      <c r="N113" s="296">
        <f t="shared" si="35"/>
        <v>-7528.91</v>
      </c>
      <c r="O113" s="1146">
        <f>Q113/(Q105+Q19)</f>
        <v>0.30002275174193022</v>
      </c>
      <c r="P113" s="294">
        <f t="shared" si="36"/>
        <v>273.50407407407408</v>
      </c>
      <c r="Q113" s="256">
        <f t="array" ref="Q113">+INDEX('Réel 2024'!$A$2:$AO$501,MATCH($A113,'Réel 2024'!$A$2:$A$501,0),MATCH(Q$2,'Réel 2024'!$A$2:$AO$2,0))</f>
        <v>7384.61</v>
      </c>
      <c r="R113" s="246"/>
      <c r="S113" s="296">
        <f t="shared" si="37"/>
        <v>-663.51999999999953</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
        <v>422</v>
      </c>
      <c r="B114" s="41" t="s">
        <v>152</v>
      </c>
      <c r="C114" s="253" t="s">
        <v>113</v>
      </c>
      <c r="D114" s="297"/>
      <c r="E114" s="291">
        <f t="shared" si="34"/>
        <v>8</v>
      </c>
      <c r="F114" s="254">
        <f>+INDEX('Budget original'!$A$2:$AO$501,MATCH($A114,'Budget original'!$A$2:$A$501,0),MATCH(F$2,'Budget original'!$A$2:$AO$2,0))</f>
        <v>200</v>
      </c>
      <c r="G114" s="298"/>
      <c r="H114" s="291"/>
      <c r="I114" s="254"/>
      <c r="J114" s="253"/>
      <c r="K114" s="291">
        <f>IF($J$97=0,0,L114/(J$94+J$95+J96))</f>
        <v>-39.458235294117642</v>
      </c>
      <c r="L114" s="272">
        <f>SUMIFS(BV_Data_An_Cour!$O:$O,BV_Data_An_Cour!$U:$U,$B114,BV_Data_An_Cour!$V:$V,$C114,BV_Data_An_Cour!$W:$W,$L$2)</f>
        <v>-670.79</v>
      </c>
      <c r="M114" s="253"/>
      <c r="N114" s="276">
        <f t="shared" si="35"/>
        <v>-870.79</v>
      </c>
      <c r="O114" s="253"/>
      <c r="P114" s="291">
        <f t="shared" si="36"/>
        <v>22.715925925925927</v>
      </c>
      <c r="Q114" s="272">
        <f t="array" ref="Q114">+INDEX('Réel 2024'!$A$2:$AO$501,MATCH($A114,'Réel 2024'!$A$2:$A$501,0),MATCH(Q$2,'Réel 2024'!$A$2:$AO$2,0))</f>
        <v>613.33000000000004</v>
      </c>
      <c r="R114" s="253"/>
      <c r="S114" s="276">
        <f t="shared" si="37"/>
        <v>-1284.1199999999999</v>
      </c>
      <c r="T114" s="41"/>
      <c r="U114" s="41"/>
      <c r="V114" s="41"/>
      <c r="W114" s="254"/>
      <c r="X114" s="41"/>
      <c r="Y114" s="41"/>
      <c r="Z114" s="41"/>
      <c r="AA114" s="41"/>
      <c r="AB114" s="41"/>
      <c r="AC114" s="41"/>
      <c r="AD114" s="41"/>
      <c r="AE114" s="41"/>
      <c r="AF114" s="41"/>
      <c r="AG114" s="41"/>
      <c r="AH114" s="41"/>
      <c r="AI114" s="41"/>
      <c r="AJ114" s="41"/>
      <c r="AK114" s="41"/>
      <c r="AL114" s="41"/>
      <c r="AM114" s="41"/>
      <c r="AN114" s="41"/>
    </row>
    <row r="115" spans="1:40" ht="15.75" customHeight="1">
      <c r="A115" s="5" t="s">
        <v>423</v>
      </c>
      <c r="B115" s="41" t="s">
        <v>152</v>
      </c>
      <c r="C115" s="253" t="s">
        <v>114</v>
      </c>
      <c r="D115" s="297"/>
      <c r="E115" s="291">
        <f t="shared" si="34"/>
        <v>45</v>
      </c>
      <c r="F115" s="254">
        <f>+INDEX('Budget original'!$A$2:$AO$501,MATCH($A115,'Budget original'!$A$2:$A$501,0),MATCH(F$2,'Budget original'!$A$2:$AO$2,0))</f>
        <v>1125</v>
      </c>
      <c r="G115" s="298"/>
      <c r="H115" s="291"/>
      <c r="I115" s="254"/>
      <c r="J115" s="253"/>
      <c r="K115" s="291">
        <f>IF($J$97=0,0,L115/(J$94+J$95+J96))</f>
        <v>25.291176470588233</v>
      </c>
      <c r="L115" s="256">
        <f>SUMIFS(BV_Data_An_Cour!$O:$O,BV_Data_An_Cour!$U:$U,$B115,BV_Data_An_Cour!$V:$V,$C115,BV_Data_An_Cour!$W:$W,$L$2)</f>
        <v>429.95</v>
      </c>
      <c r="M115" s="253"/>
      <c r="N115" s="276">
        <f t="shared" si="35"/>
        <v>-695.05</v>
      </c>
      <c r="O115" s="253"/>
      <c r="P115" s="291">
        <f t="shared" si="36"/>
        <v>51.88111111111111</v>
      </c>
      <c r="Q115" s="256">
        <f t="array" ref="Q115">+INDEX('Réel 2024'!$A$2:$AO$501,MATCH($A115,'Réel 2024'!$A$2:$A$501,0),MATCH(Q$2,'Réel 2024'!$A$2:$AO$2,0))</f>
        <v>1400.79</v>
      </c>
      <c r="R115" s="253"/>
      <c r="S115" s="276">
        <f t="shared" si="37"/>
        <v>-970.83999999999992</v>
      </c>
      <c r="T115" s="41"/>
      <c r="U115" s="41"/>
      <c r="V115" s="41"/>
      <c r="W115" s="254"/>
      <c r="X115" s="41"/>
      <c r="Y115" s="41"/>
      <c r="Z115" s="41"/>
      <c r="AA115" s="41"/>
      <c r="AB115" s="41"/>
      <c r="AC115" s="41"/>
      <c r="AD115" s="41"/>
      <c r="AE115" s="41"/>
      <c r="AF115" s="41"/>
      <c r="AG115" s="41"/>
      <c r="AH115" s="41"/>
      <c r="AI115" s="41"/>
      <c r="AJ115" s="41"/>
      <c r="AK115" s="41"/>
      <c r="AL115" s="41"/>
      <c r="AM115" s="41"/>
      <c r="AN115" s="41"/>
    </row>
    <row r="116" spans="1:40" ht="15.75" customHeight="1">
      <c r="A116" s="5" t="s">
        <v>424</v>
      </c>
      <c r="B116" s="41" t="s">
        <v>152</v>
      </c>
      <c r="C116" s="246" t="s">
        <v>115</v>
      </c>
      <c r="D116" s="299"/>
      <c r="E116" s="294">
        <f t="shared" si="34"/>
        <v>160</v>
      </c>
      <c r="F116" s="248">
        <f>+INDEX('Budget original'!$A$2:$AO$501,MATCH($A116,'Budget original'!$A$2:$A$501,0),MATCH(F$2,'Budget original'!$A$2:$AO$2,0))</f>
        <v>4000</v>
      </c>
      <c r="G116" s="300"/>
      <c r="H116" s="294"/>
      <c r="I116" s="248"/>
      <c r="J116" s="246"/>
      <c r="K116" s="294">
        <f>IF($J$97=0,0,L116/(J$94+J$95+J96))</f>
        <v>105.58823529411765</v>
      </c>
      <c r="L116" s="248">
        <f>SUMIFS(BV_Data_An_Cour!$O:$O,BV_Data_An_Cour!$U:$U,$B116,BV_Data_An_Cour!$V:$V,$C116,BV_Data_An_Cour!$W:$W,$L$2)</f>
        <v>1795</v>
      </c>
      <c r="M116" s="246"/>
      <c r="N116" s="296">
        <f t="shared" si="35"/>
        <v>-2205</v>
      </c>
      <c r="O116" s="246"/>
      <c r="P116" s="294">
        <f t="shared" si="36"/>
        <v>129.36666666666667</v>
      </c>
      <c r="Q116" s="248">
        <f t="array" ref="Q116">+INDEX('Réel 2024'!$A$2:$AO$501,MATCH($A116,'Réel 2024'!$A$2:$A$501,0),MATCH(Q$2,'Réel 2024'!$A$2:$AO$2,0))</f>
        <v>3492.9</v>
      </c>
      <c r="R116" s="246"/>
      <c r="S116" s="296">
        <f t="shared" si="37"/>
        <v>-1697.9</v>
      </c>
      <c r="T116" s="41"/>
      <c r="U116" s="291"/>
      <c r="V116" s="41"/>
      <c r="W116" s="254"/>
      <c r="X116" s="41"/>
      <c r="Y116" s="41"/>
      <c r="Z116" s="41"/>
      <c r="AA116" s="41"/>
      <c r="AB116" s="41"/>
      <c r="AC116" s="41"/>
      <c r="AD116" s="41"/>
      <c r="AE116" s="41"/>
      <c r="AF116" s="41"/>
      <c r="AG116" s="41"/>
      <c r="AH116" s="41"/>
      <c r="AI116" s="41"/>
      <c r="AJ116" s="41"/>
      <c r="AK116" s="41"/>
      <c r="AL116" s="41"/>
      <c r="AM116" s="41"/>
      <c r="AN116" s="41"/>
    </row>
    <row r="117" spans="1:40" ht="19.5" customHeight="1">
      <c r="A117" s="5" t="s">
        <v>425</v>
      </c>
      <c r="B117" s="41" t="s">
        <v>152</v>
      </c>
      <c r="C117" s="253" t="s">
        <v>116</v>
      </c>
      <c r="D117" s="297"/>
      <c r="E117" s="291">
        <f t="shared" si="34"/>
        <v>511.28</v>
      </c>
      <c r="F117" s="254">
        <f>+INDEX('Budget original'!$A$2:$AO$501,MATCH($A117,'Budget original'!$A$2:$A$501,0),MATCH(F$2,'Budget original'!$A$2:$AO$2,0))</f>
        <v>12782</v>
      </c>
      <c r="G117" s="298"/>
      <c r="H117" s="291"/>
      <c r="I117" s="254"/>
      <c r="J117" s="253"/>
      <c r="K117" s="291">
        <f>IF($J$97=0,0,L117/(J$94+J$95+J96))</f>
        <v>412.91823529411766</v>
      </c>
      <c r="L117" s="256">
        <f>SUMIFS(BV_Data_An_Cour!$O:$O,BV_Data_An_Cour!$U:$U,$B117,BV_Data_An_Cour!$V:$V,$C117,BV_Data_An_Cour!$W:$W,$L$2)</f>
        <v>7019.6100000000006</v>
      </c>
      <c r="M117" s="253"/>
      <c r="N117" s="1214">
        <f t="shared" si="35"/>
        <v>-5762.3899999999994</v>
      </c>
      <c r="O117" s="253"/>
      <c r="P117" s="291">
        <f t="shared" si="36"/>
        <v>476.7325925925926</v>
      </c>
      <c r="Q117" s="256">
        <f t="array" ref="Q117">+INDEX('Réel 2024'!$A$2:$AO$501,MATCH($A117,'Réel 2024'!$A$2:$A$501,0),MATCH(Q$2,'Réel 2024'!$A$2:$AO$2,0))</f>
        <v>12871.78</v>
      </c>
      <c r="R117" s="253"/>
      <c r="S117" s="276">
        <f t="shared" si="37"/>
        <v>-5852.17</v>
      </c>
      <c r="T117" s="41"/>
      <c r="U117" s="41"/>
      <c r="V117" s="41"/>
      <c r="W117" s="254"/>
      <c r="Z117" s="41"/>
      <c r="AA117" s="41"/>
      <c r="AB117" s="41"/>
      <c r="AC117" s="41"/>
      <c r="AD117" s="41"/>
      <c r="AE117" s="41"/>
      <c r="AF117" s="41"/>
      <c r="AG117" s="41"/>
      <c r="AH117" s="41"/>
      <c r="AI117" s="41"/>
      <c r="AJ117" s="41"/>
      <c r="AK117" s="41"/>
      <c r="AL117" s="41"/>
      <c r="AM117" s="41"/>
      <c r="AN117" s="41"/>
    </row>
    <row r="118" spans="1:40" ht="15.75" customHeight="1">
      <c r="A118" s="5" t="s">
        <v>426</v>
      </c>
      <c r="B118" s="41" t="s">
        <v>152</v>
      </c>
      <c r="C118" s="253" t="s">
        <v>117</v>
      </c>
      <c r="D118" s="297"/>
      <c r="E118" s="291">
        <f t="shared" si="34"/>
        <v>271.76771676300581</v>
      </c>
      <c r="F118" s="254">
        <f>+INDEX('Budget original'!$A$2:$AO$501,MATCH($A118,'Budget original'!$A$2:$A$501,0),MATCH(F$2,'Budget original'!$A$2:$AO$2,0))</f>
        <v>6794.1929190751453</v>
      </c>
      <c r="G118" s="298"/>
      <c r="H118" s="291"/>
      <c r="I118" s="254"/>
      <c r="J118" s="253"/>
      <c r="K118" s="291">
        <f>IF($J$97=0,0,L118/(J$94+J$95+J96))</f>
        <v>124.84764705882353</v>
      </c>
      <c r="L118" s="952">
        <f>SUMIFS(BV_Data_An_Cour!$O:$O,BV_Data_An_Cour!$U:$U,$B118,BV_Data_An_Cour!$V:$V,$C118,BV_Data_An_Cour!$W:$W,$L$2)</f>
        <v>2122.41</v>
      </c>
      <c r="M118" s="253"/>
      <c r="N118" s="961">
        <f t="shared" si="35"/>
        <v>-4671.7829190751454</v>
      </c>
      <c r="O118" s="253"/>
      <c r="P118" s="291">
        <f t="shared" si="36"/>
        <v>305.90814814814814</v>
      </c>
      <c r="Q118" s="256">
        <f t="array" ref="Q118">+INDEX('Réel 2024'!$A$2:$AO$501,MATCH($A118,'Réel 2024'!$A$2:$A$501,0),MATCH(Q$2,'Réel 2024'!$A$2:$AO$2,0))</f>
        <v>8259.52</v>
      </c>
      <c r="R118" s="253"/>
      <c r="S118" s="276">
        <f t="shared" si="37"/>
        <v>-6137.1100000000006</v>
      </c>
      <c r="T118" s="41"/>
      <c r="U118" s="41"/>
      <c r="V118" s="41"/>
      <c r="W118" s="254"/>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
        <v>427</v>
      </c>
      <c r="B119" s="41" t="s">
        <v>152</v>
      </c>
      <c r="C119" s="253" t="s">
        <v>59</v>
      </c>
      <c r="D119" s="297"/>
      <c r="E119" s="291">
        <f t="shared" si="34"/>
        <v>0</v>
      </c>
      <c r="F119" s="254">
        <f>+INDEX('Budget original'!$A$2:$AO$501,MATCH($A119,'Budget original'!$A$2:$A$501,0),MATCH(F$2,'Budget original'!$A$2:$AO$2,0))</f>
        <v>0</v>
      </c>
      <c r="G119" s="298"/>
      <c r="H119" s="291"/>
      <c r="I119" s="254"/>
      <c r="J119" s="253"/>
      <c r="K119" s="291">
        <f t="shared" ref="K119:K121" si="38">IF($J$97=0,0,L119/(J$94+J$95))</f>
        <v>0</v>
      </c>
      <c r="L119" s="256">
        <f>SUMIFS(BV_Data_An_Cour!$O:$O,BV_Data_An_Cour!$U:$U,$B119,BV_Data_An_Cour!$V:$V,$C119,BV_Data_An_Cour!$W:$W,$L$2)</f>
        <v>0</v>
      </c>
      <c r="M119" s="253"/>
      <c r="N119" s="276">
        <f t="shared" si="35"/>
        <v>0</v>
      </c>
      <c r="O119" s="253"/>
      <c r="P119" s="291">
        <f t="shared" si="36"/>
        <v>0</v>
      </c>
      <c r="Q119" s="256">
        <f t="array" ref="Q119">+INDEX('Réel 2024'!$A$2:$AO$501,MATCH($A119,'Réel 2024'!$A$2:$A$501,0),MATCH(Q$2,'Réel 2024'!$A$2:$AO$2,0))</f>
        <v>0</v>
      </c>
      <c r="R119" s="253"/>
      <c r="S119" s="276">
        <f t="shared" si="37"/>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
        <v>427</v>
      </c>
      <c r="B120" s="41" t="s">
        <v>152</v>
      </c>
      <c r="C120" s="253" t="s">
        <v>59</v>
      </c>
      <c r="D120" s="297"/>
      <c r="E120" s="291">
        <f t="shared" si="34"/>
        <v>0</v>
      </c>
      <c r="F120" s="254">
        <f>+INDEX('Budget original'!$A$2:$AO$501,MATCH($A120,'Budget original'!$A$2:$A$501,0),MATCH(F$2,'Budget original'!$A$2:$AO$2,0))</f>
        <v>0</v>
      </c>
      <c r="G120" s="298"/>
      <c r="H120" s="291"/>
      <c r="I120" s="254"/>
      <c r="J120" s="253"/>
      <c r="K120" s="291">
        <f t="shared" si="38"/>
        <v>0</v>
      </c>
      <c r="L120" s="256">
        <f>SUMIFS(BV_Data_An_Cour!$O:$O,BV_Data_An_Cour!$U:$U,$B120,BV_Data_An_Cour!$V:$V,$C120,BV_Data_An_Cour!$W:$W,$L$2)</f>
        <v>0</v>
      </c>
      <c r="M120" s="253"/>
      <c r="N120" s="276">
        <f t="shared" si="35"/>
        <v>0</v>
      </c>
      <c r="O120" s="253"/>
      <c r="P120" s="291">
        <f t="shared" si="36"/>
        <v>0</v>
      </c>
      <c r="Q120" s="256">
        <f t="array" ref="Q120">+INDEX('Réel 2024'!$A$2:$AO$501,MATCH($A120,'Réel 2024'!$A$2:$A$501,0),MATCH(Q$2,'Réel 2024'!$A$2:$AO$2,0))</f>
        <v>0</v>
      </c>
      <c r="R120" s="253"/>
      <c r="S120" s="276">
        <f t="shared" si="37"/>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
        <v>427</v>
      </c>
      <c r="B121" s="41" t="s">
        <v>152</v>
      </c>
      <c r="C121" s="253" t="s">
        <v>59</v>
      </c>
      <c r="D121" s="297"/>
      <c r="E121" s="291">
        <f t="shared" si="34"/>
        <v>0</v>
      </c>
      <c r="F121" s="254">
        <f>+INDEX('Budget original'!$A$2:$AO$501,MATCH($A121,'Budget original'!$A$2:$A$501,0),MATCH(F$2,'Budget original'!$A$2:$AO$2,0))</f>
        <v>0</v>
      </c>
      <c r="G121" s="298"/>
      <c r="H121" s="291"/>
      <c r="I121" s="254"/>
      <c r="J121" s="253"/>
      <c r="K121" s="291">
        <f t="shared" si="38"/>
        <v>0</v>
      </c>
      <c r="L121" s="256">
        <f>SUMIFS(BV_Data_An_Cour!$O:$O,BV_Data_An_Cour!$U:$U,$B121,BV_Data_An_Cour!$V:$V,$C121,BV_Data_An_Cour!$W:$W,$L$2)</f>
        <v>0</v>
      </c>
      <c r="M121" s="253"/>
      <c r="N121" s="276">
        <f t="shared" si="35"/>
        <v>0</v>
      </c>
      <c r="O121" s="253"/>
      <c r="P121" s="291">
        <f t="shared" si="36"/>
        <v>0</v>
      </c>
      <c r="Q121" s="256">
        <f t="array" ref="Q121">+INDEX('Réel 2024'!$A$2:$AO$501,MATCH($A121,'Réel 2024'!$A$2:$A$501,0),MATCH(Q$2,'Réel 2024'!$A$2:$AO$2,0))</f>
        <v>0</v>
      </c>
      <c r="R121" s="253"/>
      <c r="S121" s="276">
        <f t="shared" si="37"/>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
        <v>428</v>
      </c>
      <c r="B122" s="41" t="s">
        <v>152</v>
      </c>
      <c r="C122" s="304" t="s">
        <v>118</v>
      </c>
      <c r="D122" s="305" t="s">
        <v>119</v>
      </c>
      <c r="E122" s="306">
        <f>F122/F$108</f>
        <v>0.54870417713246278</v>
      </c>
      <c r="F122" s="307">
        <f>SUM(F112:F121)</f>
        <v>52236.637663010457</v>
      </c>
      <c r="G122" s="308"/>
      <c r="H122" s="306"/>
      <c r="I122" s="307"/>
      <c r="J122" s="308" t="s">
        <v>119</v>
      </c>
      <c r="K122" s="306">
        <f>L122/L$108</f>
        <v>0.51608934132102768</v>
      </c>
      <c r="L122" s="307">
        <f>SUM(L112:L121)</f>
        <v>26328.370000000003</v>
      </c>
      <c r="M122" s="311"/>
      <c r="N122" s="307">
        <f t="shared" si="35"/>
        <v>-25908.267663010454</v>
      </c>
      <c r="O122" s="308" t="s">
        <v>119</v>
      </c>
      <c r="P122" s="306">
        <f>Q122/Q$108</f>
        <v>3.7043724268369602</v>
      </c>
      <c r="Q122" s="307">
        <f>SUM(Q112:Q121)</f>
        <v>46535.66</v>
      </c>
      <c r="R122" s="311"/>
      <c r="S122" s="307">
        <f t="shared" si="37"/>
        <v>-20207.29</v>
      </c>
      <c r="T122" s="41"/>
      <c r="U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
        <v>429</v>
      </c>
      <c r="B123" s="41" t="s">
        <v>152</v>
      </c>
      <c r="C123" s="312" t="s">
        <v>120</v>
      </c>
      <c r="D123" s="41"/>
      <c r="E123" s="41"/>
      <c r="F123" s="254">
        <f>+INDEX('Budget original'!$A$2:$AO$501,MATCH($A123,'Budget original'!$A$2:$A$501,0),MATCH(F$2,'Budget original'!$A$2:$AO$2,0))</f>
        <v>9202.1205128205147</v>
      </c>
      <c r="G123" s="253"/>
      <c r="H123" s="41"/>
      <c r="I123" s="254"/>
      <c r="J123" s="253"/>
      <c r="K123" s="41"/>
      <c r="L123" s="256">
        <f>SUMIFS(BV_Data_An_Cour!$O:$O,BV_Data_An_Cour!$U:$U,$B123,BV_Data_An_Cour!$V:$V,$C123,BV_Data_An_Cour!$W:$W,$L$2)</f>
        <v>5199.93</v>
      </c>
      <c r="M123" s="253"/>
      <c r="N123" s="276">
        <f t="shared" si="35"/>
        <v>-4002.1905128205144</v>
      </c>
      <c r="O123" s="253"/>
      <c r="P123" s="41"/>
      <c r="Q123" s="256">
        <f t="array" ref="Q123">+INDEX('Réel 2024'!$A$2:$AO$501,MATCH($A123,'Réel 2024'!$A$2:$A$501,0),MATCH(Q$2,'Réel 2024'!$A$2:$AO$2,0))</f>
        <v>13022.98</v>
      </c>
      <c r="R123" s="253"/>
      <c r="S123" s="276">
        <f t="shared" si="37"/>
        <v>-7823.0499999999993</v>
      </c>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
        <v>430</v>
      </c>
      <c r="B124" s="41" t="s">
        <v>152</v>
      </c>
      <c r="C124" s="313" t="s">
        <v>121</v>
      </c>
      <c r="D124" s="297"/>
      <c r="E124" s="41"/>
      <c r="F124" s="248">
        <f>+INDEX('Budget original'!$A$2:$AO$501,MATCH($A124,'Budget original'!$A$2:$A$501,0),MATCH(F$2,'Budget original'!$A$2:$AO$2,0))</f>
        <v>8529.65846153846</v>
      </c>
      <c r="G124" s="298"/>
      <c r="H124" s="41"/>
      <c r="I124" s="248"/>
      <c r="J124" s="253"/>
      <c r="K124" s="41"/>
      <c r="L124" s="248">
        <f>SUMIFS(BV_Data_An_Cour!$O:$O,BV_Data_An_Cour!$U:$U,$B124,BV_Data_An_Cour!$V:$V,$C124,BV_Data_An_Cour!$W:$W,$L$2)</f>
        <v>5400.97</v>
      </c>
      <c r="M124" s="253"/>
      <c r="N124" s="276">
        <f t="shared" si="35"/>
        <v>-3128.6884615384597</v>
      </c>
      <c r="O124" s="253"/>
      <c r="P124" s="41"/>
      <c r="Q124" s="248">
        <f t="array" ref="Q124">+INDEX('Réel 2024'!$A$2:$AO$501,MATCH($A124,'Réel 2024'!$A$2:$A$501,0),MATCH(Q$2,'Réel 2024'!$A$2:$AO$2,0))</f>
        <v>1638.43</v>
      </c>
      <c r="R124" s="253"/>
      <c r="S124" s="276">
        <f t="shared" si="37"/>
        <v>3762.54</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
        <v>431</v>
      </c>
      <c r="B125" s="41" t="s">
        <v>152</v>
      </c>
      <c r="C125" s="312" t="s">
        <v>122</v>
      </c>
      <c r="D125" s="314"/>
      <c r="E125" s="315"/>
      <c r="F125" s="254">
        <f>+INDEX('Budget original'!$A$2:$AO$501,MATCH($A125,'Budget original'!$A$2:$A$501,0),MATCH(F$2,'Budget original'!$A$2:$AO$2,0))</f>
        <v>3344.8923076923074</v>
      </c>
      <c r="G125" s="316"/>
      <c r="H125" s="315"/>
      <c r="I125" s="254"/>
      <c r="J125" s="241"/>
      <c r="K125" s="315"/>
      <c r="L125" s="256">
        <f>SUMIFS(BV_Data_An_Cour!$O:$O,BV_Data_An_Cour!$U:$U,$B125,BV_Data_An_Cour!$V:$V,$C125,BV_Data_An_Cour!$W:$W,$L$2)</f>
        <v>5999</v>
      </c>
      <c r="M125" s="241"/>
      <c r="N125" s="317">
        <f t="shared" si="35"/>
        <v>2654.1076923076926</v>
      </c>
      <c r="O125" s="241"/>
      <c r="P125" s="315"/>
      <c r="Q125" s="256">
        <f t="array" ref="Q125">+INDEX('Réel 2024'!$A$2:$AO$501,MATCH($A125,'Réel 2024'!$A$2:$A$501,0),MATCH(Q$2,'Réel 2024'!$A$2:$AO$2,0))</f>
        <v>6160.24</v>
      </c>
      <c r="R125" s="241"/>
      <c r="S125" s="317">
        <f t="shared" si="37"/>
        <v>-161.23999999999978</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
        <v>432</v>
      </c>
      <c r="B126" s="41" t="s">
        <v>152</v>
      </c>
      <c r="C126" s="312" t="s">
        <v>123</v>
      </c>
      <c r="D126" s="297"/>
      <c r="E126" s="41"/>
      <c r="F126" s="254">
        <f>+INDEX('Budget original'!$A$2:$AO$501,MATCH($A126,'Budget original'!$A$2:$A$501,0),MATCH(F$2,'Budget original'!$A$2:$AO$2,0))</f>
        <v>0</v>
      </c>
      <c r="G126" s="298"/>
      <c r="H126" s="41"/>
      <c r="I126" s="254"/>
      <c r="J126" s="253"/>
      <c r="K126" s="41"/>
      <c r="L126" s="256">
        <f>SUMIFS(BV_Data_An_Cour!$O:$O,BV_Data_An_Cour!$U:$U,$B126,BV_Data_An_Cour!$V:$V,$C126,BV_Data_An_Cour!$W:$W,$L$2)</f>
        <v>0</v>
      </c>
      <c r="M126" s="253"/>
      <c r="N126" s="276">
        <f t="shared" si="35"/>
        <v>0</v>
      </c>
      <c r="O126" s="253"/>
      <c r="P126" s="41"/>
      <c r="Q126" s="256">
        <f t="array" ref="Q126">+INDEX('Réel 2024'!$A$2:$AO$501,MATCH($A126,'Réel 2024'!$A$2:$A$501,0),MATCH(Q$2,'Réel 2024'!$A$2:$AO$2,0))</f>
        <v>0</v>
      </c>
      <c r="R126" s="253"/>
      <c r="S126" s="276">
        <f t="shared" si="37"/>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
        <v>427</v>
      </c>
      <c r="B127" s="41" t="s">
        <v>152</v>
      </c>
      <c r="C127" s="312" t="s">
        <v>59</v>
      </c>
      <c r="D127" s="297"/>
      <c r="E127" s="41"/>
      <c r="F127" s="254">
        <f>+INDEX('Budget original'!$A$2:$AO$501,MATCH($A127,'Budget original'!$A$2:$A$501,0),MATCH(F$2,'Budget original'!$A$2:$AO$2,0))</f>
        <v>0</v>
      </c>
      <c r="G127" s="298"/>
      <c r="H127" s="41"/>
      <c r="I127" s="254"/>
      <c r="J127" s="253"/>
      <c r="K127" s="41"/>
      <c r="L127" s="256">
        <f>SUMIFS(BV_Data_An_Cour!$O:$O,BV_Data_An_Cour!$U:$U,$B127,BV_Data_An_Cour!$V:$V,$C127,BV_Data_An_Cour!$W:$W,$L$2)</f>
        <v>0</v>
      </c>
      <c r="M127" s="253"/>
      <c r="N127" s="276">
        <f t="shared" si="35"/>
        <v>0</v>
      </c>
      <c r="O127" s="253"/>
      <c r="P127" s="41"/>
      <c r="Q127" s="256">
        <f t="array" ref="Q127">+INDEX('Réel 2024'!$A$2:$AO$501,MATCH($A127,'Réel 2024'!$A$2:$A$501,0),MATCH(Q$2,'Réel 2024'!$A$2:$AO$2,0))</f>
        <v>0</v>
      </c>
      <c r="R127" s="253"/>
      <c r="S127" s="276">
        <f t="shared" si="37"/>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
        <v>427</v>
      </c>
      <c r="B128" s="41" t="s">
        <v>152</v>
      </c>
      <c r="C128" s="312" t="s">
        <v>59</v>
      </c>
      <c r="D128" s="297"/>
      <c r="E128" s="41"/>
      <c r="F128" s="254">
        <f>+INDEX('Budget original'!$A$2:$AO$501,MATCH($A128,'Budget original'!$A$2:$A$501,0),MATCH(F$2,'Budget original'!$A$2:$AO$2,0))</f>
        <v>0</v>
      </c>
      <c r="G128" s="298"/>
      <c r="H128" s="41"/>
      <c r="I128" s="254"/>
      <c r="J128" s="253"/>
      <c r="K128" s="41"/>
      <c r="L128" s="256">
        <f>SUMIFS(BV_Data_An_Cour!$O:$O,BV_Data_An_Cour!$U:$U,$B128,BV_Data_An_Cour!$V:$V,$C128,BV_Data_An_Cour!$W:$W,$L$2)</f>
        <v>0</v>
      </c>
      <c r="M128" s="253"/>
      <c r="N128" s="276">
        <f t="shared" si="35"/>
        <v>0</v>
      </c>
      <c r="O128" s="253"/>
      <c r="P128" s="41"/>
      <c r="Q128" s="256">
        <f t="array" ref="Q128">+INDEX('Réel 2024'!$A$2:$AO$501,MATCH($A128,'Réel 2024'!$A$2:$A$501,0),MATCH(Q$2,'Réel 2024'!$A$2:$AO$2,0))</f>
        <v>0</v>
      </c>
      <c r="R128" s="253"/>
      <c r="S128" s="276">
        <f t="shared" si="37"/>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
        <v>427</v>
      </c>
      <c r="B129" s="41" t="s">
        <v>152</v>
      </c>
      <c r="C129" s="312" t="s">
        <v>59</v>
      </c>
      <c r="D129" s="297"/>
      <c r="E129" s="41"/>
      <c r="F129" s="254">
        <f>+INDEX('Budget original'!$A$2:$AO$501,MATCH($A129,'Budget original'!$A$2:$A$501,0),MATCH(F$2,'Budget original'!$A$2:$AO$2,0))</f>
        <v>0</v>
      </c>
      <c r="G129" s="298"/>
      <c r="H129" s="41"/>
      <c r="I129" s="254"/>
      <c r="J129" s="253"/>
      <c r="K129" s="41"/>
      <c r="L129" s="256">
        <f>SUMIFS(BV_Data_An_Cour!$O:$O,BV_Data_An_Cour!$U:$U,$B129,BV_Data_An_Cour!$V:$V,$C129,BV_Data_An_Cour!$W:$W,$L$2)</f>
        <v>0</v>
      </c>
      <c r="M129" s="253"/>
      <c r="N129" s="276">
        <f t="shared" si="35"/>
        <v>0</v>
      </c>
      <c r="O129" s="253"/>
      <c r="P129" s="41"/>
      <c r="Q129" s="256">
        <f t="array" ref="Q129">+INDEX('Réel 2024'!$A$2:$AO$501,MATCH($A129,'Réel 2024'!$A$2:$A$501,0),MATCH(Q$2,'Réel 2024'!$A$2:$AO$2,0))</f>
        <v>0</v>
      </c>
      <c r="R129" s="253"/>
      <c r="S129" s="276">
        <f t="shared" si="37"/>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
        <v>433</v>
      </c>
      <c r="B130" s="41" t="s">
        <v>152</v>
      </c>
      <c r="C130" s="313" t="s">
        <v>124</v>
      </c>
      <c r="D130" s="297"/>
      <c r="E130" s="41"/>
      <c r="F130" s="254">
        <f>+INDEX('Budget original'!$A$2:$AO$501,MATCH($A130,'Budget original'!$A$2:$A$501,0),MATCH(F$2,'Budget original'!$A$2:$AO$2,0))</f>
        <v>7179.3004212820515</v>
      </c>
      <c r="G130" s="298"/>
      <c r="H130" s="41"/>
      <c r="I130" s="254"/>
      <c r="J130" s="253"/>
      <c r="K130" s="41"/>
      <c r="L130" s="256">
        <f>SUMIFS(BV_Data_An_Cour!$O:$O,BV_Data_An_Cour!$U:$U,$B130,BV_Data_An_Cour!$V:$V,$C130,BV_Data_An_Cour!$W:$W,$L$2)</f>
        <v>6772.12</v>
      </c>
      <c r="M130" s="253"/>
      <c r="N130" s="276">
        <f t="shared" si="35"/>
        <v>-407.18042128205161</v>
      </c>
      <c r="O130" s="253"/>
      <c r="P130" s="41"/>
      <c r="Q130" s="256">
        <f t="array" ref="Q130">+INDEX('Réel 2024'!$A$2:$AO$501,MATCH($A130,'Réel 2024'!$A$2:$A$501,0),MATCH(Q$2,'Réel 2024'!$A$2:$AO$2,0))</f>
        <v>7392.1</v>
      </c>
      <c r="R130" s="253"/>
      <c r="S130" s="276">
        <f t="shared" si="37"/>
        <v>-619.98000000000047</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
        <v>434</v>
      </c>
      <c r="B131" s="41" t="s">
        <v>152</v>
      </c>
      <c r="C131" s="312" t="s">
        <v>125</v>
      </c>
      <c r="D131" s="314"/>
      <c r="E131" s="315"/>
      <c r="F131" s="271">
        <f>+INDEX('Budget original'!$A$2:$AO$501,MATCH($A131,'Budget original'!$A$2:$A$501,0),MATCH(F$2,'Budget original'!$A$2:$AO$2,0))</f>
        <v>8729.0172523076926</v>
      </c>
      <c r="G131" s="316"/>
      <c r="H131" s="315"/>
      <c r="I131" s="271"/>
      <c r="J131" s="241"/>
      <c r="K131" s="315"/>
      <c r="L131" s="272">
        <f>SUMIFS(BV_Data_An_Cour!$O:$O,BV_Data_An_Cour!$U:$U,$B131,BV_Data_An_Cour!$V:$V,$C131,BV_Data_An_Cour!$W:$W,$L$2)</f>
        <v>8042.92</v>
      </c>
      <c r="M131" s="241"/>
      <c r="N131" s="317">
        <f t="shared" si="35"/>
        <v>-686.09725230769254</v>
      </c>
      <c r="O131" s="241"/>
      <c r="P131" s="315"/>
      <c r="Q131" s="272">
        <f t="array" ref="Q131">+INDEX('Réel 2024'!$A$2:$AO$501,MATCH($A131,'Réel 2024'!$A$2:$A$501,0),MATCH(Q$2,'Réel 2024'!$A$2:$AO$2,0))</f>
        <v>7456.71</v>
      </c>
      <c r="R131" s="241"/>
      <c r="S131" s="317">
        <f t="shared" si="37"/>
        <v>586.21</v>
      </c>
      <c r="T131" s="41"/>
      <c r="U131" s="41"/>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
        <v>435</v>
      </c>
      <c r="B132" s="41" t="s">
        <v>152</v>
      </c>
      <c r="C132" s="312" t="s">
        <v>126</v>
      </c>
      <c r="D132" s="297"/>
      <c r="E132" s="41"/>
      <c r="F132" s="254">
        <f>+INDEX('Budget original'!$A$2:$AO$501,MATCH($A132,'Budget original'!$A$2:$A$501,0),MATCH(F$2,'Budget original'!$A$2:$AO$2,0))</f>
        <v>4497.3414973846156</v>
      </c>
      <c r="G132" s="298"/>
      <c r="H132" s="41"/>
      <c r="I132" s="254"/>
      <c r="J132" s="253"/>
      <c r="K132" s="41"/>
      <c r="L132" s="256">
        <f>SUMIFS(BV_Data_An_Cour!$O:$O,BV_Data_An_Cour!$U:$U,$B132,BV_Data_An_Cour!$V:$V,$C132,BV_Data_An_Cour!$W:$W,$L$2)</f>
        <v>4219.8599999999997</v>
      </c>
      <c r="M132" s="253"/>
      <c r="N132" s="276">
        <f t="shared" si="35"/>
        <v>-277.48149738461598</v>
      </c>
      <c r="O132" s="253"/>
      <c r="P132" s="41"/>
      <c r="Q132" s="256">
        <f t="array" ref="Q132">+INDEX('Réel 2024'!$A$2:$AO$501,MATCH($A132,'Réel 2024'!$A$2:$A$501,0),MATCH(Q$2,'Réel 2024'!$A$2:$AO$2,0))</f>
        <v>1052.78</v>
      </c>
      <c r="R132" s="253"/>
      <c r="S132" s="276">
        <f t="shared" si="37"/>
        <v>3167.08</v>
      </c>
      <c r="T132" s="41"/>
      <c r="U132" s="41"/>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
        <v>436</v>
      </c>
      <c r="B133" s="41" t="s">
        <v>152</v>
      </c>
      <c r="C133" s="312" t="s">
        <v>127</v>
      </c>
      <c r="D133" s="297"/>
      <c r="E133" s="41"/>
      <c r="F133" s="254">
        <f>+INDEX('Budget original'!$A$2:$AO$501,MATCH($A133,'Budget original'!$A$2:$A$501,0),MATCH(F$2,'Budget original'!$A$2:$AO$2,0))</f>
        <v>1960.8661943589743</v>
      </c>
      <c r="G133" s="298"/>
      <c r="H133" s="41"/>
      <c r="I133" s="254"/>
      <c r="J133" s="253"/>
      <c r="K133" s="41"/>
      <c r="L133" s="256">
        <f>SUMIFS(BV_Data_An_Cour!$O:$O,BV_Data_An_Cour!$U:$U,$B133,BV_Data_An_Cour!$V:$V,$C133,BV_Data_An_Cour!$W:$W,$L$2)</f>
        <v>1459.12</v>
      </c>
      <c r="M133" s="253"/>
      <c r="N133" s="276">
        <f t="shared" si="35"/>
        <v>-501.74619435897444</v>
      </c>
      <c r="O133" s="253"/>
      <c r="P133" s="41"/>
      <c r="Q133" s="256">
        <f t="array" ref="Q133">+INDEX('Réel 2024'!$A$2:$AO$501,MATCH($A133,'Réel 2024'!$A$2:$A$501,0),MATCH(Q$2,'Réel 2024'!$A$2:$AO$2,0))</f>
        <v>637.33000000000004</v>
      </c>
      <c r="R133" s="253"/>
      <c r="S133" s="276">
        <f t="shared" si="37"/>
        <v>821.78999999999985</v>
      </c>
      <c r="T133" s="41"/>
      <c r="U133" s="41"/>
      <c r="V133" s="41"/>
      <c r="W133" s="41"/>
      <c r="X133" s="41"/>
      <c r="Y133" s="41"/>
      <c r="Z133" s="41"/>
      <c r="AA133" s="41"/>
      <c r="AB133" s="41"/>
      <c r="AC133" s="41"/>
      <c r="AD133" s="41"/>
      <c r="AE133" s="41"/>
      <c r="AF133" s="41"/>
      <c r="AG133" s="41"/>
      <c r="AH133" s="41"/>
      <c r="AI133" s="41"/>
      <c r="AJ133" s="41"/>
      <c r="AK133" s="41"/>
      <c r="AL133" s="41"/>
      <c r="AM133" s="41"/>
      <c r="AN133" s="41"/>
    </row>
    <row r="134" spans="1:40" ht="15.75" hidden="1" customHeight="1">
      <c r="A134" s="5" t="s">
        <v>427</v>
      </c>
      <c r="B134" s="41" t="s">
        <v>152</v>
      </c>
      <c r="C134" s="253" t="s">
        <v>59</v>
      </c>
      <c r="D134" s="299"/>
      <c r="E134" s="318"/>
      <c r="F134" s="254">
        <f>+INDEX('Budget original'!$A$2:$AO$501,MATCH($A134,'Budget original'!$A$2:$A$501,0),MATCH(F$2,'Budget original'!$A$2:$AO$2,0))</f>
        <v>0</v>
      </c>
      <c r="G134" s="300"/>
      <c r="H134" s="318"/>
      <c r="I134" s="254"/>
      <c r="J134" s="246"/>
      <c r="K134" s="318"/>
      <c r="L134" s="256">
        <f>SUMIFS(BV_Data_An_Cour!$O:$O,BV_Data_An_Cour!$U:$U,$B134,BV_Data_An_Cour!$V:$V,$C134,BV_Data_An_Cour!$W:$W,$L$2)</f>
        <v>0</v>
      </c>
      <c r="M134" s="246"/>
      <c r="N134" s="296">
        <f t="shared" si="35"/>
        <v>0</v>
      </c>
      <c r="O134" s="246"/>
      <c r="P134" s="318"/>
      <c r="Q134" s="256">
        <f t="array" ref="Q134">+INDEX('Réel 2024'!$A$2:$AO$501,MATCH($A134,'Réel 2024'!$A$2:$A$501,0),MATCH(Q$2,'Réel 2024'!$A$2:$AO$2,0))</f>
        <v>0</v>
      </c>
      <c r="R134" s="246"/>
      <c r="S134" s="296">
        <f t="shared" si="37"/>
        <v>0</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customHeight="1">
      <c r="A135" s="5" t="s">
        <v>437</v>
      </c>
      <c r="B135" s="41" t="s">
        <v>152</v>
      </c>
      <c r="C135" s="304" t="s">
        <v>128</v>
      </c>
      <c r="D135" s="305" t="s">
        <v>119</v>
      </c>
      <c r="E135" s="306">
        <f>F135/F$108</f>
        <v>0.45633609923723339</v>
      </c>
      <c r="F135" s="307">
        <f>+SUM(F123:F134)</f>
        <v>43443.196647384619</v>
      </c>
      <c r="G135" s="308"/>
      <c r="H135" s="306"/>
      <c r="I135" s="307"/>
      <c r="J135" s="308" t="s">
        <v>119</v>
      </c>
      <c r="K135" s="306">
        <f>L135/L$108</f>
        <v>0.72711591108051488</v>
      </c>
      <c r="L135" s="307">
        <f>SUM(L123:L134)</f>
        <v>37093.920000000006</v>
      </c>
      <c r="M135" s="355"/>
      <c r="N135" s="320">
        <f t="shared" si="35"/>
        <v>-6349.2766473846132</v>
      </c>
      <c r="O135" s="308" t="s">
        <v>119</v>
      </c>
      <c r="P135" s="306">
        <f>Q135/Q$108</f>
        <v>2.9740088645763727</v>
      </c>
      <c r="Q135" s="307">
        <f>+SUM(Q123:Q134)</f>
        <v>37360.57</v>
      </c>
      <c r="R135" s="355"/>
      <c r="S135" s="320">
        <f t="shared" si="37"/>
        <v>-266.64999999999418</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hidden="1" customHeight="1">
      <c r="A136" s="5" t="s">
        <v>438</v>
      </c>
      <c r="B136" s="41" t="s">
        <v>152</v>
      </c>
      <c r="C136" s="253" t="s">
        <v>129</v>
      </c>
      <c r="D136" s="297"/>
      <c r="E136" s="41"/>
      <c r="F136" s="254">
        <f>+INDEX('Budget original'!$A$2:$AO$501,MATCH($A136,'Budget original'!$A$2:$A$501,0),MATCH(F$2,'Budget original'!$A$2:$AO$2,0))</f>
        <v>0</v>
      </c>
      <c r="G136" s="298"/>
      <c r="H136" s="41"/>
      <c r="I136" s="254"/>
      <c r="J136" s="253"/>
      <c r="K136" s="41"/>
      <c r="L136" s="256">
        <f>SUMIFS(BV_Data_An_Cour!$O:$O,BV_Data_An_Cour!$U:$U,$B136,BV_Data_An_Cour!$V:$V,$C136,BV_Data_An_Cour!$W:$W,$L$2)</f>
        <v>0</v>
      </c>
      <c r="M136" s="253"/>
      <c r="N136" s="276">
        <f t="shared" si="35"/>
        <v>0</v>
      </c>
      <c r="O136" s="253"/>
      <c r="P136" s="41"/>
      <c r="Q136" s="256">
        <f t="array" ref="Q136">+INDEX('Réel 2024'!$A$2:$AO$501,MATCH($A136,'Réel 2024'!$A$2:$A$501,0),MATCH(Q$2,'Réel 2024'!$A$2:$AO$2,0))</f>
        <v>0</v>
      </c>
      <c r="R136" s="253"/>
      <c r="S136" s="276">
        <f t="shared" si="37"/>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hidden="1" customHeight="1">
      <c r="A137" s="5" t="s">
        <v>439</v>
      </c>
      <c r="B137" s="41" t="s">
        <v>152</v>
      </c>
      <c r="C137" s="253" t="s">
        <v>130</v>
      </c>
      <c r="D137" s="297"/>
      <c r="E137" s="41"/>
      <c r="F137" s="254">
        <f>+INDEX('Budget original'!$A$2:$AO$501,MATCH($A137,'Budget original'!$A$2:$A$501,0),MATCH(F$2,'Budget original'!$A$2:$AO$2,0))</f>
        <v>0</v>
      </c>
      <c r="G137" s="298"/>
      <c r="H137" s="41"/>
      <c r="I137" s="254"/>
      <c r="J137" s="253"/>
      <c r="K137" s="41"/>
      <c r="L137" s="256">
        <f>SUMIFS(BV_Data_An_Cour!$O:$O,BV_Data_An_Cour!$U:$U,$B137,BV_Data_An_Cour!$V:$V,$C137,BV_Data_An_Cour!$W:$W,$L$2)</f>
        <v>0</v>
      </c>
      <c r="M137" s="253"/>
      <c r="N137" s="276">
        <f t="shared" si="35"/>
        <v>0</v>
      </c>
      <c r="O137" s="253"/>
      <c r="P137" s="41"/>
      <c r="Q137" s="256">
        <f t="array" ref="Q137">+INDEX('Réel 2024'!$A$2:$AO$501,MATCH($A137,'Réel 2024'!$A$2:$A$501,0),MATCH(Q$2,'Réel 2024'!$A$2:$AO$2,0))</f>
        <v>0</v>
      </c>
      <c r="R137" s="253"/>
      <c r="S137" s="276">
        <f t="shared" si="37"/>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
        <v>440</v>
      </c>
      <c r="B138" s="41" t="s">
        <v>152</v>
      </c>
      <c r="C138" s="246" t="s">
        <v>131</v>
      </c>
      <c r="D138" s="299"/>
      <c r="E138" s="318"/>
      <c r="F138" s="248">
        <f>+INDEX('Budget original'!$A$2:$AO$501,MATCH($A138,'Budget original'!$A$2:$A$501,0),MATCH(F$2,'Budget original'!$A$2:$AO$2,0))</f>
        <v>1284.1532888888889</v>
      </c>
      <c r="G138" s="300"/>
      <c r="H138" s="318"/>
      <c r="I138" s="248"/>
      <c r="J138" s="246"/>
      <c r="K138" s="318"/>
      <c r="L138" s="1218">
        <f>SUMIFS(BV_Data_An_Cour!$O:$O,BV_Data_An_Cour!$U:$U,$B138,BV_Data_An_Cour!$V:$V,$C138,BV_Data_An_Cour!$W:$W,$L$2)</f>
        <v>5234.58</v>
      </c>
      <c r="M138" s="246"/>
      <c r="N138" s="1215">
        <f t="shared" si="35"/>
        <v>3950.4267111111112</v>
      </c>
      <c r="O138" s="246"/>
      <c r="P138" s="318"/>
      <c r="Q138" s="248">
        <f t="array" ref="Q138">+INDEX('Réel 2024'!$A$2:$AO$501,MATCH($A138,'Réel 2024'!$A$2:$A$501,0),MATCH(Q$2,'Réel 2024'!$A$2:$AO$2,0))</f>
        <v>375.25</v>
      </c>
      <c r="R138" s="246"/>
      <c r="S138" s="296">
        <f t="shared" si="37"/>
        <v>4859.33</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
        <v>441</v>
      </c>
      <c r="B139" s="41" t="s">
        <v>152</v>
      </c>
      <c r="C139" s="253" t="s">
        <v>132</v>
      </c>
      <c r="D139" s="297"/>
      <c r="E139" s="41"/>
      <c r="F139" s="254">
        <f>+INDEX('Budget original'!$A$2:$AO$501,MATCH($A139,'Budget original'!$A$2:$A$501,0),MATCH(F$2,'Budget original'!$A$2:$AO$2,0))</f>
        <v>3757.6856226933323</v>
      </c>
      <c r="G139" s="298"/>
      <c r="H139" s="41"/>
      <c r="I139" s="254"/>
      <c r="J139" s="253"/>
      <c r="K139" s="41"/>
      <c r="L139" s="256">
        <f>SUMIFS(BV_Data_An_Cour!$O:$O,BV_Data_An_Cour!$U:$U,$B139,BV_Data_An_Cour!$V:$V,$C139,BV_Data_An_Cour!$W:$W,$L$2)</f>
        <v>2511.36</v>
      </c>
      <c r="M139" s="253"/>
      <c r="N139" s="276">
        <f t="shared" si="35"/>
        <v>-1246.3256226933322</v>
      </c>
      <c r="O139" s="253"/>
      <c r="P139" s="41"/>
      <c r="Q139" s="256">
        <f t="array" ref="Q139">+INDEX('Réel 2024'!$A$2:$AO$501,MATCH($A139,'Réel 2024'!$A$2:$A$501,0),MATCH(Q$2,'Réel 2024'!$A$2:$AO$2,0))</f>
        <v>3464.52</v>
      </c>
      <c r="R139" s="253"/>
      <c r="S139" s="276">
        <f t="shared" si="37"/>
        <v>-953.15999999999985</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
        <v>442</v>
      </c>
      <c r="B140" s="41" t="s">
        <v>152</v>
      </c>
      <c r="C140" s="253" t="s">
        <v>133</v>
      </c>
      <c r="D140" s="297"/>
      <c r="E140" s="41"/>
      <c r="F140" s="254">
        <f>+INDEX('Budget original'!$A$2:$AO$501,MATCH($A140,'Budget original'!$A$2:$A$501,0),MATCH(F$2,'Budget original'!$A$2:$AO$2,0))</f>
        <v>555.6702437740496</v>
      </c>
      <c r="G140" s="298"/>
      <c r="H140" s="41"/>
      <c r="I140" s="254"/>
      <c r="J140" s="253"/>
      <c r="K140" s="41"/>
      <c r="L140" s="256">
        <f>SUMIFS(BV_Data_An_Cour!$O:$O,BV_Data_An_Cour!$U:$U,$B140,BV_Data_An_Cour!$V:$V,$C140,BV_Data_An_Cour!$W:$W,$L$2)</f>
        <v>520.13</v>
      </c>
      <c r="M140" s="253"/>
      <c r="N140" s="276">
        <f t="shared" si="35"/>
        <v>-35.5402437740496</v>
      </c>
      <c r="O140" s="253"/>
      <c r="P140" s="41"/>
      <c r="Q140" s="256">
        <f t="array" ref="Q140">+INDEX('Réel 2024'!$A$2:$AO$501,MATCH($A140,'Réel 2024'!$A$2:$A$501,0),MATCH(Q$2,'Réel 2024'!$A$2:$AO$2,0))</f>
        <v>86.55</v>
      </c>
      <c r="R140" s="253"/>
      <c r="S140" s="276">
        <f t="shared" si="37"/>
        <v>433.58</v>
      </c>
      <c r="T140" s="353"/>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
        <v>443</v>
      </c>
      <c r="B141" s="41" t="s">
        <v>152</v>
      </c>
      <c r="C141" s="246" t="s">
        <v>134</v>
      </c>
      <c r="D141" s="299"/>
      <c r="E141" s="318"/>
      <c r="F141" s="248">
        <f>+INDEX('Budget original'!$A$2:$AO$501,MATCH($A141,'Budget original'!$A$2:$A$501,0),MATCH(F$2,'Budget original'!$A$2:$AO$2,0))</f>
        <v>1398.8494640536576</v>
      </c>
      <c r="G141" s="300"/>
      <c r="H141" s="318"/>
      <c r="I141" s="248"/>
      <c r="J141" s="246"/>
      <c r="K141" s="318"/>
      <c r="L141" s="1218">
        <f>SUMIFS(BV_Data_An_Cour!$O:$O,BV_Data_An_Cour!$U:$U,$B141,BV_Data_An_Cour!$V:$V,$C141,BV_Data_An_Cour!$W:$W,$L$2)</f>
        <v>2466.6999999999998</v>
      </c>
      <c r="M141" s="246"/>
      <c r="N141" s="296">
        <f t="shared" si="35"/>
        <v>1067.8505359463422</v>
      </c>
      <c r="O141" s="246"/>
      <c r="P141" s="318"/>
      <c r="Q141" s="248">
        <f t="array" ref="Q141">+INDEX('Réel 2024'!$A$2:$AO$501,MATCH($A141,'Réel 2024'!$A$2:$A$501,0),MATCH(Q$2,'Réel 2024'!$A$2:$AO$2,0))</f>
        <v>1043.29</v>
      </c>
      <c r="R141" s="246"/>
      <c r="S141" s="296">
        <f t="shared" si="37"/>
        <v>1423.4099999999999</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
        <v>444</v>
      </c>
      <c r="B142" s="41" t="s">
        <v>152</v>
      </c>
      <c r="C142" s="253" t="s">
        <v>135</v>
      </c>
      <c r="D142" s="297"/>
      <c r="E142" s="41"/>
      <c r="F142" s="254">
        <f>+INDEX('Budget original'!$A$2:$AO$501,MATCH($A142,'Budget original'!$A$2:$A$501,0),MATCH(F$2,'Budget original'!$A$2:$AO$2,0))</f>
        <v>83.885533333333328</v>
      </c>
      <c r="G142" s="298"/>
      <c r="H142" s="41"/>
      <c r="I142" s="254"/>
      <c r="J142" s="253"/>
      <c r="K142" s="41"/>
      <c r="L142" s="256">
        <f>SUMIFS(BV_Data_An_Cour!$O:$O,BV_Data_An_Cour!$U:$U,$B142,BV_Data_An_Cour!$V:$V,$C142,BV_Data_An_Cour!$W:$W,$L$2)</f>
        <v>165.98</v>
      </c>
      <c r="M142" s="253"/>
      <c r="N142" s="276">
        <f t="shared" si="35"/>
        <v>82.094466666666662</v>
      </c>
      <c r="O142" s="253"/>
      <c r="P142" s="41"/>
      <c r="Q142" s="256">
        <f t="array" ref="Q142">+INDEX('Réel 2024'!$A$2:$AO$501,MATCH($A142,'Réel 2024'!$A$2:$A$501,0),MATCH(Q$2,'Réel 2024'!$A$2:$AO$2,0))</f>
        <v>0</v>
      </c>
      <c r="R142" s="253"/>
      <c r="S142" s="276">
        <f t="shared" si="37"/>
        <v>165.98</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
        <v>445</v>
      </c>
      <c r="B143" s="41" t="s">
        <v>152</v>
      </c>
      <c r="C143" s="253" t="s">
        <v>136</v>
      </c>
      <c r="D143" s="297"/>
      <c r="E143" s="41"/>
      <c r="F143" s="254">
        <f>+INDEX('Budget original'!$A$2:$AO$501,MATCH($A143,'Budget original'!$A$2:$A$501,0),MATCH(F$2,'Budget original'!$A$2:$AO$2,0))</f>
        <v>28.333333333333332</v>
      </c>
      <c r="G143" s="298"/>
      <c r="H143" s="41"/>
      <c r="I143" s="254"/>
      <c r="J143" s="253"/>
      <c r="K143" s="41"/>
      <c r="L143" s="256">
        <f>SUMIFS(BV_Data_An_Cour!$O:$O,BV_Data_An_Cour!$U:$U,$B143,BV_Data_An_Cour!$V:$V,$C143,BV_Data_An_Cour!$W:$W,$L$2)</f>
        <v>0</v>
      </c>
      <c r="M143" s="253"/>
      <c r="N143" s="276">
        <f t="shared" si="35"/>
        <v>-28.333333333333332</v>
      </c>
      <c r="O143" s="253"/>
      <c r="P143" s="41"/>
      <c r="Q143" s="256">
        <f t="array" ref="Q143">+INDEX('Réel 2024'!$A$2:$AO$501,MATCH($A143,'Réel 2024'!$A$2:$A$501,0),MATCH(Q$2,'Réel 2024'!$A$2:$AO$2,0))</f>
        <v>0</v>
      </c>
      <c r="R143" s="253"/>
      <c r="S143" s="276">
        <f t="shared" si="37"/>
        <v>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
        <v>446</v>
      </c>
      <c r="B144" s="41" t="s">
        <v>152</v>
      </c>
      <c r="C144" s="253" t="s">
        <v>137</v>
      </c>
      <c r="D144" s="297"/>
      <c r="E144" s="41"/>
      <c r="F144" s="254">
        <f>+INDEX('Budget original'!$A$2:$AO$501,MATCH($A144,'Budget original'!$A$2:$A$501,0),MATCH(F$2,'Budget original'!$A$2:$AO$2,0))</f>
        <v>323.61939737591996</v>
      </c>
      <c r="G144" s="298"/>
      <c r="H144" s="41"/>
      <c r="I144" s="254"/>
      <c r="J144" s="253"/>
      <c r="K144" s="41"/>
      <c r="L144" s="256">
        <f>SUMIFS(BV_Data_An_Cour!$O:$O,BV_Data_An_Cour!$U:$U,$B144,BV_Data_An_Cour!$V:$V,$C144,BV_Data_An_Cour!$W:$W,$L$2)</f>
        <v>390.74</v>
      </c>
      <c r="M144" s="253"/>
      <c r="N144" s="276">
        <f t="shared" si="35"/>
        <v>67.12060262408005</v>
      </c>
      <c r="O144" s="253"/>
      <c r="P144" s="41"/>
      <c r="Q144" s="256">
        <f t="array" ref="Q144">+INDEX('Réel 2024'!$A$2:$AO$501,MATCH($A144,'Réel 2024'!$A$2:$A$501,0),MATCH(Q$2,'Réel 2024'!$A$2:$AO$2,0))</f>
        <v>499.31</v>
      </c>
      <c r="R144" s="253"/>
      <c r="S144" s="276">
        <f t="shared" si="37"/>
        <v>-108.57</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
        <v>447</v>
      </c>
      <c r="B145" s="41" t="s">
        <v>152</v>
      </c>
      <c r="C145" s="253" t="s">
        <v>138</v>
      </c>
      <c r="D145" s="297"/>
      <c r="E145" s="41"/>
      <c r="F145" s="254">
        <f>+INDEX('Budget original'!$A$2:$AO$501,MATCH($A145,'Budget original'!$A$2:$A$501,0),MATCH(F$2,'Budget original'!$A$2:$AO$2,0))</f>
        <v>62.764554844243328</v>
      </c>
      <c r="G145" s="298"/>
      <c r="H145" s="41"/>
      <c r="I145" s="254"/>
      <c r="J145" s="253"/>
      <c r="K145" s="41"/>
      <c r="L145" s="256">
        <f>SUMIFS(BV_Data_An_Cour!$O:$O,BV_Data_An_Cour!$U:$U,$B145,BV_Data_An_Cour!$V:$V,$C145,BV_Data_An_Cour!$W:$W,$L$2)</f>
        <v>94.99</v>
      </c>
      <c r="M145" s="253"/>
      <c r="N145" s="276">
        <f t="shared" si="35"/>
        <v>32.225445155756667</v>
      </c>
      <c r="O145" s="253"/>
      <c r="P145" s="41"/>
      <c r="Q145" s="256">
        <f t="array" ref="Q145">+INDEX('Réel 2024'!$A$2:$AO$501,MATCH($A145,'Réel 2024'!$A$2:$A$501,0),MATCH(Q$2,'Réel 2024'!$A$2:$AO$2,0))</f>
        <v>40.380000000000003</v>
      </c>
      <c r="R145" s="253"/>
      <c r="S145" s="276">
        <f t="shared" si="37"/>
        <v>54.609999999999992</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
        <v>448</v>
      </c>
      <c r="B146" s="41" t="s">
        <v>152</v>
      </c>
      <c r="C146" s="253" t="s">
        <v>139</v>
      </c>
      <c r="D146" s="297"/>
      <c r="E146" s="41"/>
      <c r="F146" s="254">
        <f>+INDEX('Budget original'!$A$2:$AO$501,MATCH($A146,'Budget original'!$A$2:$A$501,0),MATCH(F$2,'Budget original'!$A$2:$AO$2,0))</f>
        <v>48.216844138156659</v>
      </c>
      <c r="G146" s="298"/>
      <c r="H146" s="41"/>
      <c r="I146" s="254"/>
      <c r="J146" s="253"/>
      <c r="K146" s="41"/>
      <c r="L146" s="256">
        <f>SUMIFS(BV_Data_An_Cour!$O:$O,BV_Data_An_Cour!$U:$U,$B146,BV_Data_An_Cour!$V:$V,$C146,BV_Data_An_Cour!$W:$W,$L$2)</f>
        <v>167.97</v>
      </c>
      <c r="M146" s="253"/>
      <c r="N146" s="276">
        <f t="shared" si="35"/>
        <v>119.75315586184334</v>
      </c>
      <c r="O146" s="253"/>
      <c r="P146" s="41"/>
      <c r="Q146" s="256">
        <f t="array" ref="Q146">+INDEX('Réel 2024'!$A$2:$AO$501,MATCH($A146,'Réel 2024'!$A$2:$A$501,0),MATCH(Q$2,'Réel 2024'!$A$2:$AO$2,0))</f>
        <v>105.3</v>
      </c>
      <c r="R146" s="253"/>
      <c r="S146" s="276">
        <f t="shared" si="37"/>
        <v>62.67</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
        <v>449</v>
      </c>
      <c r="B147" s="41" t="s">
        <v>152</v>
      </c>
      <c r="C147" s="253" t="s">
        <v>140</v>
      </c>
      <c r="D147" s="297"/>
      <c r="E147" s="41"/>
      <c r="F147" s="254">
        <f>+INDEX('Budget original'!$A$2:$AO$501,MATCH($A147,'Budget original'!$A$2:$A$501,0),MATCH(F$2,'Budget original'!$A$2:$AO$2,0))</f>
        <v>107.35161743797669</v>
      </c>
      <c r="G147" s="298"/>
      <c r="H147" s="41"/>
      <c r="I147" s="254"/>
      <c r="J147" s="253"/>
      <c r="K147" s="41"/>
      <c r="L147" s="256">
        <f>SUMIFS(BV_Data_An_Cour!$O:$O,BV_Data_An_Cour!$U:$U,$B147,BV_Data_An_Cour!$V:$V,$C147,BV_Data_An_Cour!$W:$W,$L$2)</f>
        <v>26.7</v>
      </c>
      <c r="M147" s="253"/>
      <c r="N147" s="276">
        <f t="shared" si="35"/>
        <v>-80.651617437976682</v>
      </c>
      <c r="O147" s="253"/>
      <c r="P147" s="41"/>
      <c r="Q147" s="256">
        <f t="array" ref="Q147">+INDEX('Réel 2024'!$A$2:$AO$501,MATCH($A147,'Réel 2024'!$A$2:$A$501,0),MATCH(Q$2,'Réel 2024'!$A$2:$AO$2,0))</f>
        <v>77.12</v>
      </c>
      <c r="R147" s="253"/>
      <c r="S147" s="276">
        <f t="shared" si="37"/>
        <v>-50.42</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
        <v>450</v>
      </c>
      <c r="B148" s="41" t="s">
        <v>152</v>
      </c>
      <c r="C148" s="253" t="s">
        <v>141</v>
      </c>
      <c r="D148" s="297"/>
      <c r="E148" s="41"/>
      <c r="F148" s="254">
        <f>+INDEX('Budget original'!$A$2:$AO$501,MATCH($A148,'Budget original'!$A$2:$A$501,0),MATCH(F$2,'Budget original'!$A$2:$AO$2,0))</f>
        <v>218.46437169698484</v>
      </c>
      <c r="G148" s="298"/>
      <c r="H148" s="41"/>
      <c r="I148" s="254"/>
      <c r="J148" s="253"/>
      <c r="K148" s="41"/>
      <c r="L148" s="256">
        <f>SUMIFS(BV_Data_An_Cour!$O:$O,BV_Data_An_Cour!$U:$U,$B148,BV_Data_An_Cour!$V:$V,$C148,BV_Data_An_Cour!$W:$W,$L$2)</f>
        <v>240.65</v>
      </c>
      <c r="M148" s="253"/>
      <c r="N148" s="276">
        <f t="shared" si="35"/>
        <v>22.185628303015164</v>
      </c>
      <c r="O148" s="253"/>
      <c r="P148" s="41"/>
      <c r="Q148" s="256">
        <f t="array" ref="Q148">+INDEX('Réel 2024'!$A$2:$AO$501,MATCH($A148,'Réel 2024'!$A$2:$A$501,0),MATCH(Q$2,'Réel 2024'!$A$2:$AO$2,0))</f>
        <v>38.28</v>
      </c>
      <c r="R148" s="253"/>
      <c r="S148" s="276">
        <f t="shared" si="37"/>
        <v>202.37</v>
      </c>
      <c r="T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
        <v>451</v>
      </c>
      <c r="B149" s="41" t="s">
        <v>152</v>
      </c>
      <c r="C149" s="253" t="s">
        <v>142</v>
      </c>
      <c r="D149" s="297"/>
      <c r="E149" s="41"/>
      <c r="F149" s="254">
        <f>+INDEX('Budget original'!$A$2:$AO$501,MATCH($A149,'Budget original'!$A$2:$A$501,0),MATCH(F$2,'Budget original'!$A$2:$AO$2,0))</f>
        <v>611.72291654129151</v>
      </c>
      <c r="G149" s="298"/>
      <c r="H149" s="41"/>
      <c r="I149" s="254"/>
      <c r="J149" s="253"/>
      <c r="K149" s="41"/>
      <c r="L149" s="952">
        <f>SUMIFS(BV_Data_An_Cour!$O:$O,BV_Data_An_Cour!$U:$U,$B149,BV_Data_An_Cour!$V:$V,$C149,BV_Data_An_Cour!$W:$W,$L$2)</f>
        <v>481.19</v>
      </c>
      <c r="M149" s="253"/>
      <c r="N149" s="961">
        <f t="shared" si="35"/>
        <v>-130.53291654129151</v>
      </c>
      <c r="O149" s="253"/>
      <c r="P149" s="41"/>
      <c r="Q149" s="256">
        <f t="array" ref="Q149">+INDEX('Réel 2024'!$A$2:$AO$501,MATCH($A149,'Réel 2024'!$A$2:$A$501,0),MATCH(Q$2,'Réel 2024'!$A$2:$AO$2,0))</f>
        <v>556.61</v>
      </c>
      <c r="R149" s="253"/>
      <c r="S149" s="276">
        <f t="shared" si="37"/>
        <v>-75.420000000000016</v>
      </c>
      <c r="T149" s="29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
        <v>427</v>
      </c>
      <c r="B150" s="41" t="s">
        <v>152</v>
      </c>
      <c r="C150" s="253" t="s">
        <v>59</v>
      </c>
      <c r="D150" s="297"/>
      <c r="E150" s="41"/>
      <c r="F150" s="254">
        <f>+INDEX('Budget original'!$A$2:$AO$501,MATCH($A150,'Budget original'!$A$2:$A$501,0),MATCH(F$2,'Budget original'!$A$2:$AO$2,0))</f>
        <v>0</v>
      </c>
      <c r="G150" s="298"/>
      <c r="H150" s="41"/>
      <c r="I150" s="254"/>
      <c r="J150" s="253"/>
      <c r="K150" s="41"/>
      <c r="L150" s="256">
        <f>SUMIFS(BV_Data_An_Cour!$O:$O,BV_Data_An_Cour!$U:$U,$B150,BV_Data_An_Cour!$V:$V,$C150,BV_Data_An_Cour!$W:$W,$L$2)</f>
        <v>0</v>
      </c>
      <c r="M150" s="253"/>
      <c r="N150" s="276">
        <f t="shared" si="35"/>
        <v>0</v>
      </c>
      <c r="O150" s="253"/>
      <c r="P150" s="41"/>
      <c r="Q150" s="256">
        <f t="array" ref="Q150">+INDEX('Réel 2024'!$A$2:$AO$501,MATCH($A150,'Réel 2024'!$A$2:$A$501,0),MATCH(Q$2,'Réel 2024'!$A$2:$AO$2,0))</f>
        <v>0</v>
      </c>
      <c r="R150" s="253"/>
      <c r="S150" s="276">
        <f t="shared" si="37"/>
        <v>0</v>
      </c>
      <c r="T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
        <v>427</v>
      </c>
      <c r="B151" s="41" t="s">
        <v>152</v>
      </c>
      <c r="C151" s="253" t="s">
        <v>59</v>
      </c>
      <c r="D151" s="297"/>
      <c r="E151" s="41"/>
      <c r="F151" s="254">
        <f>+INDEX('Budget original'!$A$2:$AO$501,MATCH($A151,'Budget original'!$A$2:$A$501,0),MATCH(F$2,'Budget original'!$A$2:$AO$2,0))</f>
        <v>0</v>
      </c>
      <c r="G151" s="298"/>
      <c r="H151" s="41"/>
      <c r="I151" s="254"/>
      <c r="J151" s="253"/>
      <c r="K151" s="41"/>
      <c r="L151" s="256">
        <f>SUMIFS(BV_Data_An_Cour!$O:$O,BV_Data_An_Cour!$U:$U,$B151,BV_Data_An_Cour!$V:$V,$C151,BV_Data_An_Cour!$W:$W,$L$2)</f>
        <v>0</v>
      </c>
      <c r="M151" s="253"/>
      <c r="N151" s="276">
        <f t="shared" si="35"/>
        <v>0</v>
      </c>
      <c r="O151" s="253"/>
      <c r="P151" s="41"/>
      <c r="Q151" s="256">
        <f t="array" ref="Q151">+INDEX('Réel 2024'!$A$2:$AO$501,MATCH($A151,'Réel 2024'!$A$2:$A$501,0),MATCH(Q$2,'Réel 2024'!$A$2:$AO$2,0))</f>
        <v>0</v>
      </c>
      <c r="R151" s="253"/>
      <c r="S151" s="276">
        <f t="shared" si="37"/>
        <v>0</v>
      </c>
      <c r="T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
        <v>427</v>
      </c>
      <c r="B152" s="41" t="s">
        <v>152</v>
      </c>
      <c r="C152" s="253" t="s">
        <v>59</v>
      </c>
      <c r="D152" s="297"/>
      <c r="E152" s="41"/>
      <c r="F152" s="254">
        <f>+INDEX('Budget original'!$A$2:$AO$501,MATCH($A152,'Budget original'!$A$2:$A$501,0),MATCH(F$2,'Budget original'!$A$2:$AO$2,0))</f>
        <v>0</v>
      </c>
      <c r="G152" s="298"/>
      <c r="H152" s="41"/>
      <c r="I152" s="254"/>
      <c r="J152" s="253"/>
      <c r="K152" s="41"/>
      <c r="L152" s="256">
        <f>SUMIFS(BV_Data_An_Cour!$O:$O,BV_Data_An_Cour!$U:$U,$B152,BV_Data_An_Cour!$V:$V,$C152,BV_Data_An_Cour!$W:$W,$L$2)</f>
        <v>0</v>
      </c>
      <c r="M152" s="253"/>
      <c r="N152" s="276">
        <f t="shared" si="35"/>
        <v>0</v>
      </c>
      <c r="O152" s="253"/>
      <c r="P152" s="41"/>
      <c r="Q152" s="256">
        <f t="array" ref="Q152">+INDEX('Réel 2024'!$A$2:$AO$501,MATCH($A152,'Réel 2024'!$A$2:$A$501,0),MATCH(Q$2,'Réel 2024'!$A$2:$AO$2,0))</f>
        <v>0</v>
      </c>
      <c r="R152" s="253"/>
      <c r="S152" s="276">
        <f t="shared" si="37"/>
        <v>0</v>
      </c>
      <c r="T152" s="291"/>
      <c r="X152" s="41"/>
      <c r="Y152" s="41"/>
      <c r="Z152" s="41"/>
      <c r="AA152" s="41"/>
      <c r="AB152" s="41"/>
      <c r="AC152" s="41"/>
      <c r="AD152" s="41"/>
      <c r="AE152" s="41"/>
      <c r="AF152" s="41"/>
      <c r="AG152" s="41"/>
      <c r="AH152" s="41"/>
      <c r="AI152" s="41"/>
      <c r="AJ152" s="41"/>
      <c r="AK152" s="41"/>
      <c r="AL152" s="41"/>
      <c r="AM152" s="41"/>
      <c r="AN152" s="41"/>
    </row>
    <row r="153" spans="1:40" ht="15.75" customHeight="1">
      <c r="A153" s="5" t="s">
        <v>452</v>
      </c>
      <c r="B153" s="41" t="s">
        <v>152</v>
      </c>
      <c r="C153" s="304" t="s">
        <v>143</v>
      </c>
      <c r="D153" s="305" t="s">
        <v>119</v>
      </c>
      <c r="E153" s="306">
        <f>F153/F$108</f>
        <v>8.908316374066351E-2</v>
      </c>
      <c r="F153" s="307">
        <f>+SUM(F136:F152)</f>
        <v>8480.7171881111663</v>
      </c>
      <c r="G153" s="308"/>
      <c r="H153" s="306"/>
      <c r="I153" s="307"/>
      <c r="J153" s="308" t="s">
        <v>119</v>
      </c>
      <c r="K153" s="306">
        <f>L153/L$108</f>
        <v>0.24112430153087894</v>
      </c>
      <c r="L153" s="307">
        <f>+SUM(L136:L152)</f>
        <v>12300.99</v>
      </c>
      <c r="M153" s="311"/>
      <c r="N153" s="307">
        <f t="shared" si="35"/>
        <v>3820.2728118888335</v>
      </c>
      <c r="O153" s="308" t="s">
        <v>119</v>
      </c>
      <c r="P153" s="306">
        <f>Q153/Q$108</f>
        <v>0.50043224362300875</v>
      </c>
      <c r="Q153" s="307">
        <f>+SUM(Q136:Q152)</f>
        <v>6286.6100000000006</v>
      </c>
      <c r="R153" s="311"/>
      <c r="S153" s="307">
        <f t="shared" si="37"/>
        <v>6014.3799999999992</v>
      </c>
      <c r="T153" s="319"/>
      <c r="X153" s="41"/>
      <c r="Y153" s="41"/>
      <c r="Z153" s="41"/>
      <c r="AA153" s="41"/>
      <c r="AB153" s="41"/>
      <c r="AC153" s="41"/>
      <c r="AD153" s="41"/>
      <c r="AE153" s="41"/>
      <c r="AF153" s="41"/>
      <c r="AG153" s="41"/>
      <c r="AH153" s="41"/>
      <c r="AI153" s="41"/>
      <c r="AJ153" s="41"/>
      <c r="AK153" s="41"/>
      <c r="AL153" s="41"/>
      <c r="AM153" s="41"/>
      <c r="AN153" s="41"/>
    </row>
    <row r="154" spans="1:40" ht="15.75" customHeight="1">
      <c r="A154" s="5" t="s">
        <v>152</v>
      </c>
      <c r="B154" s="41" t="s">
        <v>152</v>
      </c>
      <c r="C154" s="246"/>
      <c r="D154" s="299"/>
      <c r="E154" s="318"/>
      <c r="F154" s="276"/>
      <c r="G154" s="300"/>
      <c r="H154" s="318"/>
      <c r="I154" s="276"/>
      <c r="J154" s="246"/>
      <c r="K154" s="318"/>
      <c r="L154" s="296"/>
      <c r="M154" s="246"/>
      <c r="N154" s="296"/>
      <c r="O154" s="246"/>
      <c r="P154" s="318"/>
      <c r="Q154" s="296"/>
      <c r="R154" s="246"/>
      <c r="S154" s="296"/>
      <c r="T154" s="319"/>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
        <v>453</v>
      </c>
      <c r="B155" s="41" t="s">
        <v>152</v>
      </c>
      <c r="C155" s="304" t="s">
        <v>144</v>
      </c>
      <c r="D155" s="305" t="s">
        <v>119</v>
      </c>
      <c r="E155" s="306">
        <f>F155/F$108</f>
        <v>1.0941234401103597</v>
      </c>
      <c r="F155" s="307">
        <f>F122+F135+F153</f>
        <v>104160.55149850625</v>
      </c>
      <c r="G155" s="308"/>
      <c r="H155" s="306"/>
      <c r="I155" s="307"/>
      <c r="J155" s="308" t="s">
        <v>119</v>
      </c>
      <c r="K155" s="306">
        <f>L155/L$108</f>
        <v>1.4843295539324215</v>
      </c>
      <c r="L155" s="307">
        <f>L122+L135+L153</f>
        <v>75723.280000000013</v>
      </c>
      <c r="M155" s="311"/>
      <c r="N155" s="320">
        <f t="shared" ref="N155:N162" si="39">L155-F155</f>
        <v>-28437.271498506234</v>
      </c>
      <c r="O155" s="308" t="s">
        <v>119</v>
      </c>
      <c r="P155" s="306">
        <f>Q155/Q$108</f>
        <v>7.1788135350363422</v>
      </c>
      <c r="Q155" s="307">
        <f>Q122+Q135+Q153</f>
        <v>90182.840000000011</v>
      </c>
      <c r="R155" s="311"/>
      <c r="S155" s="320">
        <f t="shared" ref="S155:S162" si="40">L155-Q155</f>
        <v>-14459.559999999998</v>
      </c>
      <c r="T155" s="319"/>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
        <v>454</v>
      </c>
      <c r="B156" s="41" t="s">
        <v>152</v>
      </c>
      <c r="C156" s="253" t="s">
        <v>158</v>
      </c>
      <c r="D156" s="356"/>
      <c r="E156" s="357"/>
      <c r="F156" s="254">
        <f>+INDEX('Budget original'!$A$2:$AO$501,MATCH($A156,'Budget original'!$A$2:$A$501,0),MATCH(F$2,'Budget original'!$A$2:$AO$2,0))</f>
        <v>0</v>
      </c>
      <c r="G156" s="358"/>
      <c r="H156" s="357"/>
      <c r="I156" s="254"/>
      <c r="J156" s="358"/>
      <c r="K156" s="357"/>
      <c r="L156" s="256">
        <v>0</v>
      </c>
      <c r="M156" s="253"/>
      <c r="N156" s="276">
        <f t="shared" si="39"/>
        <v>0</v>
      </c>
      <c r="O156" s="358"/>
      <c r="P156" s="357"/>
      <c r="Q156" s="256">
        <f t="array" ref="Q156">+INDEX('Réel 2024'!$A$2:$AO$501,MATCH($A156,'Réel 2024'!$A$2:$A$501,0),MATCH(Q$2,'Réel 2024'!$A$2:$AO$2,0))</f>
        <v>0</v>
      </c>
      <c r="R156" s="253"/>
      <c r="S156" s="276">
        <f t="shared" si="40"/>
        <v>0</v>
      </c>
      <c r="T156" s="319"/>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
        <v>455</v>
      </c>
      <c r="B157" s="41" t="s">
        <v>152</v>
      </c>
      <c r="C157" s="253" t="s">
        <v>159</v>
      </c>
      <c r="D157" s="356"/>
      <c r="E157" s="357"/>
      <c r="F157" s="254">
        <f>+INDEX('Budget original'!$A$2:$AO$501,MATCH($A157,'Budget original'!$A$2:$A$501,0),MATCH(F$2,'Budget original'!$A$2:$AO$2,0))</f>
        <v>0</v>
      </c>
      <c r="G157" s="358"/>
      <c r="H157" s="357"/>
      <c r="I157" s="254"/>
      <c r="J157" s="358"/>
      <c r="K157" s="357"/>
      <c r="L157" s="256">
        <f>-SUMIFS(BV_Data_An_Cour!$O:$O,BV_Data_An_Cour!$U:$U,$B157,BV_Data_An_Cour!$V:$V,$C157,BV_Data_An_Cour!$W:$W,$L$2)</f>
        <v>0</v>
      </c>
      <c r="M157" s="253"/>
      <c r="N157" s="276">
        <f t="shared" si="39"/>
        <v>0</v>
      </c>
      <c r="O157" s="358"/>
      <c r="P157" s="357"/>
      <c r="Q157" s="256">
        <f t="array" ref="Q157">+INDEX('Réel 2024'!$A$2:$AO$501,MATCH($A157,'Réel 2024'!$A$2:$A$501,0),MATCH(Q$2,'Réel 2024'!$A$2:$AO$2,0))</f>
        <v>0</v>
      </c>
      <c r="R157" s="253"/>
      <c r="S157" s="276">
        <f t="shared" si="40"/>
        <v>0</v>
      </c>
      <c r="T157" s="319"/>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
        <v>456</v>
      </c>
      <c r="B158" s="41" t="s">
        <v>152</v>
      </c>
      <c r="C158" s="253" t="s">
        <v>160</v>
      </c>
      <c r="D158" s="297"/>
      <c r="E158" s="41"/>
      <c r="F158" s="254">
        <f>+INDEX('Budget original'!$A$2:$AO$501,MATCH($A158,'Budget original'!$A$2:$A$501,0),MATCH(F$2,'Budget original'!$A$2:$AO$2,0))</f>
        <v>0</v>
      </c>
      <c r="G158" s="298"/>
      <c r="H158" s="41"/>
      <c r="I158" s="254"/>
      <c r="J158" s="253"/>
      <c r="K158" s="41"/>
      <c r="L158" s="256">
        <f>-SUMIFS(BV_Data_An_Cour!$O:$O,BV_Data_An_Cour!$U:$U,$B158,BV_Data_An_Cour!$V:$V,$C158,BV_Data_An_Cour!$W:$W,$L$2)</f>
        <v>0</v>
      </c>
      <c r="M158" s="253"/>
      <c r="N158" s="276">
        <f t="shared" si="39"/>
        <v>0</v>
      </c>
      <c r="O158" s="253"/>
      <c r="P158" s="41"/>
      <c r="Q158" s="256">
        <f t="array" ref="Q158">+INDEX('Réel 2024'!$A$2:$AO$501,MATCH($A158,'Réel 2024'!$A$2:$A$501,0),MATCH(Q$2,'Réel 2024'!$A$2:$AO$2,0))</f>
        <v>0</v>
      </c>
      <c r="R158" s="253"/>
      <c r="S158" s="276">
        <f t="shared" si="40"/>
        <v>0</v>
      </c>
      <c r="T158" s="319"/>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5" t="s">
        <v>457</v>
      </c>
      <c r="B159" s="41" t="s">
        <v>152</v>
      </c>
      <c r="C159" s="253" t="s">
        <v>149</v>
      </c>
      <c r="D159" s="1161">
        <f>E159/474</f>
        <v>0.79968354430379751</v>
      </c>
      <c r="E159" s="323">
        <f>F159/D97</f>
        <v>379.05</v>
      </c>
      <c r="F159" s="254">
        <f>+INDEX('Budget original'!$A$2:$AO$501,MATCH($A159,'Budget original'!$A$2:$A$501,0),MATCH(F$2,'Budget original'!$A$2:$AO$2,0))</f>
        <v>9476.25</v>
      </c>
      <c r="G159" s="298"/>
      <c r="H159" s="41"/>
      <c r="I159" s="254"/>
      <c r="J159" s="1162">
        <f>K159/474</f>
        <v>1.0186150409530901</v>
      </c>
      <c r="K159" s="323">
        <f>L159/J97</f>
        <v>482.8235294117647</v>
      </c>
      <c r="L159" s="256">
        <f>-SUMIFS(BV_Data_An_Cour!$O:$O,BV_Data_An_Cour!$U:$U,$B159,BV_Data_An_Cour!$V:$V,$C159,BV_Data_An_Cour!$W:$W,L$2)</f>
        <v>8208</v>
      </c>
      <c r="M159" s="253"/>
      <c r="N159" s="276">
        <f t="shared" si="39"/>
        <v>-1268.25</v>
      </c>
      <c r="O159" s="253"/>
      <c r="P159" s="41"/>
      <c r="Q159" s="256">
        <f t="array" ref="Q159">+INDEX('Réel 2024'!$A$2:$AO$501,MATCH($A159,'Réel 2024'!$A$2:$A$501,0),MATCH(Q$2,'Réel 2024'!$A$2:$AO$2,0))</f>
        <v>7365</v>
      </c>
      <c r="R159" s="253"/>
      <c r="S159" s="276">
        <f t="shared" si="40"/>
        <v>843</v>
      </c>
      <c r="T159" s="319"/>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
        <v>427</v>
      </c>
      <c r="B160" s="41" t="s">
        <v>152</v>
      </c>
      <c r="C160" s="253" t="s">
        <v>59</v>
      </c>
      <c r="D160" s="297"/>
      <c r="E160" s="41"/>
      <c r="F160" s="254">
        <f>+INDEX('Budget original'!$A$2:$AO$501,MATCH($A160,'Budget original'!$A$2:$A$501,0),MATCH(F$2,'Budget original'!$A$2:$AO$2,0))</f>
        <v>0</v>
      </c>
      <c r="G160" s="298"/>
      <c r="H160" s="41"/>
      <c r="I160" s="254"/>
      <c r="J160" s="253"/>
      <c r="K160" s="41"/>
      <c r="L160" s="256">
        <f>-SUMIFS(BV_Data_An_Cour!$O:$O,BV_Data_An_Cour!$U:$U,$B160,BV_Data_An_Cour!$V:$V,$C160,BV_Data_An_Cour!$W:$W,$L$2)</f>
        <v>0</v>
      </c>
      <c r="M160" s="253"/>
      <c r="N160" s="276">
        <f t="shared" si="39"/>
        <v>0</v>
      </c>
      <c r="O160" s="253"/>
      <c r="P160" s="41"/>
      <c r="Q160" s="256">
        <f t="array" ref="Q160">+INDEX('Réel 2024'!$A$2:$AO$501,MATCH($A160,'Réel 2024'!$A$2:$A$501,0),MATCH(Q$2,'Réel 2024'!$A$2:$AO$2,0))</f>
        <v>0</v>
      </c>
      <c r="R160" s="253"/>
      <c r="S160" s="276">
        <f t="shared" si="40"/>
        <v>0</v>
      </c>
      <c r="T160" s="319"/>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
        <v>427</v>
      </c>
      <c r="B161" s="41" t="s">
        <v>152</v>
      </c>
      <c r="C161" s="253" t="s">
        <v>59</v>
      </c>
      <c r="D161" s="297"/>
      <c r="E161" s="41"/>
      <c r="F161" s="254">
        <f>+INDEX('Budget original'!$A$2:$AO$501,MATCH($A161,'Budget original'!$A$2:$A$501,0),MATCH(F$2,'Budget original'!$A$2:$AO$2,0))</f>
        <v>0</v>
      </c>
      <c r="G161" s="298"/>
      <c r="H161" s="41"/>
      <c r="I161" s="254"/>
      <c r="J161" s="253"/>
      <c r="K161" s="41"/>
      <c r="L161" s="256">
        <f>-SUMIFS(BV_Data_An_Cour!$O:$O,BV_Data_An_Cour!$U:$U,$B161,BV_Data_An_Cour!$V:$V,$C161,BV_Data_An_Cour!$W:$W,$L$2)</f>
        <v>0</v>
      </c>
      <c r="M161" s="253"/>
      <c r="N161" s="276">
        <f t="shared" si="39"/>
        <v>0</v>
      </c>
      <c r="O161" s="253"/>
      <c r="P161" s="41"/>
      <c r="Q161" s="256">
        <f t="array" ref="Q161">+INDEX('Réel 2024'!$A$2:$AO$501,MATCH($A161,'Réel 2024'!$A$2:$A$501,0),MATCH(Q$2,'Réel 2024'!$A$2:$AO$2,0))</f>
        <v>0</v>
      </c>
      <c r="R161" s="253"/>
      <c r="S161" s="276">
        <f t="shared" si="40"/>
        <v>0</v>
      </c>
      <c r="T161" s="319"/>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
        <v>427</v>
      </c>
      <c r="B162" s="41" t="s">
        <v>152</v>
      </c>
      <c r="C162" s="246" t="s">
        <v>59</v>
      </c>
      <c r="D162" s="299"/>
      <c r="E162" s="318"/>
      <c r="F162" s="254">
        <f>+INDEX('Budget original'!$A$2:$AO$501,MATCH($A162,'Budget original'!$A$2:$A$501,0),MATCH(F$2,'Budget original'!$A$2:$AO$2,0))</f>
        <v>0</v>
      </c>
      <c r="G162" s="298"/>
      <c r="H162" s="41"/>
      <c r="I162" s="254"/>
      <c r="J162" s="253"/>
      <c r="K162" s="41"/>
      <c r="L162" s="256">
        <f>-SUMIFS(BV_Data_An_Cour!$O:$O,BV_Data_An_Cour!$U:$U,$B162,BV_Data_An_Cour!$V:$V,$C162,BV_Data_An_Cour!$W:$W,$L$2)</f>
        <v>0</v>
      </c>
      <c r="M162" s="253"/>
      <c r="N162" s="276">
        <f t="shared" si="39"/>
        <v>0</v>
      </c>
      <c r="O162" s="253"/>
      <c r="P162" s="41"/>
      <c r="Q162" s="256">
        <f t="array" ref="Q162">+INDEX('Réel 2024'!$A$2:$AO$501,MATCH($A162,'Réel 2024'!$A$2:$A$501,0),MATCH(Q$2,'Réel 2024'!$A$2:$AO$2,0))</f>
        <v>0</v>
      </c>
      <c r="R162" s="253"/>
      <c r="S162" s="276">
        <f t="shared" si="40"/>
        <v>0</v>
      </c>
      <c r="T162" s="319"/>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304" t="s">
        <v>150</v>
      </c>
      <c r="D163" s="305"/>
      <c r="E163" s="306"/>
      <c r="F163" s="307">
        <f>+SUM(F156:F162)</f>
        <v>9476.25</v>
      </c>
      <c r="G163" s="308"/>
      <c r="H163" s="306"/>
      <c r="I163" s="307"/>
      <c r="J163" s="308"/>
      <c r="K163" s="306"/>
      <c r="L163" s="307">
        <f>+SUM(L156:L162)</f>
        <v>8208</v>
      </c>
      <c r="M163" s="311"/>
      <c r="N163" s="307">
        <f>SUM(N156:N159)</f>
        <v>-1268.25</v>
      </c>
      <c r="O163" s="308"/>
      <c r="P163" s="306"/>
      <c r="Q163" s="307">
        <f>+SUM(Q156:Q162)</f>
        <v>7365</v>
      </c>
      <c r="R163" s="311"/>
      <c r="S163" s="307">
        <f>+SUM(S156:S162)</f>
        <v>843</v>
      </c>
      <c r="T163" s="319"/>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253"/>
      <c r="D164" s="297"/>
      <c r="E164" s="41"/>
      <c r="F164" s="276"/>
      <c r="G164" s="298"/>
      <c r="H164" s="41"/>
      <c r="I164" s="276"/>
      <c r="J164" s="253"/>
      <c r="K164" s="41"/>
      <c r="L164" s="276"/>
      <c r="M164" s="253"/>
      <c r="N164" s="276"/>
      <c r="O164" s="253"/>
      <c r="P164" s="41"/>
      <c r="Q164" s="276"/>
      <c r="R164" s="253"/>
      <c r="S164" s="276"/>
      <c r="T164" s="35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32" t="s">
        <v>151</v>
      </c>
      <c r="D165" s="360"/>
      <c r="E165" s="333"/>
      <c r="F165" s="335">
        <f>F108-F155+F163</f>
        <v>515.6985014937527</v>
      </c>
      <c r="G165" s="361"/>
      <c r="H165" s="333"/>
      <c r="I165" s="335"/>
      <c r="J165" s="332"/>
      <c r="K165" s="334"/>
      <c r="L165" s="335">
        <f>L108-L155+L163</f>
        <v>-16500.140000000029</v>
      </c>
      <c r="M165" s="332"/>
      <c r="N165" s="335">
        <f>L165-F165</f>
        <v>-17015.838501493781</v>
      </c>
      <c r="O165" s="332"/>
      <c r="P165" s="1147">
        <f>+Q165/Q93</f>
        <v>-4.8286568112201216E-2</v>
      </c>
      <c r="Q165" s="335">
        <f>Q108-Q155+Q163</f>
        <v>-70255.479999999894</v>
      </c>
      <c r="R165" s="332"/>
      <c r="S165" s="335">
        <f>L165-Q165</f>
        <v>53755.339999999866</v>
      </c>
      <c r="T165" s="291"/>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8"/>
      <c r="D166" s="38"/>
      <c r="E166" s="38"/>
      <c r="F166" s="94"/>
      <c r="G166" s="38"/>
      <c r="H166" s="38"/>
      <c r="I166" s="38"/>
      <c r="J166" s="38"/>
      <c r="K166" s="38"/>
      <c r="L166" s="94"/>
      <c r="M166" s="38"/>
      <c r="N166" s="38"/>
      <c r="O166" s="38"/>
      <c r="P166" s="38"/>
      <c r="Q166" s="38"/>
      <c r="R166" s="38"/>
      <c r="S166" s="38"/>
      <c r="T166" s="94"/>
      <c r="U166" s="38"/>
      <c r="V166" s="41"/>
      <c r="W166" s="41"/>
      <c r="X166" s="41"/>
      <c r="Y166" s="41"/>
      <c r="Z166" s="41"/>
      <c r="AA166" s="41"/>
      <c r="AB166" s="41"/>
      <c r="AC166" s="41"/>
      <c r="AD166" s="41"/>
      <c r="AE166" s="41"/>
      <c r="AF166" s="41"/>
      <c r="AG166" s="41"/>
      <c r="AH166" s="41"/>
      <c r="AI166" s="41"/>
      <c r="AJ166" s="41"/>
      <c r="AK166" s="41"/>
      <c r="AL166" s="41"/>
      <c r="AM166" s="41"/>
      <c r="AN166" s="41"/>
    </row>
    <row r="167" spans="1:40" ht="8.25" customHeight="1">
      <c r="B167" s="41"/>
      <c r="C167" s="38"/>
      <c r="D167" s="38"/>
      <c r="E167" s="38"/>
      <c r="F167" s="38"/>
      <c r="G167" s="38"/>
      <c r="H167" s="38"/>
      <c r="I167" s="38"/>
      <c r="J167" s="38"/>
      <c r="K167" s="38"/>
      <c r="L167" s="38"/>
      <c r="M167" s="38"/>
      <c r="N167" s="38"/>
      <c r="O167" s="38"/>
      <c r="P167" s="38"/>
      <c r="Q167" s="38"/>
      <c r="R167" s="38"/>
      <c r="S167" s="38"/>
      <c r="T167" s="94"/>
      <c r="U167" s="38"/>
      <c r="V167" s="38"/>
      <c r="W167" s="38"/>
      <c r="X167" s="38"/>
      <c r="Y167" s="38"/>
      <c r="Z167" s="38"/>
      <c r="AA167" s="38"/>
      <c r="AB167" s="38"/>
      <c r="AC167" s="38"/>
      <c r="AD167" s="38"/>
      <c r="AE167" s="38"/>
      <c r="AF167" s="38"/>
      <c r="AG167" s="38"/>
      <c r="AH167" s="38"/>
      <c r="AI167" s="38"/>
      <c r="AJ167" s="38"/>
      <c r="AK167" s="38"/>
      <c r="AL167" s="38"/>
      <c r="AM167" s="38"/>
      <c r="AN167" s="38"/>
    </row>
    <row r="168" spans="1:40" ht="33.75" customHeight="1">
      <c r="B168" s="41"/>
      <c r="C168" s="339" t="str">
        <f>C1</f>
        <v>Volks</v>
      </c>
      <c r="D168" s="232"/>
      <c r="E168" s="232"/>
      <c r="F168" s="232"/>
      <c r="G168" s="232"/>
      <c r="H168" s="36"/>
      <c r="I168" s="36"/>
      <c r="J168" s="36"/>
      <c r="K168" s="9" t="s">
        <v>161</v>
      </c>
      <c r="L168" s="232"/>
      <c r="M168" s="232"/>
      <c r="N168" s="36"/>
      <c r="O168" s="36"/>
      <c r="P168" s="232"/>
      <c r="Q168" s="36"/>
      <c r="R168" s="232"/>
      <c r="S168" s="10" t="str">
        <f>$S$1</f>
        <v>Réalisé, Février 2025</v>
      </c>
      <c r="T168" s="232"/>
      <c r="U168" s="36"/>
      <c r="V168" s="38"/>
      <c r="W168" s="38"/>
      <c r="X168" s="38"/>
      <c r="Y168" s="38"/>
      <c r="Z168" s="38"/>
      <c r="AA168" s="38"/>
      <c r="AB168" s="38"/>
      <c r="AC168" s="38"/>
      <c r="AD168" s="38"/>
      <c r="AE168" s="38"/>
      <c r="AF168" s="38"/>
      <c r="AG168" s="38"/>
      <c r="AH168" s="38"/>
      <c r="AI168" s="38"/>
      <c r="AJ168" s="38"/>
      <c r="AK168" s="38"/>
      <c r="AL168" s="38"/>
      <c r="AM168" s="38"/>
      <c r="AN168" s="38"/>
    </row>
    <row r="169" spans="1:40" ht="15.75" customHeight="1">
      <c r="B169" s="41"/>
      <c r="C169" s="37"/>
      <c r="D169" s="38"/>
      <c r="E169" s="38"/>
      <c r="F169" s="38"/>
      <c r="G169" s="38"/>
      <c r="H169" s="38"/>
      <c r="I169" s="38"/>
      <c r="J169" s="38"/>
      <c r="K169" s="38"/>
      <c r="L169" s="38"/>
      <c r="M169" s="38"/>
      <c r="N169" s="38"/>
      <c r="O169" s="38"/>
      <c r="P169" s="38"/>
      <c r="Q169" s="38"/>
      <c r="R169" s="38"/>
      <c r="S169" s="38"/>
      <c r="T169" s="38"/>
      <c r="U169" s="38"/>
      <c r="V169" s="36"/>
      <c r="W169" s="36"/>
      <c r="X169" s="36"/>
      <c r="Y169" s="36"/>
      <c r="Z169" s="36"/>
      <c r="AA169" s="36"/>
      <c r="AB169" s="36"/>
      <c r="AC169" s="36"/>
      <c r="AD169" s="36"/>
      <c r="AE169" s="36"/>
      <c r="AF169" s="36"/>
      <c r="AG169" s="36"/>
      <c r="AH169" s="36"/>
      <c r="AI169" s="36"/>
      <c r="AJ169" s="36"/>
      <c r="AK169" s="36"/>
      <c r="AL169" s="36"/>
      <c r="AM169" s="36"/>
      <c r="AN169" s="36"/>
    </row>
    <row r="170" spans="1:40" ht="15.75" customHeight="1">
      <c r="B170" s="41"/>
      <c r="C170" s="238"/>
      <c r="D170" s="1239" t="s">
        <v>343</v>
      </c>
      <c r="E170" s="1240"/>
      <c r="F170" s="1241"/>
      <c r="G170" s="1242"/>
      <c r="H170" s="1240"/>
      <c r="I170" s="1241"/>
      <c r="J170" s="1242" t="s">
        <v>344</v>
      </c>
      <c r="K170" s="1240"/>
      <c r="L170" s="1241"/>
      <c r="M170" s="1242" t="s">
        <v>3310</v>
      </c>
      <c r="N170" s="1241"/>
      <c r="O170" s="1239" t="s">
        <v>345</v>
      </c>
      <c r="P170" s="1240"/>
      <c r="Q170" s="1241"/>
      <c r="R170" s="1243" t="s">
        <v>3312</v>
      </c>
      <c r="S170" s="1244"/>
      <c r="T170" s="356"/>
      <c r="AA170" s="38"/>
      <c r="AB170" s="38"/>
      <c r="AC170" s="38"/>
      <c r="AD170" s="38"/>
      <c r="AE170" s="38"/>
      <c r="AF170" s="38"/>
      <c r="AG170" s="38"/>
      <c r="AH170" s="38"/>
      <c r="AI170" s="38"/>
      <c r="AJ170" s="38"/>
      <c r="AK170" s="38"/>
      <c r="AL170" s="38"/>
      <c r="AM170" s="38"/>
      <c r="AN170" s="38"/>
    </row>
    <row r="171" spans="1:40" ht="15.75" customHeight="1">
      <c r="A171" s="5" t="s">
        <v>161</v>
      </c>
      <c r="B171" s="41" t="s">
        <v>161</v>
      </c>
      <c r="C171" s="253"/>
      <c r="D171" s="39" t="s">
        <v>162</v>
      </c>
      <c r="E171" s="39" t="s">
        <v>163</v>
      </c>
      <c r="F171" s="340" t="s">
        <v>95</v>
      </c>
      <c r="G171" s="341"/>
      <c r="H171" s="39"/>
      <c r="I171" s="340"/>
      <c r="J171" s="341" t="s">
        <v>162</v>
      </c>
      <c r="K171" s="39" t="s">
        <v>163</v>
      </c>
      <c r="L171" s="340" t="s">
        <v>95</v>
      </c>
      <c r="M171" s="341" t="s">
        <v>530</v>
      </c>
      <c r="N171" s="340" t="s">
        <v>3311</v>
      </c>
      <c r="O171" s="39" t="s">
        <v>162</v>
      </c>
      <c r="P171" s="39" t="s">
        <v>163</v>
      </c>
      <c r="Q171" s="340" t="s">
        <v>95</v>
      </c>
      <c r="R171" s="341" t="s">
        <v>458</v>
      </c>
      <c r="S171" s="340" t="s">
        <v>95</v>
      </c>
      <c r="T171" s="39"/>
      <c r="AA171" s="41"/>
      <c r="AB171" s="41"/>
      <c r="AC171" s="41"/>
      <c r="AD171" s="41"/>
      <c r="AE171" s="41"/>
      <c r="AF171" s="41"/>
      <c r="AG171" s="41"/>
      <c r="AH171" s="41"/>
      <c r="AI171" s="41"/>
      <c r="AJ171" s="41"/>
      <c r="AK171" s="41"/>
      <c r="AL171" s="41"/>
      <c r="AM171" s="41"/>
      <c r="AN171" s="41"/>
    </row>
    <row r="172" spans="1:40" ht="15.75" customHeight="1">
      <c r="A172" s="5" t="s">
        <v>459</v>
      </c>
      <c r="B172" s="41" t="s">
        <v>161</v>
      </c>
      <c r="C172" s="253" t="s">
        <v>164</v>
      </c>
      <c r="D172" s="291">
        <f>+INDEX('Budget original'!$A$2:$AO$501,MATCH($A172,'Budget original'!$A$2:$A$501,0),MATCH(D$2,'Budget original'!$A$2:$AO$2,0))</f>
        <v>293.80400000000003</v>
      </c>
      <c r="E172" s="291">
        <f>+INDEX('Budget original'!$A$2:$AO$501,MATCH($A172,'Budget original'!$A$2:$A$501,0),MATCH(E$2,'Budget original'!$A$2:$AO$2,0))</f>
        <v>99893.36</v>
      </c>
      <c r="F172" s="291">
        <f>+INDEX('Budget original'!$A$2:$AO$501,MATCH($A172,'Budget original'!$A$2:$A$501,0),MATCH(F$2,'Budget original'!$A$2:$AO$2,0))</f>
        <v>77916.820800000001</v>
      </c>
      <c r="G172" s="277"/>
      <c r="H172" s="291"/>
      <c r="I172" s="291"/>
      <c r="J172" s="277">
        <f>-SUMIFS(BV_Data_An_Cour!$O:$O,BV_Data_An_Cour!$U:$U,$B172,BV_Data_An_Cour!$V:$V,$C172,BV_Data_An_Cour!$W:$W,J$2)</f>
        <v>248</v>
      </c>
      <c r="K172" s="254">
        <f>-SUMIFS(BV_Data_An_Cour!$O:$O,BV_Data_An_Cour!$X:$X,"Oui",BV_Data_An_Cour!$U:$U,$B172,BV_Data_An_Cour!$V:$V,$C172)</f>
        <v>93892</v>
      </c>
      <c r="L172" s="256">
        <f>-SUMIFS(BV_Data_An_Cour!$O:$O,BV_Data_An_Cour!$U:$U,$B172,BV_Data_An_Cour!$V:$V,$C172,BV_Data_An_Cour!$W:$W,$L$2)</f>
        <v>74019.72</v>
      </c>
      <c r="M172" s="292">
        <f>(K172-E172)/E172</f>
        <v>-6.0077666823901012E-2</v>
      </c>
      <c r="N172" s="276">
        <f>L172-F172</f>
        <v>-3897.1008000000002</v>
      </c>
      <c r="O172" s="277">
        <f t="array" ref="O172">+INDEX('Réel 2024'!$A$2:$AO$501,MATCH($A172,'Réel 2024'!$A$2:$A$501,0),MATCH(O$2,'Réel 2024'!$A$2:$AO$2,0))</f>
        <v>225</v>
      </c>
      <c r="P172" s="254">
        <f t="array" ref="P172">+INDEX('Réel 2024'!$A$2:$AO$501,MATCH($A172,'Réel 2024'!$A$2:$A$501,0),MATCH(P$2,'Réel 2024'!$A$2:$AO$2,0))</f>
        <v>73859.0799999999</v>
      </c>
      <c r="Q172" s="256">
        <f t="array" ref="Q172">+INDEX('Réel 2024'!$A$2:$AO$501,MATCH($A172,'Réel 2024'!$A$2:$A$501,0),MATCH(Q$2,'Réel 2024'!$A$2:$AO$2,0))</f>
        <v>57922.9399999999</v>
      </c>
      <c r="R172" s="292">
        <f>IF(O172=0,0,J172/O172)</f>
        <v>1.1022222222222222</v>
      </c>
      <c r="S172" s="276">
        <f>L172-Q172</f>
        <v>16096.780000000101</v>
      </c>
      <c r="T172" s="291"/>
      <c r="AA172" s="41"/>
      <c r="AB172" s="41"/>
      <c r="AC172" s="41"/>
      <c r="AD172" s="41"/>
      <c r="AE172" s="41"/>
      <c r="AF172" s="41"/>
      <c r="AG172" s="41"/>
      <c r="AH172" s="41"/>
      <c r="AI172" s="41"/>
      <c r="AJ172" s="41"/>
      <c r="AK172" s="41"/>
      <c r="AL172" s="41"/>
      <c r="AM172" s="41"/>
      <c r="AN172" s="41"/>
    </row>
    <row r="173" spans="1:40" ht="15.75" customHeight="1">
      <c r="A173" s="5" t="s">
        <v>460</v>
      </c>
      <c r="B173" s="41" t="s">
        <v>161</v>
      </c>
      <c r="C173" s="253" t="s">
        <v>165</v>
      </c>
      <c r="D173" s="291"/>
      <c r="E173" s="349"/>
      <c r="F173" s="362">
        <f>F172/E172</f>
        <v>0.78</v>
      </c>
      <c r="G173" s="277"/>
      <c r="H173" s="349"/>
      <c r="I173" s="362"/>
      <c r="J173" s="277"/>
      <c r="K173" s="41"/>
      <c r="L173" s="362">
        <f>IF(L172=0,0,L172/K172)</f>
        <v>0.78834959314957609</v>
      </c>
      <c r="M173" s="292"/>
      <c r="N173" s="276"/>
      <c r="O173" s="277"/>
      <c r="P173" s="41"/>
      <c r="Q173" s="362">
        <f>Q172/P172</f>
        <v>0.78423587187925947</v>
      </c>
      <c r="R173" s="277"/>
      <c r="S173" s="276"/>
      <c r="T173" s="291"/>
      <c r="AA173" s="41"/>
      <c r="AB173" s="41"/>
      <c r="AC173" s="41"/>
      <c r="AD173" s="41"/>
      <c r="AE173" s="41"/>
      <c r="AF173" s="41"/>
      <c r="AG173" s="41"/>
      <c r="AH173" s="41"/>
      <c r="AI173" s="41"/>
      <c r="AJ173" s="41"/>
      <c r="AK173" s="41"/>
      <c r="AL173" s="41"/>
      <c r="AM173" s="41"/>
      <c r="AN173" s="41"/>
    </row>
    <row r="174" spans="1:40" ht="15.75" customHeight="1">
      <c r="A174" s="5" t="s">
        <v>161</v>
      </c>
      <c r="B174" s="41" t="s">
        <v>161</v>
      </c>
      <c r="C174" s="246"/>
      <c r="D174" s="294"/>
      <c r="E174" s="363">
        <f>IFERROR(E172/D172,0)</f>
        <v>339.99999999999994</v>
      </c>
      <c r="F174" s="364"/>
      <c r="G174" s="365"/>
      <c r="H174" s="363"/>
      <c r="I174" s="364"/>
      <c r="J174" s="365"/>
      <c r="K174" s="363">
        <f>IFERROR(K172/J172,0)</f>
        <v>378.59677419354841</v>
      </c>
      <c r="L174" s="364"/>
      <c r="M174" s="295"/>
      <c r="N174" s="296"/>
      <c r="O174" s="365"/>
      <c r="P174" s="363">
        <f>IFERROR(P172/O172,0)</f>
        <v>328.26257777777732</v>
      </c>
      <c r="Q174" s="364"/>
      <c r="R174" s="365"/>
      <c r="S174" s="296"/>
      <c r="T174" s="291"/>
      <c r="AA174" s="41"/>
      <c r="AB174" s="41"/>
      <c r="AC174" s="41"/>
      <c r="AD174" s="41"/>
      <c r="AE174" s="41"/>
      <c r="AF174" s="41"/>
      <c r="AG174" s="41"/>
      <c r="AH174" s="41"/>
      <c r="AI174" s="41"/>
      <c r="AJ174" s="41"/>
      <c r="AK174" s="41"/>
      <c r="AL174" s="41"/>
      <c r="AM174" s="41"/>
      <c r="AN174" s="41"/>
    </row>
    <row r="175" spans="1:40" ht="18" customHeight="1">
      <c r="A175" s="5" t="s">
        <v>461</v>
      </c>
      <c r="B175" s="41" t="s">
        <v>161</v>
      </c>
      <c r="C175" s="241" t="s">
        <v>166</v>
      </c>
      <c r="D175" s="366">
        <f>+INDEX('Budget original'!$A$2:$AO$501,MATCH($A175,'Budget original'!$A$2:$A$501,0),MATCH(D$2,'Budget original'!$A$2:$AO$2,0))</f>
        <v>79.460000000000008</v>
      </c>
      <c r="E175" s="291">
        <f>+INDEX('Budget original'!$A$2:$AO$501,MATCH($A175,'Budget original'!$A$2:$A$501,0),MATCH(E$2,'Budget original'!$A$2:$AO$2,0))</f>
        <v>21454.2</v>
      </c>
      <c r="F175" s="291">
        <f>+INDEX('Budget original'!$A$2:$AO$501,MATCH($A175,'Budget original'!$A$2:$A$501,0),MATCH(F$2,'Budget original'!$A$2:$AO$2,0))</f>
        <v>13730.688</v>
      </c>
      <c r="G175" s="367"/>
      <c r="H175" s="291"/>
      <c r="I175" s="291"/>
      <c r="J175" s="367">
        <f>-SUMIFS(BV_Data_An_Cour!$O:$O,BV_Data_An_Cour!$U:$U,$B175,BV_Data_An_Cour!$V:$V,$C175,BV_Data_An_Cour!$W:$W,J$2)</f>
        <v>258</v>
      </c>
      <c r="K175" s="271">
        <f>-SUMIFS(BV_Data_An_Cour!$O:$O,BV_Data_An_Cour!$X:$X,"Oui",BV_Data_An_Cour!$U:$U,$B175,BV_Data_An_Cour!$V:$V,$C175)</f>
        <v>67450.92</v>
      </c>
      <c r="L175" s="256">
        <f>-SUMIFS(BV_Data_An_Cour!$O:$O,BV_Data_An_Cour!$U:$U,$B175,BV_Data_An_Cour!$V:$V,$C175,BV_Data_An_Cour!$W:$W,$L$2)</f>
        <v>45677.440000000002</v>
      </c>
      <c r="M175" s="292">
        <f>(K175-E175)/E175</f>
        <v>2.1439494364739771</v>
      </c>
      <c r="N175" s="317">
        <f>L175-F175</f>
        <v>31946.752</v>
      </c>
      <c r="O175" s="367">
        <f t="array" ref="O175">+INDEX('Réel 2024'!$A$2:$AO$501,MATCH($A175,'Réel 2024'!$A$2:$A$501,0),MATCH(O$2,'Réel 2024'!$A$2:$AO$2,0))</f>
        <v>112</v>
      </c>
      <c r="P175" s="271">
        <f t="array" ref="P175">+INDEX('Réel 2024'!$A$2:$AO$501,MATCH($A175,'Réel 2024'!$A$2:$A$501,0),MATCH(P$2,'Réel 2024'!$A$2:$AO$2,0))</f>
        <v>23094.17</v>
      </c>
      <c r="Q175" s="256">
        <f t="array" ref="Q175">+INDEX('Réel 2024'!$A$2:$AO$501,MATCH($A175,'Réel 2024'!$A$2:$A$501,0),MATCH(Q$2,'Réel 2024'!$A$2:$AO$2,0))</f>
        <v>13946.969999999899</v>
      </c>
      <c r="R175" s="292">
        <f>IF(O175=0,0,J175/O175)</f>
        <v>2.3035714285714284</v>
      </c>
      <c r="S175" s="276">
        <f>L175-Q175</f>
        <v>31730.470000000103</v>
      </c>
      <c r="T175" s="291"/>
      <c r="U175" s="41"/>
      <c r="V175" s="254"/>
      <c r="W175" s="41"/>
      <c r="AA175" s="41"/>
      <c r="AB175" s="41"/>
      <c r="AC175" s="41"/>
      <c r="AD175" s="41"/>
      <c r="AE175" s="41"/>
      <c r="AF175" s="41"/>
      <c r="AG175" s="41"/>
      <c r="AH175" s="41"/>
      <c r="AI175" s="41"/>
      <c r="AJ175" s="41"/>
      <c r="AK175" s="41"/>
      <c r="AL175" s="41"/>
      <c r="AM175" s="41"/>
      <c r="AN175" s="41"/>
    </row>
    <row r="176" spans="1:40" ht="15.75" customHeight="1">
      <c r="A176" s="5" t="s">
        <v>460</v>
      </c>
      <c r="B176" s="41" t="s">
        <v>161</v>
      </c>
      <c r="C176" s="253" t="s">
        <v>165</v>
      </c>
      <c r="D176" s="41"/>
      <c r="E176" s="41"/>
      <c r="F176" s="362">
        <f>F175/E175</f>
        <v>0.64</v>
      </c>
      <c r="G176" s="253"/>
      <c r="H176" s="41"/>
      <c r="I176" s="362"/>
      <c r="J176" s="253"/>
      <c r="K176" s="41"/>
      <c r="L176" s="362">
        <f>IF(L175=0,0,L175/K175)</f>
        <v>0.67719521097710755</v>
      </c>
      <c r="M176" s="264"/>
      <c r="N176" s="265"/>
      <c r="O176" s="253"/>
      <c r="P176" s="41"/>
      <c r="Q176" s="362">
        <f>Q175/P175</f>
        <v>0.60391735230146393</v>
      </c>
      <c r="R176" s="264"/>
      <c r="S176" s="265"/>
      <c r="T176" s="41"/>
      <c r="U176" s="41"/>
      <c r="V176" s="254"/>
      <c r="W176" s="368"/>
      <c r="AA176" s="41"/>
      <c r="AB176" s="41"/>
      <c r="AC176" s="41"/>
      <c r="AD176" s="41"/>
      <c r="AE176" s="41"/>
      <c r="AF176" s="41"/>
      <c r="AG176" s="41"/>
      <c r="AH176" s="41"/>
      <c r="AI176" s="41"/>
      <c r="AJ176" s="41"/>
      <c r="AK176" s="41"/>
      <c r="AL176" s="41"/>
      <c r="AM176" s="41"/>
      <c r="AN176" s="41"/>
    </row>
    <row r="177" spans="1:40" ht="15.75" customHeight="1">
      <c r="A177" s="5" t="s">
        <v>161</v>
      </c>
      <c r="B177" s="41" t="s">
        <v>161</v>
      </c>
      <c r="C177" s="246"/>
      <c r="D177" s="318"/>
      <c r="E177" s="363">
        <f>IFERROR(E175/D175,0)</f>
        <v>270</v>
      </c>
      <c r="F177" s="364"/>
      <c r="G177" s="365"/>
      <c r="H177" s="363"/>
      <c r="I177" s="364"/>
      <c r="J177" s="365"/>
      <c r="K177" s="363">
        <f>IFERROR(K175/J175,0)</f>
        <v>261.43767441860467</v>
      </c>
      <c r="L177" s="364"/>
      <c r="M177" s="295"/>
      <c r="N177" s="296"/>
      <c r="O177" s="365"/>
      <c r="P177" s="363">
        <f>IFERROR(P175/O175,0)</f>
        <v>206.19794642857141</v>
      </c>
      <c r="Q177" s="364"/>
      <c r="R177" s="369"/>
      <c r="S177" s="370"/>
      <c r="T177" s="41"/>
      <c r="AA177" s="41"/>
      <c r="AB177" s="41"/>
      <c r="AC177" s="41"/>
      <c r="AD177" s="41"/>
      <c r="AE177" s="41"/>
      <c r="AF177" s="41"/>
      <c r="AG177" s="41"/>
      <c r="AH177" s="41"/>
      <c r="AI177" s="41"/>
      <c r="AJ177" s="41"/>
      <c r="AK177" s="41"/>
      <c r="AL177" s="41"/>
      <c r="AM177" s="41"/>
      <c r="AN177" s="41"/>
    </row>
    <row r="178" spans="1:40" ht="15.75" customHeight="1">
      <c r="A178" s="5" t="s">
        <v>464</v>
      </c>
      <c r="B178" s="41" t="s">
        <v>161</v>
      </c>
      <c r="C178" s="253" t="s">
        <v>167</v>
      </c>
      <c r="D178" s="291">
        <f>+INDEX('Budget original'!$A$2:$AO$501,MATCH($A178,'Budget original'!$A$2:$A$501,0),MATCH(D$2,'Budget original'!$A$2:$AO$2,0))</f>
        <v>205.56400000000002</v>
      </c>
      <c r="E178" s="291">
        <f>+INDEX('Budget original'!$A$2:$AO$501,MATCH($A178,'Budget original'!$A$2:$A$501,0),MATCH(E$2,'Budget original'!$A$2:$AO$2,0))</f>
        <v>63112.259279999998</v>
      </c>
      <c r="F178" s="291">
        <f>+INDEX('Budget original'!$A$2:$AO$501,MATCH($A178,'Budget original'!$A$2:$A$501,0),MATCH(F$2,'Budget original'!$A$2:$AO$2,0))</f>
        <v>46703.0718672</v>
      </c>
      <c r="G178" s="277"/>
      <c r="H178" s="291"/>
      <c r="I178" s="291"/>
      <c r="J178" s="277">
        <f>-SUMIFS(BV_Data_An_Cour!$O:$O,BV_Data_An_Cour!$U:$U,$B178,BV_Data_An_Cour!$V:$V,$C178,BV_Data_An_Cour!$W:$W,J$2)</f>
        <v>185</v>
      </c>
      <c r="K178" s="271">
        <f>-SUMIFS(BV_Data_An_Cour!$O:$O,BV_Data_An_Cour!$X:$X,"Oui",BV_Data_An_Cour!$U:$U,$B178,BV_Data_An_Cour!$V:$V,$C178)</f>
        <v>64753.34</v>
      </c>
      <c r="L178" s="1221">
        <f>-SUMIFS(BV_Data_An_Cour!$O:$O,BV_Data_An_Cour!$U:$U,$B178,BV_Data_An_Cour!$V:$V,$C178,BV_Data_An_Cour!$W:$W,$L$2)</f>
        <v>48754.789999999994</v>
      </c>
      <c r="M178" s="292">
        <f>(K178-E178)/E178</f>
        <v>2.6002566517533139E-2</v>
      </c>
      <c r="N178" s="276">
        <f>L178-F178</f>
        <v>2051.7181327999933</v>
      </c>
      <c r="O178" s="277">
        <f t="array" ref="O178">+INDEX('Réel 2024'!$A$2:$AO$501,MATCH($A178,'Réel 2024'!$A$2:$A$501,0),MATCH(O$2,'Réel 2024'!$A$2:$AO$2,0))</f>
        <v>247</v>
      </c>
      <c r="P178" s="271">
        <f t="array" ref="P178">+INDEX('Réel 2024'!$A$2:$AO$501,MATCH($A178,'Réel 2024'!$A$2:$A$501,0),MATCH(P$2,'Réel 2024'!$A$2:$AO$2,0))</f>
        <v>78247.239999999903</v>
      </c>
      <c r="Q178" s="256">
        <f t="array" ref="Q178">+INDEX('Réel 2024'!$A$2:$AO$501,MATCH($A178,'Réel 2024'!$A$2:$A$501,0),MATCH(Q$2,'Réel 2024'!$A$2:$AO$2,0))</f>
        <v>57870.859999999899</v>
      </c>
      <c r="R178" s="292">
        <f>IF(O178=0,0,J178/O178)</f>
        <v>0.74898785425101211</v>
      </c>
      <c r="S178" s="276">
        <f>L178-Q178</f>
        <v>-9116.0699999999051</v>
      </c>
      <c r="T178" s="291"/>
      <c r="AA178" s="41"/>
      <c r="AB178" s="41"/>
      <c r="AC178" s="41"/>
      <c r="AD178" s="41"/>
      <c r="AE178" s="41"/>
      <c r="AF178" s="41"/>
      <c r="AG178" s="41"/>
      <c r="AH178" s="41"/>
      <c r="AI178" s="41"/>
      <c r="AJ178" s="41"/>
      <c r="AK178" s="41"/>
      <c r="AL178" s="41"/>
      <c r="AM178" s="41"/>
      <c r="AN178" s="41"/>
    </row>
    <row r="179" spans="1:40" ht="15.75" customHeight="1">
      <c r="A179" s="5" t="s">
        <v>460</v>
      </c>
      <c r="B179" s="41" t="s">
        <v>161</v>
      </c>
      <c r="C179" s="253" t="s">
        <v>165</v>
      </c>
      <c r="D179" s="291"/>
      <c r="E179" s="349"/>
      <c r="F179" s="362">
        <f>F178/E178</f>
        <v>0.74</v>
      </c>
      <c r="G179" s="277"/>
      <c r="H179" s="349"/>
      <c r="I179" s="362"/>
      <c r="J179" s="277"/>
      <c r="K179" s="349"/>
      <c r="L179" s="362">
        <f>IF(L178=0,0,L178/K178)</f>
        <v>0.75293089128684321</v>
      </c>
      <c r="M179" s="292"/>
      <c r="N179" s="276">
        <f>L179-F179</f>
        <v>1.2930891286843216E-2</v>
      </c>
      <c r="O179" s="277"/>
      <c r="P179" s="349"/>
      <c r="Q179" s="362">
        <f>Q178/P178</f>
        <v>0.73958979256009505</v>
      </c>
      <c r="R179" s="277">
        <f>O179-K179</f>
        <v>0</v>
      </c>
      <c r="S179" s="276"/>
      <c r="T179" s="291"/>
      <c r="AA179" s="41"/>
      <c r="AB179" s="41"/>
      <c r="AC179" s="41"/>
      <c r="AD179" s="41"/>
      <c r="AE179" s="41"/>
      <c r="AF179" s="41"/>
      <c r="AG179" s="41"/>
      <c r="AH179" s="41"/>
      <c r="AI179" s="41"/>
      <c r="AJ179" s="41"/>
      <c r="AK179" s="41"/>
      <c r="AL179" s="41"/>
      <c r="AM179" s="41"/>
      <c r="AN179" s="41"/>
    </row>
    <row r="180" spans="1:40" ht="15.75" customHeight="1">
      <c r="A180" s="5" t="s">
        <v>161</v>
      </c>
      <c r="B180" s="41" t="s">
        <v>161</v>
      </c>
      <c r="C180" s="253"/>
      <c r="D180" s="291"/>
      <c r="E180" s="363">
        <f>IFERROR(E178/D178,0)</f>
        <v>307.02</v>
      </c>
      <c r="F180" s="364"/>
      <c r="G180" s="365"/>
      <c r="H180" s="363"/>
      <c r="I180" s="364"/>
      <c r="J180" s="365"/>
      <c r="K180" s="363">
        <f>IFERROR(K178/J178,0)</f>
        <v>350.01805405405406</v>
      </c>
      <c r="L180" s="364"/>
      <c r="M180" s="295"/>
      <c r="N180" s="296"/>
      <c r="O180" s="365"/>
      <c r="P180" s="363">
        <f>IFERROR(P178/O178,0)</f>
        <v>316.79044534412918</v>
      </c>
      <c r="Q180" s="362"/>
      <c r="R180" s="365"/>
      <c r="S180" s="276"/>
      <c r="T180" s="291"/>
      <c r="U180" s="1001"/>
      <c r="AA180" s="41"/>
      <c r="AB180" s="41"/>
      <c r="AC180" s="41"/>
      <c r="AD180" s="41"/>
      <c r="AE180" s="41"/>
      <c r="AF180" s="41"/>
      <c r="AG180" s="41"/>
      <c r="AH180" s="41"/>
      <c r="AI180" s="41"/>
      <c r="AJ180" s="41"/>
      <c r="AK180" s="41"/>
      <c r="AL180" s="41"/>
      <c r="AM180" s="41"/>
      <c r="AN180" s="41"/>
    </row>
    <row r="181" spans="1:40" ht="15.75" customHeight="1">
      <c r="A181" s="5" t="s">
        <v>465</v>
      </c>
      <c r="B181" s="41" t="s">
        <v>161</v>
      </c>
      <c r="C181" s="241" t="s">
        <v>168</v>
      </c>
      <c r="D181" s="366">
        <f>+INDEX('Budget original'!$A$2:$AO$501,MATCH($A181,'Budget original'!$A$2:$A$501,0),MATCH(D$2,'Budget original'!$A$2:$AO$2,0))</f>
        <v>22.607999999999997</v>
      </c>
      <c r="E181" s="291">
        <f>+INDEX('Budget original'!$A$2:$AO$501,MATCH($A181,'Budget original'!$A$2:$A$501,0),MATCH(E$2,'Budget original'!$A$2:$AO$2,0))</f>
        <v>6104.16</v>
      </c>
      <c r="F181" s="291">
        <f>+INDEX('Budget original'!$A$2:$AO$501,MATCH($A181,'Budget original'!$A$2:$A$501,0),MATCH(F$2,'Budget original'!$A$2:$AO$2,0))</f>
        <v>4578.12</v>
      </c>
      <c r="G181" s="367"/>
      <c r="H181" s="291"/>
      <c r="I181" s="291"/>
      <c r="J181" s="367">
        <f>-SUMIFS(BV_Data_An_Cour!$O:$O,BV_Data_An_Cour!$U:$U,$B181,BV_Data_An_Cour!$V:$V,$C181,BV_Data_An_Cour!$W:$W,J$2)</f>
        <v>0</v>
      </c>
      <c r="K181" s="271">
        <f>-SUMIFS(BV_Data_An_Cour!$O:$O,BV_Data_An_Cour!$X:$X,"Oui",BV_Data_An_Cour!$U:$U,$B181,BV_Data_An_Cour!$V:$V,$C181)</f>
        <v>3769.71</v>
      </c>
      <c r="L181" s="272">
        <f>-SUMIFS(BV_Data_An_Cour!$O:$O,BV_Data_An_Cour!$U:$U,$B181,BV_Data_An_Cour!$V:$V,$C181,BV_Data_An_Cour!$W:$W,$L$2)</f>
        <v>2857.41</v>
      </c>
      <c r="M181" s="371">
        <f>IF(E181=0,0,(K181-E181)/E181)</f>
        <v>-0.3824359125579932</v>
      </c>
      <c r="N181" s="317">
        <f>L181-F181</f>
        <v>-1720.71</v>
      </c>
      <c r="O181" s="367">
        <f t="array" ref="O181">+INDEX('Réel 2024'!$A$2:$AO$501,MATCH($A181,'Réel 2024'!$A$2:$A$501,0),MATCH(O$2,'Réel 2024'!$A$2:$AO$2,0))</f>
        <v>0</v>
      </c>
      <c r="P181" s="271">
        <f t="array" ref="P181">+INDEX('Réel 2024'!$A$2:$AO$501,MATCH($A181,'Réel 2024'!$A$2:$A$501,0),MATCH(P$2,'Réel 2024'!$A$2:$AO$2,0))</f>
        <v>5587.2</v>
      </c>
      <c r="Q181" s="272">
        <f t="array" ref="Q181">+INDEX('Réel 2024'!$A$2:$AO$501,MATCH($A181,'Réel 2024'!$A$2:$A$501,0),MATCH(Q$2,'Réel 2024'!$A$2:$AO$2,0))</f>
        <v>4448.12</v>
      </c>
      <c r="R181" s="292">
        <f>IF(O181=0,0,J181/O181)</f>
        <v>0</v>
      </c>
      <c r="S181" s="317">
        <f>L181-Q181</f>
        <v>-1590.71</v>
      </c>
      <c r="T181" s="291"/>
      <c r="U181" s="1001"/>
      <c r="AA181" s="41"/>
      <c r="AB181" s="41"/>
      <c r="AC181" s="41"/>
      <c r="AD181" s="41"/>
      <c r="AE181" s="41"/>
      <c r="AF181" s="41"/>
      <c r="AG181" s="41"/>
      <c r="AH181" s="41"/>
      <c r="AI181" s="41"/>
      <c r="AJ181" s="41"/>
      <c r="AK181" s="41"/>
      <c r="AL181" s="41"/>
      <c r="AM181" s="41"/>
      <c r="AN181" s="41"/>
    </row>
    <row r="182" spans="1:40" ht="15.75" customHeight="1">
      <c r="A182" s="5" t="s">
        <v>460</v>
      </c>
      <c r="B182" s="41" t="s">
        <v>161</v>
      </c>
      <c r="C182" s="253" t="s">
        <v>165</v>
      </c>
      <c r="D182" s="11"/>
      <c r="E182" s="372"/>
      <c r="F182" s="362">
        <f>IFERROR(F181/E181,0)</f>
        <v>0.75</v>
      </c>
      <c r="G182" s="270"/>
      <c r="H182" s="372"/>
      <c r="I182" s="362"/>
      <c r="J182" s="373"/>
      <c r="K182" s="372">
        <f>IF(J182&lt;=0,0,L182/J182)</f>
        <v>0</v>
      </c>
      <c r="L182" s="362">
        <f>IF(L181=0,0,L181/K181)</f>
        <v>0.7579919940791201</v>
      </c>
      <c r="M182" s="277">
        <f>J182-D182</f>
        <v>0</v>
      </c>
      <c r="N182" s="374"/>
      <c r="O182" s="373"/>
      <c r="P182" s="372"/>
      <c r="Q182" s="362">
        <f>IFERROR(Q181/P181,0)</f>
        <v>0.79612686139748001</v>
      </c>
      <c r="R182" s="253"/>
      <c r="S182" s="374"/>
      <c r="T182" s="319"/>
      <c r="U182" s="1001"/>
      <c r="AA182" s="41"/>
      <c r="AB182" s="41"/>
      <c r="AC182" s="41"/>
      <c r="AD182" s="41"/>
      <c r="AE182" s="41"/>
      <c r="AF182" s="41"/>
      <c r="AG182" s="41"/>
      <c r="AH182" s="41"/>
      <c r="AI182" s="41"/>
      <c r="AJ182" s="41"/>
      <c r="AK182" s="41"/>
      <c r="AL182" s="41"/>
      <c r="AM182" s="41"/>
      <c r="AN182" s="41"/>
    </row>
    <row r="183" spans="1:40" ht="15.75" customHeight="1">
      <c r="A183" s="5" t="s">
        <v>161</v>
      </c>
      <c r="B183" s="41" t="s">
        <v>161</v>
      </c>
      <c r="C183" s="246"/>
      <c r="D183" s="375"/>
      <c r="E183" s="376"/>
      <c r="F183" s="364"/>
      <c r="G183" s="266"/>
      <c r="H183" s="376"/>
      <c r="I183" s="364"/>
      <c r="J183" s="377"/>
      <c r="K183" s="250"/>
      <c r="L183" s="364"/>
      <c r="M183" s="365"/>
      <c r="N183" s="378"/>
      <c r="O183" s="377"/>
      <c r="P183" s="250">
        <f>IFERROR(P181/O181,0)</f>
        <v>0</v>
      </c>
      <c r="Q183" s="364"/>
      <c r="R183" s="246"/>
      <c r="S183" s="378"/>
      <c r="T183" s="319"/>
      <c r="AA183" s="41"/>
      <c r="AB183" s="41"/>
      <c r="AC183" s="41"/>
      <c r="AD183" s="41"/>
      <c r="AE183" s="41"/>
      <c r="AF183" s="41"/>
      <c r="AG183" s="41"/>
      <c r="AH183" s="41"/>
      <c r="AI183" s="41"/>
      <c r="AJ183" s="41"/>
      <c r="AK183" s="41"/>
      <c r="AL183" s="41"/>
      <c r="AM183" s="41"/>
      <c r="AN183" s="41"/>
    </row>
    <row r="184" spans="1:40" ht="26.25" customHeight="1">
      <c r="A184" s="5" t="s">
        <v>466</v>
      </c>
      <c r="B184" s="41" t="s">
        <v>161</v>
      </c>
      <c r="C184" s="253" t="s">
        <v>169</v>
      </c>
      <c r="D184" s="41"/>
      <c r="E184" s="41"/>
      <c r="F184" s="276">
        <f>+INDEX('Budget original'!$A$2:$AO$501,MATCH($A184,'Budget original'!$A$2:$A$501,0),MATCH(F$2,'Budget original'!$A$2:$AO$2,0))</f>
        <v>-2262.7911646411389</v>
      </c>
      <c r="G184" s="253"/>
      <c r="H184" s="291"/>
      <c r="I184" s="291"/>
      <c r="J184" s="277"/>
      <c r="K184" s="291"/>
      <c r="L184" s="291">
        <f>-SUMIFS(BV_Data_An_Cour!$O:$O,BV_Data_An_Cour!$U:$U,$B184,BV_Data_An_Cour!$V:$V,$C184,BV_Data_An_Cour!$W:$W,$L$2)</f>
        <v>-1540.85</v>
      </c>
      <c r="M184" s="373"/>
      <c r="N184" s="276">
        <f>L184-F184</f>
        <v>721.94116464113904</v>
      </c>
      <c r="O184" s="277"/>
      <c r="P184" s="291"/>
      <c r="Q184" s="256">
        <f t="array" ref="Q184">+INDEX('Réel 2024'!$A$2:$AO$501,MATCH($A184,'Réel 2024'!$A$2:$A$501,0),MATCH(Q$2,'Réel 2024'!$A$2:$AO$2,0))</f>
        <v>-1515.7</v>
      </c>
      <c r="R184" s="379"/>
      <c r="S184" s="276">
        <f t="shared" ref="S184:S185" si="41">L184-Q184</f>
        <v>-25.149999999999864</v>
      </c>
      <c r="T184" s="41"/>
      <c r="U184" s="41"/>
      <c r="V184" s="41"/>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
        <v>467</v>
      </c>
      <c r="B185" s="41" t="s">
        <v>161</v>
      </c>
      <c r="C185" s="380" t="s">
        <v>170</v>
      </c>
      <c r="D185" s="381">
        <f>D172+D175+D178+D181+D184</f>
        <v>601.43599999999992</v>
      </c>
      <c r="E185" s="381">
        <f>E172+E175+E178+E181+E184</f>
        <v>190563.97928</v>
      </c>
      <c r="F185" s="382">
        <f>F172+F175+F178+F181+F184</f>
        <v>140665.90950255885</v>
      </c>
      <c r="G185" s="383"/>
      <c r="H185" s="381"/>
      <c r="I185" s="382"/>
      <c r="J185" s="383">
        <f t="shared" ref="J185:L185" si="42">J172+J175+J178+J181+J184</f>
        <v>691</v>
      </c>
      <c r="K185" s="381">
        <f t="shared" si="42"/>
        <v>229865.96999999997</v>
      </c>
      <c r="L185" s="382">
        <f t="shared" si="42"/>
        <v>169768.51</v>
      </c>
      <c r="M185" s="384">
        <f>(K185-E185)/E185</f>
        <v>0.20624039689186308</v>
      </c>
      <c r="N185" s="382">
        <f>L185-F185</f>
        <v>29102.600497441163</v>
      </c>
      <c r="O185" s="383">
        <f t="shared" ref="O185:Q185" si="43">O172+O175+O178+O181+O184</f>
        <v>584</v>
      </c>
      <c r="P185" s="381">
        <f t="shared" si="43"/>
        <v>180787.68999999983</v>
      </c>
      <c r="Q185" s="382">
        <f t="shared" si="43"/>
        <v>132673.18999999968</v>
      </c>
      <c r="R185" s="264">
        <f>IF(O185=0,0,J185/O185)</f>
        <v>1.1832191780821917</v>
      </c>
      <c r="S185" s="382">
        <f t="shared" si="41"/>
        <v>37095.320000000327</v>
      </c>
      <c r="T185" s="319"/>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
        <v>468</v>
      </c>
      <c r="B186" s="41" t="s">
        <v>161</v>
      </c>
      <c r="C186" s="385" t="s">
        <v>171</v>
      </c>
      <c r="D186" s="386"/>
      <c r="E186" s="387"/>
      <c r="F186" s="388">
        <f>F185/E185</f>
        <v>0.73815581535414532</v>
      </c>
      <c r="G186" s="389"/>
      <c r="H186" s="387"/>
      <c r="I186" s="265"/>
      <c r="J186" s="389"/>
      <c r="K186" s="387">
        <f>IF(J185=0,0,K185/J185)</f>
        <v>332.65697539797389</v>
      </c>
      <c r="L186" s="265">
        <f>IF(L185=0,0,L185/K185)</f>
        <v>0.73855434103621354</v>
      </c>
      <c r="M186" s="389"/>
      <c r="N186" s="388">
        <f>N185/F185</f>
        <v>0.20689163849547895</v>
      </c>
      <c r="O186" s="389"/>
      <c r="P186" s="387">
        <f>IF(O185=0,0,P185/O185)</f>
        <v>309.56796232876684</v>
      </c>
      <c r="Q186" s="265">
        <f>Q185/P185</f>
        <v>0.73386185751916966</v>
      </c>
      <c r="R186" s="389"/>
      <c r="S186" s="265">
        <f>S185/Q185</f>
        <v>0.27959921669178539</v>
      </c>
      <c r="T186" s="319"/>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
        <v>161</v>
      </c>
      <c r="B187" s="41" t="s">
        <v>161</v>
      </c>
      <c r="C187" s="259"/>
      <c r="D187" s="390"/>
      <c r="E187" s="391"/>
      <c r="F187" s="392"/>
      <c r="G187" s="393"/>
      <c r="H187" s="391"/>
      <c r="I187" s="392"/>
      <c r="J187" s="393"/>
      <c r="K187" s="391"/>
      <c r="L187" s="392"/>
      <c r="M187" s="393"/>
      <c r="N187" s="392"/>
      <c r="O187" s="393"/>
      <c r="P187" s="391"/>
      <c r="Q187" s="392"/>
      <c r="R187" s="393"/>
      <c r="S187" s="392"/>
      <c r="T187" s="319"/>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9.5" customHeight="1">
      <c r="A188" s="5" t="s">
        <v>469</v>
      </c>
      <c r="B188" s="41" t="s">
        <v>161</v>
      </c>
      <c r="C188" s="253" t="s">
        <v>172</v>
      </c>
      <c r="D188" s="291"/>
      <c r="E188" s="291">
        <f>+INDEX('Budget original'!$A$2:$AO$501,MATCH($A188,'Budget original'!$A$2:$A$501,0),MATCH(E$2,'Budget original'!$A$2:$AO$2,0))</f>
        <v>14426.064</v>
      </c>
      <c r="F188" s="291">
        <f>+INDEX('Budget original'!$A$2:$AO$501,MATCH($A188,'Budget original'!$A$2:$A$501,0),MATCH(F$2,'Budget original'!$A$2:$AO$2,0))</f>
        <v>2538.9872639999999</v>
      </c>
      <c r="G188" s="277"/>
      <c r="H188" s="291"/>
      <c r="I188" s="291"/>
      <c r="J188" s="277"/>
      <c r="K188" s="254">
        <f>-SUMIFS(BV_Data_An_Cour!$O:$O,BV_Data_An_Cour!$X:$X,"Oui",BV_Data_An_Cour!$U:$U,$B188,BV_Data_An_Cour!$V:$V,$C188)</f>
        <v>19410.400000000001</v>
      </c>
      <c r="L188" s="256">
        <f>-SUMIFS(BV_Data_An_Cour!$O:$O,BV_Data_An_Cour!$U:$U,$B188,BV_Data_An_Cour!$V:$V,$C188,BV_Data_An_Cour!$W:$W,$L$2)</f>
        <v>3435.9000000000015</v>
      </c>
      <c r="M188" s="292">
        <f>IF(E188=0,0,(K188-E188)/E188)</f>
        <v>0.34550907302227418</v>
      </c>
      <c r="N188" s="276">
        <f>L188-F188</f>
        <v>896.91273600000159</v>
      </c>
      <c r="O188" s="277"/>
      <c r="P188" s="254">
        <f t="array" ref="P188">+INDEX('Réel 2024'!$A$2:$AO$501,MATCH($A188,'Réel 2024'!$A$2:$A$501,0),MATCH(P$2,'Réel 2024'!$A$2:$AO$2,0))</f>
        <v>19315.099999999999</v>
      </c>
      <c r="Q188" s="256">
        <f t="array" ref="Q188">+INDEX('Réel 2024'!$A$2:$AO$501,MATCH($A188,'Réel 2024'!$A$2:$A$501,0),MATCH(Q$2,'Réel 2024'!$A$2:$AO$2,0))</f>
        <v>1457.99999999999</v>
      </c>
      <c r="R188" s="292">
        <f>IF(O188=0,0,J188/O188)</f>
        <v>0</v>
      </c>
      <c r="S188" s="276">
        <f>L188-Q188</f>
        <v>1977.9000000000115</v>
      </c>
      <c r="T188" s="319"/>
      <c r="U188" s="41"/>
      <c r="V188" s="41"/>
      <c r="W188" s="41"/>
      <c r="X188" s="41"/>
      <c r="Y188" s="41"/>
      <c r="Z188" s="41"/>
      <c r="AA188" s="41"/>
      <c r="AB188" s="41"/>
      <c r="AC188" s="41"/>
      <c r="AD188" s="41"/>
      <c r="AE188" s="41"/>
      <c r="AF188" s="41"/>
      <c r="AG188" s="41"/>
      <c r="AH188" s="41"/>
      <c r="AI188" s="41"/>
      <c r="AJ188" s="41"/>
      <c r="AK188" s="41"/>
      <c r="AL188" s="41"/>
      <c r="AM188" s="41"/>
      <c r="AN188" s="41"/>
    </row>
    <row r="189" spans="1:40" ht="21" customHeight="1">
      <c r="A189" s="5" t="s">
        <v>460</v>
      </c>
      <c r="B189" s="41" t="s">
        <v>161</v>
      </c>
      <c r="C189" s="253" t="s">
        <v>165</v>
      </c>
      <c r="D189" s="41"/>
      <c r="E189" s="349"/>
      <c r="F189" s="362">
        <f>IFERROR(F188/E188,0)</f>
        <v>0.17599999999999999</v>
      </c>
      <c r="G189" s="253"/>
      <c r="H189" s="349"/>
      <c r="I189" s="362"/>
      <c r="J189" s="373"/>
      <c r="K189" s="372"/>
      <c r="L189" s="362">
        <f>IF(L188=0,0,L188/K188)</f>
        <v>0.17701335366607598</v>
      </c>
      <c r="M189" s="373"/>
      <c r="N189" s="374"/>
      <c r="O189" s="373"/>
      <c r="P189" s="372"/>
      <c r="Q189" s="362">
        <f>IFERROR(Q188/P188,0)</f>
        <v>7.5484983251445245E-2</v>
      </c>
      <c r="R189" s="373"/>
      <c r="S189" s="374"/>
      <c r="T189" s="319"/>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
        <v>161</v>
      </c>
      <c r="B190" s="41" t="s">
        <v>161</v>
      </c>
      <c r="C190" s="253"/>
      <c r="D190" s="41"/>
      <c r="E190" s="349"/>
      <c r="F190" s="362"/>
      <c r="G190" s="253"/>
      <c r="H190" s="349"/>
      <c r="I190" s="362"/>
      <c r="J190" s="373"/>
      <c r="K190" s="372"/>
      <c r="L190" s="362"/>
      <c r="M190" s="373"/>
      <c r="N190" s="374"/>
      <c r="O190" s="373"/>
      <c r="P190" s="372"/>
      <c r="Q190" s="362"/>
      <c r="R190" s="373"/>
      <c r="S190" s="374"/>
      <c r="T190" s="319"/>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
        <v>470</v>
      </c>
      <c r="B191" s="41" t="s">
        <v>161</v>
      </c>
      <c r="C191" s="253" t="s">
        <v>173</v>
      </c>
      <c r="D191" s="41"/>
      <c r="E191" s="291">
        <f>+INDEX('Budget original'!$A$2:$AO$501,MATCH($A191,'Budget original'!$A$2:$A$501,0),MATCH(E$2,'Budget original'!$A$2:$AO$2,0))</f>
        <v>4680</v>
      </c>
      <c r="F191" s="291">
        <f>+INDEX('Budget original'!$A$2:$AO$501,MATCH($A191,'Budget original'!$A$2:$A$501,0),MATCH(F$2,'Budget original'!$A$2:$AO$2,0))</f>
        <v>3276</v>
      </c>
      <c r="G191" s="253"/>
      <c r="H191" s="291"/>
      <c r="I191" s="291"/>
      <c r="J191" s="277">
        <f>-SUMIFS(BV_Data_An_Cour!$O:$O,BV_Data_An_Cour!$U:$U,$B191,BV_Data_An_Cour!$V:$V,$C191,BV_Data_An_Cour!$W:$W,J$2)</f>
        <v>32</v>
      </c>
      <c r="K191" s="254">
        <f>-SUMIFS(BV_Data_An_Cour!$O:$O,BV_Data_An_Cour!$X:$X,"Oui",BV_Data_An_Cour!$U:$U,$B191,BV_Data_An_Cour!$V:$V,$C191)</f>
        <v>6923.95</v>
      </c>
      <c r="L191" s="256">
        <f>-SUMIFS(BV_Data_An_Cour!$O:$O,BV_Data_An_Cour!$U:$U,$B191,BV_Data_An_Cour!$V:$V,$C191,BV_Data_An_Cour!$W:$W,$L$2)</f>
        <v>5337.95</v>
      </c>
      <c r="M191" s="292">
        <f>IF(E191=0,0,(K191-E191)/E191)</f>
        <v>0.4794764957264957</v>
      </c>
      <c r="N191" s="276">
        <f>L191-F191</f>
        <v>2061.9499999999998</v>
      </c>
      <c r="O191" s="373"/>
      <c r="P191" s="254">
        <f t="array" ref="P191">+INDEX('Réel 2024'!$A$2:$AO$501,MATCH($A191,'Réel 2024'!$A$2:$A$501,0),MATCH(P$2,'Réel 2024'!$A$2:$AO$2,0))</f>
        <v>5335.05</v>
      </c>
      <c r="Q191" s="256">
        <f t="array" ref="Q191">+INDEX('Réel 2024'!$A$2:$AO$501,MATCH($A191,'Réel 2024'!$A$2:$A$501,0),MATCH(Q$2,'Réel 2024'!$A$2:$AO$2,0))</f>
        <v>3998.39</v>
      </c>
      <c r="R191" s="373"/>
      <c r="S191" s="374"/>
      <c r="T191" s="319"/>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
        <v>460</v>
      </c>
      <c r="B192" s="41" t="s">
        <v>161</v>
      </c>
      <c r="C192" s="253" t="s">
        <v>165</v>
      </c>
      <c r="D192" s="41"/>
      <c r="E192" s="349"/>
      <c r="F192" s="362">
        <f>IF(F191=0,0,F191/E191)</f>
        <v>0.7</v>
      </c>
      <c r="G192" s="253"/>
      <c r="H192" s="349"/>
      <c r="I192" s="362"/>
      <c r="J192" s="373"/>
      <c r="K192" s="372"/>
      <c r="L192" s="362">
        <f>IF(L191=0,0,L191/K191)</f>
        <v>0.77093999812245895</v>
      </c>
      <c r="M192" s="373"/>
      <c r="N192" s="374"/>
      <c r="O192" s="373"/>
      <c r="P192" s="372"/>
      <c r="Q192" s="362">
        <f>IF(Q191=0,0,Q191/P191)</f>
        <v>0.74945689356238454</v>
      </c>
      <c r="R192" s="373"/>
      <c r="S192" s="374"/>
      <c r="T192" s="319"/>
      <c r="U192" s="254"/>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
        <v>161</v>
      </c>
      <c r="B193" s="41" t="s">
        <v>161</v>
      </c>
      <c r="C193" s="394"/>
      <c r="D193" s="395"/>
      <c r="E193" s="396"/>
      <c r="F193" s="397"/>
      <c r="G193" s="398"/>
      <c r="H193" s="396"/>
      <c r="I193" s="397"/>
      <c r="J193" s="398">
        <f>K193/(J172+J191)</f>
        <v>373.5202142857143</v>
      </c>
      <c r="K193" s="396">
        <f>K191+K181+K172</f>
        <v>104585.66</v>
      </c>
      <c r="L193" s="397">
        <f>K193/J193</f>
        <v>280</v>
      </c>
      <c r="M193" s="398"/>
      <c r="N193" s="397"/>
      <c r="O193" s="398"/>
      <c r="P193" s="396"/>
      <c r="Q193" s="397"/>
      <c r="R193" s="398"/>
      <c r="S193" s="397"/>
      <c r="T193" s="319"/>
      <c r="U193" s="41"/>
      <c r="V193" s="41"/>
      <c r="W193" s="41"/>
      <c r="X193" s="41"/>
      <c r="Y193" s="41"/>
      <c r="Z193" s="41"/>
      <c r="AA193" s="41"/>
      <c r="AB193" s="41"/>
      <c r="AC193" s="41"/>
      <c r="AD193" s="41"/>
      <c r="AE193" s="41"/>
      <c r="AF193" s="41"/>
      <c r="AG193" s="41"/>
      <c r="AH193" s="41"/>
      <c r="AI193" s="41"/>
      <c r="AJ193" s="41"/>
      <c r="AK193" s="41"/>
      <c r="AL193" s="41"/>
      <c r="AM193" s="41"/>
      <c r="AN193" s="41"/>
    </row>
    <row r="194" spans="1:40" ht="24.75" customHeight="1">
      <c r="A194" s="5" t="s">
        <v>471</v>
      </c>
      <c r="B194" s="41" t="s">
        <v>161</v>
      </c>
      <c r="C194" s="278" t="s">
        <v>174</v>
      </c>
      <c r="D194" s="279"/>
      <c r="E194" s="279">
        <f>E185+E188+E191</f>
        <v>209670.04328000001</v>
      </c>
      <c r="F194" s="281">
        <f>F185+F188+F191</f>
        <v>146480.89676655884</v>
      </c>
      <c r="G194" s="282"/>
      <c r="H194" s="279"/>
      <c r="I194" s="281"/>
      <c r="J194" s="282"/>
      <c r="K194" s="279">
        <f t="shared" ref="K194:L194" si="44">K185+K188+K191</f>
        <v>256200.31999999998</v>
      </c>
      <c r="L194" s="281">
        <f t="shared" si="44"/>
        <v>178542.36000000002</v>
      </c>
      <c r="M194" s="399">
        <f>L195-F195</f>
        <v>-1.739995736364186E-3</v>
      </c>
      <c r="N194" s="281">
        <f>L194-F194</f>
        <v>32061.463233441173</v>
      </c>
      <c r="O194" s="282"/>
      <c r="P194" s="279">
        <f t="shared" ref="P194:Q194" si="45">P185+P188+P191</f>
        <v>205437.83999999982</v>
      </c>
      <c r="Q194" s="281">
        <f t="shared" si="45"/>
        <v>138129.5799999997</v>
      </c>
      <c r="R194" s="399"/>
      <c r="S194" s="281">
        <f>L194-Q194</f>
        <v>40412.780000000319</v>
      </c>
      <c r="T194" s="319"/>
      <c r="U194" s="1161"/>
      <c r="V194" s="41"/>
      <c r="W194" s="41"/>
      <c r="X194" s="41"/>
      <c r="Y194" s="41"/>
      <c r="Z194" s="41"/>
      <c r="AA194" s="41"/>
      <c r="AB194" s="41"/>
      <c r="AC194" s="41"/>
      <c r="AD194" s="41"/>
      <c r="AE194" s="41"/>
      <c r="AF194" s="41"/>
      <c r="AG194" s="41"/>
      <c r="AH194" s="41"/>
      <c r="AI194" s="41"/>
      <c r="AJ194" s="41"/>
      <c r="AK194" s="41"/>
      <c r="AL194" s="41"/>
      <c r="AM194" s="41"/>
      <c r="AN194" s="41"/>
    </row>
    <row r="195" spans="1:40" ht="24" customHeight="1">
      <c r="A195" s="5" t="s">
        <v>161</v>
      </c>
      <c r="B195" s="41" t="s">
        <v>161</v>
      </c>
      <c r="C195" s="283"/>
      <c r="D195" s="284"/>
      <c r="E195" s="284"/>
      <c r="F195" s="287">
        <f>F194/E194</f>
        <v>0.69862577636302392</v>
      </c>
      <c r="G195" s="283"/>
      <c r="H195" s="284"/>
      <c r="I195" s="287"/>
      <c r="J195" s="283"/>
      <c r="K195" s="284"/>
      <c r="L195" s="287">
        <f>L194/K194</f>
        <v>0.69688578062665973</v>
      </c>
      <c r="M195" s="286"/>
      <c r="N195" s="287">
        <f>N194/F194</f>
        <v>0.21887811954439584</v>
      </c>
      <c r="O195" s="283"/>
      <c r="P195" s="284"/>
      <c r="Q195" s="287">
        <f>Q194/P194</f>
        <v>0.67236678500903146</v>
      </c>
      <c r="R195" s="286"/>
      <c r="S195" s="287">
        <f>L194/S194</f>
        <v>4.4179677814789926</v>
      </c>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
        <v>161</v>
      </c>
      <c r="B196" s="41" t="s">
        <v>161</v>
      </c>
      <c r="C196" s="270"/>
      <c r="D196" s="11"/>
      <c r="E196" s="11"/>
      <c r="F196" s="265"/>
      <c r="G196" s="270"/>
      <c r="H196" s="11"/>
      <c r="I196" s="265"/>
      <c r="J196" s="270"/>
      <c r="K196" s="319"/>
      <c r="L196" s="265"/>
      <c r="M196" s="264"/>
      <c r="N196" s="265"/>
      <c r="O196" s="270"/>
      <c r="P196" s="11"/>
      <c r="Q196" s="265"/>
      <c r="R196" s="264"/>
      <c r="S196" s="265"/>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
        <v>472</v>
      </c>
      <c r="B197" s="41" t="s">
        <v>161</v>
      </c>
      <c r="C197" s="289" t="s">
        <v>110</v>
      </c>
      <c r="D197" s="41"/>
      <c r="E197" s="41"/>
      <c r="F197" s="276"/>
      <c r="G197" s="253"/>
      <c r="H197" s="41"/>
      <c r="I197" s="276"/>
      <c r="J197" s="253"/>
      <c r="K197" s="41"/>
      <c r="L197" s="263"/>
      <c r="M197" s="253"/>
      <c r="N197" s="263"/>
      <c r="O197" s="253"/>
      <c r="P197" s="41"/>
      <c r="Q197" s="263"/>
      <c r="R197" s="253"/>
      <c r="S197" s="263"/>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
        <v>473</v>
      </c>
      <c r="B198" s="41" t="s">
        <v>161</v>
      </c>
      <c r="C198" s="312" t="s">
        <v>120</v>
      </c>
      <c r="D198" s="41"/>
      <c r="E198" s="41"/>
      <c r="F198" s="254">
        <f>+INDEX('Budget original'!$A$2:$AO$501,MATCH($A198,'Budget original'!$A$2:$A$501,0),MATCH(F$2,'Budget original'!$A$2:$AO$2,0))</f>
        <v>15681.80576923077</v>
      </c>
      <c r="G198" s="253"/>
      <c r="H198" s="41"/>
      <c r="I198" s="254"/>
      <c r="J198" s="253"/>
      <c r="K198" s="41"/>
      <c r="L198" s="256">
        <f>SUMIFS(BV_Data_An_Cour!$O:$O,BV_Data_An_Cour!$U:$U,$B198,BV_Data_An_Cour!$V:$V,$C198,BV_Data_An_Cour!$W:$W,$L$2)</f>
        <v>12024.88</v>
      </c>
      <c r="M198" s="253"/>
      <c r="N198" s="256">
        <f t="shared" ref="N198:N229" si="46">L198-F198</f>
        <v>-3656.925769230771</v>
      </c>
      <c r="O198" s="253"/>
      <c r="P198" s="41"/>
      <c r="Q198" s="256">
        <f t="array" ref="Q198">+INDEX('Réel 2024'!$A$2:$AO$501,MATCH($A198,'Réel 2024'!$A$2:$A$501,0),MATCH(Q$2,'Réel 2024'!$A$2:$AO$2,0))</f>
        <v>15728.24</v>
      </c>
      <c r="R198" s="253"/>
      <c r="S198" s="256">
        <f t="shared" ref="S198:S229" si="47">L198-Q198</f>
        <v>-3703.3600000000006</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
        <v>474</v>
      </c>
      <c r="B199" s="41" t="s">
        <v>161</v>
      </c>
      <c r="C199" s="313" t="s">
        <v>121</v>
      </c>
      <c r="D199" s="297"/>
      <c r="E199" s="41"/>
      <c r="F199" s="248">
        <f>+INDEX('Budget original'!$A$2:$AO$501,MATCH($A199,'Budget original'!$A$2:$A$501,0),MATCH(F$2,'Budget original'!$A$2:$AO$2,0))</f>
        <v>8357.6063384615391</v>
      </c>
      <c r="G199" s="298"/>
      <c r="H199" s="41"/>
      <c r="I199" s="248"/>
      <c r="J199" s="253"/>
      <c r="K199" s="41"/>
      <c r="L199" s="256">
        <f>SUMIFS(BV_Data_An_Cour!$O:$O,BV_Data_An_Cour!$U:$U,$B199,BV_Data_An_Cour!$V:$V,$C199,BV_Data_An_Cour!$W:$W,$L$2)</f>
        <v>8467.49</v>
      </c>
      <c r="M199" s="253"/>
      <c r="N199" s="256">
        <f t="shared" si="46"/>
        <v>109.88366153846073</v>
      </c>
      <c r="O199" s="253"/>
      <c r="P199" s="41"/>
      <c r="Q199" s="256">
        <f t="array" ref="Q199">+INDEX('Réel 2024'!$A$2:$AO$501,MATCH($A199,'Réel 2024'!$A$2:$A$501,0),MATCH(Q$2,'Réel 2024'!$A$2:$AO$2,0))</f>
        <v>7380.73</v>
      </c>
      <c r="R199" s="253"/>
      <c r="S199" s="276">
        <f t="shared" si="47"/>
        <v>1086.7600000000002</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20">
      <c r="A200" s="5" t="s">
        <v>475</v>
      </c>
      <c r="B200" s="41" t="s">
        <v>161</v>
      </c>
      <c r="C200" s="312" t="s">
        <v>122</v>
      </c>
      <c r="D200" s="314"/>
      <c r="E200" s="315"/>
      <c r="F200" s="254">
        <f>+INDEX('Budget original'!$A$2:$AO$501,MATCH($A200,'Budget original'!$A$2:$A$501,0),MATCH(F$2,'Budget original'!$A$2:$AO$2,0))</f>
        <v>15667.776923076923</v>
      </c>
      <c r="G200" s="316"/>
      <c r="H200" s="315"/>
      <c r="I200" s="254"/>
      <c r="J200" s="241"/>
      <c r="K200" s="315"/>
      <c r="L200" s="272">
        <f>SUMIFS(BV_Data_An_Cour!$O:$O,BV_Data_An_Cour!$U:$U,$B200,BV_Data_An_Cour!$V:$V,$C200,BV_Data_An_Cour!$W:$W,$L$2)</f>
        <v>14529.05</v>
      </c>
      <c r="M200" s="241"/>
      <c r="N200" s="272">
        <f t="shared" si="46"/>
        <v>-1138.7269230769234</v>
      </c>
      <c r="O200" s="241"/>
      <c r="P200" s="315"/>
      <c r="Q200" s="272">
        <f t="array" ref="Q200">+INDEX('Réel 2024'!$A$2:$AO$501,MATCH($A200,'Réel 2024'!$A$2:$A$501,0),MATCH(Q$2,'Réel 2024'!$A$2:$AO$2,0))</f>
        <v>15210.72</v>
      </c>
      <c r="R200" s="241"/>
      <c r="S200" s="317">
        <f t="shared" si="47"/>
        <v>-681.67000000000007</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20">
      <c r="A201" s="5" t="s">
        <v>476</v>
      </c>
      <c r="B201" s="41" t="s">
        <v>161</v>
      </c>
      <c r="C201" s="312" t="s">
        <v>123</v>
      </c>
      <c r="D201" s="297"/>
      <c r="E201" s="1144">
        <f>F201/E172</f>
        <v>0.22627208028795756</v>
      </c>
      <c r="F201" s="254">
        <f>+INDEX('Budget original'!$A$2:$AO$501,MATCH($A201,'Budget original'!$A$2:$A$501,0),MATCH(F$2,'Budget original'!$A$2:$AO$2,0))</f>
        <v>22603.078374153847</v>
      </c>
      <c r="G201" s="298"/>
      <c r="H201" s="41"/>
      <c r="I201" s="254"/>
      <c r="J201" s="253"/>
      <c r="K201" s="1163">
        <f>L201/K172</f>
        <v>0.15656935628168533</v>
      </c>
      <c r="L201" s="256">
        <f>SUMIFS(BV_Data_An_Cour!$O:$O,BV_Data_An_Cour!$U:$U,$B201,BV_Data_An_Cour!$V:$V,$C201,BV_Data_An_Cour!$W:$W,$L$2)</f>
        <v>14700.61</v>
      </c>
      <c r="M201" s="253"/>
      <c r="N201" s="1216">
        <f t="shared" si="46"/>
        <v>-7902.4683741538465</v>
      </c>
      <c r="O201" s="253"/>
      <c r="P201" s="41"/>
      <c r="Q201" s="256">
        <f t="array" ref="Q201">+INDEX('Réel 2024'!$A$2:$AO$501,MATCH($A201,'Réel 2024'!$A$2:$A$501,0),MATCH(Q$2,'Réel 2024'!$A$2:$AO$2,0))</f>
        <v>19491.41</v>
      </c>
      <c r="R201" s="253"/>
      <c r="S201" s="276">
        <f t="shared" si="47"/>
        <v>-4790.7999999999993</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
        <v>477</v>
      </c>
      <c r="B202" s="41" t="s">
        <v>161</v>
      </c>
      <c r="C202" s="253" t="s">
        <v>59</v>
      </c>
      <c r="D202" s="297"/>
      <c r="E202" s="41"/>
      <c r="F202" s="254">
        <f>+INDEX('Budget original'!$A$2:$AO$501,MATCH($A202,'Budget original'!$A$2:$A$501,0),MATCH(F$2,'Budget original'!$A$2:$AO$2,0))</f>
        <v>0</v>
      </c>
      <c r="G202" s="298"/>
      <c r="H202" s="41"/>
      <c r="I202" s="254"/>
      <c r="J202" s="253"/>
      <c r="K202" s="41"/>
      <c r="L202" s="256">
        <f>SUMIFS(BV_Data_An_Cour!$O:$O,BV_Data_An_Cour!$U:$U,$B202,BV_Data_An_Cour!$V:$V,$C202,BV_Data_An_Cour!$W:$W,$L$2)</f>
        <v>0</v>
      </c>
      <c r="M202" s="253"/>
      <c r="N202" s="256">
        <f t="shared" si="46"/>
        <v>0</v>
      </c>
      <c r="O202" s="253"/>
      <c r="P202" s="41"/>
      <c r="Q202" s="256">
        <f t="array" ref="Q202">+INDEX('Réel 2024'!$A$2:$AO$501,MATCH($A202,'Réel 2024'!$A$2:$A$501,0),MATCH(Q$2,'Réel 2024'!$A$2:$AO$2,0))</f>
        <v>0</v>
      </c>
      <c r="R202" s="253"/>
      <c r="S202" s="276">
        <f t="shared" si="47"/>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
        <v>477</v>
      </c>
      <c r="B203" s="41" t="s">
        <v>161</v>
      </c>
      <c r="C203" s="253" t="s">
        <v>59</v>
      </c>
      <c r="D203" s="297"/>
      <c r="E203" s="41"/>
      <c r="F203" s="254">
        <f>+INDEX('Budget original'!$A$2:$AO$501,MATCH($A203,'Budget original'!$A$2:$A$501,0),MATCH(F$2,'Budget original'!$A$2:$AO$2,0))</f>
        <v>0</v>
      </c>
      <c r="G203" s="298"/>
      <c r="H203" s="41"/>
      <c r="I203" s="254"/>
      <c r="J203" s="253"/>
      <c r="K203" s="41"/>
      <c r="L203" s="256">
        <f>SUMIFS(BV_Data_An_Cour!$O:$O,BV_Data_An_Cour!$U:$U,$B203,BV_Data_An_Cour!$V:$V,$C203,BV_Data_An_Cour!$W:$W,$L$2)</f>
        <v>0</v>
      </c>
      <c r="M203" s="253"/>
      <c r="N203" s="256">
        <f t="shared" si="46"/>
        <v>0</v>
      </c>
      <c r="O203" s="253"/>
      <c r="P203" s="41"/>
      <c r="Q203" s="256">
        <f t="array" ref="Q203">+INDEX('Réel 2024'!$A$2:$AO$501,MATCH($A203,'Réel 2024'!$A$2:$A$501,0),MATCH(Q$2,'Réel 2024'!$A$2:$AO$2,0))</f>
        <v>0</v>
      </c>
      <c r="R203" s="253"/>
      <c r="S203" s="276">
        <f t="shared" si="47"/>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
        <v>477</v>
      </c>
      <c r="B204" s="41" t="s">
        <v>161</v>
      </c>
      <c r="C204" s="253" t="s">
        <v>59</v>
      </c>
      <c r="D204" s="297"/>
      <c r="E204" s="41"/>
      <c r="F204" s="254">
        <f>+INDEX('Budget original'!$A$2:$AO$501,MATCH($A204,'Budget original'!$A$2:$A$501,0),MATCH(F$2,'Budget original'!$A$2:$AO$2,0))</f>
        <v>0</v>
      </c>
      <c r="G204" s="298"/>
      <c r="H204" s="41"/>
      <c r="I204" s="254"/>
      <c r="J204" s="253"/>
      <c r="K204" s="41"/>
      <c r="L204" s="256">
        <f>SUMIFS(BV_Data_An_Cour!$O:$O,BV_Data_An_Cour!$U:$U,$B204,BV_Data_An_Cour!$V:$V,$C204,BV_Data_An_Cour!$W:$W,$L$2)</f>
        <v>0</v>
      </c>
      <c r="M204" s="253"/>
      <c r="N204" s="256">
        <f t="shared" si="46"/>
        <v>0</v>
      </c>
      <c r="O204" s="253"/>
      <c r="P204" s="41"/>
      <c r="Q204" s="256">
        <f t="array" ref="Q204">+INDEX('Réel 2024'!$A$2:$AO$501,MATCH($A204,'Réel 2024'!$A$2:$A$501,0),MATCH(Q$2,'Réel 2024'!$A$2:$AO$2,0))</f>
        <v>0</v>
      </c>
      <c r="R204" s="253"/>
      <c r="S204" s="276">
        <f t="shared" si="47"/>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20">
      <c r="A205" s="5" t="s">
        <v>478</v>
      </c>
      <c r="B205" s="41" t="s">
        <v>161</v>
      </c>
      <c r="C205" s="313" t="s">
        <v>124</v>
      </c>
      <c r="D205" s="297"/>
      <c r="E205" s="41"/>
      <c r="F205" s="254">
        <f>+INDEX('Budget original'!$A$2:$AO$501,MATCH($A205,'Budget original'!$A$2:$A$501,0),MATCH(F$2,'Budget original'!$A$2:$AO$2,0))</f>
        <v>13106.342726929111</v>
      </c>
      <c r="G205" s="298"/>
      <c r="H205" s="41"/>
      <c r="I205" s="254"/>
      <c r="J205" s="253"/>
      <c r="K205" s="41"/>
      <c r="L205" s="256">
        <f>SUMIFS(BV_Data_An_Cour!$O:$O,BV_Data_An_Cour!$U:$U,$B205,BV_Data_An_Cour!$V:$V,$C205,BV_Data_An_Cour!$W:$W,$L$2)</f>
        <v>12747.9</v>
      </c>
      <c r="M205" s="253"/>
      <c r="N205" s="256">
        <f t="shared" si="46"/>
        <v>-358.44272692911181</v>
      </c>
      <c r="O205" s="253"/>
      <c r="P205" s="41"/>
      <c r="Q205" s="256">
        <f t="array" ref="Q205">+INDEX('Réel 2024'!$A$2:$AO$501,MATCH($A205,'Réel 2024'!$A$2:$A$501,0),MATCH(Q$2,'Réel 2024'!$A$2:$AO$2,0))</f>
        <v>12362.3</v>
      </c>
      <c r="R205" s="253"/>
      <c r="S205" s="276">
        <f t="shared" si="47"/>
        <v>385.60000000000036</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
        <v>479</v>
      </c>
      <c r="B206" s="41" t="s">
        <v>161</v>
      </c>
      <c r="C206" s="312" t="s">
        <v>125</v>
      </c>
      <c r="D206" s="314"/>
      <c r="E206" s="315"/>
      <c r="F206" s="272">
        <f>+INDEX('Budget original'!$A$2:$AO$501,MATCH($A206,'Budget original'!$A$2:$A$501,0),MATCH(F$2,'Budget original'!$A$2:$AO$2,0))</f>
        <v>15935.46516578165</v>
      </c>
      <c r="G206" s="316"/>
      <c r="H206" s="315"/>
      <c r="I206" s="272"/>
      <c r="J206" s="241"/>
      <c r="K206" s="315"/>
      <c r="L206" s="272">
        <f>SUMIFS(BV_Data_An_Cour!$O:$O,BV_Data_An_Cour!$U:$U,$B206,BV_Data_An_Cour!$V:$V,$C206,BV_Data_An_Cour!$W:$W,$L$2)</f>
        <v>15622.95</v>
      </c>
      <c r="M206" s="241"/>
      <c r="N206" s="272">
        <f t="shared" si="46"/>
        <v>-312.51516578164956</v>
      </c>
      <c r="O206" s="241"/>
      <c r="P206" s="315"/>
      <c r="Q206" s="272">
        <f t="array" ref="Q206">+INDEX('Réel 2024'!$A$2:$AO$501,MATCH($A206,'Réel 2024'!$A$2:$A$501,0),MATCH(Q$2,'Réel 2024'!$A$2:$AO$2,0))</f>
        <v>19960.57</v>
      </c>
      <c r="R206" s="241"/>
      <c r="S206" s="317">
        <f t="shared" si="47"/>
        <v>-4337.619999999999</v>
      </c>
      <c r="T206" s="41"/>
      <c r="U206" s="41"/>
      <c r="V206" s="41"/>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
        <v>480</v>
      </c>
      <c r="B207" s="41" t="s">
        <v>161</v>
      </c>
      <c r="C207" s="312" t="s">
        <v>126</v>
      </c>
      <c r="D207" s="297"/>
      <c r="E207" s="41"/>
      <c r="F207" s="254">
        <f>+INDEX('Budget original'!$A$2:$AO$501,MATCH($A207,'Budget original'!$A$2:$A$501,0),MATCH(F$2,'Budget original'!$A$2:$AO$2,0))</f>
        <v>8210.2287919353275</v>
      </c>
      <c r="G207" s="298"/>
      <c r="H207" s="41"/>
      <c r="I207" s="254"/>
      <c r="J207" s="253"/>
      <c r="K207" s="41"/>
      <c r="L207" s="256">
        <f>SUMIFS(BV_Data_An_Cour!$O:$O,BV_Data_An_Cour!$U:$U,$B207,BV_Data_An_Cour!$V:$V,$C207,BV_Data_An_Cour!$W:$W,$L$2)</f>
        <v>8530.35</v>
      </c>
      <c r="M207" s="253"/>
      <c r="N207" s="256">
        <f t="shared" si="46"/>
        <v>320.12120806467283</v>
      </c>
      <c r="O207" s="253"/>
      <c r="P207" s="41"/>
      <c r="Q207" s="256">
        <f t="array" ref="Q207">+INDEX('Réel 2024'!$A$2:$AO$501,MATCH($A207,'Réel 2024'!$A$2:$A$501,0),MATCH(Q$2,'Réel 2024'!$A$2:$AO$2,0))</f>
        <v>11195.25</v>
      </c>
      <c r="R207" s="253"/>
      <c r="S207" s="276">
        <f t="shared" si="47"/>
        <v>-2664.8999999999996</v>
      </c>
      <c r="T207" s="41"/>
      <c r="U207" s="41"/>
      <c r="V207" s="41"/>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
        <v>481</v>
      </c>
      <c r="B208" s="41" t="s">
        <v>161</v>
      </c>
      <c r="C208" s="312" t="s">
        <v>127</v>
      </c>
      <c r="D208" s="297"/>
      <c r="E208" s="41"/>
      <c r="F208" s="254">
        <f>+INDEX('Budget original'!$A$2:$AO$501,MATCH($A208,'Budget original'!$A$2:$A$501,0),MATCH(F$2,'Budget original'!$A$2:$AO$2,0))</f>
        <v>3579.7059430379068</v>
      </c>
      <c r="G208" s="298"/>
      <c r="H208" s="41"/>
      <c r="I208" s="254"/>
      <c r="J208" s="253"/>
      <c r="K208" s="41"/>
      <c r="L208" s="256">
        <f>SUMIFS(BV_Data_An_Cour!$O:$O,BV_Data_An_Cour!$U:$U,$B208,BV_Data_An_Cour!$V:$V,$C208,BV_Data_An_Cour!$W:$W,$L$2)</f>
        <v>4013.11</v>
      </c>
      <c r="M208" s="253"/>
      <c r="N208" s="256">
        <f t="shared" si="46"/>
        <v>433.40405696209336</v>
      </c>
      <c r="O208" s="253"/>
      <c r="P208" s="41"/>
      <c r="Q208" s="256">
        <f t="array" ref="Q208">+INDEX('Réel 2024'!$A$2:$AO$501,MATCH($A208,'Réel 2024'!$A$2:$A$501,0),MATCH(Q$2,'Réel 2024'!$A$2:$AO$2,0))</f>
        <v>3520.04</v>
      </c>
      <c r="R208" s="253"/>
      <c r="S208" s="276">
        <f t="shared" si="47"/>
        <v>493.07000000000016</v>
      </c>
      <c r="T208" s="41"/>
      <c r="U208" s="41"/>
      <c r="V208" s="41"/>
      <c r="W208" s="41"/>
      <c r="X208" s="41"/>
      <c r="Y208" s="41"/>
      <c r="Z208" s="41"/>
      <c r="AA208" s="41"/>
      <c r="AB208" s="41"/>
      <c r="AC208" s="41"/>
      <c r="AD208" s="41"/>
      <c r="AE208" s="41"/>
      <c r="AF208" s="41"/>
      <c r="AG208" s="41"/>
      <c r="AH208" s="41"/>
      <c r="AI208" s="41"/>
      <c r="AJ208" s="41"/>
      <c r="AK208" s="41"/>
      <c r="AL208" s="41"/>
      <c r="AM208" s="41"/>
      <c r="AN208" s="41"/>
    </row>
    <row r="209" spans="1:40" ht="15.75" hidden="1" customHeight="1">
      <c r="A209" s="5" t="s">
        <v>477</v>
      </c>
      <c r="B209" s="41" t="s">
        <v>161</v>
      </c>
      <c r="C209" s="253" t="s">
        <v>59</v>
      </c>
      <c r="D209" s="299"/>
      <c r="E209" s="318"/>
      <c r="F209" s="254">
        <f>+INDEX('Budget original'!$A$2:$AO$501,MATCH($A209,'Budget original'!$A$2:$A$501,0),MATCH(F$2,'Budget original'!$A$2:$AO$2,0))</f>
        <v>0</v>
      </c>
      <c r="G209" s="300"/>
      <c r="H209" s="318"/>
      <c r="I209" s="254"/>
      <c r="J209" s="246"/>
      <c r="K209" s="318"/>
      <c r="L209" s="256">
        <f>SUMIFS(BV_Data_An_Cour!$O:$O,BV_Data_An_Cour!$U:$U,$B209,BV_Data_An_Cour!$V:$V,$C209,BV_Data_An_Cour!$W:$W,$L$2)</f>
        <v>0</v>
      </c>
      <c r="M209" s="246"/>
      <c r="N209" s="256">
        <f t="shared" si="46"/>
        <v>0</v>
      </c>
      <c r="O209" s="246"/>
      <c r="P209" s="318"/>
      <c r="Q209" s="256">
        <f t="array" ref="Q209">+INDEX('Réel 2024'!$A$2:$AO$501,MATCH($A209,'Réel 2024'!$A$2:$A$501,0),MATCH(Q$2,'Réel 2024'!$A$2:$AO$2,0))</f>
        <v>0</v>
      </c>
      <c r="R209" s="246"/>
      <c r="S209" s="296">
        <f t="shared" si="47"/>
        <v>0</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
        <v>482</v>
      </c>
      <c r="B210" s="41" t="s">
        <v>161</v>
      </c>
      <c r="C210" s="304" t="s">
        <v>128</v>
      </c>
      <c r="D210" s="305" t="s">
        <v>175</v>
      </c>
      <c r="E210" s="306">
        <f>F210/F$194</f>
        <v>0.70413284127404452</v>
      </c>
      <c r="F210" s="307">
        <f>+SUM(F198:F209)</f>
        <v>103142.01003260708</v>
      </c>
      <c r="G210" s="308"/>
      <c r="H210" s="306"/>
      <c r="I210" s="307"/>
      <c r="J210" s="308" t="s">
        <v>175</v>
      </c>
      <c r="K210" s="306">
        <f>L210/L$194</f>
        <v>0.50764614066936276</v>
      </c>
      <c r="L210" s="307">
        <f>+SUM(L198:L209)</f>
        <v>90636.340000000011</v>
      </c>
      <c r="M210" s="355"/>
      <c r="N210" s="307">
        <f t="shared" si="46"/>
        <v>-12505.670032607071</v>
      </c>
      <c r="O210" s="308" t="s">
        <v>175</v>
      </c>
      <c r="P210" s="306">
        <f>Q210/Q$194</f>
        <v>0.75906449581617652</v>
      </c>
      <c r="Q210" s="307">
        <f>+SUM(Q198:Q209)</f>
        <v>104849.26</v>
      </c>
      <c r="R210" s="355"/>
      <c r="S210" s="320">
        <f t="shared" si="47"/>
        <v>-14212.919999999984</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
        <v>483</v>
      </c>
      <c r="B211" s="41" t="s">
        <v>161</v>
      </c>
      <c r="C211" s="253" t="s">
        <v>129</v>
      </c>
      <c r="D211" s="297"/>
      <c r="E211" s="41"/>
      <c r="F211" s="254">
        <f>+INDEX('Budget original'!$A$2:$AO$501,MATCH($A211,'Budget original'!$A$2:$A$501,0),MATCH(F$2,'Budget original'!$A$2:$AO$2,0))</f>
        <v>9736.4003213985779</v>
      </c>
      <c r="G211" s="298"/>
      <c r="H211" s="41"/>
      <c r="I211" s="254"/>
      <c r="J211" s="253"/>
      <c r="K211" s="41"/>
      <c r="L211" s="256">
        <f>SUMIFS(BV_Data_An_Cour!$O:$O,BV_Data_An_Cour!$U:$U,$B211,BV_Data_An_Cour!$V:$V,$C211,BV_Data_An_Cour!$W:$W,$L$2)</f>
        <v>10924.02</v>
      </c>
      <c r="M211" s="253"/>
      <c r="N211" s="276">
        <f t="shared" si="46"/>
        <v>1187.6196786014225</v>
      </c>
      <c r="O211" s="253"/>
      <c r="P211" s="41"/>
      <c r="Q211" s="256">
        <f t="array" ref="Q211">+INDEX('Réel 2024'!$A$2:$AO$501,MATCH($A211,'Réel 2024'!$A$2:$A$501,0),MATCH(Q$2,'Réel 2024'!$A$2:$AO$2,0))</f>
        <v>12169.45</v>
      </c>
      <c r="R211" s="253"/>
      <c r="S211" s="276">
        <f t="shared" si="47"/>
        <v>-1245.4300000000003</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
        <v>484</v>
      </c>
      <c r="B212" s="41" t="s">
        <v>161</v>
      </c>
      <c r="C212" s="253" t="s">
        <v>130</v>
      </c>
      <c r="D212" s="297"/>
      <c r="E212" s="41"/>
      <c r="F212" s="254">
        <f>+INDEX('Budget original'!$A$2:$AO$501,MATCH($A212,'Budget original'!$A$2:$A$501,0),MATCH(F$2,'Budget original'!$A$2:$AO$2,0))</f>
        <v>3422.1774033237093</v>
      </c>
      <c r="G212" s="298"/>
      <c r="H212" s="41"/>
      <c r="I212" s="254"/>
      <c r="J212" s="253"/>
      <c r="K212" s="41"/>
      <c r="L212" s="256">
        <f>SUMIFS(BV_Data_An_Cour!$O:$O,BV_Data_An_Cour!$U:$U,$B212,BV_Data_An_Cour!$V:$V,$C212,BV_Data_An_Cour!$W:$W,$L$2)</f>
        <v>3416.5899999999997</v>
      </c>
      <c r="M212" s="253"/>
      <c r="N212" s="276">
        <f t="shared" si="46"/>
        <v>-5.5874033237096228</v>
      </c>
      <c r="O212" s="253"/>
      <c r="P212" s="41"/>
      <c r="Q212" s="256">
        <f t="array" ref="Q212">+INDEX('Réel 2024'!$A$2:$AO$501,MATCH($A212,'Réel 2024'!$A$2:$A$501,0),MATCH(Q$2,'Réel 2024'!$A$2:$AO$2,0))</f>
        <v>2002.19</v>
      </c>
      <c r="R212" s="253"/>
      <c r="S212" s="276">
        <f t="shared" si="47"/>
        <v>1414.3999999999996</v>
      </c>
      <c r="T212" s="41"/>
      <c r="U212" s="1179"/>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
        <v>485</v>
      </c>
      <c r="B213" s="41" t="s">
        <v>161</v>
      </c>
      <c r="C213" s="246" t="s">
        <v>131</v>
      </c>
      <c r="D213" s="299"/>
      <c r="E213" s="318"/>
      <c r="F213" s="248">
        <f>+INDEX('Budget original'!$A$2:$AO$501,MATCH($A213,'Budget original'!$A$2:$A$501,0),MATCH(F$2,'Budget original'!$A$2:$AO$2,0))</f>
        <v>11083.739355555555</v>
      </c>
      <c r="G213" s="300"/>
      <c r="H213" s="318"/>
      <c r="I213" s="248"/>
      <c r="J213" s="246"/>
      <c r="K213" s="318"/>
      <c r="L213" s="256">
        <f>SUMIFS(BV_Data_An_Cour!$O:$O,BV_Data_An_Cour!$U:$U,$B213,BV_Data_An_Cour!$V:$V,$C213,BV_Data_An_Cour!$W:$W,$L$2)</f>
        <v>9690.11</v>
      </c>
      <c r="M213" s="246"/>
      <c r="N213" s="296">
        <f t="shared" si="46"/>
        <v>-1393.6293555555549</v>
      </c>
      <c r="O213" s="246"/>
      <c r="P213" s="318"/>
      <c r="Q213" s="256">
        <f t="array" ref="Q213">+INDEX('Réel 2024'!$A$2:$AO$501,MATCH($A213,'Réel 2024'!$A$2:$A$501,0),MATCH(Q$2,'Réel 2024'!$A$2:$AO$2,0))</f>
        <v>8609.4599999999991</v>
      </c>
      <c r="R213" s="246"/>
      <c r="S213" s="296">
        <f t="shared" si="47"/>
        <v>1080.6500000000015</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
        <v>486</v>
      </c>
      <c r="B214" s="41" t="s">
        <v>161</v>
      </c>
      <c r="C214" s="253" t="s">
        <v>132</v>
      </c>
      <c r="D214" s="297"/>
      <c r="E214" s="41"/>
      <c r="F214" s="254">
        <f>+INDEX('Budget original'!$A$2:$AO$501,MATCH($A214,'Budget original'!$A$2:$A$501,0),MATCH(F$2,'Budget original'!$A$2:$AO$2,0))</f>
        <v>4783.316137386666</v>
      </c>
      <c r="G214" s="298"/>
      <c r="H214" s="41"/>
      <c r="I214" s="254"/>
      <c r="J214" s="253"/>
      <c r="K214" s="41"/>
      <c r="L214" s="272">
        <f>SUMIFS(BV_Data_An_Cour!$O:$O,BV_Data_An_Cour!$U:$U,$B214,BV_Data_An_Cour!$V:$V,$C214,BV_Data_An_Cour!$W:$W,$L$2)</f>
        <v>5191.2</v>
      </c>
      <c r="M214" s="253"/>
      <c r="N214" s="276">
        <f t="shared" si="46"/>
        <v>407.8838626133338</v>
      </c>
      <c r="O214" s="253"/>
      <c r="P214" s="41"/>
      <c r="Q214" s="272">
        <f t="array" ref="Q214">+INDEX('Réel 2024'!$A$2:$AO$501,MATCH($A214,'Réel 2024'!$A$2:$A$501,0),MATCH(Q$2,'Réel 2024'!$A$2:$AO$2,0))</f>
        <v>4874.41</v>
      </c>
      <c r="R214" s="253"/>
      <c r="S214" s="276">
        <f t="shared" si="47"/>
        <v>316.78999999999996</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
        <v>487</v>
      </c>
      <c r="B215" s="41" t="s">
        <v>161</v>
      </c>
      <c r="C215" s="253" t="s">
        <v>133</v>
      </c>
      <c r="D215" s="297"/>
      <c r="E215" s="41"/>
      <c r="F215" s="254">
        <f>+INDEX('Budget original'!$A$2:$AO$501,MATCH($A215,'Budget original'!$A$2:$A$501,0),MATCH(F$2,'Budget original'!$A$2:$AO$2,0))</f>
        <v>1050.8751805936904</v>
      </c>
      <c r="G215" s="298"/>
      <c r="H215" s="41"/>
      <c r="I215" s="254"/>
      <c r="J215" s="253"/>
      <c r="K215" s="41"/>
      <c r="L215" s="256">
        <f>SUMIFS(BV_Data_An_Cour!$O:$O,BV_Data_An_Cour!$U:$U,$B215,BV_Data_An_Cour!$V:$V,$C215,BV_Data_An_Cour!$W:$W,$L$2)</f>
        <v>699.39</v>
      </c>
      <c r="M215" s="253"/>
      <c r="N215" s="276">
        <f t="shared" si="46"/>
        <v>-351.48518059369042</v>
      </c>
      <c r="O215" s="253"/>
      <c r="P215" s="41"/>
      <c r="Q215" s="256">
        <f t="array" ref="Q215">+INDEX('Réel 2024'!$A$2:$AO$501,MATCH($A215,'Réel 2024'!$A$2:$A$501,0),MATCH(Q$2,'Réel 2024'!$A$2:$AO$2,0))</f>
        <v>280.83999999999997</v>
      </c>
      <c r="R215" s="253"/>
      <c r="S215" s="276">
        <f t="shared" si="47"/>
        <v>418.55</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
        <v>488</v>
      </c>
      <c r="B216" s="41" t="s">
        <v>161</v>
      </c>
      <c r="C216" s="246" t="s">
        <v>134</v>
      </c>
      <c r="D216" s="299"/>
      <c r="E216" s="318"/>
      <c r="F216" s="248">
        <f>+INDEX('Budget original'!$A$2:$AO$501,MATCH($A216,'Budget original'!$A$2:$A$501,0),MATCH(F$2,'Budget original'!$A$2:$AO$2,0))</f>
        <v>11128.231788350371</v>
      </c>
      <c r="G216" s="300"/>
      <c r="H216" s="318"/>
      <c r="I216" s="248"/>
      <c r="J216" s="246"/>
      <c r="K216" s="318"/>
      <c r="L216" s="1221">
        <f>SUMIFS(BV_Data_An_Cour!$O:$O,BV_Data_An_Cour!$U:$U,$B216,BV_Data_An_Cour!$V:$V,$C216,BV_Data_An_Cour!$W:$W,$L$2)</f>
        <v>15317.24</v>
      </c>
      <c r="M216" s="246"/>
      <c r="N216" s="1215">
        <f t="shared" si="46"/>
        <v>4189.0082116496287</v>
      </c>
      <c r="O216" s="246"/>
      <c r="P216" s="318"/>
      <c r="Q216" s="256">
        <f t="array" ref="Q216">+INDEX('Réel 2024'!$A$2:$AO$501,MATCH($A216,'Réel 2024'!$A$2:$A$501,0),MATCH(Q$2,'Réel 2024'!$A$2:$AO$2,0))</f>
        <v>10963.92</v>
      </c>
      <c r="R216" s="246"/>
      <c r="S216" s="296">
        <f t="shared" si="47"/>
        <v>4353.32</v>
      </c>
      <c r="T216" s="41"/>
      <c r="U216" s="38"/>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
        <v>489</v>
      </c>
      <c r="B217" s="41" t="s">
        <v>161</v>
      </c>
      <c r="C217" s="253" t="s">
        <v>490</v>
      </c>
      <c r="D217" s="297"/>
      <c r="E217" s="41"/>
      <c r="F217" s="254"/>
      <c r="G217" s="298"/>
      <c r="H217" s="41"/>
      <c r="I217" s="254"/>
      <c r="J217" s="253"/>
      <c r="K217" s="41"/>
      <c r="L217" s="272">
        <f>SUMIFS(BV_Data_An_Cour!$O:$O,BV_Data_An_Cour!$U:$U,$B217,BV_Data_An_Cour!$V:$V,$C217,BV_Data_An_Cour!$W:$W,$L$2)</f>
        <v>0</v>
      </c>
      <c r="M217" s="253"/>
      <c r="N217" s="276">
        <f t="shared" si="46"/>
        <v>0</v>
      </c>
      <c r="O217" s="253"/>
      <c r="P217" s="41"/>
      <c r="Q217" s="272">
        <f t="array" ref="Q217">+INDEX('Réel 2024'!$A$2:$AO$501,MATCH($A217,'Réel 2024'!$A$2:$A$501,0),MATCH(Q$2,'Réel 2024'!$A$2:$AO$2,0))</f>
        <v>0</v>
      </c>
      <c r="R217" s="253"/>
      <c r="S217" s="276">
        <f t="shared" si="47"/>
        <v>0</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
        <v>491</v>
      </c>
      <c r="B218" s="41" t="s">
        <v>161</v>
      </c>
      <c r="C218" s="253" t="s">
        <v>135</v>
      </c>
      <c r="D218" s="297"/>
      <c r="E218" s="41"/>
      <c r="F218" s="254">
        <f>+INDEX('Budget original'!$A$2:$AO$501,MATCH($A218,'Budget original'!$A$2:$A$501,0),MATCH(F$2,'Budget original'!$A$2:$AO$2,0))</f>
        <v>4769.9204222222234</v>
      </c>
      <c r="G218" s="298"/>
      <c r="H218" s="41"/>
      <c r="I218" s="254"/>
      <c r="J218" s="253"/>
      <c r="K218" s="41"/>
      <c r="L218" s="1221">
        <f>SUMIFS(BV_Data_An_Cour!$O:$O,BV_Data_An_Cour!$U:$U,$B218,BV_Data_An_Cour!$V:$V,$C218,BV_Data_An_Cour!$W:$W,$L$2)</f>
        <v>6854.16</v>
      </c>
      <c r="M218" s="253"/>
      <c r="N218" s="276">
        <f t="shared" si="46"/>
        <v>2084.2395777777765</v>
      </c>
      <c r="O218" s="253"/>
      <c r="P218" s="41"/>
      <c r="Q218" s="256">
        <f t="array" ref="Q218">+INDEX('Réel 2024'!$A$2:$AO$501,MATCH($A218,'Réel 2024'!$A$2:$A$501,0),MATCH(Q$2,'Réel 2024'!$A$2:$AO$2,0))</f>
        <v>5550.12</v>
      </c>
      <c r="R218" s="253"/>
      <c r="S218" s="276">
        <f t="shared" si="47"/>
        <v>1304.04</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
        <v>492</v>
      </c>
      <c r="B219" s="41" t="s">
        <v>161</v>
      </c>
      <c r="C219" s="253" t="s">
        <v>136</v>
      </c>
      <c r="D219" s="297"/>
      <c r="E219" s="41"/>
      <c r="F219" s="254">
        <f>+INDEX('Budget original'!$A$2:$AO$501,MATCH($A219,'Budget original'!$A$2:$A$501,0),MATCH(F$2,'Budget original'!$A$2:$AO$2,0))</f>
        <v>1220.4654067864171</v>
      </c>
      <c r="G219" s="298"/>
      <c r="H219" s="41"/>
      <c r="I219" s="254"/>
      <c r="J219" s="253"/>
      <c r="K219" s="41"/>
      <c r="L219" s="256">
        <f>SUMIFS(BV_Data_An_Cour!$O:$O,BV_Data_An_Cour!$U:$U,$B219,BV_Data_An_Cour!$V:$V,$C219,BV_Data_An_Cour!$W:$W,$L$2)</f>
        <v>605.89</v>
      </c>
      <c r="M219" s="253"/>
      <c r="N219" s="276">
        <f t="shared" si="46"/>
        <v>-614.57540678641715</v>
      </c>
      <c r="O219" s="253"/>
      <c r="P219" s="41"/>
      <c r="Q219" s="256">
        <f t="array" ref="Q219">+INDEX('Réel 2024'!$A$2:$AO$501,MATCH($A219,'Réel 2024'!$A$2:$A$501,0),MATCH(Q$2,'Réel 2024'!$A$2:$AO$2,0))</f>
        <v>786.75</v>
      </c>
      <c r="R219" s="253"/>
      <c r="S219" s="276">
        <f t="shared" si="47"/>
        <v>-180.86</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
        <v>493</v>
      </c>
      <c r="B220" s="41" t="s">
        <v>161</v>
      </c>
      <c r="C220" s="253" t="s">
        <v>137</v>
      </c>
      <c r="D220" s="297"/>
      <c r="E220" s="41"/>
      <c r="F220" s="254">
        <f>+INDEX('Budget original'!$A$2:$AO$501,MATCH($A220,'Budget original'!$A$2:$A$501,0),MATCH(F$2,'Budget original'!$A$2:$AO$2,0))</f>
        <v>833.0541497518401</v>
      </c>
      <c r="G220" s="298"/>
      <c r="H220" s="41"/>
      <c r="I220" s="254"/>
      <c r="J220" s="253"/>
      <c r="K220" s="41"/>
      <c r="L220" s="256">
        <f>SUMIFS(BV_Data_An_Cour!$O:$O,BV_Data_An_Cour!$U:$U,$B220,BV_Data_An_Cour!$V:$V,$C220,BV_Data_An_Cour!$W:$W,$L$2)</f>
        <v>781.46</v>
      </c>
      <c r="M220" s="253"/>
      <c r="N220" s="276">
        <f t="shared" si="46"/>
        <v>-51.594149751840064</v>
      </c>
      <c r="O220" s="253"/>
      <c r="P220" s="41"/>
      <c r="Q220" s="256">
        <f t="array" ref="Q220">+INDEX('Réel 2024'!$A$2:$AO$501,MATCH($A220,'Réel 2024'!$A$2:$A$501,0),MATCH(Q$2,'Réel 2024'!$A$2:$AO$2,0))</f>
        <v>1046.04</v>
      </c>
      <c r="R220" s="253"/>
      <c r="S220" s="276">
        <f t="shared" si="47"/>
        <v>-264.57999999999993</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
        <v>494</v>
      </c>
      <c r="B221" s="41" t="s">
        <v>161</v>
      </c>
      <c r="C221" s="253" t="s">
        <v>138</v>
      </c>
      <c r="D221" s="297"/>
      <c r="E221" s="41"/>
      <c r="F221" s="254">
        <f>+INDEX('Budget original'!$A$2:$AO$501,MATCH($A221,'Budget original'!$A$2:$A$501,0),MATCH(F$2,'Budget original'!$A$2:$AO$2,0))</f>
        <v>179.20450168848672</v>
      </c>
      <c r="G221" s="298"/>
      <c r="H221" s="41"/>
      <c r="I221" s="254"/>
      <c r="J221" s="253"/>
      <c r="K221" s="41"/>
      <c r="L221" s="256">
        <f>SUMIFS(BV_Data_An_Cour!$O:$O,BV_Data_An_Cour!$U:$U,$B221,BV_Data_An_Cour!$V:$V,$C221,BV_Data_An_Cour!$W:$W,$L$2)</f>
        <v>226.91</v>
      </c>
      <c r="M221" s="253"/>
      <c r="N221" s="276">
        <f t="shared" si="46"/>
        <v>47.705498311513281</v>
      </c>
      <c r="O221" s="253"/>
      <c r="P221" s="41"/>
      <c r="Q221" s="256">
        <f t="array" ref="Q221">+INDEX('Réel 2024'!$A$2:$AO$501,MATCH($A221,'Réel 2024'!$A$2:$A$501,0),MATCH(Q$2,'Réel 2024'!$A$2:$AO$2,0))</f>
        <v>80.760000000000005</v>
      </c>
      <c r="R221" s="253"/>
      <c r="S221" s="276">
        <f t="shared" si="47"/>
        <v>146.14999999999998</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
        <v>495</v>
      </c>
      <c r="B222" s="41" t="s">
        <v>161</v>
      </c>
      <c r="C222" s="253" t="s">
        <v>139</v>
      </c>
      <c r="D222" s="297"/>
      <c r="E222" s="41"/>
      <c r="F222" s="254">
        <f>+INDEX('Budget original'!$A$2:$AO$501,MATCH($A222,'Budget original'!$A$2:$A$501,0),MATCH(F$2,'Budget original'!$A$2:$AO$2,0))</f>
        <v>92.790571276313315</v>
      </c>
      <c r="G222" s="298"/>
      <c r="H222" s="41"/>
      <c r="I222" s="254"/>
      <c r="J222" s="253"/>
      <c r="K222" s="41"/>
      <c r="L222" s="256">
        <f>SUMIFS(BV_Data_An_Cour!$O:$O,BV_Data_An_Cour!$U:$U,$B222,BV_Data_An_Cour!$V:$V,$C222,BV_Data_An_Cour!$W:$W,$L$2)</f>
        <v>335.92</v>
      </c>
      <c r="M222" s="253"/>
      <c r="N222" s="276">
        <f t="shared" si="46"/>
        <v>243.12942872368671</v>
      </c>
      <c r="O222" s="253"/>
      <c r="P222" s="41"/>
      <c r="Q222" s="256">
        <f t="array" ref="Q222">+INDEX('Réel 2024'!$A$2:$AO$501,MATCH($A222,'Réel 2024'!$A$2:$A$501,0),MATCH(Q$2,'Réel 2024'!$A$2:$AO$2,0))</f>
        <v>166.51</v>
      </c>
      <c r="R222" s="253"/>
      <c r="S222" s="276">
        <f t="shared" si="47"/>
        <v>169.41000000000003</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
        <v>496</v>
      </c>
      <c r="B223" s="41" t="s">
        <v>161</v>
      </c>
      <c r="C223" s="253" t="s">
        <v>140</v>
      </c>
      <c r="D223" s="297"/>
      <c r="E223" s="41"/>
      <c r="F223" s="254">
        <f>+INDEX('Budget original'!$A$2:$AO$501,MATCH($A223,'Budget original'!$A$2:$A$501,0),MATCH(F$2,'Budget original'!$A$2:$AO$2,0))</f>
        <v>152.45095187595334</v>
      </c>
      <c r="G223" s="298"/>
      <c r="H223" s="41"/>
      <c r="I223" s="254"/>
      <c r="J223" s="253"/>
      <c r="K223" s="41"/>
      <c r="L223" s="256">
        <f>SUMIFS(BV_Data_An_Cour!$O:$O,BV_Data_An_Cour!$U:$U,$B223,BV_Data_An_Cour!$V:$V,$C223,BV_Data_An_Cour!$W:$W,$L$2)</f>
        <v>53.4</v>
      </c>
      <c r="M223" s="253"/>
      <c r="N223" s="276">
        <f t="shared" si="46"/>
        <v>-99.050951875953331</v>
      </c>
      <c r="O223" s="253"/>
      <c r="P223" s="41"/>
      <c r="Q223" s="256">
        <f t="array" ref="Q223">+INDEX('Réel 2024'!$A$2:$AO$501,MATCH($A223,'Réel 2024'!$A$2:$A$501,0),MATCH(Q$2,'Réel 2024'!$A$2:$AO$2,0))</f>
        <v>154.24</v>
      </c>
      <c r="R223" s="253"/>
      <c r="S223" s="276">
        <f t="shared" si="47"/>
        <v>-100.84</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
        <v>497</v>
      </c>
      <c r="B224" s="41" t="s">
        <v>161</v>
      </c>
      <c r="C224" s="253" t="s">
        <v>141</v>
      </c>
      <c r="D224" s="297"/>
      <c r="E224" s="41"/>
      <c r="F224" s="254">
        <f>+INDEX('Budget original'!$A$2:$AO$501,MATCH($A224,'Budget original'!$A$2:$A$501,0),MATCH(F$2,'Budget original'!$A$2:$AO$2,0))</f>
        <v>3066.5133988524863</v>
      </c>
      <c r="G224" s="298"/>
      <c r="H224" s="41"/>
      <c r="I224" s="254"/>
      <c r="J224" s="253"/>
      <c r="K224" s="41"/>
      <c r="L224" s="256">
        <f>SUMIFS(BV_Data_An_Cour!$O:$O,BV_Data_An_Cour!$U:$U,$B224,BV_Data_An_Cour!$V:$V,$C224,BV_Data_An_Cour!$W:$W,$L$2)</f>
        <v>955.51</v>
      </c>
      <c r="M224" s="253"/>
      <c r="N224" s="276">
        <f t="shared" si="46"/>
        <v>-2111.0033988524865</v>
      </c>
      <c r="O224" s="253"/>
      <c r="P224" s="41"/>
      <c r="Q224" s="256">
        <f t="array" ref="Q224">+INDEX('Réel 2024'!$A$2:$AO$501,MATCH($A224,'Réel 2024'!$A$2:$A$501,0),MATCH(Q$2,'Réel 2024'!$A$2:$AO$2,0))</f>
        <v>4005.58</v>
      </c>
      <c r="R224" s="253"/>
      <c r="S224" s="276">
        <f t="shared" si="47"/>
        <v>-3050.0699999999997</v>
      </c>
      <c r="T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
        <v>498</v>
      </c>
      <c r="B225" s="41" t="s">
        <v>161</v>
      </c>
      <c r="C225" s="253" t="s">
        <v>142</v>
      </c>
      <c r="D225" s="297"/>
      <c r="E225" s="41"/>
      <c r="F225" s="254">
        <f>+INDEX('Budget original'!$A$2:$AO$501,MATCH($A225,'Budget original'!$A$2:$A$501,0),MATCH(F$2,'Budget original'!$A$2:$AO$2,0))</f>
        <v>1412.3143300449135</v>
      </c>
      <c r="G225" s="298"/>
      <c r="H225" s="41"/>
      <c r="I225" s="254"/>
      <c r="J225" s="253"/>
      <c r="K225" s="41"/>
      <c r="L225" s="256">
        <f>SUMIFS(BV_Data_An_Cour!$O:$O,BV_Data_An_Cour!$U:$U,$B225,BV_Data_An_Cour!$V:$V,$C225,BV_Data_An_Cour!$W:$W,$L$2)</f>
        <v>1082.69</v>
      </c>
      <c r="M225" s="253"/>
      <c r="N225" s="276">
        <f t="shared" si="46"/>
        <v>-329.62433004491345</v>
      </c>
      <c r="O225" s="253"/>
      <c r="P225" s="41"/>
      <c r="Q225" s="256">
        <f t="array" ref="Q225">+INDEX('Réel 2024'!$A$2:$AO$501,MATCH($A225,'Réel 2024'!$A$2:$A$501,0),MATCH(Q$2,'Réel 2024'!$A$2:$AO$2,0))</f>
        <v>1219.05</v>
      </c>
      <c r="R225" s="253"/>
      <c r="S225" s="276">
        <f t="shared" si="47"/>
        <v>-136.3599999999999</v>
      </c>
      <c r="T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
        <v>477</v>
      </c>
      <c r="B226" s="41" t="s">
        <v>161</v>
      </c>
      <c r="C226" s="253" t="s">
        <v>59</v>
      </c>
      <c r="D226" s="297"/>
      <c r="E226" s="41"/>
      <c r="F226" s="254">
        <f>+INDEX('Budget original'!$A$2:$AO$501,MATCH($A226,'Budget original'!$A$2:$A$501,0),MATCH(F$2,'Budget original'!$A$2:$AO$2,0))</f>
        <v>0</v>
      </c>
      <c r="G226" s="298"/>
      <c r="H226" s="41"/>
      <c r="I226" s="254"/>
      <c r="J226" s="253"/>
      <c r="K226" s="41"/>
      <c r="L226" s="256">
        <f>SUMIFS(BV_Data_An_Cour!$O:$O,BV_Data_An_Cour!$U:$U,$B226,BV_Data_An_Cour!$V:$V,$C226,BV_Data_An_Cour!$W:$W,$L$2)</f>
        <v>0</v>
      </c>
      <c r="M226" s="253"/>
      <c r="N226" s="276">
        <f t="shared" si="46"/>
        <v>0</v>
      </c>
      <c r="O226" s="253"/>
      <c r="P226" s="41"/>
      <c r="Q226" s="256">
        <f t="array" ref="Q226">+INDEX('Réel 2024'!$A$2:$AO$501,MATCH($A226,'Réel 2024'!$A$2:$A$501,0),MATCH(Q$2,'Réel 2024'!$A$2:$AO$2,0))</f>
        <v>0</v>
      </c>
      <c r="R226" s="253"/>
      <c r="S226" s="276">
        <f t="shared" si="47"/>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
        <v>477</v>
      </c>
      <c r="B227" s="41" t="s">
        <v>161</v>
      </c>
      <c r="C227" s="253" t="s">
        <v>59</v>
      </c>
      <c r="D227" s="297"/>
      <c r="E227" s="41"/>
      <c r="F227" s="254">
        <f>+INDEX('Budget original'!$A$2:$AO$501,MATCH($A227,'Budget original'!$A$2:$A$501,0),MATCH(F$2,'Budget original'!$A$2:$AO$2,0))</f>
        <v>0</v>
      </c>
      <c r="G227" s="298"/>
      <c r="H227" s="41"/>
      <c r="I227" s="254"/>
      <c r="J227" s="253"/>
      <c r="K227" s="41"/>
      <c r="L227" s="256">
        <f>SUMIFS(BV_Data_An_Cour!$O:$O,BV_Data_An_Cour!$U:$U,$B227,BV_Data_An_Cour!$V:$V,$C227,BV_Data_An_Cour!$W:$W,$L$2)</f>
        <v>0</v>
      </c>
      <c r="M227" s="253"/>
      <c r="N227" s="276">
        <f t="shared" si="46"/>
        <v>0</v>
      </c>
      <c r="O227" s="253"/>
      <c r="P227" s="41"/>
      <c r="Q227" s="256">
        <f t="array" ref="Q227">+INDEX('Réel 2024'!$A$2:$AO$501,MATCH($A227,'Réel 2024'!$A$2:$A$501,0),MATCH(Q$2,'Réel 2024'!$A$2:$AO$2,0))</f>
        <v>0</v>
      </c>
      <c r="R227" s="253"/>
      <c r="S227" s="276">
        <f t="shared" si="47"/>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
        <v>477</v>
      </c>
      <c r="B228" s="41" t="s">
        <v>161</v>
      </c>
      <c r="C228" s="253" t="s">
        <v>59</v>
      </c>
      <c r="D228" s="297"/>
      <c r="E228" s="41"/>
      <c r="F228" s="254">
        <f>+INDEX('Budget original'!$A$2:$AO$501,MATCH($A228,'Budget original'!$A$2:$A$501,0),MATCH(F$2,'Budget original'!$A$2:$AO$2,0))</f>
        <v>0</v>
      </c>
      <c r="G228" s="298"/>
      <c r="H228" s="41"/>
      <c r="I228" s="254"/>
      <c r="J228" s="253"/>
      <c r="K228" s="41"/>
      <c r="L228" s="256">
        <f>SUMIFS(BV_Data_An_Cour!$O:$O,BV_Data_An_Cour!$U:$U,$B228,BV_Data_An_Cour!$V:$V,$C228,BV_Data_An_Cour!$W:$W,$L$2)</f>
        <v>0</v>
      </c>
      <c r="M228" s="253"/>
      <c r="N228" s="276">
        <f t="shared" si="46"/>
        <v>0</v>
      </c>
      <c r="O228" s="253"/>
      <c r="P228" s="41"/>
      <c r="Q228" s="256">
        <f t="array" ref="Q228">+INDEX('Réel 2024'!$A$2:$AO$501,MATCH($A228,'Réel 2024'!$A$2:$A$501,0),MATCH(Q$2,'Réel 2024'!$A$2:$AO$2,0))</f>
        <v>0</v>
      </c>
      <c r="R228" s="253"/>
      <c r="S228" s="276">
        <f t="shared" si="47"/>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304" t="s">
        <v>143</v>
      </c>
      <c r="D229" s="305" t="s">
        <v>175</v>
      </c>
      <c r="E229" s="306">
        <f>F229/F$194</f>
        <v>0.36135397234399858</v>
      </c>
      <c r="F229" s="307">
        <f>+SUM(F211:F228)</f>
        <v>52931.453919107211</v>
      </c>
      <c r="G229" s="308"/>
      <c r="H229" s="306"/>
      <c r="I229" s="307"/>
      <c r="J229" s="308" t="s">
        <v>175</v>
      </c>
      <c r="K229" s="306">
        <f>L229/L$194</f>
        <v>0.31440432399347701</v>
      </c>
      <c r="L229" s="307">
        <f>+SUM(L211:L228)</f>
        <v>56134.490000000013</v>
      </c>
      <c r="M229" s="311"/>
      <c r="N229" s="307">
        <f t="shared" si="46"/>
        <v>3203.0360808928017</v>
      </c>
      <c r="O229" s="308" t="s">
        <v>175</v>
      </c>
      <c r="P229" s="306">
        <f>Q229/Q$194</f>
        <v>0.37580162047839516</v>
      </c>
      <c r="Q229" s="307">
        <f>+SUM(Q211:Q228)</f>
        <v>51909.320000000007</v>
      </c>
      <c r="R229" s="311"/>
      <c r="S229" s="307">
        <f t="shared" si="47"/>
        <v>4225.1700000000055</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246"/>
      <c r="D230" s="299"/>
      <c r="E230" s="318"/>
      <c r="F230" s="276"/>
      <c r="G230" s="300"/>
      <c r="H230" s="318"/>
      <c r="I230" s="276"/>
      <c r="J230" s="246"/>
      <c r="K230" s="318"/>
      <c r="L230" s="296"/>
      <c r="M230" s="246"/>
      <c r="N230" s="296"/>
      <c r="O230" s="246"/>
      <c r="P230" s="318"/>
      <c r="Q230" s="296"/>
      <c r="R230" s="246"/>
      <c r="S230" s="296"/>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304" t="s">
        <v>144</v>
      </c>
      <c r="D231" s="305" t="s">
        <v>119</v>
      </c>
      <c r="E231" s="306">
        <f>F231/F$194</f>
        <v>1.0654868136180431</v>
      </c>
      <c r="F231" s="307">
        <f>F210+F229</f>
        <v>156073.46395171428</v>
      </c>
      <c r="G231" s="308"/>
      <c r="H231" s="306"/>
      <c r="I231" s="307"/>
      <c r="J231" s="308" t="s">
        <v>119</v>
      </c>
      <c r="K231" s="306">
        <f>L231/L$194</f>
        <v>0.82205046466283971</v>
      </c>
      <c r="L231" s="307">
        <f>L210+L229</f>
        <v>146770.83000000002</v>
      </c>
      <c r="M231" s="311"/>
      <c r="N231" s="320">
        <f>L231-F231</f>
        <v>-9302.6339517142624</v>
      </c>
      <c r="O231" s="308" t="s">
        <v>119</v>
      </c>
      <c r="P231" s="306">
        <f>Q231/Q$194</f>
        <v>1.1348661162945719</v>
      </c>
      <c r="Q231" s="307">
        <f>Q210+Q229</f>
        <v>156758.58000000002</v>
      </c>
      <c r="R231" s="311"/>
      <c r="S231" s="320">
        <f>L231-Q231</f>
        <v>-9987.75</v>
      </c>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253"/>
      <c r="D232" s="297"/>
      <c r="E232" s="41"/>
      <c r="F232" s="276"/>
      <c r="G232" s="298"/>
      <c r="H232" s="41"/>
      <c r="I232" s="276"/>
      <c r="J232" s="253"/>
      <c r="K232" s="41"/>
      <c r="L232" s="276"/>
      <c r="M232" s="253"/>
      <c r="N232" s="276">
        <f>L232-F232</f>
        <v>0</v>
      </c>
      <c r="O232" s="253"/>
      <c r="P232" s="41"/>
      <c r="Q232" s="276"/>
      <c r="R232" s="253"/>
      <c r="S232" s="276"/>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332" t="s">
        <v>151</v>
      </c>
      <c r="D233" s="360"/>
      <c r="E233" s="333"/>
      <c r="F233" s="335">
        <f>F194-F231</f>
        <v>-9592.5671851554362</v>
      </c>
      <c r="G233" s="361"/>
      <c r="H233" s="333"/>
      <c r="I233" s="335"/>
      <c r="J233" s="332"/>
      <c r="K233" s="334"/>
      <c r="L233" s="335">
        <f>L194-L231</f>
        <v>31771.53</v>
      </c>
      <c r="M233" s="332"/>
      <c r="N233" s="335">
        <f>L233-F233</f>
        <v>41364.097185155435</v>
      </c>
      <c r="O233" s="332"/>
      <c r="P233" s="1147">
        <f>+Q233/P194</f>
        <v>-9.0679497019635416E-2</v>
      </c>
      <c r="Q233" s="335">
        <f>Q194-Q231</f>
        <v>-18629.00000000032</v>
      </c>
      <c r="R233" s="332"/>
      <c r="S233" s="335">
        <f>L233-Q233</f>
        <v>50400.530000000319</v>
      </c>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41"/>
      <c r="D234" s="41"/>
      <c r="E234" s="41"/>
      <c r="F234" s="41"/>
      <c r="G234" s="41"/>
      <c r="H234" s="41"/>
      <c r="I234" s="41"/>
      <c r="J234" s="41"/>
      <c r="K234" s="41"/>
      <c r="L234" s="291"/>
      <c r="M234" s="291"/>
      <c r="N234" s="41"/>
      <c r="O234" s="291"/>
      <c r="P234" s="41"/>
      <c r="Q234" s="291"/>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c r="B235" s="41"/>
      <c r="C235" s="38"/>
      <c r="D235" s="38"/>
      <c r="E235" s="38"/>
      <c r="F235" s="38"/>
      <c r="G235" s="38"/>
      <c r="H235" s="38"/>
      <c r="I235" s="38"/>
      <c r="J235" s="38"/>
      <c r="K235" s="38"/>
      <c r="L235" s="94"/>
      <c r="M235" s="94"/>
      <c r="N235" s="38"/>
      <c r="O235" s="94"/>
      <c r="P235" s="38"/>
      <c r="Q235" s="94"/>
      <c r="R235" s="38"/>
      <c r="S235" s="38"/>
      <c r="T235" s="38"/>
      <c r="U235" s="38"/>
      <c r="V235" s="41"/>
      <c r="W235" s="41"/>
      <c r="X235" s="41"/>
      <c r="Y235" s="41"/>
      <c r="Z235" s="41"/>
      <c r="AA235" s="41"/>
      <c r="AB235" s="41"/>
      <c r="AC235" s="41"/>
      <c r="AD235" s="41"/>
      <c r="AE235" s="41"/>
      <c r="AF235" s="41"/>
      <c r="AG235" s="41"/>
      <c r="AH235" s="41"/>
      <c r="AI235" s="41"/>
      <c r="AJ235" s="41"/>
      <c r="AK235" s="41"/>
      <c r="AL235" s="41"/>
      <c r="AM235" s="41"/>
      <c r="AN235" s="41"/>
    </row>
    <row r="236" spans="1:40" ht="33" customHeight="1">
      <c r="B236" s="41"/>
      <c r="C236" s="339" t="str">
        <f>C1</f>
        <v>Volks</v>
      </c>
      <c r="D236" s="232"/>
      <c r="E236" s="232"/>
      <c r="F236" s="232"/>
      <c r="G236" s="232"/>
      <c r="H236" s="36"/>
      <c r="I236" s="36"/>
      <c r="J236" s="36"/>
      <c r="K236" s="9" t="s">
        <v>176</v>
      </c>
      <c r="L236" s="232"/>
      <c r="M236" s="232"/>
      <c r="N236" s="36"/>
      <c r="O236" s="36"/>
      <c r="P236" s="232"/>
      <c r="Q236" s="36"/>
      <c r="R236" s="232"/>
      <c r="S236" s="10" t="str">
        <f>$S$1</f>
        <v>Réalisé, Février 2025</v>
      </c>
      <c r="T236" s="232"/>
      <c r="U236" s="36"/>
      <c r="V236" s="38"/>
      <c r="W236" s="38"/>
      <c r="X236" s="38"/>
      <c r="Y236" s="38"/>
      <c r="Z236" s="38"/>
      <c r="AA236" s="38"/>
      <c r="AB236" s="38"/>
      <c r="AC236" s="38"/>
      <c r="AD236" s="38"/>
      <c r="AE236" s="38"/>
      <c r="AF236" s="38"/>
      <c r="AG236" s="38"/>
      <c r="AH236" s="38"/>
      <c r="AI236" s="38"/>
      <c r="AJ236" s="38"/>
      <c r="AK236" s="38"/>
      <c r="AL236" s="38"/>
      <c r="AM236" s="38"/>
      <c r="AN236" s="38"/>
    </row>
    <row r="237" spans="1:40" ht="24" customHeight="1">
      <c r="B237" s="41"/>
      <c r="C237" s="37"/>
      <c r="D237" s="38"/>
      <c r="E237" s="38"/>
      <c r="F237" s="38"/>
      <c r="G237" s="38"/>
      <c r="H237" s="38"/>
      <c r="I237" s="38"/>
      <c r="J237" s="38"/>
      <c r="K237" s="38"/>
      <c r="L237" s="38"/>
      <c r="M237" s="38"/>
      <c r="N237" s="38"/>
      <c r="O237" s="38"/>
      <c r="P237" s="38"/>
      <c r="Q237" s="38"/>
      <c r="R237" s="38"/>
      <c r="S237" s="38"/>
      <c r="T237" s="38"/>
      <c r="U237" s="38"/>
      <c r="V237" s="36"/>
      <c r="W237" s="36"/>
      <c r="X237" s="36"/>
      <c r="Y237" s="36"/>
      <c r="Z237" s="36"/>
      <c r="AA237" s="36"/>
      <c r="AB237" s="36"/>
      <c r="AC237" s="36"/>
      <c r="AD237" s="36"/>
      <c r="AE237" s="36"/>
      <c r="AF237" s="36"/>
      <c r="AG237" s="36"/>
      <c r="AH237" s="36"/>
      <c r="AI237" s="36"/>
      <c r="AJ237" s="36"/>
      <c r="AK237" s="36"/>
      <c r="AL237" s="36"/>
      <c r="AM237" s="36"/>
      <c r="AN237" s="36"/>
    </row>
    <row r="238" spans="1:40" ht="15.75" customHeight="1">
      <c r="B238" s="41"/>
      <c r="C238" s="238"/>
      <c r="D238" s="1239" t="s">
        <v>343</v>
      </c>
      <c r="E238" s="1240"/>
      <c r="F238" s="1241"/>
      <c r="G238" s="1242"/>
      <c r="H238" s="1240"/>
      <c r="I238" s="1241"/>
      <c r="J238" s="1242" t="s">
        <v>344</v>
      </c>
      <c r="K238" s="1240"/>
      <c r="L238" s="1241"/>
      <c r="M238" s="1242" t="s">
        <v>3310</v>
      </c>
      <c r="N238" s="1241"/>
      <c r="O238" s="1239" t="s">
        <v>345</v>
      </c>
      <c r="P238" s="1240"/>
      <c r="Q238" s="1241"/>
      <c r="R238" s="1243" t="s">
        <v>3312</v>
      </c>
      <c r="S238" s="1244"/>
      <c r="T238" s="356"/>
      <c r="U238" s="41"/>
      <c r="V238" s="38"/>
      <c r="W238" s="38"/>
      <c r="X238" s="38"/>
      <c r="Y238" s="38"/>
      <c r="Z238" s="38"/>
      <c r="AA238" s="38"/>
      <c r="AB238" s="38"/>
      <c r="AC238" s="38"/>
      <c r="AD238" s="38"/>
      <c r="AE238" s="38"/>
      <c r="AF238" s="38"/>
      <c r="AG238" s="38"/>
      <c r="AH238" s="38"/>
      <c r="AI238" s="38"/>
      <c r="AJ238" s="38"/>
      <c r="AK238" s="38"/>
      <c r="AL238" s="38"/>
      <c r="AM238" s="38"/>
      <c r="AN238" s="38"/>
    </row>
    <row r="239" spans="1:40" ht="15.75" customHeight="1">
      <c r="A239" s="5" t="s">
        <v>176</v>
      </c>
      <c r="B239" s="41" t="s">
        <v>176</v>
      </c>
      <c r="C239" s="253"/>
      <c r="D239" s="39" t="s">
        <v>162</v>
      </c>
      <c r="E239" s="39" t="s">
        <v>163</v>
      </c>
      <c r="F239" s="340" t="s">
        <v>95</v>
      </c>
      <c r="G239" s="341"/>
      <c r="H239" s="39"/>
      <c r="I239" s="340"/>
      <c r="J239" s="341" t="s">
        <v>162</v>
      </c>
      <c r="K239" s="39" t="s">
        <v>163</v>
      </c>
      <c r="L239" s="340" t="s">
        <v>95</v>
      </c>
      <c r="M239" s="341" t="s">
        <v>162</v>
      </c>
      <c r="N239" s="340" t="s">
        <v>3311</v>
      </c>
      <c r="O239" s="39" t="s">
        <v>162</v>
      </c>
      <c r="P239" s="39" t="s">
        <v>163</v>
      </c>
      <c r="Q239" s="340" t="s">
        <v>95</v>
      </c>
      <c r="R239" s="341" t="s">
        <v>458</v>
      </c>
      <c r="S239" s="340" t="s">
        <v>95</v>
      </c>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
        <v>176</v>
      </c>
      <c r="B240" s="41" t="s">
        <v>176</v>
      </c>
      <c r="C240" s="253"/>
      <c r="D240" s="39"/>
      <c r="E240" s="39"/>
      <c r="F240" s="340"/>
      <c r="G240" s="341"/>
      <c r="H240" s="39"/>
      <c r="I240" s="340"/>
      <c r="J240" s="341"/>
      <c r="K240" s="254"/>
      <c r="L240" s="256"/>
      <c r="M240" s="341"/>
      <c r="N240" s="340"/>
      <c r="O240" s="39"/>
      <c r="P240" s="39"/>
      <c r="Q240" s="340"/>
      <c r="R240" s="341"/>
      <c r="S240" s="340"/>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
        <v>499</v>
      </c>
      <c r="B241" s="41" t="s">
        <v>176</v>
      </c>
      <c r="C241" s="253" t="s">
        <v>177</v>
      </c>
      <c r="D241" s="400">
        <f>+INDEX('Budget original'!$A$2:$AO$501,MATCH($A241,'Budget original'!$A$2:$A$501,0),MATCH(D$2,'Budget original'!$A$2:$AO$2,0))</f>
        <v>0</v>
      </c>
      <c r="E241" s="291">
        <f>+INDEX('Budget original'!$A$2:$AO$501,MATCH($A241,'Budget original'!$A$2:$A$501,0),MATCH(E$2,'Budget original'!$A$2:$AO$2,0))</f>
        <v>42000.000000000007</v>
      </c>
      <c r="F241" s="291">
        <f>+INDEX('Budget original'!$A$2:$AO$501,MATCH($A241,'Budget original'!$A$2:$A$501,0),MATCH(F$2,'Budget original'!$A$2:$AO$2,0))</f>
        <v>9240.0000000000018</v>
      </c>
      <c r="G241" s="322"/>
      <c r="H241" s="291"/>
      <c r="I241" s="291"/>
      <c r="J241" s="277">
        <f>-SUMIFS(BV_Data_An_Cour!$O:$O,BV_Data_An_Cour!$U:$U,$B241,BV_Data_An_Cour!$V:$V,$C241,BV_Data_An_Cour!$W:$W,J$2)</f>
        <v>8</v>
      </c>
      <c r="K241" s="254">
        <f>-SUMIFS(BV_Data_An_Cour!$O:$O,BV_Data_An_Cour!$X:$X,"Oui",BV_Data_An_Cour!$U:$U,$B241,BV_Data_An_Cour!$V:$V,$C241)</f>
        <v>20608.900000000001</v>
      </c>
      <c r="L241" s="256">
        <f>-SUMIFS(BV_Data_An_Cour!$O:$O,BV_Data_An_Cour!$U:$U,$B241,BV_Data_An_Cour!$V:$V,$C241,BV_Data_An_Cour!$W:$W,$L$2)</f>
        <v>4905.9100000000017</v>
      </c>
      <c r="M241" s="292">
        <f>IFERROR((K241-E241)/E241,0)</f>
        <v>-0.5093119047619048</v>
      </c>
      <c r="N241" s="276">
        <f>L241-F241</f>
        <v>-4334.09</v>
      </c>
      <c r="O241" s="277">
        <f t="array" ref="O241">+INDEX('Réel 2024'!$A$2:$AO$501,MATCH($A241,'Réel 2024'!$A$2:$A$501,0),MATCH(O$2,'Réel 2024'!$A$2:$AO$2,0))</f>
        <v>26</v>
      </c>
      <c r="P241" s="254">
        <f t="array" ref="P241">+INDEX('Réel 2024'!$A$2:$AO$501,MATCH($A241,'Réel 2024'!$A$2:$A$501,0),MATCH(P$2,'Réel 2024'!$A$2:$AO$2,0))</f>
        <v>73373.929999999993</v>
      </c>
      <c r="Q241" s="256">
        <f t="array" ref="Q241">+INDEX('Réel 2024'!$A$2:$AO$501,MATCH($A241,'Réel 2024'!$A$2:$A$501,0),MATCH(Q$2,'Réel 2024'!$A$2:$AO$2,0))</f>
        <v>7724.71</v>
      </c>
      <c r="R241" s="292">
        <f>IF(O241=0,0,J241/O241)</f>
        <v>0.30769230769230771</v>
      </c>
      <c r="S241" s="276">
        <f>L241-Q241</f>
        <v>-2818.7999999999984</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
        <v>500</v>
      </c>
      <c r="B242" s="41" t="s">
        <v>176</v>
      </c>
      <c r="C242" s="253" t="s">
        <v>165</v>
      </c>
      <c r="D242" s="39"/>
      <c r="E242" s="349"/>
      <c r="F242" s="362">
        <f>IFERROR(F241/E241,0)</f>
        <v>0.22</v>
      </c>
      <c r="G242" s="253"/>
      <c r="H242" s="349"/>
      <c r="I242" s="362"/>
      <c r="J242" s="277"/>
      <c r="K242" s="41"/>
      <c r="L242" s="362">
        <f>IFERROR(L241/K241,0)</f>
        <v>0.23804812483926854</v>
      </c>
      <c r="M242" s="292"/>
      <c r="N242" s="276">
        <f>IFERROR(N241/M241,0)</f>
        <v>8509.6970235284771</v>
      </c>
      <c r="O242" s="277"/>
      <c r="P242" s="41"/>
      <c r="Q242" s="362">
        <f>IFERROR(Q241/P241,0)</f>
        <v>0.10527867322903381</v>
      </c>
      <c r="R242" s="277"/>
      <c r="S242" s="276">
        <f>IFERROR(S241/R241,0)</f>
        <v>-9161.0999999999949</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
        <v>176</v>
      </c>
      <c r="B243" s="41" t="s">
        <v>176</v>
      </c>
      <c r="C243" s="253"/>
      <c r="D243" s="39"/>
      <c r="E243" s="401"/>
      <c r="F243" s="343"/>
      <c r="G243" s="341"/>
      <c r="H243" s="401"/>
      <c r="I243" s="343"/>
      <c r="J243" s="341"/>
      <c r="K243" s="39"/>
      <c r="L243" s="340"/>
      <c r="M243" s="341"/>
      <c r="N243" s="340"/>
      <c r="O243" s="341"/>
      <c r="P243" s="39"/>
      <c r="Q243" s="340"/>
      <c r="R243" s="342"/>
      <c r="S243" s="340"/>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
        <v>501</v>
      </c>
      <c r="B244" s="41" t="s">
        <v>176</v>
      </c>
      <c r="C244" s="241" t="s">
        <v>178</v>
      </c>
      <c r="D244" s="366">
        <f>+INDEX('Budget original'!$A$2:$AO$501,MATCH($A244,'Budget original'!$A$2:$A$501,0),MATCH(D$2,'Budget original'!$A$2:$AO$2,0))</f>
        <v>0</v>
      </c>
      <c r="E244" s="291">
        <f>+INDEX('Budget original'!$A$2:$AO$501,MATCH($A244,'Budget original'!$A$2:$A$501,0),MATCH(E$2,'Budget original'!$A$2:$AO$2,0))</f>
        <v>0</v>
      </c>
      <c r="F244" s="291">
        <f>+INDEX('Budget original'!$A$2:$AO$501,MATCH($A244,'Budget original'!$A$2:$A$501,0),MATCH(F$2,'Budget original'!$A$2:$AO$2,0))</f>
        <v>0</v>
      </c>
      <c r="G244" s="402"/>
      <c r="H244" s="291"/>
      <c r="I244" s="291"/>
      <c r="J244" s="367">
        <f>SUMIFS(BV_Data_An_Cour!$C$1:$C$386,BV_Data_An_Cour!$V$1:$V$386,$C244,BV_Data_An_Cour!$U$1:$U$386,$K$236)</f>
        <v>0</v>
      </c>
      <c r="K244" s="271">
        <f>-SUMIFS(BV_Data_An_Cour!$O:$O,BV_Data_An_Cour!$X:$X,"Oui",BV_Data_An_Cour!$U:$U,$B244,BV_Data_An_Cour!$V:$V,$C244)</f>
        <v>0</v>
      </c>
      <c r="L244" s="272">
        <f>-SUMIFS(BV_Data_An_Cour!$O:$O,BV_Data_An_Cour!$U:$U,$B244,BV_Data_An_Cour!$V:$V,$C244,BV_Data_An_Cour!$W:$W,$L$2)</f>
        <v>0</v>
      </c>
      <c r="M244" s="371">
        <f>IFERROR((K244-E244)/E244,0)</f>
        <v>0</v>
      </c>
      <c r="N244" s="317">
        <f>L244-F244</f>
        <v>0</v>
      </c>
      <c r="O244" s="367">
        <f t="array" ref="O244">+INDEX('Réel 2024'!$A$2:$AO$501,MATCH($A244,'Réel 2024'!$A$2:$A$501,0),MATCH(O$2,'Réel 2024'!$A$2:$AO$2,0))</f>
        <v>0</v>
      </c>
      <c r="P244" s="271">
        <f t="array" ref="P244">+INDEX('Réel 2024'!$A$2:$AO$501,MATCH($A244,'Réel 2024'!$A$2:$A$501,0),MATCH(P$2,'Réel 2024'!$A$2:$AO$2,0))</f>
        <v>0</v>
      </c>
      <c r="Q244" s="272">
        <f t="array" ref="Q244">+INDEX('Réel 2024'!$A$2:$AO$501,MATCH($A244,'Réel 2024'!$A$2:$A$501,0),MATCH(Q$2,'Réel 2024'!$A$2:$AO$2,0))</f>
        <v>0</v>
      </c>
      <c r="R244" s="292">
        <f>IF(O244=0,0,J244/O244)</f>
        <v>0</v>
      </c>
      <c r="S244" s="317">
        <f>L244-Q244</f>
        <v>0</v>
      </c>
      <c r="T244" s="353"/>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
        <v>500</v>
      </c>
      <c r="B245" s="41" t="s">
        <v>176</v>
      </c>
      <c r="C245" s="253" t="s">
        <v>165</v>
      </c>
      <c r="D245" s="41"/>
      <c r="E245" s="349"/>
      <c r="F245" s="362" t="e">
        <f>F244/E244</f>
        <v>#DIV/0!</v>
      </c>
      <c r="G245" s="253"/>
      <c r="H245" s="349"/>
      <c r="I245" s="362"/>
      <c r="J245" s="277"/>
      <c r="K245" s="41"/>
      <c r="L245" s="362">
        <f>IFERROR(L244/K244,0)</f>
        <v>0</v>
      </c>
      <c r="M245" s="292"/>
      <c r="N245" s="276">
        <f>IFERROR(N244/F244,0)</f>
        <v>0</v>
      </c>
      <c r="O245" s="277"/>
      <c r="P245" s="41"/>
      <c r="Q245" s="362">
        <f>IFERROR(Q244/P244,0)</f>
        <v>0</v>
      </c>
      <c r="R245" s="277"/>
      <c r="S245" s="276">
        <f>IF(Q244=0,0,S244/Q244)</f>
        <v>0</v>
      </c>
      <c r="T245" s="353"/>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
        <v>176</v>
      </c>
      <c r="B246" s="41" t="s">
        <v>176</v>
      </c>
      <c r="C246" s="246"/>
      <c r="D246" s="318"/>
      <c r="E246" s="403"/>
      <c r="F246" s="364"/>
      <c r="G246" s="246"/>
      <c r="H246" s="403"/>
      <c r="I246" s="364"/>
      <c r="J246" s="365"/>
      <c r="K246" s="404"/>
      <c r="L246" s="364"/>
      <c r="M246" s="295"/>
      <c r="N246" s="296"/>
      <c r="O246" s="365"/>
      <c r="P246" s="404"/>
      <c r="Q246" s="364"/>
      <c r="R246" s="365"/>
      <c r="S246" s="296"/>
      <c r="T246" s="353"/>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
        <v>502</v>
      </c>
      <c r="B247" s="41" t="s">
        <v>176</v>
      </c>
      <c r="C247" s="241" t="s">
        <v>179</v>
      </c>
      <c r="D247" s="366">
        <v>0</v>
      </c>
      <c r="E247" s="291">
        <v>0</v>
      </c>
      <c r="F247" s="291">
        <v>0</v>
      </c>
      <c r="G247" s="367"/>
      <c r="H247" s="291"/>
      <c r="I247" s="291"/>
      <c r="J247" s="367">
        <f>SUMIFS(BV_Data_An_Cour!$C$1:$C$386,BV_Data_An_Cour!$V$1:$V$386,$C247,BV_Data_An_Cour!$U$1:$U$386,$K$236)</f>
        <v>0</v>
      </c>
      <c r="K247" s="254">
        <f>-SUMIFS(BV_Data_An_Cour!$O:$O,BV_Data_An_Cour!$X:$X,"Oui",BV_Data_An_Cour!$U:$U,$B247,BV_Data_An_Cour!$V:$V,$C247)</f>
        <v>0</v>
      </c>
      <c r="L247" s="256">
        <f>-SUMIFS(BV_Data_An_Cour!$O:$O,BV_Data_An_Cour!$U:$U,$B247,BV_Data_An_Cour!$V:$V,$C247,BV_Data_An_Cour!$W:$W,$L$2)</f>
        <v>0</v>
      </c>
      <c r="M247" s="292">
        <f>IFERROR((K247-E247)/E247,0)</f>
        <v>0</v>
      </c>
      <c r="N247" s="317">
        <f>L247-F247</f>
        <v>0</v>
      </c>
      <c r="O247" s="367">
        <v>0</v>
      </c>
      <c r="P247" s="254">
        <v>0</v>
      </c>
      <c r="Q247" s="256">
        <v>0</v>
      </c>
      <c r="R247" s="292">
        <f>IF(O247=0,0,J247/O247)</f>
        <v>0</v>
      </c>
      <c r="S247" s="276">
        <f>L247-Q247</f>
        <v>0</v>
      </c>
      <c r="T247" s="353"/>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
        <v>500</v>
      </c>
      <c r="B248" s="41" t="s">
        <v>176</v>
      </c>
      <c r="C248" s="253" t="s">
        <v>165</v>
      </c>
      <c r="D248" s="41"/>
      <c r="E248" s="41"/>
      <c r="F248" s="362" t="e">
        <f>F247/E247</f>
        <v>#DIV/0!</v>
      </c>
      <c r="G248" s="253"/>
      <c r="H248" s="41"/>
      <c r="I248" s="362"/>
      <c r="J248" s="253"/>
      <c r="K248" s="41"/>
      <c r="L248" s="362">
        <f>IFERROR(L247/K247,0)</f>
        <v>0</v>
      </c>
      <c r="M248" s="264"/>
      <c r="N248" s="265">
        <f>IF(L247=0,0,N247/L247)</f>
        <v>0</v>
      </c>
      <c r="O248" s="253"/>
      <c r="P248" s="41"/>
      <c r="Q248" s="362">
        <f>IFERROR(Q247/P247,0)</f>
        <v>0</v>
      </c>
      <c r="R248" s="264"/>
      <c r="S248" s="265">
        <f>IF(Q247=0,0,S247/Q247)</f>
        <v>0</v>
      </c>
      <c r="T248" s="353"/>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
        <v>176</v>
      </c>
      <c r="B249" s="41" t="s">
        <v>176</v>
      </c>
      <c r="C249" s="253"/>
      <c r="D249" s="41"/>
      <c r="E249" s="41"/>
      <c r="F249" s="362"/>
      <c r="G249" s="253"/>
      <c r="H249" s="41"/>
      <c r="I249" s="362"/>
      <c r="J249" s="253"/>
      <c r="K249" s="41"/>
      <c r="L249" s="362"/>
      <c r="M249" s="264"/>
      <c r="N249" s="265"/>
      <c r="O249" s="253"/>
      <c r="P249" s="41"/>
      <c r="Q249" s="362"/>
      <c r="R249" s="264"/>
      <c r="S249" s="265"/>
      <c r="T249" s="353"/>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customHeight="1">
      <c r="A250" s="5" t="s">
        <v>503</v>
      </c>
      <c r="B250" s="41" t="s">
        <v>176</v>
      </c>
      <c r="C250" s="278" t="s">
        <v>174</v>
      </c>
      <c r="D250" s="279"/>
      <c r="E250" s="279">
        <f>E244+E247+E241</f>
        <v>42000.000000000007</v>
      </c>
      <c r="F250" s="281">
        <f>F244+F247+F241</f>
        <v>9240.0000000000018</v>
      </c>
      <c r="G250" s="282"/>
      <c r="H250" s="279"/>
      <c r="I250" s="281"/>
      <c r="J250" s="282"/>
      <c r="K250" s="279">
        <f t="shared" ref="K250:L250" si="48">K244+K247+K241</f>
        <v>20608.900000000001</v>
      </c>
      <c r="L250" s="281">
        <f t="shared" si="48"/>
        <v>4905.9100000000017</v>
      </c>
      <c r="M250" s="399">
        <f>L251-F251</f>
        <v>1.8048124839268542E-2</v>
      </c>
      <c r="N250" s="281">
        <f>L250-F250</f>
        <v>-4334.09</v>
      </c>
      <c r="O250" s="282"/>
      <c r="P250" s="279">
        <f t="shared" ref="P250:Q250" si="49">P244+P247+P241</f>
        <v>73373.929999999993</v>
      </c>
      <c r="Q250" s="281">
        <f t="shared" si="49"/>
        <v>7724.71</v>
      </c>
      <c r="R250" s="405">
        <f>L251-Q251</f>
        <v>0.13276945161023473</v>
      </c>
      <c r="S250" s="281">
        <f>L250-Q250</f>
        <v>-2818.7999999999984</v>
      </c>
      <c r="T250" s="353"/>
      <c r="U250" s="41"/>
      <c r="V250" s="41"/>
      <c r="W250" s="41"/>
      <c r="X250" s="41"/>
      <c r="Y250" s="41"/>
      <c r="Z250" s="41"/>
      <c r="AA250" s="41"/>
      <c r="AB250" s="41"/>
      <c r="AC250" s="41"/>
      <c r="AD250" s="41"/>
      <c r="AE250" s="41"/>
      <c r="AF250" s="41"/>
      <c r="AG250" s="41"/>
      <c r="AH250" s="41"/>
      <c r="AI250" s="41"/>
      <c r="AJ250" s="41"/>
      <c r="AK250" s="41"/>
      <c r="AL250" s="41"/>
      <c r="AM250" s="41"/>
      <c r="AN250" s="41"/>
    </row>
    <row r="251" spans="1:40" ht="23.25" customHeight="1">
      <c r="A251" s="5" t="s">
        <v>176</v>
      </c>
      <c r="B251" s="41" t="s">
        <v>176</v>
      </c>
      <c r="C251" s="283"/>
      <c r="D251" s="284"/>
      <c r="E251" s="284"/>
      <c r="F251" s="287">
        <f>F250/E250</f>
        <v>0.22</v>
      </c>
      <c r="G251" s="283"/>
      <c r="H251" s="284"/>
      <c r="I251" s="287"/>
      <c r="J251" s="283"/>
      <c r="K251" s="284"/>
      <c r="L251" s="287">
        <f>IF(K250=0,0,L250/K250)</f>
        <v>0.23804812483926854</v>
      </c>
      <c r="M251" s="286"/>
      <c r="N251" s="287">
        <f>N250/F250</f>
        <v>-0.46905735930735926</v>
      </c>
      <c r="O251" s="283"/>
      <c r="P251" s="284"/>
      <c r="Q251" s="287">
        <f>Q250/P250</f>
        <v>0.10527867322903381</v>
      </c>
      <c r="R251" s="286"/>
      <c r="S251" s="287">
        <f>S250/Q250</f>
        <v>-0.36490690265395054</v>
      </c>
      <c r="T251" s="353"/>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
        <v>176</v>
      </c>
      <c r="B252" s="41" t="s">
        <v>176</v>
      </c>
      <c r="C252" s="253"/>
      <c r="D252" s="41"/>
      <c r="E252" s="41"/>
      <c r="F252" s="276"/>
      <c r="G252" s="253"/>
      <c r="H252" s="41"/>
      <c r="I252" s="276"/>
      <c r="J252" s="253"/>
      <c r="K252" s="41"/>
      <c r="L252" s="263"/>
      <c r="M252" s="253"/>
      <c r="N252" s="263"/>
      <c r="O252" s="253"/>
      <c r="P252" s="41"/>
      <c r="Q252" s="263"/>
      <c r="R252" s="253"/>
      <c r="S252" s="263"/>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
        <v>504</v>
      </c>
      <c r="B253" s="41" t="s">
        <v>176</v>
      </c>
      <c r="C253" s="289" t="s">
        <v>110</v>
      </c>
      <c r="D253" s="41"/>
      <c r="E253" s="41"/>
      <c r="F253" s="276"/>
      <c r="G253" s="253"/>
      <c r="H253" s="41"/>
      <c r="I253" s="276"/>
      <c r="J253" s="253"/>
      <c r="K253" s="41"/>
      <c r="L253" s="263"/>
      <c r="M253" s="253"/>
      <c r="N253" s="263"/>
      <c r="O253" s="253"/>
      <c r="P253" s="41"/>
      <c r="Q253" s="263"/>
      <c r="R253" s="253"/>
      <c r="S253" s="263"/>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
        <v>505</v>
      </c>
      <c r="B254" s="41" t="s">
        <v>176</v>
      </c>
      <c r="C254" s="312" t="s">
        <v>120</v>
      </c>
      <c r="D254" s="41"/>
      <c r="E254" s="41"/>
      <c r="F254" s="254">
        <f>+INDEX('Budget original'!$A$2:$AO$501,MATCH($A254,'Budget original'!$A$2:$A$501,0),MATCH(F$2,'Budget original'!$A$2:$AO$2,0))</f>
        <v>297.32500000000005</v>
      </c>
      <c r="G254" s="253"/>
      <c r="H254" s="41"/>
      <c r="I254" s="254"/>
      <c r="J254" s="253"/>
      <c r="K254" s="41"/>
      <c r="L254" s="256">
        <f>SUMIFS(BV_Data_An_Cour!$O:$O,BV_Data_An_Cour!$U:$U,$B254,BV_Data_An_Cour!$V:$V,$C254,BV_Data_An_Cour!$W:$W,$L$2)</f>
        <v>901.88</v>
      </c>
      <c r="M254" s="253"/>
      <c r="N254" s="276">
        <f t="shared" ref="N254:N284" si="50">L254-F254</f>
        <v>604.55499999999995</v>
      </c>
      <c r="O254" s="253"/>
      <c r="P254" s="41"/>
      <c r="Q254" s="256">
        <f t="array" ref="Q254">+INDEX('Réel 2024'!$A$2:$AO$501,MATCH($A254,'Réel 2024'!$A$2:$A$501,0),MATCH(Q$2,'Réel 2024'!$A$2:$AO$2,0))</f>
        <v>901.88</v>
      </c>
      <c r="R254" s="253"/>
      <c r="S254" s="256">
        <f t="shared" ref="S254:S285" si="51">L254-Q254</f>
        <v>0</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
        <v>506</v>
      </c>
      <c r="B255" s="41" t="s">
        <v>176</v>
      </c>
      <c r="C255" s="313" t="s">
        <v>121</v>
      </c>
      <c r="D255" s="297"/>
      <c r="E255" s="41"/>
      <c r="F255" s="248">
        <f>+INDEX('Budget original'!$A$2:$AO$501,MATCH($A255,'Budget original'!$A$2:$A$501,0),MATCH(F$2,'Budget original'!$A$2:$AO$2,0))</f>
        <v>4847.8046153846153</v>
      </c>
      <c r="G255" s="298"/>
      <c r="H255" s="41"/>
      <c r="I255" s="248"/>
      <c r="J255" s="253"/>
      <c r="K255" s="41"/>
      <c r="L255" s="256">
        <f>SUMIFS(BV_Data_An_Cour!$O:$O,BV_Data_An_Cour!$U:$U,$B255,BV_Data_An_Cour!$V:$V,$C255,BV_Data_An_Cour!$W:$W,$L$2)</f>
        <v>3202.8</v>
      </c>
      <c r="M255" s="253"/>
      <c r="N255" s="276">
        <f t="shared" si="50"/>
        <v>-1645.0046153846151</v>
      </c>
      <c r="O255" s="253"/>
      <c r="P255" s="41"/>
      <c r="Q255" s="256">
        <f t="array" ref="Q255">+INDEX('Réel 2024'!$A$2:$AO$501,MATCH($A255,'Réel 2024'!$A$2:$A$501,0),MATCH(Q$2,'Réel 2024'!$A$2:$AO$2,0))</f>
        <v>4544.6099999999997</v>
      </c>
      <c r="R255" s="253"/>
      <c r="S255" s="276">
        <f t="shared" si="51"/>
        <v>-1341.8099999999995</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
        <v>507</v>
      </c>
      <c r="B256" s="41" t="s">
        <v>176</v>
      </c>
      <c r="C256" s="312" t="s">
        <v>122</v>
      </c>
      <c r="D256" s="314"/>
      <c r="E256" s="315"/>
      <c r="F256" s="254">
        <f>+INDEX('Budget original'!$A$2:$AO$501,MATCH($A256,'Budget original'!$A$2:$A$501,0),MATCH(F$2,'Budget original'!$A$2:$AO$2,0))</f>
        <v>17.530769230769231</v>
      </c>
      <c r="G256" s="316"/>
      <c r="H256" s="315"/>
      <c r="I256" s="254"/>
      <c r="J256" s="241"/>
      <c r="K256" s="315"/>
      <c r="L256" s="272">
        <f>SUMIFS(BV_Data_An_Cour!$O:$O,BV_Data_An_Cour!$U:$U,$B256,BV_Data_An_Cour!$V:$V,$C256,BV_Data_An_Cour!$W:$W,$L$2)</f>
        <v>0.08</v>
      </c>
      <c r="M256" s="241"/>
      <c r="N256" s="317">
        <f t="shared" si="50"/>
        <v>-17.450769230769232</v>
      </c>
      <c r="O256" s="241"/>
      <c r="P256" s="315"/>
      <c r="Q256" s="272">
        <f t="array" ref="Q256">+INDEX('Réel 2024'!$A$2:$AO$501,MATCH($A256,'Réel 2024'!$A$2:$A$501,0),MATCH(Q$2,'Réel 2024'!$A$2:$AO$2,0))</f>
        <v>0.08</v>
      </c>
      <c r="R256" s="241"/>
      <c r="S256" s="317">
        <f t="shared" si="51"/>
        <v>0</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customHeight="1">
      <c r="A257" s="5" t="s">
        <v>508</v>
      </c>
      <c r="B257" s="41" t="s">
        <v>176</v>
      </c>
      <c r="C257" s="312" t="s">
        <v>123</v>
      </c>
      <c r="D257" s="297"/>
      <c r="E257" s="41"/>
      <c r="F257" s="254">
        <f>+INDEX('Budget original'!$A$2:$AO$501,MATCH($A257,'Budget original'!$A$2:$A$501,0),MATCH(F$2,'Budget original'!$A$2:$AO$2,0))</f>
        <v>0</v>
      </c>
      <c r="G257" s="298"/>
      <c r="H257" s="41"/>
      <c r="I257" s="254"/>
      <c r="J257" s="253"/>
      <c r="K257" s="41"/>
      <c r="L257" s="256">
        <f>SUMIFS(BV_Data_An_Cour!$O:$O,BV_Data_An_Cour!$U:$U,$B257,BV_Data_An_Cour!$V:$V,$C257,BV_Data_An_Cour!$W:$W,$L$2)</f>
        <v>0</v>
      </c>
      <c r="M257" s="253"/>
      <c r="N257" s="276">
        <f t="shared" si="50"/>
        <v>0</v>
      </c>
      <c r="O257" s="253"/>
      <c r="P257" s="41"/>
      <c r="Q257" s="256">
        <f t="array" ref="Q257">+INDEX('Réel 2024'!$A$2:$AO$501,MATCH($A257,'Réel 2024'!$A$2:$A$501,0),MATCH(Q$2,'Réel 2024'!$A$2:$AO$2,0))</f>
        <v>0</v>
      </c>
      <c r="R257" s="253"/>
      <c r="S257" s="276">
        <f t="shared" si="51"/>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
        <v>509</v>
      </c>
      <c r="B258" s="41" t="s">
        <v>176</v>
      </c>
      <c r="C258" s="253" t="s">
        <v>59</v>
      </c>
      <c r="D258" s="297"/>
      <c r="E258" s="41"/>
      <c r="F258" s="254">
        <f>+INDEX('Budget original'!$A$2:$AO$501,MATCH($A258,'Budget original'!$A$2:$A$501,0),MATCH(F$2,'Budget original'!$A$2:$AO$2,0))</f>
        <v>0</v>
      </c>
      <c r="G258" s="298"/>
      <c r="H258" s="41"/>
      <c r="I258" s="254"/>
      <c r="J258" s="253"/>
      <c r="K258" s="41"/>
      <c r="L258" s="256">
        <f>SUMIFS(BV_Data_An_Cour!$O:$O,BV_Data_An_Cour!$U:$U,$B258,BV_Data_An_Cour!$V:$V,$C258,BV_Data_An_Cour!$W:$W,$L$2)</f>
        <v>0</v>
      </c>
      <c r="M258" s="253"/>
      <c r="N258" s="276">
        <f t="shared" si="50"/>
        <v>0</v>
      </c>
      <c r="O258" s="253"/>
      <c r="P258" s="41"/>
      <c r="Q258" s="256">
        <f t="array" ref="Q258">+INDEX('Réel 2024'!$A$2:$AO$501,MATCH($A258,'Réel 2024'!$A$2:$A$501,0),MATCH(Q$2,'Réel 2024'!$A$2:$AO$2,0))</f>
        <v>0</v>
      </c>
      <c r="R258" s="253"/>
      <c r="S258" s="276">
        <f t="shared" si="51"/>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
        <v>509</v>
      </c>
      <c r="B259" s="41" t="s">
        <v>176</v>
      </c>
      <c r="C259" s="253" t="s">
        <v>59</v>
      </c>
      <c r="D259" s="297"/>
      <c r="E259" s="41"/>
      <c r="F259" s="254">
        <f>+INDEX('Budget original'!$A$2:$AO$501,MATCH($A259,'Budget original'!$A$2:$A$501,0),MATCH(F$2,'Budget original'!$A$2:$AO$2,0))</f>
        <v>0</v>
      </c>
      <c r="G259" s="298"/>
      <c r="H259" s="41"/>
      <c r="I259" s="254"/>
      <c r="J259" s="253"/>
      <c r="K259" s="41"/>
      <c r="L259" s="256">
        <f>SUMIFS(BV_Data_An_Cour!$O:$O,BV_Data_An_Cour!$U:$U,$B259,BV_Data_An_Cour!$V:$V,$C259,BV_Data_An_Cour!$W:$W,$L$2)</f>
        <v>0</v>
      </c>
      <c r="M259" s="253"/>
      <c r="N259" s="276">
        <f t="shared" si="50"/>
        <v>0</v>
      </c>
      <c r="O259" s="253"/>
      <c r="P259" s="41"/>
      <c r="Q259" s="256">
        <f t="array" ref="Q259">+INDEX('Réel 2024'!$A$2:$AO$501,MATCH($A259,'Réel 2024'!$A$2:$A$501,0),MATCH(Q$2,'Réel 2024'!$A$2:$AO$2,0))</f>
        <v>0</v>
      </c>
      <c r="R259" s="253"/>
      <c r="S259" s="276">
        <f t="shared" si="51"/>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
        <v>509</v>
      </c>
      <c r="B260" s="41" t="s">
        <v>176</v>
      </c>
      <c r="C260" s="253" t="s">
        <v>59</v>
      </c>
      <c r="D260" s="297"/>
      <c r="E260" s="41"/>
      <c r="F260" s="254">
        <f>+INDEX('Budget original'!$A$2:$AO$501,MATCH($A260,'Budget original'!$A$2:$A$501,0),MATCH(F$2,'Budget original'!$A$2:$AO$2,0))</f>
        <v>0</v>
      </c>
      <c r="G260" s="298"/>
      <c r="H260" s="41"/>
      <c r="I260" s="254"/>
      <c r="J260" s="253"/>
      <c r="K260" s="41"/>
      <c r="L260" s="256">
        <f>SUMIFS(BV_Data_An_Cour!$O:$O,BV_Data_An_Cour!$U:$U,$B260,BV_Data_An_Cour!$V:$V,$C260,BV_Data_An_Cour!$W:$W,$L$2)</f>
        <v>0</v>
      </c>
      <c r="M260" s="253"/>
      <c r="N260" s="276">
        <f t="shared" si="50"/>
        <v>0</v>
      </c>
      <c r="O260" s="253"/>
      <c r="P260" s="41"/>
      <c r="Q260" s="256">
        <f t="array" ref="Q260">+INDEX('Réel 2024'!$A$2:$AO$501,MATCH($A260,'Réel 2024'!$A$2:$A$501,0),MATCH(Q$2,'Réel 2024'!$A$2:$AO$2,0))</f>
        <v>0</v>
      </c>
      <c r="R260" s="253"/>
      <c r="S260" s="276">
        <f t="shared" si="51"/>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
        <v>510</v>
      </c>
      <c r="B261" s="41" t="s">
        <v>176</v>
      </c>
      <c r="C261" s="313" t="s">
        <v>124</v>
      </c>
      <c r="D261" s="297"/>
      <c r="E261" s="41"/>
      <c r="F261" s="248">
        <f>+INDEX('Budget original'!$A$2:$AO$501,MATCH($A261,'Budget original'!$A$2:$A$501,0),MATCH(F$2,'Budget original'!$A$2:$AO$2,0))</f>
        <v>619.8155113461537</v>
      </c>
      <c r="G261" s="298"/>
      <c r="H261" s="41"/>
      <c r="I261" s="248"/>
      <c r="J261" s="253"/>
      <c r="K261" s="41"/>
      <c r="L261" s="256">
        <f>SUMIFS(BV_Data_An_Cour!$O:$O,BV_Data_An_Cour!$U:$U,$B261,BV_Data_An_Cour!$V:$V,$C261,BV_Data_An_Cour!$W:$W,$L$2)</f>
        <v>292.58999999999997</v>
      </c>
      <c r="M261" s="253"/>
      <c r="N261" s="276">
        <f t="shared" si="50"/>
        <v>-327.22551134615372</v>
      </c>
      <c r="O261" s="253"/>
      <c r="P261" s="41"/>
      <c r="Q261" s="256">
        <f t="array" ref="Q261">+INDEX('Réel 2024'!$A$2:$AO$501,MATCH($A261,'Réel 2024'!$A$2:$A$501,0),MATCH(Q$2,'Réel 2024'!$A$2:$AO$2,0))</f>
        <v>1216.42</v>
      </c>
      <c r="R261" s="253"/>
      <c r="S261" s="276">
        <f t="shared" si="51"/>
        <v>-923.83000000000015</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
        <v>511</v>
      </c>
      <c r="B262" s="41" t="s">
        <v>176</v>
      </c>
      <c r="C262" s="312" t="s">
        <v>125</v>
      </c>
      <c r="D262" s="314"/>
      <c r="E262" s="315"/>
      <c r="F262" s="254">
        <f>+INDEX('Budget original'!$A$2:$AO$501,MATCH($A262,'Budget original'!$A$2:$A$501,0),MATCH(F$2,'Budget original'!$A$2:$AO$2,0))</f>
        <v>753.60828692307689</v>
      </c>
      <c r="G262" s="316"/>
      <c r="H262" s="315"/>
      <c r="I262" s="254"/>
      <c r="J262" s="241"/>
      <c r="K262" s="315"/>
      <c r="L262" s="272">
        <f>SUMIFS(BV_Data_An_Cour!$O:$O,BV_Data_An_Cour!$U:$U,$B262,BV_Data_An_Cour!$V:$V,$C262,BV_Data_An_Cour!$W:$W,$L$2)</f>
        <v>1514.91</v>
      </c>
      <c r="M262" s="241"/>
      <c r="N262" s="317">
        <f t="shared" si="50"/>
        <v>761.30171307692319</v>
      </c>
      <c r="O262" s="241"/>
      <c r="P262" s="315"/>
      <c r="Q262" s="272">
        <f t="array" ref="Q262">+INDEX('Réel 2024'!$A$2:$AO$501,MATCH($A262,'Réel 2024'!$A$2:$A$501,0),MATCH(Q$2,'Réel 2024'!$A$2:$AO$2,0))</f>
        <v>1778.75</v>
      </c>
      <c r="R262" s="241"/>
      <c r="S262" s="317">
        <f t="shared" si="51"/>
        <v>-263.83999999999992</v>
      </c>
      <c r="T262" s="41"/>
      <c r="U262" s="41"/>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
        <v>512</v>
      </c>
      <c r="B263" s="41" t="s">
        <v>176</v>
      </c>
      <c r="C263" s="312" t="s">
        <v>126</v>
      </c>
      <c r="D263" s="297"/>
      <c r="E263" s="41"/>
      <c r="F263" s="254">
        <f>+INDEX('Budget original'!$A$2:$AO$501,MATCH($A263,'Budget original'!$A$2:$A$501,0),MATCH(F$2,'Budget original'!$A$2:$AO$2,0))</f>
        <v>388.27209565384607</v>
      </c>
      <c r="G263" s="298"/>
      <c r="H263" s="41"/>
      <c r="I263" s="254"/>
      <c r="J263" s="253"/>
      <c r="K263" s="41"/>
      <c r="L263" s="256">
        <f>SUMIFS(BV_Data_An_Cour!$O:$O,BV_Data_An_Cour!$U:$U,$B263,BV_Data_An_Cour!$V:$V,$C263,BV_Data_An_Cour!$W:$W,$L$2)</f>
        <v>383.38</v>
      </c>
      <c r="M263" s="253"/>
      <c r="N263" s="276">
        <f t="shared" si="50"/>
        <v>-4.89209565384607</v>
      </c>
      <c r="O263" s="253"/>
      <c r="P263" s="41"/>
      <c r="Q263" s="256">
        <f t="array" ref="Q263">+INDEX('Réel 2024'!$A$2:$AO$501,MATCH($A263,'Réel 2024'!$A$2:$A$501,0),MATCH(Q$2,'Réel 2024'!$A$2:$AO$2,0))</f>
        <v>509.86</v>
      </c>
      <c r="R263" s="253"/>
      <c r="S263" s="276">
        <f t="shared" si="51"/>
        <v>-126.48000000000002</v>
      </c>
      <c r="T263" s="41"/>
      <c r="U263" s="41"/>
      <c r="V263" s="41"/>
      <c r="W263" s="41"/>
      <c r="X263" s="41"/>
      <c r="Y263" s="41"/>
      <c r="Z263" s="41"/>
      <c r="AA263" s="41"/>
      <c r="AB263" s="41"/>
      <c r="AC263" s="41"/>
      <c r="AD263" s="41"/>
      <c r="AE263" s="41"/>
      <c r="AF263" s="41"/>
      <c r="AG263" s="41"/>
      <c r="AH263" s="41"/>
      <c r="AI263" s="41"/>
      <c r="AJ263" s="41"/>
      <c r="AK263" s="41"/>
      <c r="AL263" s="41"/>
      <c r="AM263" s="41"/>
      <c r="AN263" s="41"/>
    </row>
    <row r="264" spans="1:40" ht="15.75" customHeight="1">
      <c r="A264" s="5" t="s">
        <v>513</v>
      </c>
      <c r="B264" s="41" t="s">
        <v>176</v>
      </c>
      <c r="C264" s="312" t="s">
        <v>127</v>
      </c>
      <c r="D264" s="297"/>
      <c r="E264" s="41"/>
      <c r="F264" s="254">
        <f>+INDEX('Budget original'!$A$2:$AO$501,MATCH($A264,'Budget original'!$A$2:$A$501,0),MATCH(F$2,'Budget original'!$A$2:$AO$2,0))</f>
        <v>169.28881807692304</v>
      </c>
      <c r="G264" s="298"/>
      <c r="H264" s="41"/>
      <c r="I264" s="254"/>
      <c r="J264" s="253"/>
      <c r="K264" s="41"/>
      <c r="L264" s="256">
        <f>SUMIFS(BV_Data_An_Cour!$O:$O,BV_Data_An_Cour!$U:$U,$B264,BV_Data_An_Cour!$V:$V,$C264,BV_Data_An_Cour!$W:$W,$L$2)</f>
        <v>340.27</v>
      </c>
      <c r="M264" s="253"/>
      <c r="N264" s="276">
        <f t="shared" si="50"/>
        <v>170.98118192307695</v>
      </c>
      <c r="O264" s="253"/>
      <c r="P264" s="41"/>
      <c r="Q264" s="256">
        <f t="array" ref="Q264">+INDEX('Réel 2024'!$A$2:$AO$501,MATCH($A264,'Réel 2024'!$A$2:$A$501,0),MATCH(Q$2,'Réel 2024'!$A$2:$AO$2,0))</f>
        <v>207.37</v>
      </c>
      <c r="R264" s="253"/>
      <c r="S264" s="276">
        <f t="shared" si="51"/>
        <v>132.89999999999998</v>
      </c>
      <c r="T264" s="41"/>
      <c r="U264" s="41"/>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
        <v>509</v>
      </c>
      <c r="B265" s="41" t="s">
        <v>176</v>
      </c>
      <c r="C265" s="253" t="s">
        <v>59</v>
      </c>
      <c r="D265" s="299"/>
      <c r="E265" s="318"/>
      <c r="F265" s="254">
        <f>+INDEX('Budget original'!$A$2:$AO$501,MATCH($A265,'Budget original'!$A$2:$A$501,0),MATCH(F$2,'Budget original'!$A$2:$AO$2,0))</f>
        <v>0</v>
      </c>
      <c r="G265" s="300"/>
      <c r="H265" s="318"/>
      <c r="I265" s="254"/>
      <c r="J265" s="246"/>
      <c r="K265" s="318"/>
      <c r="L265" s="256">
        <f>SUMIFS(BV_Data_An_Cour!$O:$O,BV_Data_An_Cour!$U:$U,$B265,BV_Data_An_Cour!$V:$V,$C265,BV_Data_An_Cour!$W:$W,$L$2)</f>
        <v>0</v>
      </c>
      <c r="M265" s="246"/>
      <c r="N265" s="296">
        <f t="shared" si="50"/>
        <v>0</v>
      </c>
      <c r="O265" s="246"/>
      <c r="P265" s="318"/>
      <c r="Q265" s="256">
        <f t="array" ref="Q265">+INDEX('Réel 2024'!$A$2:$AO$501,MATCH($A265,'Réel 2024'!$A$2:$A$501,0),MATCH(Q$2,'Réel 2024'!$A$2:$AO$2,0))</f>
        <v>0</v>
      </c>
      <c r="R265" s="246"/>
      <c r="S265" s="296">
        <f t="shared" si="51"/>
        <v>0</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
        <v>514</v>
      </c>
      <c r="B266" s="41" t="s">
        <v>176</v>
      </c>
      <c r="C266" s="304" t="s">
        <v>128</v>
      </c>
      <c r="D266" s="305" t="s">
        <v>119</v>
      </c>
      <c r="E266" s="306">
        <f>F266/F$250</f>
        <v>0.76771050829170806</v>
      </c>
      <c r="F266" s="307">
        <f>+SUM(F254:F265)</f>
        <v>7093.6450966153834</v>
      </c>
      <c r="G266" s="308"/>
      <c r="H266" s="306"/>
      <c r="I266" s="307"/>
      <c r="J266" s="308" t="s">
        <v>119</v>
      </c>
      <c r="K266" s="306">
        <f>IF(L250=0,0,L266/L$250)</f>
        <v>1.3526359024115806</v>
      </c>
      <c r="L266" s="307">
        <f>+SUM(L254:L265)</f>
        <v>6635.91</v>
      </c>
      <c r="M266" s="355"/>
      <c r="N266" s="320">
        <f t="shared" si="50"/>
        <v>-457.73509661538355</v>
      </c>
      <c r="O266" s="308" t="s">
        <v>119</v>
      </c>
      <c r="P266" s="306">
        <f>IF(Q244=0,0,Q266/Q$244)</f>
        <v>0</v>
      </c>
      <c r="Q266" s="307">
        <f>+SUM(Q254:Q265)</f>
        <v>9158.9700000000012</v>
      </c>
      <c r="R266" s="355"/>
      <c r="S266" s="320">
        <f t="shared" si="51"/>
        <v>-2523.0600000000013</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
        <v>515</v>
      </c>
      <c r="B267" s="41" t="s">
        <v>176</v>
      </c>
      <c r="C267" s="406" t="s">
        <v>129</v>
      </c>
      <c r="D267" s="297"/>
      <c r="E267" s="41"/>
      <c r="F267" s="254">
        <f>+INDEX('Budget original'!$A$2:$AO$501,MATCH($A267,'Budget original'!$A$2:$A$501,0),MATCH(F$2,'Budget original'!$A$2:$AO$2,0))</f>
        <v>48.333333333333336</v>
      </c>
      <c r="G267" s="298"/>
      <c r="H267" s="41"/>
      <c r="I267" s="254"/>
      <c r="J267" s="253"/>
      <c r="K267" s="41"/>
      <c r="L267" s="256">
        <f>SUMIFS(BV_Data_An_Cour!$O:$O,BV_Data_An_Cour!$U:$U,$B267,BV_Data_An_Cour!$V:$V,$C267,BV_Data_An_Cour!$W:$W,$L$2)</f>
        <v>24.5</v>
      </c>
      <c r="M267" s="253"/>
      <c r="N267" s="276">
        <f t="shared" si="50"/>
        <v>-23.833333333333336</v>
      </c>
      <c r="O267" s="253"/>
      <c r="P267" s="41"/>
      <c r="Q267" s="276">
        <f t="array" ref="Q267">+INDEX('Réel 2024'!$A$2:$AO$501,MATCH($A267,'Réel 2024'!$A$2:$A$501,0),MATCH(Q$2,'Réel 2024'!$A$2:$AO$2,0))</f>
        <v>7</v>
      </c>
      <c r="R267" s="253"/>
      <c r="S267" s="276">
        <f t="shared" si="51"/>
        <v>17.5</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
        <v>516</v>
      </c>
      <c r="B268" s="41" t="s">
        <v>176</v>
      </c>
      <c r="C268" s="312" t="s">
        <v>130</v>
      </c>
      <c r="D268" s="297"/>
      <c r="E268" s="41"/>
      <c r="F268" s="254">
        <f>+INDEX('Budget original'!$A$2:$AO$501,MATCH($A268,'Budget original'!$A$2:$A$501,0),MATCH(F$2,'Budget original'!$A$2:$AO$2,0))</f>
        <v>561.67798128057109</v>
      </c>
      <c r="G268" s="298"/>
      <c r="H268" s="41"/>
      <c r="I268" s="254"/>
      <c r="J268" s="253"/>
      <c r="K268" s="41"/>
      <c r="L268" s="256">
        <f>SUMIFS(BV_Data_An_Cour!$O:$O,BV_Data_An_Cour!$U:$U,$B268,BV_Data_An_Cour!$V:$V,$C268,BV_Data_An_Cour!$W:$W,$L$2)</f>
        <v>0</v>
      </c>
      <c r="M268" s="253"/>
      <c r="N268" s="276">
        <f t="shared" si="50"/>
        <v>-561.67798128057109</v>
      </c>
      <c r="O268" s="253"/>
      <c r="P268" s="41"/>
      <c r="Q268" s="276">
        <f t="array" ref="Q268">+INDEX('Réel 2024'!$A$2:$AO$501,MATCH($A268,'Réel 2024'!$A$2:$A$501,0),MATCH(Q$2,'Réel 2024'!$A$2:$AO$2,0))</f>
        <v>1286.08</v>
      </c>
      <c r="R268" s="253"/>
      <c r="S268" s="276">
        <f t="shared" si="51"/>
        <v>-1286.08</v>
      </c>
      <c r="T268" s="41"/>
      <c r="U268" s="1179"/>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
        <v>517</v>
      </c>
      <c r="B269" s="41" t="s">
        <v>176</v>
      </c>
      <c r="C269" s="313" t="s">
        <v>131</v>
      </c>
      <c r="D269" s="299"/>
      <c r="E269" s="318"/>
      <c r="F269" s="248">
        <f>+INDEX('Budget original'!$A$2:$AO$501,MATCH($A269,'Budget original'!$A$2:$A$501,0),MATCH(F$2,'Budget original'!$A$2:$AO$2,0))</f>
        <v>124.50360000000001</v>
      </c>
      <c r="G269" s="300"/>
      <c r="H269" s="318"/>
      <c r="I269" s="248"/>
      <c r="J269" s="246"/>
      <c r="K269" s="318"/>
      <c r="L269" s="256">
        <f>SUMIFS(BV_Data_An_Cour!$O:$O,BV_Data_An_Cour!$U:$U,$B269,BV_Data_An_Cour!$V:$V,$C269,BV_Data_An_Cour!$W:$W,$L$2)</f>
        <v>157.77000000000001</v>
      </c>
      <c r="M269" s="246"/>
      <c r="N269" s="296">
        <f t="shared" si="50"/>
        <v>33.266400000000004</v>
      </c>
      <c r="O269" s="246"/>
      <c r="P269" s="318"/>
      <c r="Q269" s="296">
        <f t="array" ref="Q269">+INDEX('Réel 2024'!$A$2:$AO$501,MATCH($A269,'Réel 2024'!$A$2:$A$501,0),MATCH(Q$2,'Réel 2024'!$A$2:$AO$2,0))</f>
        <v>157.77000000000001</v>
      </c>
      <c r="R269" s="246"/>
      <c r="S269" s="296">
        <f t="shared" si="51"/>
        <v>0</v>
      </c>
      <c r="T269" s="41"/>
      <c r="U269" s="41" t="s">
        <v>337</v>
      </c>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
        <v>518</v>
      </c>
      <c r="B270" s="41" t="s">
        <v>176</v>
      </c>
      <c r="C270" s="312" t="s">
        <v>132</v>
      </c>
      <c r="D270" s="297"/>
      <c r="E270" s="41"/>
      <c r="F270" s="254">
        <f>+INDEX('Budget original'!$A$2:$AO$501,MATCH($A270,'Budget original'!$A$2:$A$501,0),MATCH(F$2,'Budget original'!$A$2:$AO$2,0))</f>
        <v>1450.4268862377776</v>
      </c>
      <c r="G270" s="298"/>
      <c r="H270" s="41"/>
      <c r="I270" s="254"/>
      <c r="J270" s="253"/>
      <c r="K270" s="41"/>
      <c r="L270" s="272">
        <f>SUMIFS(BV_Data_An_Cour!$O:$O,BV_Data_An_Cour!$U:$U,$B270,BV_Data_An_Cour!$V:$V,$C270,BV_Data_An_Cour!$W:$W,$L$2)</f>
        <v>1160.31</v>
      </c>
      <c r="M270" s="253"/>
      <c r="N270" s="276">
        <f t="shared" si="50"/>
        <v>-290.11688623777763</v>
      </c>
      <c r="O270" s="253"/>
      <c r="P270" s="41"/>
      <c r="Q270" s="276">
        <f t="array" ref="Q270">+INDEX('Réel 2024'!$A$2:$AO$501,MATCH($A270,'Réel 2024'!$A$2:$A$501,0),MATCH(Q$2,'Réel 2024'!$A$2:$AO$2,0))</f>
        <v>1571.81</v>
      </c>
      <c r="R270" s="253"/>
      <c r="S270" s="276">
        <f t="shared" si="51"/>
        <v>-411.5</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
        <v>519</v>
      </c>
      <c r="B271" s="41" t="s">
        <v>176</v>
      </c>
      <c r="C271" s="312" t="s">
        <v>133</v>
      </c>
      <c r="D271" s="297"/>
      <c r="E271" s="41"/>
      <c r="F271" s="254">
        <f>+INDEX('Budget original'!$A$2:$AO$501,MATCH($A271,'Budget original'!$A$2:$A$501,0),MATCH(F$2,'Budget original'!$A$2:$AO$2,0))</f>
        <v>214.03823837858201</v>
      </c>
      <c r="G271" s="298"/>
      <c r="H271" s="41"/>
      <c r="I271" s="254"/>
      <c r="J271" s="253"/>
      <c r="K271" s="41"/>
      <c r="L271" s="256">
        <f>SUMIFS(BV_Data_An_Cour!$O:$O,BV_Data_An_Cour!$U:$U,$B271,BV_Data_An_Cour!$V:$V,$C271,BV_Data_An_Cour!$W:$W,$L$2)</f>
        <v>203.97</v>
      </c>
      <c r="M271" s="253"/>
      <c r="N271" s="276">
        <f t="shared" si="50"/>
        <v>-10.068238378582009</v>
      </c>
      <c r="O271" s="253"/>
      <c r="P271" s="41"/>
      <c r="Q271" s="276">
        <f t="array" ref="Q271">+INDEX('Réel 2024'!$A$2:$AO$501,MATCH($A271,'Réel 2024'!$A$2:$A$501,0),MATCH(Q$2,'Réel 2024'!$A$2:$AO$2,0))</f>
        <v>50.49</v>
      </c>
      <c r="R271" s="253"/>
      <c r="S271" s="276">
        <f t="shared" si="51"/>
        <v>153.47999999999999</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
        <v>520</v>
      </c>
      <c r="B272" s="41" t="s">
        <v>176</v>
      </c>
      <c r="C272" s="312" t="s">
        <v>134</v>
      </c>
      <c r="D272" s="299"/>
      <c r="E272" s="318"/>
      <c r="F272" s="248">
        <f>+INDEX('Budget original'!$A$2:$AO$501,MATCH($A272,'Budget original'!$A$2:$A$501,0),MATCH(F$2,'Budget original'!$A$2:$AO$2,0))</f>
        <v>687.14674435248071</v>
      </c>
      <c r="G272" s="300"/>
      <c r="H272" s="318"/>
      <c r="I272" s="248"/>
      <c r="J272" s="246"/>
      <c r="K272" s="318"/>
      <c r="L272" s="256">
        <f>SUMIFS(BV_Data_An_Cour!$O:$O,BV_Data_An_Cour!$U:$U,$B272,BV_Data_An_Cour!$V:$V,$C272,BV_Data_An_Cour!$W:$W,$L$2)</f>
        <v>841.55</v>
      </c>
      <c r="M272" s="246"/>
      <c r="N272" s="296">
        <f t="shared" si="50"/>
        <v>154.40325564751925</v>
      </c>
      <c r="O272" s="246"/>
      <c r="P272" s="318"/>
      <c r="Q272" s="296">
        <f t="array" ref="Q272">+INDEX('Réel 2024'!$A$2:$AO$501,MATCH($A272,'Réel 2024'!$A$2:$A$501,0),MATCH(Q$2,'Réel 2024'!$A$2:$AO$2,0))</f>
        <v>608.6</v>
      </c>
      <c r="R272" s="246"/>
      <c r="S272" s="296">
        <f t="shared" si="51"/>
        <v>232.94999999999993</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
        <v>521</v>
      </c>
      <c r="B273" s="41" t="s">
        <v>176</v>
      </c>
      <c r="C273" s="406" t="s">
        <v>490</v>
      </c>
      <c r="D273" s="297"/>
      <c r="E273" s="41"/>
      <c r="F273" s="254"/>
      <c r="G273" s="298"/>
      <c r="H273" s="41"/>
      <c r="I273" s="254"/>
      <c r="J273" s="253"/>
      <c r="K273" s="41"/>
      <c r="L273" s="272">
        <f>SUMIFS(BV_Data_An_Cour!$O:$O,BV_Data_An_Cour!$U:$U,$B273,BV_Data_An_Cour!$V:$V,$C273,BV_Data_An_Cour!$W:$W,$L$2)</f>
        <v>0</v>
      </c>
      <c r="M273" s="253"/>
      <c r="N273" s="276">
        <f t="shared" si="50"/>
        <v>0</v>
      </c>
      <c r="O273" s="253"/>
      <c r="P273" s="41"/>
      <c r="Q273" s="276">
        <f t="array" ref="Q273">+INDEX('Réel 2024'!$A$2:$AO$501,MATCH($A273,'Réel 2024'!$A$2:$A$501,0),MATCH(Q$2,'Réel 2024'!$A$2:$AO$2,0))</f>
        <v>0</v>
      </c>
      <c r="R273" s="253"/>
      <c r="S273" s="276">
        <f t="shared" si="51"/>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
        <v>522</v>
      </c>
      <c r="B274" s="41" t="s">
        <v>176</v>
      </c>
      <c r="C274" s="312" t="s">
        <v>135</v>
      </c>
      <c r="D274" s="297"/>
      <c r="E274" s="41"/>
      <c r="F274" s="254">
        <f>+INDEX('Budget original'!$A$2:$AO$501,MATCH($A274,'Budget original'!$A$2:$A$501,0),MATCH(F$2,'Budget original'!$A$2:$AO$2,0))</f>
        <v>45.951533333333337</v>
      </c>
      <c r="G274" s="298"/>
      <c r="H274" s="41"/>
      <c r="I274" s="254"/>
      <c r="J274" s="253"/>
      <c r="K274" s="41"/>
      <c r="L274" s="256">
        <f>SUMIFS(BV_Data_An_Cour!$O:$O,BV_Data_An_Cour!$U:$U,$B274,BV_Data_An_Cour!$V:$V,$C274,BV_Data_An_Cour!$W:$W,$L$2)</f>
        <v>0</v>
      </c>
      <c r="M274" s="253"/>
      <c r="N274" s="276">
        <f t="shared" si="50"/>
        <v>-45.951533333333337</v>
      </c>
      <c r="O274" s="253"/>
      <c r="P274" s="41"/>
      <c r="Q274" s="276">
        <f t="array" ref="Q274">+INDEX('Réel 2024'!$A$2:$AO$501,MATCH($A274,'Réel 2024'!$A$2:$A$501,0),MATCH(Q$2,'Réel 2024'!$A$2:$AO$2,0))</f>
        <v>0</v>
      </c>
      <c r="R274" s="253"/>
      <c r="S274" s="276">
        <f t="shared" si="51"/>
        <v>0</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
        <v>523</v>
      </c>
      <c r="B275" s="41" t="s">
        <v>176</v>
      </c>
      <c r="C275" s="312" t="s">
        <v>136</v>
      </c>
      <c r="D275" s="297"/>
      <c r="E275" s="41"/>
      <c r="F275" s="254">
        <f>+INDEX('Budget original'!$A$2:$AO$501,MATCH($A275,'Budget original'!$A$2:$A$501,0),MATCH(F$2,'Budget original'!$A$2:$AO$2,0))</f>
        <v>28.333333333333332</v>
      </c>
      <c r="G275" s="298"/>
      <c r="H275" s="41"/>
      <c r="I275" s="254"/>
      <c r="J275" s="253"/>
      <c r="K275" s="41"/>
      <c r="L275" s="256">
        <f>SUMIFS(BV_Data_An_Cour!$O:$O,BV_Data_An_Cour!$U:$U,$B275,BV_Data_An_Cour!$V:$V,$C275,BV_Data_An_Cour!$W:$W,$L$2)</f>
        <v>0</v>
      </c>
      <c r="M275" s="253"/>
      <c r="N275" s="276">
        <f t="shared" si="50"/>
        <v>-28.333333333333332</v>
      </c>
      <c r="O275" s="253"/>
      <c r="P275" s="41"/>
      <c r="Q275" s="276">
        <f t="array" ref="Q275">+INDEX('Réel 2024'!$A$2:$AO$501,MATCH($A275,'Réel 2024'!$A$2:$A$501,0),MATCH(Q$2,'Réel 2024'!$A$2:$AO$2,0))</f>
        <v>0</v>
      </c>
      <c r="R275" s="253"/>
      <c r="S275" s="276">
        <f t="shared" si="51"/>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
        <v>524</v>
      </c>
      <c r="B276" s="41" t="s">
        <v>176</v>
      </c>
      <c r="C276" s="312" t="s">
        <v>137</v>
      </c>
      <c r="D276" s="297"/>
      <c r="E276" s="41"/>
      <c r="F276" s="254">
        <f>+INDEX('Budget original'!$A$2:$AO$501,MATCH($A276,'Budget original'!$A$2:$A$501,0),MATCH(F$2,'Budget original'!$A$2:$AO$2,0))</f>
        <v>146.23689705261995</v>
      </c>
      <c r="G276" s="298"/>
      <c r="H276" s="41"/>
      <c r="I276" s="254"/>
      <c r="J276" s="253"/>
      <c r="K276" s="41"/>
      <c r="L276" s="256">
        <f>SUMIFS(BV_Data_An_Cour!$O:$O,BV_Data_An_Cour!$U:$U,$B276,BV_Data_An_Cour!$V:$V,$C276,BV_Data_An_Cour!$W:$W,$L$2)</f>
        <v>227.94</v>
      </c>
      <c r="M276" s="253"/>
      <c r="N276" s="276">
        <f t="shared" si="50"/>
        <v>81.703102947380046</v>
      </c>
      <c r="O276" s="253"/>
      <c r="P276" s="41"/>
      <c r="Q276" s="276">
        <f t="array" ref="Q276">+INDEX('Réel 2024'!$A$2:$AO$501,MATCH($A276,'Réel 2024'!$A$2:$A$501,0),MATCH(Q$2,'Réel 2024'!$A$2:$AO$2,0))</f>
        <v>291.27</v>
      </c>
      <c r="R276" s="253"/>
      <c r="S276" s="276">
        <f t="shared" si="51"/>
        <v>-63.329999999999984</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
        <v>525</v>
      </c>
      <c r="B277" s="41" t="s">
        <v>176</v>
      </c>
      <c r="C277" s="312" t="s">
        <v>138</v>
      </c>
      <c r="D277" s="297"/>
      <c r="E277" s="41"/>
      <c r="F277" s="254">
        <f>+INDEX('Budget original'!$A$2:$AO$501,MATCH($A277,'Budget original'!$A$2:$A$501,0),MATCH(F$2,'Budget original'!$A$2:$AO$2,0))</f>
        <v>32.368975325808613</v>
      </c>
      <c r="G277" s="298"/>
      <c r="H277" s="41"/>
      <c r="I277" s="254"/>
      <c r="J277" s="253"/>
      <c r="K277" s="41"/>
      <c r="L277" s="256">
        <f>SUMIFS(BV_Data_An_Cour!$O:$O,BV_Data_An_Cour!$U:$U,$B277,BV_Data_An_Cour!$V:$V,$C277,BV_Data_An_Cour!$W:$W,$L$2)</f>
        <v>33.880000000000003</v>
      </c>
      <c r="M277" s="253"/>
      <c r="N277" s="276">
        <f t="shared" si="50"/>
        <v>1.5110246741913897</v>
      </c>
      <c r="O277" s="253"/>
      <c r="P277" s="41"/>
      <c r="Q277" s="276">
        <f t="array" ref="Q277">+INDEX('Réel 2024'!$A$2:$AO$501,MATCH($A277,'Réel 2024'!$A$2:$A$501,0),MATCH(Q$2,'Réel 2024'!$A$2:$AO$2,0))</f>
        <v>23.57</v>
      </c>
      <c r="R277" s="253"/>
      <c r="S277" s="276">
        <f t="shared" si="51"/>
        <v>10.310000000000002</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
        <v>526</v>
      </c>
      <c r="B278" s="41" t="s">
        <v>176</v>
      </c>
      <c r="C278" s="312" t="s">
        <v>139</v>
      </c>
      <c r="D278" s="297"/>
      <c r="E278" s="41"/>
      <c r="F278" s="254">
        <f>+INDEX('Budget original'!$A$2:$AO$501,MATCH($A278,'Budget original'!$A$2:$A$501,0),MATCH(F$2,'Budget original'!$A$2:$AO$2,0))</f>
        <v>22.492098830591392</v>
      </c>
      <c r="G278" s="298"/>
      <c r="H278" s="41"/>
      <c r="I278" s="254"/>
      <c r="J278" s="253"/>
      <c r="K278" s="41"/>
      <c r="L278" s="256">
        <f>SUMIFS(BV_Data_An_Cour!$O:$O,BV_Data_An_Cour!$U:$U,$B278,BV_Data_An_Cour!$V:$V,$C278,BV_Data_An_Cour!$W:$W,$L$2)</f>
        <v>97.98</v>
      </c>
      <c r="M278" s="253"/>
      <c r="N278" s="276">
        <f t="shared" si="50"/>
        <v>75.487901169408616</v>
      </c>
      <c r="O278" s="253"/>
      <c r="P278" s="41"/>
      <c r="Q278" s="276">
        <f t="array" ref="Q278">+INDEX('Réel 2024'!$A$2:$AO$501,MATCH($A278,'Réel 2024'!$A$2:$A$501,0),MATCH(Q$2,'Réel 2024'!$A$2:$AO$2,0))</f>
        <v>48.57</v>
      </c>
      <c r="R278" s="253"/>
      <c r="S278" s="276">
        <f t="shared" si="51"/>
        <v>49.410000000000004</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
        <v>527</v>
      </c>
      <c r="B279" s="41" t="s">
        <v>176</v>
      </c>
      <c r="C279" s="312" t="s">
        <v>140</v>
      </c>
      <c r="D279" s="297"/>
      <c r="E279" s="41"/>
      <c r="F279" s="254">
        <f>+INDEX('Budget original'!$A$2:$AO$501,MATCH($A279,'Budget original'!$A$2:$A$501,0),MATCH(F$2,'Budget original'!$A$2:$AO$2,0))</f>
        <v>102.90506750548639</v>
      </c>
      <c r="G279" s="298"/>
      <c r="H279" s="41"/>
      <c r="I279" s="254"/>
      <c r="J279" s="253"/>
      <c r="K279" s="41"/>
      <c r="L279" s="256">
        <f>SUMIFS(BV_Data_An_Cour!$O:$O,BV_Data_An_Cour!$U:$U,$B279,BV_Data_An_Cour!$V:$V,$C279,BV_Data_An_Cour!$W:$W,$L$2)</f>
        <v>15.58</v>
      </c>
      <c r="M279" s="253"/>
      <c r="N279" s="276">
        <f t="shared" si="50"/>
        <v>-87.325067505486388</v>
      </c>
      <c r="O279" s="253"/>
      <c r="P279" s="41"/>
      <c r="Q279" s="276">
        <f t="array" ref="Q279">+INDEX('Réel 2024'!$A$2:$AO$501,MATCH($A279,'Réel 2024'!$A$2:$A$501,0),MATCH(Q$2,'Réel 2024'!$A$2:$AO$2,0))</f>
        <v>44.98</v>
      </c>
      <c r="R279" s="253"/>
      <c r="S279" s="276">
        <f t="shared" si="51"/>
        <v>-29.4</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
        <v>528</v>
      </c>
      <c r="B280" s="41" t="s">
        <v>176</v>
      </c>
      <c r="C280" s="312" t="s">
        <v>141</v>
      </c>
      <c r="D280" s="297"/>
      <c r="E280" s="41"/>
      <c r="F280" s="254">
        <f>+INDEX('Budget original'!$A$2:$AO$501,MATCH($A280,'Budget original'!$A$2:$A$501,0),MATCH(F$2,'Budget original'!$A$2:$AO$2,0))</f>
        <v>175.49870178698256</v>
      </c>
      <c r="G280" s="298"/>
      <c r="H280" s="41"/>
      <c r="I280" s="254"/>
      <c r="J280" s="253"/>
      <c r="K280" s="41"/>
      <c r="L280" s="256">
        <f>SUMIFS(BV_Data_An_Cour!$O:$O,BV_Data_An_Cour!$U:$U,$B280,BV_Data_An_Cour!$V:$V,$C280,BV_Data_An_Cour!$W:$W,$L$2)</f>
        <v>66.58</v>
      </c>
      <c r="M280" s="253"/>
      <c r="N280" s="276">
        <f t="shared" si="50"/>
        <v>-108.91870178698257</v>
      </c>
      <c r="O280" s="253"/>
      <c r="P280" s="41"/>
      <c r="Q280" s="276">
        <f t="array" ref="Q280">+INDEX('Réel 2024'!$A$2:$AO$501,MATCH($A280,'Réel 2024'!$A$2:$A$501,0),MATCH(Q$2,'Réel 2024'!$A$2:$AO$2,0))</f>
        <v>22.33</v>
      </c>
      <c r="R280" s="253"/>
      <c r="S280" s="276">
        <f t="shared" si="51"/>
        <v>44.25</v>
      </c>
      <c r="T280" s="41"/>
      <c r="X280" s="41"/>
      <c r="Y280" s="41"/>
      <c r="Z280" s="41"/>
      <c r="AA280" s="41"/>
      <c r="AB280" s="41"/>
      <c r="AC280" s="41"/>
      <c r="AD280" s="41"/>
      <c r="AE280" s="41"/>
      <c r="AF280" s="41"/>
      <c r="AG280" s="41"/>
      <c r="AH280" s="41"/>
      <c r="AI280" s="41"/>
      <c r="AJ280" s="41"/>
      <c r="AK280" s="41"/>
      <c r="AL280" s="41"/>
      <c r="AM280" s="41"/>
      <c r="AN280" s="41"/>
    </row>
    <row r="281" spans="1:40" ht="15.75" customHeight="1">
      <c r="A281" s="5" t="s">
        <v>529</v>
      </c>
      <c r="B281" s="41" t="s">
        <v>176</v>
      </c>
      <c r="C281" s="312" t="s">
        <v>142</v>
      </c>
      <c r="D281" s="297"/>
      <c r="E281" s="41"/>
      <c r="F281" s="254">
        <f>+INDEX('Budget original'!$A$2:$AO$501,MATCH($A281,'Budget original'!$A$2:$A$501,0),MATCH(F$2,'Budget original'!$A$2:$AO$2,0))</f>
        <v>154.00804632725394</v>
      </c>
      <c r="G281" s="298"/>
      <c r="H281" s="41"/>
      <c r="I281" s="254"/>
      <c r="J281" s="253"/>
      <c r="K281" s="41"/>
      <c r="L281" s="256">
        <f>SUMIFS(BV_Data_An_Cour!$O:$O,BV_Data_An_Cour!$U:$U,$B281,BV_Data_An_Cour!$V:$V,$C281,BV_Data_An_Cour!$W:$W,$L$2)</f>
        <v>120.3</v>
      </c>
      <c r="M281" s="253"/>
      <c r="N281" s="276">
        <f t="shared" si="50"/>
        <v>-33.708046327253939</v>
      </c>
      <c r="O281" s="253"/>
      <c r="P281" s="41"/>
      <c r="Q281" s="276">
        <f t="array" ref="Q281">+INDEX('Réel 2024'!$A$2:$AO$501,MATCH($A281,'Réel 2024'!$A$2:$A$501,0),MATCH(Q$2,'Réel 2024'!$A$2:$AO$2,0))</f>
        <v>135.44999999999999</v>
      </c>
      <c r="R281" s="253"/>
      <c r="S281" s="276">
        <f t="shared" si="51"/>
        <v>-15.149999999999991</v>
      </c>
      <c r="T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
        <v>509</v>
      </c>
      <c r="B282" s="41" t="s">
        <v>176</v>
      </c>
      <c r="C282" s="312" t="s">
        <v>59</v>
      </c>
      <c r="D282" s="297"/>
      <c r="E282" s="41"/>
      <c r="F282" s="254">
        <f>+INDEX('Budget original'!$A$2:$AO$501,MATCH($A282,'Budget original'!$A$2:$A$501,0),MATCH(F$2,'Budget original'!$A$2:$AO$2,0))</f>
        <v>0</v>
      </c>
      <c r="G282" s="298"/>
      <c r="H282" s="41"/>
      <c r="I282" s="254"/>
      <c r="J282" s="253"/>
      <c r="K282" s="41"/>
      <c r="L282" s="256">
        <f>SUMIFS(BV_Data_An_Cour!$O:$O,BV_Data_An_Cour!$U:$U,$B282,BV_Data_An_Cour!$V:$V,$C282,BV_Data_An_Cour!$W:$W,$L$2)</f>
        <v>0</v>
      </c>
      <c r="M282" s="253"/>
      <c r="N282" s="276">
        <f t="shared" si="50"/>
        <v>0</v>
      </c>
      <c r="O282" s="253"/>
      <c r="P282" s="41"/>
      <c r="Q282" s="256">
        <f t="array" ref="Q282">+INDEX('Réel 2024'!$A$2:$AO$501,MATCH($A282,'Réel 2024'!$A$2:$A$501,0),MATCH(Q$2,'Réel 2024'!$A$2:$AO$2,0))</f>
        <v>0</v>
      </c>
      <c r="R282" s="253"/>
      <c r="S282" s="276">
        <f t="shared" si="51"/>
        <v>0</v>
      </c>
      <c r="T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
        <v>509</v>
      </c>
      <c r="B283" s="41" t="s">
        <v>176</v>
      </c>
      <c r="C283" s="312" t="s">
        <v>59</v>
      </c>
      <c r="D283" s="297"/>
      <c r="E283" s="41"/>
      <c r="F283" s="254">
        <f>+INDEX('Budget original'!$A$2:$AO$501,MATCH($A283,'Budget original'!$A$2:$A$501,0),MATCH(F$2,'Budget original'!$A$2:$AO$2,0))</f>
        <v>0</v>
      </c>
      <c r="G283" s="298"/>
      <c r="H283" s="41"/>
      <c r="I283" s="254"/>
      <c r="J283" s="253"/>
      <c r="K283" s="41"/>
      <c r="L283" s="256">
        <f>SUMIFS(BV_Data_An_Cour!$O:$O,BV_Data_An_Cour!$U:$U,$B283,BV_Data_An_Cour!$V:$V,$C283,BV_Data_An_Cour!$W:$W,$L$2)</f>
        <v>0</v>
      </c>
      <c r="M283" s="253"/>
      <c r="N283" s="276">
        <f t="shared" si="50"/>
        <v>0</v>
      </c>
      <c r="O283" s="253"/>
      <c r="P283" s="41"/>
      <c r="Q283" s="256">
        <f t="array" ref="Q283">+INDEX('Réel 2024'!$A$2:$AO$501,MATCH($A283,'Réel 2024'!$A$2:$A$501,0),MATCH(Q$2,'Réel 2024'!$A$2:$AO$2,0))</f>
        <v>0</v>
      </c>
      <c r="R283" s="253"/>
      <c r="S283" s="276">
        <f t="shared" si="51"/>
        <v>0</v>
      </c>
      <c r="T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
        <v>509</v>
      </c>
      <c r="B284" s="41" t="s">
        <v>176</v>
      </c>
      <c r="C284" s="312" t="s">
        <v>59</v>
      </c>
      <c r="D284" s="297"/>
      <c r="E284" s="41"/>
      <c r="F284" s="254">
        <f>+INDEX('Budget original'!$A$2:$AO$501,MATCH($A284,'Budget original'!$A$2:$A$501,0),MATCH(F$2,'Budget original'!$A$2:$AO$2,0))</f>
        <v>0</v>
      </c>
      <c r="G284" s="298"/>
      <c r="H284" s="41"/>
      <c r="I284" s="254"/>
      <c r="J284" s="253"/>
      <c r="K284" s="41"/>
      <c r="L284" s="256">
        <f>SUMIFS(BV_Data_An_Cour!$O:$O,BV_Data_An_Cour!$U:$U,$B284,BV_Data_An_Cour!$V:$V,$C284,BV_Data_An_Cour!$W:$W,$L$2)</f>
        <v>0</v>
      </c>
      <c r="M284" s="253"/>
      <c r="N284" s="276">
        <f t="shared" si="50"/>
        <v>0</v>
      </c>
      <c r="O284" s="253"/>
      <c r="P284" s="41"/>
      <c r="Q284" s="256">
        <f t="array" ref="Q284">+INDEX('Réel 2024'!$A$2:$AO$501,MATCH($A284,'Réel 2024'!$A$2:$A$501,0),MATCH(Q$2,'Réel 2024'!$A$2:$AO$2,0))</f>
        <v>0</v>
      </c>
      <c r="R284" s="253"/>
      <c r="S284" s="276">
        <f t="shared" si="51"/>
        <v>0</v>
      </c>
      <c r="T284" s="4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304" t="s">
        <v>143</v>
      </c>
      <c r="D285" s="305" t="s">
        <v>119</v>
      </c>
      <c r="E285" s="306" t="e">
        <f>F285/F$244</f>
        <v>#DIV/0!</v>
      </c>
      <c r="F285" s="307">
        <f>+SUM(F267:F284)</f>
        <v>3793.9214370781542</v>
      </c>
      <c r="G285" s="308"/>
      <c r="H285" s="306"/>
      <c r="I285" s="307"/>
      <c r="J285" s="308" t="s">
        <v>119</v>
      </c>
      <c r="K285" s="306">
        <f>L285/L$250</f>
        <v>0.60138893701678164</v>
      </c>
      <c r="L285" s="307">
        <f>+SUM(L267:L284)</f>
        <v>2950.36</v>
      </c>
      <c r="M285" s="311"/>
      <c r="N285" s="307">
        <f>+SUM(N267:N284)</f>
        <v>-843.56143707815443</v>
      </c>
      <c r="O285" s="308" t="s">
        <v>119</v>
      </c>
      <c r="P285" s="306">
        <f>IF(Q$244=0,0,Q285/Q$244)</f>
        <v>0</v>
      </c>
      <c r="Q285" s="307">
        <f>+SUM(Q267:Q284)</f>
        <v>4247.92</v>
      </c>
      <c r="R285" s="311"/>
      <c r="S285" s="307">
        <f t="shared" si="51"/>
        <v>-1297.56</v>
      </c>
      <c r="T285" s="1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246"/>
      <c r="D286" s="299"/>
      <c r="E286" s="318"/>
      <c r="F286" s="276"/>
      <c r="G286" s="300"/>
      <c r="H286" s="318"/>
      <c r="I286" s="276"/>
      <c r="J286" s="246"/>
      <c r="K286" s="318"/>
      <c r="L286" s="296"/>
      <c r="M286" s="246"/>
      <c r="N286" s="296"/>
      <c r="O286" s="246"/>
      <c r="P286" s="318"/>
      <c r="Q286" s="296"/>
      <c r="R286" s="246"/>
      <c r="S286" s="296"/>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304" t="s">
        <v>144</v>
      </c>
      <c r="D287" s="305" t="s">
        <v>119</v>
      </c>
      <c r="E287" s="306" t="e">
        <f>F287/F$244</f>
        <v>#DIV/0!</v>
      </c>
      <c r="F287" s="307">
        <f>F266+F285</f>
        <v>10887.566533693538</v>
      </c>
      <c r="G287" s="308"/>
      <c r="H287" s="306"/>
      <c r="I287" s="307"/>
      <c r="J287" s="308" t="s">
        <v>119</v>
      </c>
      <c r="K287" s="306">
        <f>L287/L$250</f>
        <v>1.9540248394283624</v>
      </c>
      <c r="L287" s="307">
        <f>L266+L285</f>
        <v>9586.27</v>
      </c>
      <c r="M287" s="311"/>
      <c r="N287" s="320">
        <f>L287-F287</f>
        <v>-1301.2965336935376</v>
      </c>
      <c r="O287" s="308" t="s">
        <v>119</v>
      </c>
      <c r="P287" s="306">
        <f>IF(Q$244=0,0,Q287/Q$244)</f>
        <v>0</v>
      </c>
      <c r="Q287" s="307">
        <f>Q266+Q285</f>
        <v>13406.890000000001</v>
      </c>
      <c r="R287" s="311"/>
      <c r="S287" s="320">
        <f>L287-Q287</f>
        <v>-3820.6200000000008</v>
      </c>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253"/>
      <c r="D288" s="297"/>
      <c r="E288" s="41"/>
      <c r="F288" s="276"/>
      <c r="G288" s="298"/>
      <c r="H288" s="41"/>
      <c r="I288" s="276"/>
      <c r="J288" s="253"/>
      <c r="K288" s="41"/>
      <c r="L288" s="276"/>
      <c r="M288" s="253"/>
      <c r="N288" s="276">
        <f>L288-F288</f>
        <v>0</v>
      </c>
      <c r="O288" s="253"/>
      <c r="P288" s="41"/>
      <c r="Q288" s="276"/>
      <c r="R288" s="253"/>
      <c r="S288" s="276"/>
      <c r="T288" s="4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29.25" customHeight="1">
      <c r="B289" s="41"/>
      <c r="C289" s="332" t="s">
        <v>151</v>
      </c>
      <c r="D289" s="360"/>
      <c r="E289" s="333"/>
      <c r="F289" s="335">
        <f>F250-F287</f>
        <v>-1647.5665336935363</v>
      </c>
      <c r="G289" s="361"/>
      <c r="H289" s="333"/>
      <c r="I289" s="335"/>
      <c r="J289" s="332"/>
      <c r="K289" s="334"/>
      <c r="L289" s="335">
        <f>L250-L287</f>
        <v>-4680.3599999999988</v>
      </c>
      <c r="M289" s="332"/>
      <c r="N289" s="335">
        <f>L289-F289</f>
        <v>-3032.7934663064625</v>
      </c>
      <c r="O289" s="332"/>
      <c r="P289" s="1147">
        <f>+Q289/P250</f>
        <v>-7.7441401871209598E-2</v>
      </c>
      <c r="Q289" s="335">
        <f>Q250-Q287</f>
        <v>-5682.1800000000012</v>
      </c>
      <c r="R289" s="332"/>
      <c r="S289" s="335">
        <f>L289-Q289</f>
        <v>1001.8200000000024</v>
      </c>
      <c r="T289" s="1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customHeight="1">
      <c r="B290" s="41"/>
      <c r="C290" s="41"/>
      <c r="D290" s="41"/>
      <c r="E290" s="41"/>
      <c r="F290" s="41"/>
      <c r="G290" s="41"/>
      <c r="H290" s="41"/>
      <c r="I290" s="41"/>
      <c r="J290" s="41"/>
      <c r="K290" s="41"/>
      <c r="L290" s="291"/>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36" customHeight="1">
      <c r="B291" s="41"/>
      <c r="C291" s="339" t="str">
        <f>C1</f>
        <v>Volks</v>
      </c>
      <c r="D291" s="232"/>
      <c r="E291" s="232"/>
      <c r="F291" s="232"/>
      <c r="G291" s="232"/>
      <c r="H291" s="36"/>
      <c r="I291" s="36"/>
      <c r="J291" s="36"/>
      <c r="K291" s="9" t="s">
        <v>180</v>
      </c>
      <c r="L291" s="232"/>
      <c r="M291" s="232"/>
      <c r="N291" s="36"/>
      <c r="O291" s="36"/>
      <c r="P291" s="232"/>
      <c r="Q291" s="36"/>
      <c r="R291" s="232"/>
      <c r="S291" s="10" t="str">
        <f>$S$1</f>
        <v>Réalisé, Février 2025</v>
      </c>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37"/>
      <c r="D292" s="38"/>
      <c r="E292" s="38"/>
      <c r="F292" s="38"/>
      <c r="G292" s="38"/>
      <c r="H292" s="38"/>
      <c r="I292" s="38"/>
      <c r="J292" s="38"/>
      <c r="K292" s="38"/>
      <c r="L292" s="38"/>
      <c r="M292" s="38"/>
      <c r="N292" s="38"/>
      <c r="O292" s="38"/>
      <c r="P292" s="38"/>
      <c r="Q292" s="38"/>
      <c r="R292" s="38"/>
      <c r="S292" s="38"/>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B293" s="41"/>
      <c r="C293" s="238"/>
      <c r="D293" s="1239" t="s">
        <v>343</v>
      </c>
      <c r="E293" s="1240"/>
      <c r="F293" s="1241"/>
      <c r="G293" s="1242"/>
      <c r="H293" s="1240"/>
      <c r="I293" s="1241"/>
      <c r="J293" s="1242" t="s">
        <v>344</v>
      </c>
      <c r="K293" s="1240"/>
      <c r="L293" s="1241"/>
      <c r="M293" s="1242" t="s">
        <v>3310</v>
      </c>
      <c r="N293" s="1241"/>
      <c r="O293" s="1239" t="s">
        <v>345</v>
      </c>
      <c r="P293" s="1240"/>
      <c r="Q293" s="1241"/>
      <c r="R293" s="1243" t="s">
        <v>3312</v>
      </c>
      <c r="S293" s="1244"/>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
        <v>180</v>
      </c>
      <c r="B294" s="41" t="s">
        <v>180</v>
      </c>
      <c r="C294" s="253"/>
      <c r="D294" s="39" t="s">
        <v>163</v>
      </c>
      <c r="E294" s="39" t="s">
        <v>181</v>
      </c>
      <c r="F294" s="340" t="s">
        <v>95</v>
      </c>
      <c r="G294" s="341"/>
      <c r="H294" s="39"/>
      <c r="I294" s="340"/>
      <c r="J294" s="341" t="s">
        <v>163</v>
      </c>
      <c r="K294" s="39" t="s">
        <v>181</v>
      </c>
      <c r="L294" s="340" t="s">
        <v>95</v>
      </c>
      <c r="M294" s="341" t="s">
        <v>162</v>
      </c>
      <c r="N294" s="340" t="s">
        <v>3311</v>
      </c>
      <c r="O294" s="39" t="s">
        <v>163</v>
      </c>
      <c r="P294" s="39" t="s">
        <v>181</v>
      </c>
      <c r="Q294" s="340" t="s">
        <v>95</v>
      </c>
      <c r="R294" s="341" t="s">
        <v>458</v>
      </c>
      <c r="S294" s="340" t="s">
        <v>95</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
        <v>531</v>
      </c>
      <c r="B295" s="41" t="s">
        <v>180</v>
      </c>
      <c r="C295" s="253" t="s">
        <v>182</v>
      </c>
      <c r="D295" s="291">
        <f>+INDEX('Budget original'!$A$2:$AO$501,MATCH($A295,'Budget original'!$A$2:$A$501,0),MATCH(D$2,'Budget original'!$A$2:$AO$2,0))</f>
        <v>56769.396487999998</v>
      </c>
      <c r="E295" s="353">
        <f>IF(D295=0,0,F295/D295)</f>
        <v>0.35699999999999998</v>
      </c>
      <c r="F295" s="276">
        <f>+INDEX('Budget original'!$A$2:$AO$501,MATCH($A295,'Budget original'!$A$2:$A$501,0),MATCH(F$2,'Budget original'!$A$2:$AO$2,0))</f>
        <v>20266.674546216</v>
      </c>
      <c r="G295" s="291"/>
      <c r="H295" s="353"/>
      <c r="I295" s="276"/>
      <c r="J295" s="254">
        <f>-SUMIFS(BV_Data_An_Cour!$O:$O,BV_Data_An_Cour!$X:$X,"Oui",BV_Data_An_Cour!$U:$U,$B295,BV_Data_An_Cour!$V:$V,$C295)</f>
        <v>60578.83</v>
      </c>
      <c r="K295" s="1222">
        <f t="shared" ref="K295:K304" si="52">IF(J295&lt;=0,0,L295/J295)</f>
        <v>0.28341881148909609</v>
      </c>
      <c r="L295" s="276">
        <f>-SUMIFS(BV_Data_An_Cour!$O:$O,BV_Data_An_Cour!$U:$U,$B295,BV_Data_An_Cour!$V:$V,$C295,BV_Data_An_Cour!$W:$W,$L$2)</f>
        <v>17169.18</v>
      </c>
      <c r="M295" s="292">
        <f t="shared" ref="M295:M301" si="53">(+J295-D295)/D295</f>
        <v>6.7103646465666536E-2</v>
      </c>
      <c r="N295" s="276">
        <f t="shared" ref="N295:N304" si="54">L295-F295</f>
        <v>-3097.4945462159994</v>
      </c>
      <c r="O295" s="254">
        <f t="array" ref="O295">+INDEX('Réel 2024'!$A$2:$AO$501,MATCH($A295,'Réel 2024'!$A$2:$A$501,0),MATCH(O$2,'Réel 2024'!$A$2:$AO$2,0))</f>
        <v>51629.45</v>
      </c>
      <c r="P295" s="353">
        <f t="shared" ref="P295:P303" si="55">IF(O295=0,0,Q295/O295)</f>
        <v>0.37193597839992482</v>
      </c>
      <c r="Q295" s="276">
        <f t="array" ref="Q295">+INDEX('Réel 2024'!$A$2:$AO$501,MATCH($A295,'Réel 2024'!$A$2:$A$501,0),MATCH(Q$2,'Réel 2024'!$A$2:$AO$2,0))</f>
        <v>19202.849999999999</v>
      </c>
      <c r="R295" s="292">
        <f t="shared" ref="R295:R304" si="56">IF(O295=0,0,(J295-O295)/O295)</f>
        <v>0.1733386662069808</v>
      </c>
      <c r="S295" s="276">
        <f t="shared" ref="S295:S304" si="57">L295-Q295</f>
        <v>-2033.6699999999983</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
        <v>532</v>
      </c>
      <c r="B296" s="41" t="s">
        <v>180</v>
      </c>
      <c r="C296" s="253" t="s">
        <v>183</v>
      </c>
      <c r="D296" s="291">
        <f>+INDEX('Budget original'!$A$2:$AO$501,MATCH($A296,'Budget original'!$A$2:$A$501,0),MATCH(D$2,'Budget original'!$A$2:$AO$2,0))</f>
        <v>25200.000000000004</v>
      </c>
      <c r="E296" s="353">
        <f t="shared" ref="E296:E303" si="58">IF(D296=0,0,F296/D296)</f>
        <v>0.24800000000000003</v>
      </c>
      <c r="F296" s="276">
        <f>+INDEX('Budget original'!$A$2:$AO$501,MATCH($A296,'Budget original'!$A$2:$A$501,0),MATCH(F$2,'Budget original'!$A$2:$AO$2,0))</f>
        <v>6249.6000000000013</v>
      </c>
      <c r="G296" s="291"/>
      <c r="H296" s="353"/>
      <c r="I296" s="276"/>
      <c r="J296" s="254">
        <f>-SUMIFS(BV_Data_An_Cour!$O:$O,BV_Data_An_Cour!$X:$X,"Oui",BV_Data_An_Cour!$U:$U,$B296,BV_Data_An_Cour!$V:$V,$C296)</f>
        <v>10964.62</v>
      </c>
      <c r="K296" s="353">
        <f t="shared" si="52"/>
        <v>0.23183931590880491</v>
      </c>
      <c r="L296" s="276">
        <f>-SUMIFS(BV_Data_An_Cour!$O:$O,BV_Data_An_Cour!$U:$U,$B296,BV_Data_An_Cour!$V:$V,$C296,BV_Data_An_Cour!$W:$W,$L$2)</f>
        <v>2542.0300000000007</v>
      </c>
      <c r="M296" s="292">
        <f t="shared" si="53"/>
        <v>-0.56489603174603176</v>
      </c>
      <c r="N296" s="276">
        <f t="shared" si="54"/>
        <v>-3707.5700000000006</v>
      </c>
      <c r="O296" s="254">
        <f t="array" ref="O296">+INDEX('Réel 2024'!$A$2:$AO$501,MATCH($A296,'Réel 2024'!$A$2:$A$501,0),MATCH(O$2,'Réel 2024'!$A$2:$AO$2,0))</f>
        <v>57302.1899999999</v>
      </c>
      <c r="P296" s="353">
        <f t="shared" si="55"/>
        <v>0.23295130604955802</v>
      </c>
      <c r="Q296" s="276">
        <f t="array" ref="Q296">+INDEX('Réel 2024'!$A$2:$AO$501,MATCH($A296,'Réel 2024'!$A$2:$A$501,0),MATCH(Q$2,'Réel 2024'!$A$2:$AO$2,0))</f>
        <v>13348.619999999901</v>
      </c>
      <c r="R296" s="292">
        <f t="shared" si="56"/>
        <v>-0.80865268849235916</v>
      </c>
      <c r="S296" s="276">
        <f t="shared" si="57"/>
        <v>-10806.5899999999</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
        <v>533</v>
      </c>
      <c r="B297" s="41" t="s">
        <v>180</v>
      </c>
      <c r="C297" s="253" t="s">
        <v>184</v>
      </c>
      <c r="D297" s="291">
        <f>+INDEX('Budget original'!$A$2:$AO$501,MATCH($A297,'Budget original'!$A$2:$A$501,0),MATCH(D$2,'Budget original'!$A$2:$AO$2,0))</f>
        <v>32377.485000000001</v>
      </c>
      <c r="E297" s="353">
        <f t="shared" si="58"/>
        <v>0.23699999999999999</v>
      </c>
      <c r="F297" s="276">
        <f>+INDEX('Budget original'!$A$2:$AO$501,MATCH($A297,'Budget original'!$A$2:$A$501,0),MATCH(F$2,'Budget original'!$A$2:$AO$2,0))</f>
        <v>7673.4639449999995</v>
      </c>
      <c r="G297" s="291"/>
      <c r="H297" s="353"/>
      <c r="I297" s="276"/>
      <c r="J297" s="254">
        <f>-SUMIFS(BV_Data_An_Cour!$O:$O,BV_Data_An_Cour!$X:$X,"Oui",BV_Data_An_Cour!$U:$U,$B297,BV_Data_An_Cour!$V:$V,$C297)</f>
        <v>81364.36</v>
      </c>
      <c r="K297" s="353">
        <f t="shared" si="52"/>
        <v>0.23102350955627257</v>
      </c>
      <c r="L297" s="276">
        <f>-SUMIFS(BV_Data_An_Cour!$O:$O,BV_Data_An_Cour!$U:$U,$B297,BV_Data_An_Cour!$V:$V,$C297,BV_Data_An_Cour!$W:$W,$L$2)</f>
        <v>18797.080000000002</v>
      </c>
      <c r="M297" s="292">
        <f t="shared" si="53"/>
        <v>1.5129919757510504</v>
      </c>
      <c r="N297" s="276">
        <f t="shared" si="54"/>
        <v>11123.616055000002</v>
      </c>
      <c r="O297" s="254">
        <f t="array" ref="O297">+INDEX('Réel 2024'!$A$2:$AO$501,MATCH($A297,'Réel 2024'!$A$2:$A$501,0),MATCH(O$2,'Réel 2024'!$A$2:$AO$2,0))</f>
        <v>28873.4</v>
      </c>
      <c r="P297" s="353">
        <f t="shared" si="55"/>
        <v>0.23687234617329445</v>
      </c>
      <c r="Q297" s="276">
        <f t="array" ref="Q297">+INDEX('Réel 2024'!$A$2:$AO$501,MATCH($A297,'Réel 2024'!$A$2:$A$501,0),MATCH(Q$2,'Réel 2024'!$A$2:$AO$2,0))</f>
        <v>6839.31</v>
      </c>
      <c r="R297" s="292">
        <f t="shared" si="56"/>
        <v>1.8179694805599615</v>
      </c>
      <c r="S297" s="276">
        <f t="shared" si="57"/>
        <v>11957.77</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
        <v>534</v>
      </c>
      <c r="B298" s="41" t="s">
        <v>180</v>
      </c>
      <c r="C298" s="253" t="s">
        <v>185</v>
      </c>
      <c r="D298" s="291">
        <f>+INDEX('Budget original'!$A$2:$AO$501,MATCH($A298,'Budget original'!$A$2:$A$501,0),MATCH(D$2,'Budget original'!$A$2:$AO$2,0))</f>
        <v>49374.956399999995</v>
      </c>
      <c r="E298" s="353">
        <f t="shared" si="58"/>
        <v>0.29399999999999998</v>
      </c>
      <c r="F298" s="276">
        <f>+INDEX('Budget original'!$A$2:$AO$501,MATCH($A298,'Budget original'!$A$2:$A$501,0),MATCH(F$2,'Budget original'!$A$2:$AO$2,0))</f>
        <v>14516.237181599998</v>
      </c>
      <c r="G298" s="291"/>
      <c r="H298" s="353"/>
      <c r="I298" s="276"/>
      <c r="J298" s="254">
        <f>-SUMIFS(BV_Data_An_Cour!$O:$O,BV_Data_An_Cour!$X:$X,"Oui",BV_Data_An_Cour!$U:$U,$B298,BV_Data_An_Cour!$V:$V,$C298)</f>
        <v>63496.06</v>
      </c>
      <c r="K298" s="1222">
        <f t="shared" si="52"/>
        <v>0.25951720468955081</v>
      </c>
      <c r="L298" s="276">
        <f>-SUMIFS(BV_Data_An_Cour!$O:$O,BV_Data_An_Cour!$U:$U,$B298,BV_Data_An_Cour!$V:$V,$C298,BV_Data_An_Cour!$W:$W,$L$2)</f>
        <v>16478.32</v>
      </c>
      <c r="M298" s="292">
        <f t="shared" si="53"/>
        <v>0.28599728748317443</v>
      </c>
      <c r="N298" s="276">
        <f t="shared" si="54"/>
        <v>1962.082818400002</v>
      </c>
      <c r="O298" s="254">
        <f t="array" ref="O298">+INDEX('Réel 2024'!$A$2:$AO$501,MATCH($A298,'Réel 2024'!$A$2:$A$501,0),MATCH(O$2,'Réel 2024'!$A$2:$AO$2,0))</f>
        <v>66311.88</v>
      </c>
      <c r="P298" s="353">
        <f t="shared" si="55"/>
        <v>0.23333013631946489</v>
      </c>
      <c r="Q298" s="276">
        <f t="array" ref="Q298">+INDEX('Réel 2024'!$A$2:$AO$501,MATCH($A298,'Réel 2024'!$A$2:$A$501,0),MATCH(Q$2,'Réel 2024'!$A$2:$AO$2,0))</f>
        <v>15472.56</v>
      </c>
      <c r="R298" s="292">
        <f t="shared" si="56"/>
        <v>-4.2463281089301141E-2</v>
      </c>
      <c r="S298" s="276">
        <f t="shared" si="57"/>
        <v>1005.7600000000002</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
        <v>535</v>
      </c>
      <c r="B299" s="41" t="s">
        <v>180</v>
      </c>
      <c r="C299" s="253" t="s">
        <v>186</v>
      </c>
      <c r="D299" s="291">
        <f>+INDEX('Budget original'!$A$2:$AO$501,MATCH($A299,'Budget original'!$A$2:$A$501,0),MATCH(D$2,'Budget original'!$A$2:$AO$2,0))</f>
        <v>16940.980000000003</v>
      </c>
      <c r="E299" s="353">
        <f t="shared" si="58"/>
        <v>0.27700000000000002</v>
      </c>
      <c r="F299" s="276">
        <f>+INDEX('Budget original'!$A$2:$AO$501,MATCH($A299,'Budget original'!$A$2:$A$501,0),MATCH(F$2,'Budget original'!$A$2:$AO$2,0))</f>
        <v>4692.651460000001</v>
      </c>
      <c r="G299" s="291"/>
      <c r="H299" s="353"/>
      <c r="I299" s="276"/>
      <c r="J299" s="254">
        <f>-SUMIFS(BV_Data_An_Cour!$O:$O,BV_Data_An_Cour!$X:$X,"Oui",BV_Data_An_Cour!$U:$U,$B299,BV_Data_An_Cour!$V:$V,$C299)</f>
        <v>19021.86</v>
      </c>
      <c r="K299" s="353">
        <f t="shared" si="52"/>
        <v>0.28937180696314668</v>
      </c>
      <c r="L299" s="276">
        <f>-SUMIFS(BV_Data_An_Cour!$O:$O,BV_Data_An_Cour!$U:$U,$B299,BV_Data_An_Cour!$V:$V,$C299,BV_Data_An_Cour!$W:$W,$L$2)</f>
        <v>5504.3900000000012</v>
      </c>
      <c r="M299" s="292">
        <f t="shared" si="53"/>
        <v>0.1228311467223264</v>
      </c>
      <c r="N299" s="276">
        <f t="shared" si="54"/>
        <v>811.73854000000028</v>
      </c>
      <c r="O299" s="254">
        <f t="array" ref="O299">+INDEX('Réel 2024'!$A$2:$AO$501,MATCH($A299,'Réel 2024'!$A$2:$A$501,0),MATCH(O$2,'Réel 2024'!$A$2:$AO$2,0))</f>
        <v>15763.84</v>
      </c>
      <c r="P299" s="353">
        <f t="shared" si="55"/>
        <v>0.28004470991839553</v>
      </c>
      <c r="Q299" s="276">
        <f t="array" ref="Q299">+INDEX('Réel 2024'!$A$2:$AO$501,MATCH($A299,'Réel 2024'!$A$2:$A$501,0),MATCH(Q$2,'Réel 2024'!$A$2:$AO$2,0))</f>
        <v>4414.58</v>
      </c>
      <c r="R299" s="292">
        <f t="shared" si="56"/>
        <v>0.20667679956152818</v>
      </c>
      <c r="S299" s="276">
        <f t="shared" si="57"/>
        <v>1089.8100000000013</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
        <v>536</v>
      </c>
      <c r="B300" s="41" t="s">
        <v>180</v>
      </c>
      <c r="C300" s="253" t="s">
        <v>187</v>
      </c>
      <c r="D300" s="291">
        <f>+INDEX('Budget original'!$A$2:$AO$501,MATCH($A300,'Budget original'!$A$2:$A$501,0),MATCH(D$2,'Budget original'!$A$2:$AO$2,0))</f>
        <v>149847.52499999999</v>
      </c>
      <c r="E300" s="353">
        <f t="shared" si="58"/>
        <v>0.13500000000000001</v>
      </c>
      <c r="F300" s="276">
        <f>+INDEX('Budget original'!$A$2:$AO$501,MATCH($A300,'Budget original'!$A$2:$A$501,0),MATCH(F$2,'Budget original'!$A$2:$AO$2,0))</f>
        <v>20229.415874999999</v>
      </c>
      <c r="G300" s="291"/>
      <c r="H300" s="353"/>
      <c r="I300" s="276"/>
      <c r="J300" s="254">
        <f>-SUMIFS(BV_Data_An_Cour!$O:$O,BV_Data_An_Cour!$X:$X,"Oui",BV_Data_An_Cour!$U:$U,$B300,BV_Data_An_Cour!$V:$V,$C300)</f>
        <v>198781.86</v>
      </c>
      <c r="K300" s="1222">
        <f t="shared" si="52"/>
        <v>0.12800126731885897</v>
      </c>
      <c r="L300" s="276">
        <f>-SUMIFS(BV_Data_An_Cour!$O:$O,BV_Data_An_Cour!$U:$U,$B300,BV_Data_An_Cour!$V:$V,$C300,BV_Data_An_Cour!$W:$W,$L$2)</f>
        <v>25444.329999999994</v>
      </c>
      <c r="M300" s="292">
        <f t="shared" si="53"/>
        <v>0.32656084910311328</v>
      </c>
      <c r="N300" s="276">
        <f t="shared" si="54"/>
        <v>5214.9141249999957</v>
      </c>
      <c r="O300" s="254">
        <f t="array" ref="O300">+INDEX('Réel 2024'!$A$2:$AO$501,MATCH($A300,'Réel 2024'!$A$2:$A$501,0),MATCH(O$2,'Réel 2024'!$A$2:$AO$2,0))</f>
        <v>139767.99</v>
      </c>
      <c r="P300" s="353">
        <f t="shared" si="55"/>
        <v>0.15477871578463639</v>
      </c>
      <c r="Q300" s="276">
        <f t="array" ref="Q300">+INDEX('Réel 2024'!$A$2:$AO$501,MATCH($A300,'Réel 2024'!$A$2:$A$501,0),MATCH(Q$2,'Réel 2024'!$A$2:$AO$2,0))</f>
        <v>21633.109999999899</v>
      </c>
      <c r="R300" s="292">
        <f t="shared" si="56"/>
        <v>0.42222736407671024</v>
      </c>
      <c r="S300" s="276">
        <f t="shared" si="57"/>
        <v>3811.2200000000958</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hidden="1" customHeight="1">
      <c r="A301" s="5" t="s">
        <v>537</v>
      </c>
      <c r="B301" s="41" t="s">
        <v>180</v>
      </c>
      <c r="C301" s="253" t="s">
        <v>59</v>
      </c>
      <c r="D301" s="291">
        <f>+INDEX('Budget original'!$A$2:$AO$501,MATCH($A301,'Budget original'!$A$2:$A$501,0),MATCH(D$2,'Budget original'!$A$2:$AO$2,0))</f>
        <v>0</v>
      </c>
      <c r="E301" s="353">
        <f>IF(D301=0,0,F301/D301)</f>
        <v>0</v>
      </c>
      <c r="F301" s="276">
        <f>+INDEX('Budget original'!$A$2:$AO$501,MATCH($A301,'Budget original'!$A$2:$A$501,0),MATCH(F$2,'Budget original'!$A$2:$AO$2,0))</f>
        <v>0</v>
      </c>
      <c r="G301" s="291"/>
      <c r="H301" s="353"/>
      <c r="I301" s="276"/>
      <c r="J301" s="254">
        <f>-SUMIFS(BV_Data_An_Cour!$O:$O,BV_Data_An_Cour!$X:$X,"Oui",BV_Data_An_Cour!$U:$U,$B301,BV_Data_An_Cour!$V:$V,$C301)</f>
        <v>0</v>
      </c>
      <c r="K301" s="353">
        <f t="shared" si="52"/>
        <v>0</v>
      </c>
      <c r="L301" s="276">
        <f>-SUMIFS(BV_Data_An_Cour!$O:$O,BV_Data_An_Cour!$U:$U,$B301,BV_Data_An_Cour!$V:$V,$C301,BV_Data_An_Cour!$W:$W,$L$2)</f>
        <v>0</v>
      </c>
      <c r="M301" s="292" t="e">
        <f t="shared" si="53"/>
        <v>#DIV/0!</v>
      </c>
      <c r="N301" s="276">
        <f t="shared" si="54"/>
        <v>0</v>
      </c>
      <c r="O301" s="254">
        <f t="array" ref="O301">+INDEX('Réel 2024'!$A$2:$AO$501,MATCH($A301,'Réel 2024'!$A$2:$A$501,0),MATCH(O$2,'Réel 2024'!$A$2:$AO$2,0))</f>
        <v>0</v>
      </c>
      <c r="P301" s="353">
        <f t="shared" si="55"/>
        <v>0</v>
      </c>
      <c r="Q301" s="276">
        <f t="array" ref="Q301">+INDEX('Réel 2024'!$A$2:$AO$501,MATCH($A301,'Réel 2024'!$A$2:$A$501,0),MATCH(Q$2,'Réel 2024'!$A$2:$AO$2,0))</f>
        <v>0</v>
      </c>
      <c r="R301" s="292">
        <f t="shared" si="56"/>
        <v>0</v>
      </c>
      <c r="S301" s="276">
        <f t="shared" si="57"/>
        <v>0</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
        <v>538</v>
      </c>
      <c r="B302" s="41" t="s">
        <v>180</v>
      </c>
      <c r="C302" s="253" t="s">
        <v>188</v>
      </c>
      <c r="D302" s="291">
        <f>+INDEX('Budget original'!$A$2:$AO$501,MATCH($A302,'Budget original'!$A$2:$A$501,0),MATCH(D$2,'Budget original'!$A$2:$AO$2,0))</f>
        <v>0</v>
      </c>
      <c r="E302" s="353">
        <f t="shared" si="58"/>
        <v>0</v>
      </c>
      <c r="F302" s="276">
        <f>+INDEX('Budget original'!$A$2:$AO$501,MATCH($A302,'Budget original'!$A$2:$A$501,0),MATCH(F$2,'Budget original'!$A$2:$AO$2,0))</f>
        <v>8473.6781326650998</v>
      </c>
      <c r="G302" s="291"/>
      <c r="H302" s="353"/>
      <c r="I302" s="276"/>
      <c r="J302" s="254">
        <f>-SUMIFS(BV_Data_An_Cour!$O:$O,BV_Data_An_Cour!$X:$X,"Oui",BV_Data_An_Cour!$U:$U,$B302,BV_Data_An_Cour!$V:$V,$C302)</f>
        <v>0</v>
      </c>
      <c r="K302" s="353">
        <f t="shared" si="52"/>
        <v>0</v>
      </c>
      <c r="L302" s="276">
        <f>-SUMIFS(BV_Data_An_Cour!$O:$O,BV_Data_An_Cour!$U:$U,$B302,BV_Data_An_Cour!$V:$V,$C302,BV_Data_An_Cour!$W:$W,$L$2)</f>
        <v>5644.3099999999995</v>
      </c>
      <c r="M302" s="292"/>
      <c r="N302" s="276">
        <f t="shared" si="54"/>
        <v>-2829.3681326651003</v>
      </c>
      <c r="O302" s="254">
        <f t="array" ref="O302">+INDEX('Réel 2024'!$A$2:$AO$501,MATCH($A302,'Réel 2024'!$A$2:$A$501,0),MATCH(O$2,'Réel 2024'!$A$2:$AO$2,0))</f>
        <v>0</v>
      </c>
      <c r="P302" s="353">
        <f t="shared" si="55"/>
        <v>0</v>
      </c>
      <c r="Q302" s="276">
        <f t="array" ref="Q302">+INDEX('Réel 2024'!$A$2:$AO$501,MATCH($A302,'Réel 2024'!$A$2:$A$501,0),MATCH(Q$2,'Réel 2024'!$A$2:$AO$2,0))</f>
        <v>4787.8599999999997</v>
      </c>
      <c r="R302" s="292">
        <f t="shared" si="56"/>
        <v>0</v>
      </c>
      <c r="S302" s="276">
        <f t="shared" si="57"/>
        <v>856.44999999999982</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
        <v>539</v>
      </c>
      <c r="B303" s="41" t="s">
        <v>180</v>
      </c>
      <c r="C303" s="246" t="s">
        <v>189</v>
      </c>
      <c r="D303" s="291">
        <f>+INDEX('Budget original'!$A$2:$AO$501,MATCH($A303,'Budget original'!$A$2:$A$501,0),MATCH(D$2,'Budget original'!$A$2:$AO$2,0))</f>
        <v>0</v>
      </c>
      <c r="E303" s="353">
        <f t="shared" si="58"/>
        <v>0</v>
      </c>
      <c r="F303" s="276">
        <f>+INDEX('Budget original'!$A$2:$AO$501,MATCH($A303,'Budget original'!$A$2:$A$501,0),MATCH(F$2,'Budget original'!$A$2:$AO$2,0))</f>
        <v>0</v>
      </c>
      <c r="G303" s="291"/>
      <c r="H303" s="353"/>
      <c r="I303" s="276"/>
      <c r="J303" s="254">
        <f>-SUMIFS(BV_Data_An_Cour!$O:$O,BV_Data_An_Cour!$X:$X,"Oui",BV_Data_An_Cour!$U:$U,$B303,BV_Data_An_Cour!$V:$V,$C303)</f>
        <v>0</v>
      </c>
      <c r="K303" s="353">
        <f t="shared" si="52"/>
        <v>0</v>
      </c>
      <c r="L303" s="276">
        <f>-SUMIFS(BV_Data_An_Cour!$O:$O,BV_Data_An_Cour!$U:$U,$B303,BV_Data_An_Cour!$V:$V,$C303,BV_Data_An_Cour!$W:$W,$L$2)</f>
        <v>0</v>
      </c>
      <c r="M303" s="292"/>
      <c r="N303" s="276">
        <f t="shared" si="54"/>
        <v>0</v>
      </c>
      <c r="O303" s="254">
        <f t="array" ref="O303">+INDEX('Réel 2024'!$A$2:$AO$501,MATCH($A303,'Réel 2024'!$A$2:$A$501,0),MATCH(O$2,'Réel 2024'!$A$2:$AO$2,0))</f>
        <v>0</v>
      </c>
      <c r="P303" s="353">
        <f t="shared" si="55"/>
        <v>0</v>
      </c>
      <c r="Q303" s="276">
        <f t="array" ref="Q303">+INDEX('Réel 2024'!$A$2:$AO$501,MATCH($A303,'Réel 2024'!$A$2:$A$501,0),MATCH(Q$2,'Réel 2024'!$A$2:$AO$2,0))</f>
        <v>0</v>
      </c>
      <c r="R303" s="292">
        <f t="shared" si="56"/>
        <v>0</v>
      </c>
      <c r="S303" s="276">
        <f t="shared" si="57"/>
        <v>0</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
        <v>540</v>
      </c>
      <c r="B304" s="41" t="s">
        <v>180</v>
      </c>
      <c r="C304" s="270" t="s">
        <v>190</v>
      </c>
      <c r="D304" s="390">
        <f>SUM(D295:D303)</f>
        <v>330510.34288800001</v>
      </c>
      <c r="E304" s="407">
        <f>IF(D304&lt;=0,0,F304/D304)</f>
        <v>0.24840893154228125</v>
      </c>
      <c r="F304" s="392">
        <f>SUM(F295:F303)</f>
        <v>82101.721140481095</v>
      </c>
      <c r="G304" s="390"/>
      <c r="H304" s="407"/>
      <c r="I304" s="392"/>
      <c r="J304" s="390">
        <f t="shared" ref="J304" si="59">SUM(J295:J303)</f>
        <v>434207.58999999997</v>
      </c>
      <c r="K304" s="1223">
        <f t="shared" si="52"/>
        <v>0.21091211233778753</v>
      </c>
      <c r="L304" s="392">
        <f>SUM(L295:L303)</f>
        <v>91579.639999999985</v>
      </c>
      <c r="M304" s="408">
        <f>(+J304-D304)/D304</f>
        <v>0.31374887153573838</v>
      </c>
      <c r="N304" s="392">
        <f t="shared" si="54"/>
        <v>9477.9188595188898</v>
      </c>
      <c r="O304" s="390">
        <f>SUM(O295:O303)</f>
        <v>359648.74999999988</v>
      </c>
      <c r="P304" s="407">
        <f>IF(O304&lt;=0,0,Q304/O304)</f>
        <v>0.23828496553929304</v>
      </c>
      <c r="Q304" s="392">
        <f t="shared" ref="Q304" si="60">SUM(Q295:Q303)</f>
        <v>85698.889999999796</v>
      </c>
      <c r="R304" s="408">
        <f t="shared" si="56"/>
        <v>0.20731016026053228</v>
      </c>
      <c r="S304" s="392">
        <f t="shared" si="57"/>
        <v>5880.7500000001892</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
        <v>180</v>
      </c>
      <c r="B305" s="41" t="s">
        <v>180</v>
      </c>
      <c r="C305" s="253"/>
      <c r="D305" s="41"/>
      <c r="E305" s="41"/>
      <c r="F305" s="263"/>
      <c r="G305" s="253"/>
      <c r="H305" s="41"/>
      <c r="I305" s="263"/>
      <c r="J305" s="253"/>
      <c r="K305" s="41"/>
      <c r="L305" s="263"/>
      <c r="M305" s="253"/>
      <c r="N305" s="265">
        <f>N304/F304</f>
        <v>0.11544117136474627</v>
      </c>
      <c r="O305" s="253"/>
      <c r="P305" s="41"/>
      <c r="Q305" s="263"/>
      <c r="R305" s="253"/>
      <c r="S305" s="265">
        <f>IF(Q304=0,0,S304/Q304)</f>
        <v>6.862107548884476E-2</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
        <v>180</v>
      </c>
      <c r="B306" s="41" t="s">
        <v>180</v>
      </c>
      <c r="C306" s="246"/>
      <c r="D306" s="318"/>
      <c r="E306" s="318"/>
      <c r="F306" s="409"/>
      <c r="G306" s="246"/>
      <c r="H306" s="318"/>
      <c r="I306" s="409"/>
      <c r="J306" s="246"/>
      <c r="K306" s="318"/>
      <c r="L306" s="409"/>
      <c r="M306" s="246"/>
      <c r="N306" s="370"/>
      <c r="O306" s="246"/>
      <c r="P306" s="318"/>
      <c r="Q306" s="409"/>
      <c r="R306" s="246"/>
      <c r="S306" s="370"/>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
        <v>541</v>
      </c>
      <c r="B307" s="41" t="s">
        <v>180</v>
      </c>
      <c r="C307" s="253" t="s">
        <v>191</v>
      </c>
      <c r="D307" s="291">
        <f>+INDEX('Budget original'!$A$2:$AO$501,MATCH($A307,'Budget original'!$A$2:$A$501,0),MATCH(D$2,'Budget original'!$A$2:$AO$2,0))</f>
        <v>51783.39</v>
      </c>
      <c r="E307" s="353">
        <f>IF(D307=0,0,F307/D307)</f>
        <v>0.17099999999999999</v>
      </c>
      <c r="F307" s="317">
        <f>+INDEX('Budget original'!$A$2:$AO$501,MATCH($A307,'Budget original'!$A$2:$A$501,0),MATCH(F$2,'Budget original'!$A$2:$AO$2,0))</f>
        <v>8854.9596899999997</v>
      </c>
      <c r="G307" s="291"/>
      <c r="H307" s="353"/>
      <c r="I307" s="317"/>
      <c r="J307" s="254">
        <f>-SUMIFS(BV_Data_An_Cour!$O:$O,BV_Data_An_Cour!$X:$X,"Oui",BV_Data_An_Cour!$U:$U,$B307,BV_Data_An_Cour!$V:$V,$C307)</f>
        <v>49338.75</v>
      </c>
      <c r="K307" s="353">
        <f t="shared" ref="K307:K309" si="61">IF(J307&lt;=0,0,L307/J307)</f>
        <v>0.17106047477895156</v>
      </c>
      <c r="L307" s="317">
        <f>-SUMIFS(BV_Data_An_Cour!$O:$O,BV_Data_An_Cour!$U:$U,$B307,BV_Data_An_Cour!$V:$V,$C307,BV_Data_An_Cour!$W:$W,$L$2)</f>
        <v>8439.9099999999962</v>
      </c>
      <c r="M307" s="292">
        <f>(+J307-D307)/D307</f>
        <v>-4.7208960247677866E-2</v>
      </c>
      <c r="N307" s="276">
        <f>L307-F307</f>
        <v>-415.04969000000347</v>
      </c>
      <c r="O307" s="254">
        <f t="array" ref="O307">+INDEX('Réel 2024'!$A$2:$AO$501,MATCH($A307,'Réel 2024'!$A$2:$A$501,0),MATCH(O$2,'Réel 2024'!$A$2:$AO$2,0))</f>
        <v>51997.67</v>
      </c>
      <c r="P307" s="353">
        <f t="shared" ref="P307:P308" si="62">IF(O307=0,0,Q307/O307)</f>
        <v>0.14912898981819742</v>
      </c>
      <c r="Q307" s="317">
        <f t="array" ref="Q307">+INDEX('Réel 2024'!$A$2:$AO$501,MATCH($A307,'Réel 2024'!$A$2:$A$501,0),MATCH(Q$2,'Réel 2024'!$A$2:$AO$2,0))</f>
        <v>7754.3599999999897</v>
      </c>
      <c r="R307" s="292">
        <f t="shared" ref="R307:R309" si="63">IF(O307=0,0,(J307-O307)/O307)</f>
        <v>-5.1135368180920383E-2</v>
      </c>
      <c r="S307" s="276">
        <f t="shared" ref="S307:S309" si="64">L307-Q307</f>
        <v>685.55000000000655</v>
      </c>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
        <v>542</v>
      </c>
      <c r="B308" s="41" t="s">
        <v>180</v>
      </c>
      <c r="C308" s="246" t="s">
        <v>192</v>
      </c>
      <c r="D308" s="291">
        <f>+INDEX('Budget original'!$A$2:$AO$501,MATCH($A308,'Budget original'!$A$2:$A$501,0),MATCH(D$2,'Budget original'!$A$2:$AO$2,0))</f>
        <v>19582.513486755135</v>
      </c>
      <c r="E308" s="353">
        <f>IF(D308=0,0,F308/D308)</f>
        <v>0.25600000000000001</v>
      </c>
      <c r="F308" s="296">
        <f>+INDEX('Budget original'!$A$2:$AO$501,MATCH($A308,'Budget original'!$A$2:$A$501,0),MATCH(F$2,'Budget original'!$A$2:$AO$2,0))</f>
        <v>5013.1234526093149</v>
      </c>
      <c r="G308" s="291"/>
      <c r="H308" s="353"/>
      <c r="I308" s="296"/>
      <c r="J308" s="254">
        <f>-SUMIFS(BV_Data_An_Cour!$O:$O,BV_Data_An_Cour!$X:$X,"Oui",BV_Data_An_Cour!$U:$U,$B308,BV_Data_An_Cour!$V:$V,$C308)</f>
        <v>16154.19</v>
      </c>
      <c r="K308" s="353">
        <f t="shared" si="61"/>
        <v>0.25065199802651816</v>
      </c>
      <c r="L308" s="296">
        <f>-SUMIFS(BV_Data_An_Cour!$O:$O,BV_Data_An_Cour!$U:$U,$B308,BV_Data_An_Cour!$V:$V,$C308,BV_Data_An_Cour!$W:$W,$L$2)</f>
        <v>4049.08</v>
      </c>
      <c r="M308" s="292">
        <f>(+J308-D308)/D308</f>
        <v>-0.17507065622980023</v>
      </c>
      <c r="N308" s="276">
        <f>L308-F308</f>
        <v>-964.04345260931495</v>
      </c>
      <c r="O308" s="254">
        <f t="array" ref="O308">+INDEX('Réel 2024'!$A$2:$AO$501,MATCH($A308,'Réel 2024'!$A$2:$A$501,0),MATCH(O$2,'Réel 2024'!$A$2:$AO$2,0))</f>
        <v>14664.52</v>
      </c>
      <c r="P308" s="353">
        <f t="shared" si="62"/>
        <v>0.23962461778496602</v>
      </c>
      <c r="Q308" s="296">
        <f t="array" ref="Q308">+INDEX('Réel 2024'!$A$2:$AO$501,MATCH($A308,'Réel 2024'!$A$2:$A$501,0),MATCH(Q$2,'Réel 2024'!$A$2:$AO$2,0))</f>
        <v>3513.97999999999</v>
      </c>
      <c r="R308" s="292">
        <f t="shared" si="63"/>
        <v>0.10158327718875218</v>
      </c>
      <c r="S308" s="276">
        <f t="shared" si="64"/>
        <v>535.10000000000991</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
        <v>543</v>
      </c>
      <c r="B309" s="41" t="s">
        <v>180</v>
      </c>
      <c r="C309" s="270" t="s">
        <v>193</v>
      </c>
      <c r="D309" s="390">
        <f>D304+D307+D308</f>
        <v>401876.24637475517</v>
      </c>
      <c r="E309" s="407">
        <f>IF(D309&lt;=0,0,F309/D309)</f>
        <v>0.23880437111875791</v>
      </c>
      <c r="F309" s="392">
        <f>F304+F307+F308</f>
        <v>95969.804283090416</v>
      </c>
      <c r="G309" s="393"/>
      <c r="H309" s="407"/>
      <c r="I309" s="392"/>
      <c r="J309" s="393">
        <f t="shared" ref="J309" si="65">J304+J307+J308</f>
        <v>499700.52999999997</v>
      </c>
      <c r="K309" s="407">
        <f t="shared" si="61"/>
        <v>0.20826199644014787</v>
      </c>
      <c r="L309" s="392">
        <f>L304+L307+L308</f>
        <v>104068.62999999999</v>
      </c>
      <c r="M309" s="408">
        <f>(+J309-D309)/D309</f>
        <v>0.24341892437708873</v>
      </c>
      <c r="N309" s="392">
        <f>L309-F309</f>
        <v>8098.8257169095741</v>
      </c>
      <c r="O309" s="393">
        <f>O304+O307+O308</f>
        <v>426310.93999999989</v>
      </c>
      <c r="P309" s="407">
        <f>IF(O309&lt;=0,0,Q309/O309)</f>
        <v>0.22745658368513791</v>
      </c>
      <c r="Q309" s="392">
        <f t="shared" ref="Q309" si="66">Q304+Q307+Q308</f>
        <v>96967.229999999778</v>
      </c>
      <c r="R309" s="408">
        <f t="shared" si="63"/>
        <v>0.17215037925135138</v>
      </c>
      <c r="S309" s="392">
        <f t="shared" si="64"/>
        <v>7101.4000000002125</v>
      </c>
      <c r="T309" s="41"/>
      <c r="U309" s="29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
        <v>180</v>
      </c>
      <c r="B310" s="41" t="s">
        <v>180</v>
      </c>
      <c r="C310" s="253"/>
      <c r="D310" s="41"/>
      <c r="E310" s="41"/>
      <c r="F310" s="263"/>
      <c r="G310" s="253"/>
      <c r="H310" s="41"/>
      <c r="I310" s="263"/>
      <c r="J310" s="253"/>
      <c r="K310" s="41"/>
      <c r="L310" s="263"/>
      <c r="M310" s="253"/>
      <c r="N310" s="265">
        <f>N309/F309</f>
        <v>8.4389311590339064E-2</v>
      </c>
      <c r="O310" s="253"/>
      <c r="P310" s="41"/>
      <c r="Q310" s="263"/>
      <c r="R310" s="253"/>
      <c r="S310" s="265">
        <f>IF(Q309=0,0,S309/Q309)</f>
        <v>7.3235050645462679E-2</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
        <v>180</v>
      </c>
      <c r="B311" s="41" t="s">
        <v>180</v>
      </c>
      <c r="C311" s="253"/>
      <c r="D311" s="41"/>
      <c r="E311" s="41"/>
      <c r="F311" s="263"/>
      <c r="G311" s="253"/>
      <c r="H311" s="41"/>
      <c r="I311" s="263"/>
      <c r="J311" s="253"/>
      <c r="K311" s="41"/>
      <c r="L311" s="263"/>
      <c r="M311" s="253"/>
      <c r="N311" s="265"/>
      <c r="O311" s="253"/>
      <c r="P311" s="41"/>
      <c r="Q311" s="263"/>
      <c r="R311" s="253"/>
      <c r="S311" s="265"/>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
        <v>544</v>
      </c>
      <c r="B312" s="41" t="s">
        <v>180</v>
      </c>
      <c r="C312" s="246" t="s">
        <v>194</v>
      </c>
      <c r="D312" s="294">
        <f>+INDEX('Budget original'!$A$2:$AO$501,MATCH($A312,'Budget original'!$A$2:$A$501,0),MATCH(D$2,'Budget original'!$A$2:$AO$2,0))</f>
        <v>0</v>
      </c>
      <c r="E312" s="354">
        <f>IF(D312=0,0,F312/D312)</f>
        <v>0</v>
      </c>
      <c r="F312" s="296">
        <f>+INDEX('Budget original'!$A$2:$AO$501,MATCH($A312,'Budget original'!$A$2:$A$501,0),MATCH(F$2,'Budget original'!$A$2:$AO$2,0))</f>
        <v>0</v>
      </c>
      <c r="G312" s="365"/>
      <c r="H312" s="354"/>
      <c r="I312" s="296"/>
      <c r="J312" s="267">
        <f>-SUMIFS(BV_Data_An_Cour!$O:$O,BV_Data_An_Cour!$X:$X,"Oui",BV_Data_An_Cour!$U:$U,$B312,BV_Data_An_Cour!$V:$V,$C312)</f>
        <v>0</v>
      </c>
      <c r="K312" s="354">
        <f>IF(J312&lt;=0,0,L312/J312)</f>
        <v>0</v>
      </c>
      <c r="L312" s="248">
        <f>-SUMIFS(BV_Data_An_Cour!$O:$O,BV_Data_An_Cour!$U:$U,$B312,BV_Data_An_Cour!$V:$V,$C312,BV_Data_An_Cour!$W:$W,$L$2)</f>
        <v>0</v>
      </c>
      <c r="M312" s="354">
        <f>IF(F312=0,0,(+L312-F312)/F312)</f>
        <v>0</v>
      </c>
      <c r="N312" s="296">
        <f>L312-F312</f>
        <v>0</v>
      </c>
      <c r="O312" s="267">
        <f t="array" ref="O312">+INDEX('Réel 2024'!$A$2:$AO$501,MATCH($A312,'Réel 2024'!$A$2:$A$501,0),MATCH(O$2,'Réel 2024'!$A$2:$AO$2,0))</f>
        <v>0</v>
      </c>
      <c r="P312" s="354">
        <f>IF(O312=0,0,Q312/O312)</f>
        <v>0</v>
      </c>
      <c r="Q312" s="248">
        <f t="array" ref="Q312">+INDEX('Réel 2024'!$A$2:$AO$501,MATCH($A312,'Réel 2024'!$A$2:$A$501,0),MATCH(Q$2,'Réel 2024'!$A$2:$AO$2,0))</f>
        <v>0</v>
      </c>
      <c r="R312" s="354">
        <f>IF(S312=0,0,(+O312-K312)/K312)</f>
        <v>0</v>
      </c>
      <c r="S312" s="296">
        <f>L312-Q312</f>
        <v>0</v>
      </c>
      <c r="T312" s="41"/>
      <c r="U312" s="29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
        <v>180</v>
      </c>
      <c r="B313" s="41" t="s">
        <v>180</v>
      </c>
      <c r="C313" s="253"/>
      <c r="D313" s="291"/>
      <c r="E313" s="353"/>
      <c r="F313" s="276"/>
      <c r="G313" s="277"/>
      <c r="H313" s="353"/>
      <c r="I313" s="276"/>
      <c r="J313" s="277"/>
      <c r="K313" s="353"/>
      <c r="L313" s="276"/>
      <c r="M313" s="292"/>
      <c r="N313" s="276"/>
      <c r="O313" s="277"/>
      <c r="P313" s="353"/>
      <c r="Q313" s="276"/>
      <c r="R313" s="292"/>
      <c r="S313" s="276"/>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
        <v>545</v>
      </c>
      <c r="B314" s="41" t="s">
        <v>180</v>
      </c>
      <c r="C314" s="278" t="s">
        <v>195</v>
      </c>
      <c r="D314" s="279">
        <f>D309+D312</f>
        <v>401876.24637475517</v>
      </c>
      <c r="E314" s="410">
        <f>IF(D314&lt;=0,0,F314/D314)</f>
        <v>0.23880437111875791</v>
      </c>
      <c r="F314" s="281">
        <f>F309+F312</f>
        <v>95969.804283090416</v>
      </c>
      <c r="G314" s="282"/>
      <c r="H314" s="410"/>
      <c r="I314" s="281"/>
      <c r="J314" s="282">
        <f t="shared" ref="J314" si="67">J309+J312</f>
        <v>499700.52999999997</v>
      </c>
      <c r="K314" s="410">
        <f>IF(J314&lt;=0,0,L314/J314)</f>
        <v>0.20826199644014787</v>
      </c>
      <c r="L314" s="281">
        <f>L309+L312</f>
        <v>104068.62999999999</v>
      </c>
      <c r="M314" s="411">
        <f>(+J314-D314)/D314</f>
        <v>0.24341892437708873</v>
      </c>
      <c r="N314" s="412">
        <f>L314-F314</f>
        <v>8098.8257169095741</v>
      </c>
      <c r="O314" s="282">
        <f>O309+O312</f>
        <v>426310.93999999989</v>
      </c>
      <c r="P314" s="410">
        <f>IF(O314&lt;=0,0,Q314/O314)</f>
        <v>0.22745658368513791</v>
      </c>
      <c r="Q314" s="281">
        <f t="shared" ref="Q314" si="68">Q309+Q312</f>
        <v>96967.229999999778</v>
      </c>
      <c r="R314" s="411">
        <f>IF(O314=0,0,(J314-O314)/O314)</f>
        <v>0.17215037925135138</v>
      </c>
      <c r="S314" s="412">
        <f>L314-Q314</f>
        <v>7101.4000000002125</v>
      </c>
      <c r="T314" s="41"/>
      <c r="U314" s="291"/>
      <c r="V314" s="291"/>
      <c r="W314" s="291"/>
      <c r="X314" s="41"/>
      <c r="Y314" s="41"/>
      <c r="Z314" s="41"/>
      <c r="AA314" s="41"/>
      <c r="AB314" s="41"/>
      <c r="AC314" s="41"/>
      <c r="AD314" s="41"/>
      <c r="AE314" s="41"/>
      <c r="AF314" s="41"/>
      <c r="AG314" s="41"/>
      <c r="AH314" s="41"/>
      <c r="AI314" s="41"/>
      <c r="AJ314" s="41"/>
      <c r="AK314" s="41"/>
      <c r="AL314" s="41"/>
      <c r="AM314" s="41"/>
      <c r="AN314" s="41"/>
    </row>
    <row r="315" spans="1:40" ht="15.75" customHeight="1">
      <c r="A315" s="5" t="s">
        <v>180</v>
      </c>
      <c r="B315" s="41" t="s">
        <v>180</v>
      </c>
      <c r="C315" s="332"/>
      <c r="D315" s="413"/>
      <c r="E315" s="414"/>
      <c r="F315" s="335"/>
      <c r="G315" s="415"/>
      <c r="H315" s="414"/>
      <c r="I315" s="335"/>
      <c r="J315" s="415"/>
      <c r="K315" s="414"/>
      <c r="L315" s="953">
        <f>L314/F314</f>
        <v>1.0843893115903391</v>
      </c>
      <c r="M315" s="416"/>
      <c r="N315" s="287">
        <f>N314/F314</f>
        <v>8.4389311590339064E-2</v>
      </c>
      <c r="O315" s="415"/>
      <c r="P315" s="414"/>
      <c r="Q315" s="335"/>
      <c r="R315" s="416"/>
      <c r="S315" s="287">
        <f>IF(Q314=0,0,S314/Q314)</f>
        <v>7.3235050645462679E-2</v>
      </c>
      <c r="T315" s="41"/>
      <c r="U315" s="41"/>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
        <v>180</v>
      </c>
      <c r="B316" s="41" t="s">
        <v>180</v>
      </c>
      <c r="C316" s="270"/>
      <c r="D316" s="319"/>
      <c r="E316" s="372"/>
      <c r="F316" s="374"/>
      <c r="G316" s="373"/>
      <c r="H316" s="372"/>
      <c r="I316" s="374"/>
      <c r="J316" s="373"/>
      <c r="K316" s="372"/>
      <c r="L316" s="374"/>
      <c r="M316" s="253"/>
      <c r="N316" s="265"/>
      <c r="O316" s="373"/>
      <c r="P316" s="372"/>
      <c r="Q316" s="374"/>
      <c r="R316" s="253"/>
      <c r="S316" s="265"/>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
        <v>546</v>
      </c>
      <c r="B317" s="41" t="s">
        <v>180</v>
      </c>
      <c r="C317" s="289" t="s">
        <v>110</v>
      </c>
      <c r="D317" s="41"/>
      <c r="E317" s="41"/>
      <c r="F317" s="276"/>
      <c r="G317" s="253"/>
      <c r="H317" s="41"/>
      <c r="I317" s="276"/>
      <c r="J317" s="253"/>
      <c r="K317" s="41"/>
      <c r="L317" s="263"/>
      <c r="M317" s="253"/>
      <c r="N317" s="263"/>
      <c r="O317" s="253"/>
      <c r="P317" s="41"/>
      <c r="Q317" s="263"/>
      <c r="R317" s="253"/>
      <c r="S317" s="263"/>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
        <v>547</v>
      </c>
      <c r="B318" s="41" t="s">
        <v>180</v>
      </c>
      <c r="C318" s="312" t="s">
        <v>120</v>
      </c>
      <c r="D318" s="41"/>
      <c r="E318" s="41"/>
      <c r="F318" s="254">
        <f>+INDEX('Budget original'!$A$2:$AO$501,MATCH($A318,'Budget original'!$A$2:$A$501,0),MATCH(F$2,'Budget original'!$A$2:$AO$2,0))</f>
        <v>6935.8538461538465</v>
      </c>
      <c r="G318" s="253"/>
      <c r="H318" s="41"/>
      <c r="I318" s="254"/>
      <c r="J318" s="253"/>
      <c r="K318" s="41"/>
      <c r="L318" s="256">
        <f>SUMIFS(BV_Data_An_Cour!$O:$O,BV_Data_An_Cour!$U:$U,$B318,BV_Data_An_Cour!$V:$V,$C318,BV_Data_An_Cour!$W:$W,$L$2)</f>
        <v>5512.68</v>
      </c>
      <c r="M318" s="253"/>
      <c r="N318" s="256">
        <f t="shared" ref="N318:N348" si="69">L318-F318</f>
        <v>-1423.1738461538462</v>
      </c>
      <c r="O318" s="253"/>
      <c r="P318" s="41"/>
      <c r="Q318" s="256">
        <f t="array" ref="Q318">+INDEX('Réel 2024'!$A$2:$AO$501,MATCH($A318,'Réel 2024'!$A$2:$A$501,0),MATCH(Q$2,'Réel 2024'!$A$2:$AO$2,0))</f>
        <v>8856.35</v>
      </c>
      <c r="R318" s="253"/>
      <c r="S318" s="256">
        <f t="shared" ref="S318:S348" si="70">L318-Q318</f>
        <v>-3343.67</v>
      </c>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
        <v>548</v>
      </c>
      <c r="B319" s="41" t="s">
        <v>180</v>
      </c>
      <c r="C319" s="313" t="s">
        <v>121</v>
      </c>
      <c r="D319" s="297"/>
      <c r="E319" s="41"/>
      <c r="F319" s="248">
        <f>+INDEX('Budget original'!$A$2:$AO$501,MATCH($A319,'Budget original'!$A$2:$A$501,0),MATCH(F$2,'Budget original'!$A$2:$AO$2,0))</f>
        <v>26364.924123076926</v>
      </c>
      <c r="G319" s="298"/>
      <c r="H319" s="41"/>
      <c r="I319" s="248"/>
      <c r="J319" s="253"/>
      <c r="K319" s="41"/>
      <c r="L319" s="256">
        <f>SUMIFS(BV_Data_An_Cour!$O:$O,BV_Data_An_Cour!$U:$U,$B319,BV_Data_An_Cour!$V:$V,$C319,BV_Data_An_Cour!$W:$W,$L$2)</f>
        <v>25401.96</v>
      </c>
      <c r="M319" s="253"/>
      <c r="N319" s="256">
        <f t="shared" si="69"/>
        <v>-962.96412307692663</v>
      </c>
      <c r="O319" s="253"/>
      <c r="P319" s="41"/>
      <c r="Q319" s="256">
        <f t="array" ref="Q319">+INDEX('Réel 2024'!$A$2:$AO$501,MATCH($A319,'Réel 2024'!$A$2:$A$501,0),MATCH(Q$2,'Réel 2024'!$A$2:$AO$2,0))</f>
        <v>21764.62</v>
      </c>
      <c r="R319" s="253"/>
      <c r="S319" s="276">
        <f t="shared" si="70"/>
        <v>3637.34</v>
      </c>
      <c r="T319" s="41"/>
      <c r="U319" s="41"/>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
        <v>549</v>
      </c>
      <c r="B320" s="41" t="s">
        <v>180</v>
      </c>
      <c r="C320" s="312" t="s">
        <v>122</v>
      </c>
      <c r="D320" s="314"/>
      <c r="E320" s="315"/>
      <c r="F320" s="254">
        <f>+INDEX('Budget original'!$A$2:$AO$501,MATCH($A320,'Budget original'!$A$2:$A$501,0),MATCH(F$2,'Budget original'!$A$2:$AO$2,0))</f>
        <v>140.24615384615385</v>
      </c>
      <c r="G320" s="316"/>
      <c r="H320" s="315"/>
      <c r="I320" s="254"/>
      <c r="J320" s="241"/>
      <c r="K320" s="315"/>
      <c r="L320" s="272">
        <f>SUMIFS(BV_Data_An_Cour!$O:$O,BV_Data_An_Cour!$U:$U,$B320,BV_Data_An_Cour!$V:$V,$C320,BV_Data_An_Cour!$W:$W,$L$2)</f>
        <v>113.92</v>
      </c>
      <c r="M320" s="241"/>
      <c r="N320" s="272">
        <f t="shared" si="69"/>
        <v>-26.326153846153844</v>
      </c>
      <c r="O320" s="241"/>
      <c r="P320" s="315"/>
      <c r="Q320" s="272">
        <f t="array" ref="Q320">+INDEX('Réel 2024'!$A$2:$AO$501,MATCH($A320,'Réel 2024'!$A$2:$A$501,0),MATCH(Q$2,'Réel 2024'!$A$2:$AO$2,0))</f>
        <v>2429.1799999999998</v>
      </c>
      <c r="R320" s="241"/>
      <c r="S320" s="317">
        <f t="shared" si="70"/>
        <v>-2315.2599999999998</v>
      </c>
      <c r="T320" s="41"/>
      <c r="U320" s="417"/>
      <c r="V320" s="417"/>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
        <v>550</v>
      </c>
      <c r="B321" s="41" t="s">
        <v>180</v>
      </c>
      <c r="C321" s="312" t="s">
        <v>123</v>
      </c>
      <c r="D321" s="297"/>
      <c r="E321" s="41"/>
      <c r="F321" s="254">
        <f>+INDEX('Budget original'!$A$2:$AO$501,MATCH($A321,'Budget original'!$A$2:$A$501,0),MATCH(F$2,'Budget original'!$A$2:$AO$2,0))</f>
        <v>0</v>
      </c>
      <c r="G321" s="298"/>
      <c r="H321" s="41"/>
      <c r="I321" s="254"/>
      <c r="J321" s="253"/>
      <c r="K321" s="41"/>
      <c r="L321" s="256">
        <f>SUMIFS(BV_Data_An_Cour!$O:$O,BV_Data_An_Cour!$U:$U,$B321,BV_Data_An_Cour!$V:$V,$C321,BV_Data_An_Cour!$W:$W,$L$2)</f>
        <v>0</v>
      </c>
      <c r="M321" s="253"/>
      <c r="N321" s="256">
        <f t="shared" si="69"/>
        <v>0</v>
      </c>
      <c r="O321" s="253"/>
      <c r="P321" s="41"/>
      <c r="Q321" s="256">
        <f t="array" ref="Q321">+INDEX('Réel 2024'!$A$2:$AO$501,MATCH($A321,'Réel 2024'!$A$2:$A$501,0),MATCH(Q$2,'Réel 2024'!$A$2:$AO$2,0))</f>
        <v>0</v>
      </c>
      <c r="R321" s="253"/>
      <c r="S321" s="276">
        <f t="shared" si="70"/>
        <v>0</v>
      </c>
      <c r="T321" s="41"/>
      <c r="U321" s="41"/>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
        <v>537</v>
      </c>
      <c r="B322" s="41" t="s">
        <v>180</v>
      </c>
      <c r="C322" s="253" t="s">
        <v>59</v>
      </c>
      <c r="D322" s="297"/>
      <c r="E322" s="41"/>
      <c r="F322" s="254">
        <f>+INDEX('Budget original'!$A$2:$AO$501,MATCH($A322,'Budget original'!$A$2:$A$501,0),MATCH(F$2,'Budget original'!$A$2:$AO$2,0))</f>
        <v>0</v>
      </c>
      <c r="G322" s="298"/>
      <c r="H322" s="41"/>
      <c r="I322" s="254"/>
      <c r="J322" s="253"/>
      <c r="K322" s="41"/>
      <c r="L322" s="256">
        <f>SUMIFS(BV_Data_An_Cour!$O:$O,BV_Data_An_Cour!$U:$U,$B322,BV_Data_An_Cour!$V:$V,$C322,BV_Data_An_Cour!$W:$W,$L$2)</f>
        <v>0</v>
      </c>
      <c r="M322" s="253"/>
      <c r="N322" s="256">
        <f t="shared" si="69"/>
        <v>0</v>
      </c>
      <c r="O322" s="253"/>
      <c r="P322" s="41"/>
      <c r="Q322" s="256">
        <f t="array" ref="Q322">+INDEX('Réel 2024'!$A$2:$AO$501,MATCH($A322,'Réel 2024'!$A$2:$A$501,0),MATCH(Q$2,'Réel 2024'!$A$2:$AO$2,0))</f>
        <v>0</v>
      </c>
      <c r="R322" s="253"/>
      <c r="S322" s="276">
        <f t="shared" si="70"/>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
        <v>537</v>
      </c>
      <c r="B323" s="41" t="s">
        <v>180</v>
      </c>
      <c r="C323" s="253" t="s">
        <v>59</v>
      </c>
      <c r="D323" s="297"/>
      <c r="E323" s="41"/>
      <c r="F323" s="254">
        <f>+INDEX('Budget original'!$A$2:$AO$501,MATCH($A323,'Budget original'!$A$2:$A$501,0),MATCH(F$2,'Budget original'!$A$2:$AO$2,0))</f>
        <v>0</v>
      </c>
      <c r="G323" s="298"/>
      <c r="H323" s="41"/>
      <c r="I323" s="254"/>
      <c r="J323" s="253"/>
      <c r="K323" s="41"/>
      <c r="L323" s="256">
        <f>SUMIFS(BV_Data_An_Cour!$O:$O,BV_Data_An_Cour!$U:$U,$B323,BV_Data_An_Cour!$V:$V,$C323,BV_Data_An_Cour!$W:$W,$L$2)</f>
        <v>0</v>
      </c>
      <c r="M323" s="253"/>
      <c r="N323" s="256">
        <f t="shared" si="69"/>
        <v>0</v>
      </c>
      <c r="O323" s="253"/>
      <c r="P323" s="41"/>
      <c r="Q323" s="256">
        <f t="array" ref="Q323">+INDEX('Réel 2024'!$A$2:$AO$501,MATCH($A323,'Réel 2024'!$A$2:$A$501,0),MATCH(Q$2,'Réel 2024'!$A$2:$AO$2,0))</f>
        <v>0</v>
      </c>
      <c r="R323" s="253"/>
      <c r="S323" s="276">
        <f t="shared" si="70"/>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
        <v>537</v>
      </c>
      <c r="B324" s="41" t="s">
        <v>180</v>
      </c>
      <c r="C324" s="253" t="s">
        <v>59</v>
      </c>
      <c r="D324" s="297"/>
      <c r="E324" s="41"/>
      <c r="F324" s="254">
        <f>+INDEX('Budget original'!$A$2:$AO$501,MATCH($A324,'Budget original'!$A$2:$A$501,0),MATCH(F$2,'Budget original'!$A$2:$AO$2,0))</f>
        <v>0</v>
      </c>
      <c r="G324" s="298"/>
      <c r="H324" s="41"/>
      <c r="I324" s="254"/>
      <c r="J324" s="253"/>
      <c r="K324" s="41"/>
      <c r="L324" s="256">
        <f>SUMIFS(BV_Data_An_Cour!$O:$O,BV_Data_An_Cour!$U:$U,$B324,BV_Data_An_Cour!$V:$V,$C324,BV_Data_An_Cour!$W:$W,$L$2)</f>
        <v>0</v>
      </c>
      <c r="M324" s="253"/>
      <c r="N324" s="256">
        <f t="shared" si="69"/>
        <v>0</v>
      </c>
      <c r="O324" s="253"/>
      <c r="P324" s="41"/>
      <c r="Q324" s="256">
        <f t="array" ref="Q324">+INDEX('Réel 2024'!$A$2:$AO$501,MATCH($A324,'Réel 2024'!$A$2:$A$501,0),MATCH(Q$2,'Réel 2024'!$A$2:$AO$2,0))</f>
        <v>0</v>
      </c>
      <c r="R324" s="253"/>
      <c r="S324" s="276">
        <f t="shared" si="70"/>
        <v>0</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
        <v>551</v>
      </c>
      <c r="B325" s="41" t="s">
        <v>180</v>
      </c>
      <c r="C325" s="313" t="s">
        <v>124</v>
      </c>
      <c r="D325" s="297"/>
      <c r="E325" s="41"/>
      <c r="F325" s="248">
        <f>+INDEX('Budget original'!$A$2:$AO$501,MATCH($A325,'Budget original'!$A$2:$A$501,0),MATCH(F$2,'Budget original'!$A$2:$AO$2,0))</f>
        <v>4125.0641995076921</v>
      </c>
      <c r="G325" s="298"/>
      <c r="H325" s="41"/>
      <c r="I325" s="248"/>
      <c r="J325" s="253"/>
      <c r="K325" s="41"/>
      <c r="L325" s="256">
        <f>SUMIFS(BV_Data_An_Cour!$O:$O,BV_Data_An_Cour!$U:$U,$B325,BV_Data_An_Cour!$V:$V,$C325,BV_Data_An_Cour!$W:$W,$L$2)</f>
        <v>3031.99</v>
      </c>
      <c r="M325" s="253"/>
      <c r="N325" s="256">
        <f t="shared" si="69"/>
        <v>-1093.0741995076924</v>
      </c>
      <c r="O325" s="253"/>
      <c r="P325" s="41"/>
      <c r="Q325" s="256">
        <f t="array" ref="Q325">+INDEX('Réel 2024'!$A$2:$AO$501,MATCH($A325,'Réel 2024'!$A$2:$A$501,0),MATCH(Q$2,'Réel 2024'!$A$2:$AO$2,0))</f>
        <v>4202.88</v>
      </c>
      <c r="R325" s="253"/>
      <c r="S325" s="276">
        <f t="shared" si="70"/>
        <v>-1170.8900000000003</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
        <v>552</v>
      </c>
      <c r="B326" s="41" t="s">
        <v>180</v>
      </c>
      <c r="C326" s="312" t="s">
        <v>125</v>
      </c>
      <c r="D326" s="314"/>
      <c r="E326" s="315"/>
      <c r="F326" s="254">
        <f>+INDEX('Budget original'!$A$2:$AO$501,MATCH($A326,'Budget original'!$A$2:$A$501,0),MATCH(F$2,'Budget original'!$A$2:$AO$2,0))</f>
        <v>5015.4965597538467</v>
      </c>
      <c r="G326" s="316"/>
      <c r="H326" s="315"/>
      <c r="I326" s="254"/>
      <c r="J326" s="241"/>
      <c r="K326" s="315"/>
      <c r="L326" s="272">
        <f>SUMIFS(BV_Data_An_Cour!$O:$O,BV_Data_An_Cour!$U:$U,$B326,BV_Data_An_Cour!$V:$V,$C326,BV_Data_An_Cour!$W:$W,$L$2)</f>
        <v>8266.7199999999993</v>
      </c>
      <c r="M326" s="241"/>
      <c r="N326" s="272">
        <f t="shared" si="69"/>
        <v>3251.2234402461527</v>
      </c>
      <c r="O326" s="241"/>
      <c r="P326" s="315"/>
      <c r="Q326" s="272">
        <f t="array" ref="Q326">+INDEX('Réel 2024'!$A$2:$AO$501,MATCH($A326,'Réel 2024'!$A$2:$A$501,0),MATCH(Q$2,'Réel 2024'!$A$2:$AO$2,0))</f>
        <v>8036.83</v>
      </c>
      <c r="R326" s="241"/>
      <c r="S326" s="317">
        <f t="shared" si="70"/>
        <v>229.88999999999942</v>
      </c>
      <c r="T326" s="41"/>
      <c r="U326" s="41"/>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
        <v>553</v>
      </c>
      <c r="B327" s="41" t="s">
        <v>180</v>
      </c>
      <c r="C327" s="312" t="s">
        <v>126</v>
      </c>
      <c r="D327" s="297"/>
      <c r="E327" s="41"/>
      <c r="F327" s="254">
        <f>+INDEX('Budget original'!$A$2:$AO$501,MATCH($A327,'Budget original'!$A$2:$A$501,0),MATCH(F$2,'Budget original'!$A$2:$AO$2,0))</f>
        <v>2584.0710536123074</v>
      </c>
      <c r="G327" s="298"/>
      <c r="H327" s="41"/>
      <c r="I327" s="254"/>
      <c r="J327" s="253"/>
      <c r="K327" s="41"/>
      <c r="L327" s="256">
        <f>SUMIFS(BV_Data_An_Cour!$O:$O,BV_Data_An_Cour!$U:$U,$B327,BV_Data_An_Cour!$V:$V,$C327,BV_Data_An_Cour!$W:$W,$L$2)</f>
        <v>1589.14</v>
      </c>
      <c r="M327" s="253"/>
      <c r="N327" s="256">
        <f t="shared" si="69"/>
        <v>-994.93105361230732</v>
      </c>
      <c r="O327" s="253"/>
      <c r="P327" s="41"/>
      <c r="Q327" s="256">
        <f t="array" ref="Q327">+INDEX('Réel 2024'!$A$2:$AO$501,MATCH($A327,'Réel 2024'!$A$2:$A$501,0),MATCH(Q$2,'Réel 2024'!$A$2:$AO$2,0))</f>
        <v>1105.18</v>
      </c>
      <c r="R327" s="253"/>
      <c r="S327" s="276">
        <f t="shared" si="70"/>
        <v>483.96000000000004</v>
      </c>
      <c r="T327" s="41"/>
      <c r="U327" s="41"/>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
        <v>554</v>
      </c>
      <c r="B328" s="41" t="s">
        <v>180</v>
      </c>
      <c r="C328" s="312" t="s">
        <v>127</v>
      </c>
      <c r="D328" s="297"/>
      <c r="E328" s="41"/>
      <c r="F328" s="254">
        <f>+INDEX('Budget original'!$A$2:$AO$501,MATCH($A328,'Budget original'!$A$2:$A$501,0),MATCH(F$2,'Budget original'!$A$2:$AO$2,0))</f>
        <v>1126.6695170461537</v>
      </c>
      <c r="G328" s="298"/>
      <c r="H328" s="41"/>
      <c r="I328" s="254"/>
      <c r="J328" s="253"/>
      <c r="K328" s="41"/>
      <c r="L328" s="256">
        <f>SUMIFS(BV_Data_An_Cour!$O:$O,BV_Data_An_Cour!$U:$U,$B328,BV_Data_An_Cour!$V:$V,$C328,BV_Data_An_Cour!$W:$W,$L$2)</f>
        <v>1613.73</v>
      </c>
      <c r="M328" s="253"/>
      <c r="N328" s="256">
        <f t="shared" si="69"/>
        <v>487.0604829538463</v>
      </c>
      <c r="O328" s="253"/>
      <c r="P328" s="41"/>
      <c r="Q328" s="256">
        <f t="array" ref="Q328">+INDEX('Réel 2024'!$A$2:$AO$501,MATCH($A328,'Réel 2024'!$A$2:$A$501,0),MATCH(Q$2,'Réel 2024'!$A$2:$AO$2,0))</f>
        <v>956.16</v>
      </c>
      <c r="R328" s="253"/>
      <c r="S328" s="276">
        <f t="shared" si="70"/>
        <v>657.57</v>
      </c>
      <c r="T328" s="41"/>
      <c r="U328" s="41"/>
      <c r="V328" s="41"/>
      <c r="W328" s="41"/>
      <c r="X328" s="41"/>
      <c r="Y328" s="41"/>
      <c r="Z328" s="41"/>
      <c r="AA328" s="41"/>
      <c r="AB328" s="41"/>
      <c r="AC328" s="41"/>
      <c r="AD328" s="41"/>
      <c r="AE328" s="41"/>
      <c r="AF328" s="41"/>
      <c r="AG328" s="41"/>
      <c r="AH328" s="41"/>
      <c r="AI328" s="41"/>
      <c r="AJ328" s="41"/>
      <c r="AK328" s="41"/>
      <c r="AL328" s="41"/>
      <c r="AM328" s="41"/>
      <c r="AN328" s="41"/>
    </row>
    <row r="329" spans="1:40" ht="15.75" hidden="1" customHeight="1">
      <c r="A329" s="5" t="s">
        <v>537</v>
      </c>
      <c r="B329" s="41" t="s">
        <v>180</v>
      </c>
      <c r="C329" s="253" t="s">
        <v>59</v>
      </c>
      <c r="D329" s="299"/>
      <c r="E329" s="318"/>
      <c r="F329" s="254">
        <f>+INDEX('Budget original'!$A$2:$AO$501,MATCH($A329,'Budget original'!$A$2:$A$501,0),MATCH(F$2,'Budget original'!$A$2:$AO$2,0))</f>
        <v>0</v>
      </c>
      <c r="G329" s="300"/>
      <c r="H329" s="318"/>
      <c r="I329" s="254"/>
      <c r="J329" s="246"/>
      <c r="K329" s="318"/>
      <c r="L329" s="256">
        <f>SUMIFS(BV_Data_An_Cour!$O:$O,BV_Data_An_Cour!$U:$U,$B329,BV_Data_An_Cour!$V:$V,$C329,BV_Data_An_Cour!$W:$W,$L$2)</f>
        <v>0</v>
      </c>
      <c r="M329" s="246"/>
      <c r="N329" s="296">
        <f t="shared" si="69"/>
        <v>0</v>
      </c>
      <c r="O329" s="246"/>
      <c r="P329" s="318"/>
      <c r="Q329" s="256">
        <f t="array" ref="Q329">+INDEX('Réel 2024'!$A$2:$AO$501,MATCH($A329,'Réel 2024'!$A$2:$A$501,0),MATCH(Q$2,'Réel 2024'!$A$2:$AO$2,0))</f>
        <v>0</v>
      </c>
      <c r="R329" s="246"/>
      <c r="S329" s="296">
        <f t="shared" si="70"/>
        <v>0</v>
      </c>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
        <v>555</v>
      </c>
      <c r="B330" s="41" t="s">
        <v>180</v>
      </c>
      <c r="C330" s="304" t="s">
        <v>128</v>
      </c>
      <c r="D330" s="305" t="s">
        <v>119</v>
      </c>
      <c r="E330" s="306">
        <f>F330/F$314</f>
        <v>0.48236344544836685</v>
      </c>
      <c r="F330" s="307">
        <f>+SUM(F318:F329)</f>
        <v>46292.325452996927</v>
      </c>
      <c r="G330" s="308"/>
      <c r="H330" s="306"/>
      <c r="I330" s="307"/>
      <c r="J330" s="308" t="s">
        <v>119</v>
      </c>
      <c r="K330" s="306">
        <f>L330/L$314</f>
        <v>0.43750109903435841</v>
      </c>
      <c r="L330" s="307">
        <f>+SUM(L318:L329)</f>
        <v>45530.14</v>
      </c>
      <c r="M330" s="355"/>
      <c r="N330" s="320">
        <f t="shared" si="69"/>
        <v>-762.18545299692778</v>
      </c>
      <c r="O330" s="308" t="s">
        <v>119</v>
      </c>
      <c r="P330" s="306">
        <f>Q330/Q$314</f>
        <v>0.48832167320856862</v>
      </c>
      <c r="Q330" s="307">
        <f>+SUM(Q318:Q329)</f>
        <v>47351.200000000004</v>
      </c>
      <c r="R330" s="355"/>
      <c r="S330" s="320">
        <f t="shared" si="70"/>
        <v>-1821.0600000000049</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
        <v>556</v>
      </c>
      <c r="B331" s="41" t="s">
        <v>180</v>
      </c>
      <c r="C331" s="406" t="s">
        <v>129</v>
      </c>
      <c r="D331" s="297"/>
      <c r="E331" s="41"/>
      <c r="F331" s="254">
        <f>+INDEX('Budget original'!$A$2:$AO$501,MATCH($A331,'Budget original'!$A$2:$A$501,0),MATCH(F$2,'Budget original'!$A$2:$AO$2,0))</f>
        <v>2771.8470468118267</v>
      </c>
      <c r="G331" s="298"/>
      <c r="H331" s="41"/>
      <c r="I331" s="254"/>
      <c r="J331" s="253"/>
      <c r="K331" s="41"/>
      <c r="L331" s="256">
        <f>SUMIFS(BV_Data_An_Cour!$O:$O,BV_Data_An_Cour!$U:$U,$B331,BV_Data_An_Cour!$V:$V,$C331,BV_Data_An_Cour!$W:$W,$L$2)</f>
        <v>2753.47</v>
      </c>
      <c r="M331" s="253"/>
      <c r="N331" s="276">
        <f t="shared" si="69"/>
        <v>-18.377046811826858</v>
      </c>
      <c r="O331" s="253"/>
      <c r="P331" s="41"/>
      <c r="Q331" s="256">
        <f t="array" ref="Q331">+INDEX('Réel 2024'!$A$2:$AO$501,MATCH($A331,'Réel 2024'!$A$2:$A$501,0),MATCH(Q$2,'Réel 2024'!$A$2:$AO$2,0))</f>
        <v>5499.83</v>
      </c>
      <c r="R331" s="253"/>
      <c r="S331" s="276">
        <f t="shared" si="70"/>
        <v>-2746.36</v>
      </c>
      <c r="T331" s="41"/>
      <c r="U331" s="41"/>
      <c r="V331" s="41"/>
      <c r="W331" s="291"/>
      <c r="X331" s="41"/>
      <c r="Y331" s="41"/>
      <c r="Z331" s="41"/>
      <c r="AA331" s="41"/>
      <c r="AB331" s="41"/>
      <c r="AC331" s="41"/>
      <c r="AD331" s="41"/>
      <c r="AE331" s="41"/>
      <c r="AF331" s="41"/>
      <c r="AG331" s="41"/>
      <c r="AH331" s="41"/>
      <c r="AI331" s="41"/>
      <c r="AJ331" s="41"/>
      <c r="AK331" s="41"/>
      <c r="AL331" s="41"/>
      <c r="AM331" s="41"/>
      <c r="AN331" s="41"/>
    </row>
    <row r="332" spans="1:40" ht="15.75" customHeight="1">
      <c r="A332" s="5" t="s">
        <v>557</v>
      </c>
      <c r="B332" s="41" t="s">
        <v>180</v>
      </c>
      <c r="C332" s="312" t="s">
        <v>130</v>
      </c>
      <c r="D332" s="297"/>
      <c r="E332" s="41"/>
      <c r="F332" s="254">
        <f>+INDEX('Budget original'!$A$2:$AO$501,MATCH($A332,'Budget original'!$A$2:$A$501,0),MATCH(F$2,'Budget original'!$A$2:$AO$2,0))</f>
        <v>561.52577820142733</v>
      </c>
      <c r="G332" s="298"/>
      <c r="H332" s="41"/>
      <c r="I332" s="254"/>
      <c r="J332" s="253"/>
      <c r="K332" s="41"/>
      <c r="L332" s="1224">
        <f>SUMIFS(BV_Data_An_Cour!$O:$O,BV_Data_An_Cour!$U:$U,$B332,BV_Data_An_Cour!$V:$V,$C332,BV_Data_An_Cour!$W:$W,$L$2)</f>
        <v>6048.78</v>
      </c>
      <c r="M332" s="253"/>
      <c r="N332" s="1214">
        <f t="shared" si="69"/>
        <v>5487.254221798572</v>
      </c>
      <c r="O332" s="253"/>
      <c r="P332" s="41"/>
      <c r="Q332" s="256">
        <f t="array" ref="Q332">+INDEX('Réel 2024'!$A$2:$AO$501,MATCH($A332,'Réel 2024'!$A$2:$A$501,0),MATCH(Q$2,'Réel 2024'!$A$2:$AO$2,0))</f>
        <v>0</v>
      </c>
      <c r="R332" s="253"/>
      <c r="S332" s="276">
        <f t="shared" si="70"/>
        <v>6048.78</v>
      </c>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
        <v>558</v>
      </c>
      <c r="B333" s="41" t="s">
        <v>180</v>
      </c>
      <c r="C333" s="313" t="s">
        <v>131</v>
      </c>
      <c r="D333" s="299"/>
      <c r="E333" s="318"/>
      <c r="F333" s="248">
        <f>+INDEX('Budget original'!$A$2:$AO$501,MATCH($A333,'Budget original'!$A$2:$A$501,0),MATCH(F$2,'Budget original'!$A$2:$AO$2,0))</f>
        <v>1264.3204888888893</v>
      </c>
      <c r="G333" s="300"/>
      <c r="H333" s="318"/>
      <c r="I333" s="248"/>
      <c r="J333" s="246"/>
      <c r="K333" s="318"/>
      <c r="L333" s="256">
        <f>SUMIFS(BV_Data_An_Cour!$O:$O,BV_Data_An_Cour!$U:$U,$B333,BV_Data_An_Cour!$V:$V,$C333,BV_Data_An_Cour!$W:$W,$L$2)</f>
        <v>1170.8399999999999</v>
      </c>
      <c r="M333" s="246"/>
      <c r="N333" s="296">
        <f t="shared" si="69"/>
        <v>-93.48048888888934</v>
      </c>
      <c r="O333" s="246"/>
      <c r="P333" s="318"/>
      <c r="Q333" s="256">
        <f t="array" ref="Q333">+INDEX('Réel 2024'!$A$2:$AO$501,MATCH($A333,'Réel 2024'!$A$2:$A$501,0),MATCH(Q$2,'Réel 2024'!$A$2:$AO$2,0))</f>
        <v>1186.93</v>
      </c>
      <c r="R333" s="246"/>
      <c r="S333" s="296">
        <f t="shared" si="70"/>
        <v>-16.090000000000146</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
        <v>559</v>
      </c>
      <c r="B334" s="41" t="s">
        <v>180</v>
      </c>
      <c r="C334" s="312" t="s">
        <v>132</v>
      </c>
      <c r="D334" s="297"/>
      <c r="E334" s="41"/>
      <c r="F334" s="254">
        <f>+INDEX('Budget original'!$A$2:$AO$501,MATCH($A334,'Budget original'!$A$2:$A$501,0),MATCH(F$2,'Budget original'!$A$2:$AO$2,0))</f>
        <v>4449.6567389444454</v>
      </c>
      <c r="G334" s="298"/>
      <c r="H334" s="41"/>
      <c r="I334" s="254"/>
      <c r="J334" s="253"/>
      <c r="K334" s="41"/>
      <c r="L334" s="1225">
        <f>SUMIFS(BV_Data_An_Cour!$O:$O,BV_Data_An_Cour!$U:$U,$B334,BV_Data_An_Cour!$V:$V,$C334,BV_Data_An_Cour!$W:$W,$L$2)</f>
        <v>9396.99</v>
      </c>
      <c r="M334" s="253"/>
      <c r="N334" s="1214">
        <f t="shared" si="69"/>
        <v>4947.3332610555544</v>
      </c>
      <c r="O334" s="253"/>
      <c r="P334" s="41"/>
      <c r="Q334" s="272">
        <f t="array" ref="Q334">+INDEX('Réel 2024'!$A$2:$AO$501,MATCH($A334,'Réel 2024'!$A$2:$A$501,0),MATCH(Q$2,'Réel 2024'!$A$2:$AO$2,0))</f>
        <v>4854.71</v>
      </c>
      <c r="R334" s="253"/>
      <c r="S334" s="276">
        <f t="shared" si="70"/>
        <v>4542.28</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
        <v>560</v>
      </c>
      <c r="B335" s="41" t="s">
        <v>180</v>
      </c>
      <c r="C335" s="312" t="s">
        <v>133</v>
      </c>
      <c r="D335" s="297"/>
      <c r="E335" s="41"/>
      <c r="F335" s="254">
        <f>+INDEX('Budget original'!$A$2:$AO$501,MATCH($A335,'Budget original'!$A$2:$A$501,0),MATCH(F$2,'Budget original'!$A$2:$AO$2,0))</f>
        <v>818.27646887680896</v>
      </c>
      <c r="G335" s="298"/>
      <c r="H335" s="41"/>
      <c r="I335" s="254"/>
      <c r="J335" s="253"/>
      <c r="K335" s="41"/>
      <c r="L335" s="256">
        <f>SUMIFS(BV_Data_An_Cour!$O:$O,BV_Data_An_Cour!$U:$U,$B335,BV_Data_An_Cour!$V:$V,$C335,BV_Data_An_Cour!$W:$W,$L$2)</f>
        <v>728.54</v>
      </c>
      <c r="M335" s="253"/>
      <c r="N335" s="276">
        <f t="shared" si="69"/>
        <v>-89.736468876808999</v>
      </c>
      <c r="O335" s="253"/>
      <c r="P335" s="41"/>
      <c r="Q335" s="256">
        <f t="array" ref="Q335">+INDEX('Réel 2024'!$A$2:$AO$501,MATCH($A335,'Réel 2024'!$A$2:$A$501,0),MATCH(Q$2,'Réel 2024'!$A$2:$AO$2,0))</f>
        <v>620.25</v>
      </c>
      <c r="R335" s="253"/>
      <c r="S335" s="276">
        <f t="shared" si="70"/>
        <v>108.28999999999996</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
        <v>561</v>
      </c>
      <c r="B336" s="41" t="s">
        <v>180</v>
      </c>
      <c r="C336" s="313" t="s">
        <v>134</v>
      </c>
      <c r="D336" s="299"/>
      <c r="E336" s="318"/>
      <c r="F336" s="248">
        <f>+INDEX('Budget original'!$A$2:$AO$501,MATCH($A336,'Budget original'!$A$2:$A$501,0),MATCH(F$2,'Budget original'!$A$2:$AO$2,0))</f>
        <v>12488.085877265243</v>
      </c>
      <c r="G336" s="300"/>
      <c r="H336" s="318"/>
      <c r="I336" s="248"/>
      <c r="J336" s="246"/>
      <c r="K336" s="318"/>
      <c r="L336" s="248">
        <f>SUMIFS(BV_Data_An_Cour!$O:$O,BV_Data_An_Cour!$U:$U,$B336,BV_Data_An_Cour!$V:$V,$C336,BV_Data_An_Cour!$W:$W,$L$2)</f>
        <v>13220.71</v>
      </c>
      <c r="M336" s="246"/>
      <c r="N336" s="296">
        <f t="shared" si="69"/>
        <v>732.62412273475638</v>
      </c>
      <c r="O336" s="246"/>
      <c r="P336" s="318"/>
      <c r="Q336" s="248">
        <f t="array" ref="Q336">+INDEX('Réel 2024'!$A$2:$AO$501,MATCH($A336,'Réel 2024'!$A$2:$A$501,0),MATCH(Q$2,'Réel 2024'!$A$2:$AO$2,0))</f>
        <v>13059.98</v>
      </c>
      <c r="R336" s="246"/>
      <c r="S336" s="296">
        <f t="shared" si="70"/>
        <v>160.72999999999956</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
        <v>562</v>
      </c>
      <c r="B337" s="41" t="s">
        <v>180</v>
      </c>
      <c r="C337" s="312" t="s">
        <v>490</v>
      </c>
      <c r="D337" s="297"/>
      <c r="E337" s="41"/>
      <c r="F337" s="254"/>
      <c r="G337" s="298"/>
      <c r="H337" s="41"/>
      <c r="I337" s="254"/>
      <c r="J337" s="253"/>
      <c r="K337" s="41"/>
      <c r="L337" s="256">
        <f>SUMIFS(BV_Data_An_Cour!$O:$O,BV_Data_An_Cour!$U:$U,$B337,BV_Data_An_Cour!$V:$V,$C337,BV_Data_An_Cour!$W:$W,$L$2)</f>
        <v>0</v>
      </c>
      <c r="M337" s="253"/>
      <c r="N337" s="276">
        <f t="shared" si="69"/>
        <v>0</v>
      </c>
      <c r="O337" s="253"/>
      <c r="P337" s="41"/>
      <c r="Q337" s="256">
        <f>+INDEX('Réel 2024'!$A$2:$AO$501,MATCH($A337,'Réel 2024'!$A$2:$A$501,0),MATCH(Q$2,'Réel 2024'!$A$2:$AO$2,0))</f>
        <v>0</v>
      </c>
      <c r="R337" s="253"/>
      <c r="S337" s="276">
        <f t="shared" si="70"/>
        <v>0</v>
      </c>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
        <v>563</v>
      </c>
      <c r="B338" s="41" t="s">
        <v>180</v>
      </c>
      <c r="C338" s="312" t="s">
        <v>135</v>
      </c>
      <c r="D338" s="297"/>
      <c r="E338" s="41"/>
      <c r="F338" s="254">
        <f>+INDEX('Budget original'!$A$2:$AO$501,MATCH($A338,'Budget original'!$A$2:$A$501,0),MATCH(F$2,'Budget original'!$A$2:$AO$2,0))</f>
        <v>255.67533333333333</v>
      </c>
      <c r="G338" s="298"/>
      <c r="H338" s="41"/>
      <c r="I338" s="254"/>
      <c r="J338" s="253"/>
      <c r="K338" s="41"/>
      <c r="L338" s="256">
        <f>SUMIFS(BV_Data_An_Cour!$O:$O,BV_Data_An_Cour!$U:$U,$B338,BV_Data_An_Cour!$V:$V,$C338,BV_Data_An_Cour!$W:$W,$L$2)</f>
        <v>0</v>
      </c>
      <c r="M338" s="253"/>
      <c r="N338" s="276">
        <f t="shared" si="69"/>
        <v>-255.67533333333333</v>
      </c>
      <c r="O338" s="253"/>
      <c r="P338" s="41"/>
      <c r="Q338" s="256">
        <f t="array" ref="Q338">+INDEX('Réel 2024'!$A$2:$AO$501,MATCH($A338,'Réel 2024'!$A$2:$A$501,0),MATCH(Q$2,'Réel 2024'!$A$2:$AO$2,0))</f>
        <v>1375.72</v>
      </c>
      <c r="R338" s="253"/>
      <c r="S338" s="276">
        <f t="shared" si="70"/>
        <v>-1375.72</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
        <v>564</v>
      </c>
      <c r="B339" s="41" t="s">
        <v>180</v>
      </c>
      <c r="C339" s="312" t="s">
        <v>136</v>
      </c>
      <c r="D339" s="297"/>
      <c r="E339" s="41"/>
      <c r="F339" s="254">
        <f>+INDEX('Budget original'!$A$2:$AO$501,MATCH($A339,'Budget original'!$A$2:$A$501,0),MATCH(F$2,'Budget original'!$A$2:$AO$2,0))</f>
        <v>28.333333333333332</v>
      </c>
      <c r="G339" s="298"/>
      <c r="H339" s="41"/>
      <c r="I339" s="254"/>
      <c r="J339" s="253"/>
      <c r="K339" s="41"/>
      <c r="L339" s="256">
        <f>SUMIFS(BV_Data_An_Cour!$O:$O,BV_Data_An_Cour!$U:$U,$B339,BV_Data_An_Cour!$V:$V,$C339,BV_Data_An_Cour!$W:$W,$L$2)</f>
        <v>361.45</v>
      </c>
      <c r="M339" s="253"/>
      <c r="N339" s="276">
        <f t="shared" si="69"/>
        <v>333.11666666666667</v>
      </c>
      <c r="O339" s="253"/>
      <c r="P339" s="41"/>
      <c r="Q339" s="256">
        <f t="array" ref="Q339">+INDEX('Réel 2024'!$A$2:$AO$501,MATCH($A339,'Réel 2024'!$A$2:$A$501,0),MATCH(Q$2,'Réel 2024'!$A$2:$AO$2,0))</f>
        <v>0</v>
      </c>
      <c r="R339" s="253"/>
      <c r="S339" s="276">
        <f t="shared" si="70"/>
        <v>361.45</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
        <v>565</v>
      </c>
      <c r="B340" s="41" t="s">
        <v>180</v>
      </c>
      <c r="C340" s="312" t="s">
        <v>137</v>
      </c>
      <c r="D340" s="297"/>
      <c r="E340" s="41"/>
      <c r="F340" s="254">
        <f>+INDEX('Budget original'!$A$2:$AO$501,MATCH($A340,'Budget original'!$A$2:$A$501,0),MATCH(F$2,'Budget original'!$A$2:$AO$2,0))</f>
        <v>716.40904661649995</v>
      </c>
      <c r="G340" s="298"/>
      <c r="H340" s="41"/>
      <c r="I340" s="254"/>
      <c r="J340" s="253"/>
      <c r="K340" s="41"/>
      <c r="L340" s="256">
        <f>SUMIFS(BV_Data_An_Cour!$O:$O,BV_Data_An_Cour!$U:$U,$B340,BV_Data_An_Cour!$V:$V,$C340,BV_Data_An_Cour!$W:$W,$L$2)</f>
        <v>814</v>
      </c>
      <c r="M340" s="253"/>
      <c r="N340" s="276">
        <f t="shared" si="69"/>
        <v>97.59095338350005</v>
      </c>
      <c r="O340" s="253"/>
      <c r="P340" s="41"/>
      <c r="Q340" s="256">
        <f t="array" ref="Q340">+INDEX('Réel 2024'!$A$2:$AO$501,MATCH($A340,'Réel 2024'!$A$2:$A$501,0),MATCH(Q$2,'Réel 2024'!$A$2:$AO$2,0))</f>
        <v>1040.19</v>
      </c>
      <c r="R340" s="253"/>
      <c r="S340" s="276">
        <f t="shared" si="70"/>
        <v>-226.19000000000005</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
        <v>566</v>
      </c>
      <c r="B341" s="41" t="s">
        <v>180</v>
      </c>
      <c r="C341" s="312" t="s">
        <v>138</v>
      </c>
      <c r="D341" s="297"/>
      <c r="E341" s="41"/>
      <c r="F341" s="254">
        <f>+INDEX('Budget original'!$A$2:$AO$501,MATCH($A341,'Budget original'!$A$2:$A$501,0),MATCH(F$2,'Budget original'!$A$2:$AO$2,0))</f>
        <v>115.54074359217363</v>
      </c>
      <c r="G341" s="298"/>
      <c r="H341" s="41"/>
      <c r="I341" s="254"/>
      <c r="J341" s="253"/>
      <c r="K341" s="41"/>
      <c r="L341" s="256">
        <f>SUMIFS(BV_Data_An_Cour!$O:$O,BV_Data_An_Cour!$U:$U,$B341,BV_Data_An_Cour!$V:$V,$C341,BV_Data_An_Cour!$W:$W,$L$2)</f>
        <v>120.99</v>
      </c>
      <c r="M341" s="253"/>
      <c r="N341" s="276">
        <f t="shared" si="69"/>
        <v>5.4492564078263683</v>
      </c>
      <c r="O341" s="253"/>
      <c r="P341" s="41"/>
      <c r="Q341" s="256">
        <f t="array" ref="Q341">+INDEX('Réel 2024'!$A$2:$AO$501,MATCH($A341,'Réel 2024'!$A$2:$A$501,0),MATCH(Q$2,'Réel 2024'!$A$2:$AO$2,0))</f>
        <v>84.08</v>
      </c>
      <c r="R341" s="253"/>
      <c r="S341" s="276">
        <f t="shared" si="70"/>
        <v>36.909999999999997</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
        <v>567</v>
      </c>
      <c r="B342" s="41" t="s">
        <v>180</v>
      </c>
      <c r="C342" s="312" t="s">
        <v>139</v>
      </c>
      <c r="D342" s="297"/>
      <c r="E342" s="41"/>
      <c r="F342" s="254">
        <f>+INDEX('Budget original'!$A$2:$AO$501,MATCH($A342,'Budget original'!$A$2:$A$501,0),MATCH(F$2,'Budget original'!$A$2:$AO$2,0))</f>
        <v>-31.110347462173621</v>
      </c>
      <c r="G342" s="298"/>
      <c r="H342" s="41"/>
      <c r="I342" s="254"/>
      <c r="J342" s="253"/>
      <c r="K342" s="41"/>
      <c r="L342" s="256">
        <f>SUMIFS(BV_Data_An_Cour!$O:$O,BV_Data_An_Cour!$U:$U,$B342,BV_Data_An_Cour!$V:$V,$C342,BV_Data_An_Cour!$W:$W,$L$2)</f>
        <v>144.59</v>
      </c>
      <c r="M342" s="253"/>
      <c r="N342" s="276">
        <f t="shared" si="69"/>
        <v>175.70034746217362</v>
      </c>
      <c r="O342" s="253"/>
      <c r="P342" s="41"/>
      <c r="Q342" s="256">
        <f t="array" ref="Q342">+INDEX('Réel 2024'!$A$2:$AO$501,MATCH($A342,'Réel 2024'!$A$2:$A$501,0),MATCH(Q$2,'Réel 2024'!$A$2:$AO$2,0))</f>
        <v>188.52</v>
      </c>
      <c r="R342" s="253"/>
      <c r="S342" s="276">
        <f t="shared" si="70"/>
        <v>-43.930000000000007</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
        <v>568</v>
      </c>
      <c r="B343" s="41" t="s">
        <v>180</v>
      </c>
      <c r="C343" s="312" t="s">
        <v>140</v>
      </c>
      <c r="D343" s="297"/>
      <c r="E343" s="41"/>
      <c r="F343" s="254">
        <f>+INDEX('Budget original'!$A$2:$AO$501,MATCH($A343,'Budget original'!$A$2:$A$501,0),MATCH(F$2,'Budget original'!$A$2:$AO$2,0))</f>
        <v>156.51117666245145</v>
      </c>
      <c r="G343" s="298"/>
      <c r="H343" s="41"/>
      <c r="I343" s="254"/>
      <c r="J343" s="253"/>
      <c r="K343" s="41"/>
      <c r="L343" s="256">
        <f>SUMIFS(BV_Data_An_Cour!$O:$O,BV_Data_An_Cour!$U:$U,$B343,BV_Data_An_Cour!$V:$V,$C343,BV_Data_An_Cour!$W:$W,$L$2)</f>
        <v>55.63</v>
      </c>
      <c r="M343" s="253"/>
      <c r="N343" s="276">
        <f t="shared" si="69"/>
        <v>-100.88117666245145</v>
      </c>
      <c r="O343" s="253"/>
      <c r="P343" s="41"/>
      <c r="Q343" s="256">
        <f t="array" ref="Q343">+INDEX('Réel 2024'!$A$2:$AO$501,MATCH($A343,'Réel 2024'!$A$2:$A$501,0),MATCH(Q$2,'Réel 2024'!$A$2:$AO$2,0))</f>
        <v>160.71</v>
      </c>
      <c r="R343" s="253"/>
      <c r="S343" s="276">
        <f t="shared" si="70"/>
        <v>-105.08000000000001</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
        <v>569</v>
      </c>
      <c r="B344" s="41" t="s">
        <v>180</v>
      </c>
      <c r="C344" s="312" t="s">
        <v>141</v>
      </c>
      <c r="D344" s="297"/>
      <c r="E344" s="41"/>
      <c r="F344" s="254">
        <f>+INDEX('Budget original'!$A$2:$AO$501,MATCH($A344,'Budget original'!$A$2:$A$501,0),MATCH(F$2,'Budget original'!$A$2:$AO$2,0))</f>
        <v>378.95432121431327</v>
      </c>
      <c r="G344" s="298"/>
      <c r="H344" s="41"/>
      <c r="I344" s="254"/>
      <c r="J344" s="253"/>
      <c r="K344" s="41"/>
      <c r="L344" s="256">
        <f>SUMIFS(BV_Data_An_Cour!$O:$O,BV_Data_An_Cour!$U:$U,$B344,BV_Data_An_Cour!$V:$V,$C344,BV_Data_An_Cour!$W:$W,$L$2)</f>
        <v>237.81</v>
      </c>
      <c r="M344" s="253"/>
      <c r="N344" s="276">
        <f t="shared" si="69"/>
        <v>-141.14432121431327</v>
      </c>
      <c r="O344" s="253"/>
      <c r="P344" s="41"/>
      <c r="Q344" s="256">
        <f t="array" ref="Q344">+INDEX('Réel 2024'!$A$2:$AO$501,MATCH($A344,'Réel 2024'!$A$2:$A$501,0),MATCH(Q$2,'Réel 2024'!$A$2:$AO$2,0))</f>
        <v>79.75</v>
      </c>
      <c r="R344" s="253"/>
      <c r="S344" s="276">
        <f t="shared" si="70"/>
        <v>158.06</v>
      </c>
      <c r="T344" s="41"/>
      <c r="X344" s="41"/>
      <c r="Y344" s="41"/>
      <c r="Z344" s="41"/>
      <c r="AA344" s="41"/>
      <c r="AB344" s="41"/>
      <c r="AC344" s="41"/>
      <c r="AD344" s="41"/>
      <c r="AE344" s="41"/>
      <c r="AF344" s="41"/>
      <c r="AG344" s="41"/>
      <c r="AH344" s="41"/>
      <c r="AI344" s="41"/>
      <c r="AJ344" s="41"/>
      <c r="AK344" s="41"/>
      <c r="AL344" s="41"/>
      <c r="AM344" s="41"/>
      <c r="AN344" s="41"/>
    </row>
    <row r="345" spans="1:40" ht="15.75" customHeight="1">
      <c r="A345" s="5" t="s">
        <v>570</v>
      </c>
      <c r="B345" s="41" t="s">
        <v>180</v>
      </c>
      <c r="C345" s="312" t="s">
        <v>142</v>
      </c>
      <c r="D345" s="297"/>
      <c r="E345" s="41"/>
      <c r="F345" s="254">
        <f>+INDEX('Budget original'!$A$2:$AO$501,MATCH($A345,'Budget original'!$A$2:$A$501,0),MATCH(F$2,'Budget original'!$A$2:$AO$2,0))</f>
        <v>1190.304929325466</v>
      </c>
      <c r="G345" s="298"/>
      <c r="H345" s="41"/>
      <c r="I345" s="254"/>
      <c r="J345" s="253"/>
      <c r="K345" s="41"/>
      <c r="L345" s="256">
        <f>SUMIFS(BV_Data_An_Cour!$O:$O,BV_Data_An_Cour!$U:$U,$B345,BV_Data_An_Cour!$V:$V,$C345,BV_Data_An_Cour!$W:$W,$L$2)</f>
        <v>962.38</v>
      </c>
      <c r="M345" s="253"/>
      <c r="N345" s="276">
        <f t="shared" si="69"/>
        <v>-227.924929325466</v>
      </c>
      <c r="O345" s="253"/>
      <c r="P345" s="41"/>
      <c r="Q345" s="256">
        <f t="array" ref="Q345">+INDEX('Réel 2024'!$A$2:$AO$501,MATCH($A345,'Réel 2024'!$A$2:$A$501,0),MATCH(Q$2,'Réel 2024'!$A$2:$AO$2,0))</f>
        <v>1083.58</v>
      </c>
      <c r="R345" s="253"/>
      <c r="S345" s="276">
        <f t="shared" si="70"/>
        <v>-121.19999999999993</v>
      </c>
      <c r="T345" s="41"/>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
        <v>537</v>
      </c>
      <c r="B346" s="41" t="s">
        <v>180</v>
      </c>
      <c r="C346" s="312" t="s">
        <v>59</v>
      </c>
      <c r="D346" s="297"/>
      <c r="E346" s="41"/>
      <c r="F346" s="254">
        <f>+INDEX('Budget original'!$A$2:$AO$501,MATCH($A346,'Budget original'!$A$2:$A$501,0),MATCH(F$2,'Budget original'!$A$2:$AO$2,0))</f>
        <v>0</v>
      </c>
      <c r="G346" s="298"/>
      <c r="H346" s="41"/>
      <c r="I346" s="254"/>
      <c r="J346" s="253"/>
      <c r="K346" s="41"/>
      <c r="L346" s="256">
        <f>SUMIFS(BV_Data_An_Cour!$O:$O,BV_Data_An_Cour!$U:$U,$B346,BV_Data_An_Cour!$V:$V,$C346,BV_Data_An_Cour!$W:$W,$L$2)</f>
        <v>0</v>
      </c>
      <c r="M346" s="253"/>
      <c r="N346" s="276">
        <f t="shared" si="69"/>
        <v>0</v>
      </c>
      <c r="O346" s="253"/>
      <c r="P346" s="41"/>
      <c r="Q346" s="256">
        <f t="array" ref="Q346">+INDEX('Réel 2024'!$A$2:$AO$501,MATCH($A346,'Réel 2024'!$A$2:$A$501,0),MATCH(Q$2,'Réel 2024'!$A$2:$AO$2,0))</f>
        <v>0</v>
      </c>
      <c r="R346" s="253"/>
      <c r="S346" s="276">
        <f t="shared" si="70"/>
        <v>0</v>
      </c>
      <c r="T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
        <v>537</v>
      </c>
      <c r="B347" s="41" t="s">
        <v>180</v>
      </c>
      <c r="C347" s="312" t="s">
        <v>59</v>
      </c>
      <c r="D347" s="297"/>
      <c r="E347" s="41"/>
      <c r="F347" s="254">
        <f>+INDEX('Budget original'!$A$2:$AO$501,MATCH($A347,'Budget original'!$A$2:$A$501,0),MATCH(F$2,'Budget original'!$A$2:$AO$2,0))</f>
        <v>0</v>
      </c>
      <c r="G347" s="298"/>
      <c r="H347" s="41"/>
      <c r="I347" s="254"/>
      <c r="J347" s="253"/>
      <c r="K347" s="41"/>
      <c r="L347" s="256">
        <f>SUMIFS(BV_Data_An_Cour!$O:$O,BV_Data_An_Cour!$U:$U,$B347,BV_Data_An_Cour!$V:$V,$C347,BV_Data_An_Cour!$W:$W,$L$2)</f>
        <v>0</v>
      </c>
      <c r="M347" s="253"/>
      <c r="N347" s="276">
        <f t="shared" si="69"/>
        <v>0</v>
      </c>
      <c r="O347" s="253"/>
      <c r="P347" s="41"/>
      <c r="Q347" s="256">
        <f t="array" ref="Q347">+INDEX('Réel 2024'!$A$2:$AO$501,MATCH($A347,'Réel 2024'!$A$2:$A$501,0),MATCH(Q$2,'Réel 2024'!$A$2:$AO$2,0))</f>
        <v>0</v>
      </c>
      <c r="R347" s="253"/>
      <c r="S347" s="276">
        <f t="shared" si="70"/>
        <v>0</v>
      </c>
      <c r="T347" s="41"/>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
        <v>537</v>
      </c>
      <c r="B348" s="41" t="s">
        <v>180</v>
      </c>
      <c r="C348" s="312" t="s">
        <v>59</v>
      </c>
      <c r="D348" s="297"/>
      <c r="E348" s="41"/>
      <c r="F348" s="254">
        <f>+INDEX('Budget original'!$A$2:$AO$501,MATCH($A348,'Budget original'!$A$2:$A$501,0),MATCH(F$2,'Budget original'!$A$2:$AO$2,0))</f>
        <v>0</v>
      </c>
      <c r="G348" s="298"/>
      <c r="H348" s="41"/>
      <c r="I348" s="254"/>
      <c r="J348" s="253"/>
      <c r="K348" s="41"/>
      <c r="L348" s="256">
        <f>SUMIFS(BV_Data_An_Cour!$O:$O,BV_Data_An_Cour!$U:$U,$B348,BV_Data_An_Cour!$V:$V,$C348,BV_Data_An_Cour!$W:$W,$L$2)</f>
        <v>0</v>
      </c>
      <c r="M348" s="253"/>
      <c r="N348" s="276">
        <f t="shared" si="69"/>
        <v>0</v>
      </c>
      <c r="O348" s="253"/>
      <c r="P348" s="41"/>
      <c r="Q348" s="256">
        <f t="array" ref="Q348">+INDEX('Réel 2024'!$A$2:$AO$501,MATCH($A348,'Réel 2024'!$A$2:$A$501,0),MATCH(Q$2,'Réel 2024'!$A$2:$AO$2,0))</f>
        <v>0</v>
      </c>
      <c r="R348" s="253"/>
      <c r="S348" s="276">
        <f t="shared" si="70"/>
        <v>0</v>
      </c>
      <c r="T348" s="41"/>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304" t="s">
        <v>143</v>
      </c>
      <c r="D349" s="305" t="s">
        <v>119</v>
      </c>
      <c r="E349" s="306">
        <f>F349/F$314</f>
        <v>0.26221092273330721</v>
      </c>
      <c r="F349" s="307">
        <f>+SUM(F331:F348)</f>
        <v>25164.330935604034</v>
      </c>
      <c r="G349" s="308"/>
      <c r="H349" s="306"/>
      <c r="I349" s="307"/>
      <c r="J349" s="308" t="s">
        <v>119</v>
      </c>
      <c r="K349" s="306">
        <f>L349/L$314</f>
        <v>0.346081042865655</v>
      </c>
      <c r="L349" s="307">
        <f>+SUM(L331:L348)</f>
        <v>36016.179999999986</v>
      </c>
      <c r="M349" s="311"/>
      <c r="N349" s="307">
        <f>+SUM(N331:N348)</f>
        <v>10851.849064395963</v>
      </c>
      <c r="O349" s="308" t="s">
        <v>119</v>
      </c>
      <c r="P349" s="306">
        <f>Q349/Q$314</f>
        <v>0.3014858731140414</v>
      </c>
      <c r="Q349" s="307">
        <f>+SUM(Q331:Q348)</f>
        <v>29234.25</v>
      </c>
      <c r="R349" s="311"/>
      <c r="S349" s="307">
        <f>+SUM(S331:S348)</f>
        <v>6781.9299999999985</v>
      </c>
      <c r="T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246"/>
      <c r="D350" s="299"/>
      <c r="E350" s="318"/>
      <c r="F350" s="276"/>
      <c r="G350" s="300"/>
      <c r="H350" s="318"/>
      <c r="I350" s="276"/>
      <c r="J350" s="246"/>
      <c r="K350" s="318"/>
      <c r="L350" s="296"/>
      <c r="M350" s="246"/>
      <c r="N350" s="296"/>
      <c r="O350" s="246"/>
      <c r="P350" s="318"/>
      <c r="Q350" s="296"/>
      <c r="R350" s="246"/>
      <c r="S350" s="296"/>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304" t="s">
        <v>144</v>
      </c>
      <c r="D351" s="305" t="s">
        <v>119</v>
      </c>
      <c r="E351" s="306">
        <f>F351/F$314</f>
        <v>0.74457436818167411</v>
      </c>
      <c r="F351" s="307">
        <f>F330+F349</f>
        <v>71456.656388600968</v>
      </c>
      <c r="G351" s="308"/>
      <c r="H351" s="306"/>
      <c r="I351" s="307"/>
      <c r="J351" s="308" t="s">
        <v>119</v>
      </c>
      <c r="K351" s="306">
        <f>L351/L$314</f>
        <v>0.7835821419000133</v>
      </c>
      <c r="L351" s="307">
        <f>L330+L349</f>
        <v>81546.319999999978</v>
      </c>
      <c r="M351" s="311"/>
      <c r="N351" s="320">
        <f>L351-F351</f>
        <v>10089.66361139901</v>
      </c>
      <c r="O351" s="308" t="s">
        <v>119</v>
      </c>
      <c r="P351" s="306">
        <f>Q351/Q$314</f>
        <v>0.78980754632261008</v>
      </c>
      <c r="Q351" s="307">
        <f>Q330+Q349</f>
        <v>76585.450000000012</v>
      </c>
      <c r="R351" s="311"/>
      <c r="S351" s="320">
        <f>L351-Q351</f>
        <v>4960.8699999999662</v>
      </c>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253"/>
      <c r="D352" s="297"/>
      <c r="E352" s="41"/>
      <c r="F352" s="276"/>
      <c r="G352" s="298"/>
      <c r="H352" s="41"/>
      <c r="I352" s="276"/>
      <c r="J352" s="253"/>
      <c r="K352" s="41"/>
      <c r="L352" s="276"/>
      <c r="M352" s="253"/>
      <c r="N352" s="276">
        <f>L352-F352</f>
        <v>0</v>
      </c>
      <c r="O352" s="253"/>
      <c r="P352" s="41"/>
      <c r="Q352" s="276"/>
      <c r="R352" s="253"/>
      <c r="S352" s="276"/>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24" customHeight="1">
      <c r="B353" s="3"/>
      <c r="C353" s="332" t="s">
        <v>151</v>
      </c>
      <c r="D353" s="360"/>
      <c r="E353" s="333"/>
      <c r="F353" s="335">
        <f>F314-F351</f>
        <v>24513.147894489448</v>
      </c>
      <c r="G353" s="361"/>
      <c r="H353" s="333"/>
      <c r="I353" s="335"/>
      <c r="J353" s="332"/>
      <c r="K353" s="334"/>
      <c r="L353" s="335">
        <f>L314-L351</f>
        <v>22522.310000000012</v>
      </c>
      <c r="M353" s="332"/>
      <c r="N353" s="335">
        <f>L353-F353</f>
        <v>-1990.8378944894357</v>
      </c>
      <c r="O353" s="332"/>
      <c r="P353" s="1147">
        <f>+Q353/O314</f>
        <v>4.7809657429855712E-2</v>
      </c>
      <c r="Q353" s="335">
        <f>Q314-Q351</f>
        <v>20381.779999999766</v>
      </c>
      <c r="R353" s="332"/>
      <c r="S353" s="335">
        <f>L353-Q353</f>
        <v>2140.5300000002462</v>
      </c>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thickTop="1">
      <c r="B354" s="3"/>
      <c r="C354" s="11"/>
      <c r="D354" s="297"/>
      <c r="E354" s="41"/>
      <c r="F354" s="319"/>
      <c r="G354" s="297"/>
      <c r="H354" s="41"/>
      <c r="I354" s="319"/>
      <c r="J354" s="11"/>
      <c r="K354" s="11"/>
      <c r="L354" s="319"/>
      <c r="M354" s="11"/>
      <c r="N354" s="319"/>
      <c r="O354" s="11"/>
      <c r="P354" s="11"/>
      <c r="Q354" s="319"/>
      <c r="R354" s="11"/>
      <c r="S354" s="319"/>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hidden="1" customHeight="1">
      <c r="B355" s="3"/>
      <c r="C355" s="11"/>
      <c r="D355" s="297"/>
      <c r="E355" s="41"/>
      <c r="F355" s="319"/>
      <c r="G355" s="297"/>
      <c r="H355" s="41"/>
      <c r="I355" s="319"/>
      <c r="J355" s="11"/>
      <c r="K355" s="11"/>
      <c r="L355" s="319"/>
      <c r="M355" s="11"/>
      <c r="N355" s="319"/>
      <c r="O355" s="11"/>
      <c r="P355" s="11"/>
      <c r="Q355" s="319"/>
      <c r="R355" s="11"/>
      <c r="S355" s="319"/>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34.5" hidden="1" customHeight="1">
      <c r="B356" s="3"/>
      <c r="C356" s="339" t="str">
        <f>+C291</f>
        <v>Volks</v>
      </c>
      <c r="D356" s="232"/>
      <c r="E356" s="232"/>
      <c r="F356" s="232"/>
      <c r="G356" s="232"/>
      <c r="H356" s="36"/>
      <c r="I356" s="36"/>
      <c r="J356" s="36"/>
      <c r="K356" s="9" t="s">
        <v>196</v>
      </c>
      <c r="L356" s="232"/>
      <c r="M356" s="232"/>
      <c r="N356" s="36"/>
      <c r="O356" s="36"/>
      <c r="P356" s="232"/>
      <c r="Q356" s="36"/>
      <c r="R356" s="232"/>
      <c r="S356" s="10" t="str">
        <f>$S$1</f>
        <v>Réalisé, Février 2025</v>
      </c>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c r="B357" s="3"/>
      <c r="C357" s="37"/>
      <c r="D357" s="38"/>
      <c r="E357" s="38"/>
      <c r="F357" s="38"/>
      <c r="G357" s="38"/>
      <c r="H357" s="38"/>
      <c r="I357" s="38"/>
      <c r="J357" s="38"/>
      <c r="K357" s="38"/>
      <c r="L357" s="38"/>
      <c r="M357" s="38"/>
      <c r="N357" s="38"/>
      <c r="O357" s="38"/>
      <c r="P357" s="38"/>
      <c r="Q357" s="38"/>
      <c r="R357" s="38"/>
      <c r="S357" s="38"/>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c r="B358" s="3"/>
      <c r="C358" s="238"/>
      <c r="D358" s="1239" t="s">
        <v>343</v>
      </c>
      <c r="E358" s="1240"/>
      <c r="F358" s="1241"/>
      <c r="G358" s="1242"/>
      <c r="H358" s="1240"/>
      <c r="I358" s="1241"/>
      <c r="J358" s="1242" t="s">
        <v>344</v>
      </c>
      <c r="K358" s="1240"/>
      <c r="L358" s="1241"/>
      <c r="M358" s="1242"/>
      <c r="N358" s="1241"/>
      <c r="O358" s="1239" t="s">
        <v>345</v>
      </c>
      <c r="P358" s="1240"/>
      <c r="Q358" s="1241"/>
      <c r="R358" s="1242" t="s">
        <v>346</v>
      </c>
      <c r="S358" s="1241"/>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c r="A359" s="5" t="s">
        <v>196</v>
      </c>
      <c r="B359" s="41" t="s">
        <v>196</v>
      </c>
      <c r="C359" s="253"/>
      <c r="D359" s="418" t="s">
        <v>163</v>
      </c>
      <c r="E359" s="418" t="s">
        <v>181</v>
      </c>
      <c r="F359" s="419" t="s">
        <v>95</v>
      </c>
      <c r="G359" s="420"/>
      <c r="H359" s="418"/>
      <c r="I359" s="419"/>
      <c r="J359" s="341" t="s">
        <v>163</v>
      </c>
      <c r="K359" s="39" t="s">
        <v>181</v>
      </c>
      <c r="L359" s="340" t="s">
        <v>95</v>
      </c>
      <c r="M359" s="341"/>
      <c r="N359" s="340"/>
      <c r="O359" s="341" t="s">
        <v>163</v>
      </c>
      <c r="P359" s="39" t="s">
        <v>181</v>
      </c>
      <c r="Q359" s="340" t="s">
        <v>95</v>
      </c>
      <c r="R359" s="341" t="s">
        <v>458</v>
      </c>
      <c r="S359" s="340" t="s">
        <v>95</v>
      </c>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c r="A360" s="5" t="s">
        <v>571</v>
      </c>
      <c r="B360" s="41" t="s">
        <v>196</v>
      </c>
      <c r="C360" s="278" t="s">
        <v>196</v>
      </c>
      <c r="D360" s="421">
        <f>+INDEX('Budget original'!$A$2:$AO$501,MATCH($A360,'Budget original'!$A$2:$A$501,0),MATCH(D$2,'Budget original'!$A$2:$AO$2,0))</f>
        <v>0</v>
      </c>
      <c r="E360" s="422">
        <f>IFERROR(F360/D360,0)</f>
        <v>0</v>
      </c>
      <c r="F360" s="423">
        <f>+INDEX('Budget original'!$A$2:$AO$501,MATCH($A360,'Budget original'!$A$2:$A$501,0),MATCH(F$2,'Budget original'!$A$2:$AO$2,0))</f>
        <v>0</v>
      </c>
      <c r="G360" s="421"/>
      <c r="H360" s="422"/>
      <c r="I360" s="421"/>
      <c r="J360" s="424">
        <f>-SUMIFS(BV_Data_An_Cour!$O:$O,BV_Data_An_Cour!$X:$X,"Oui",BV_Data_An_Cour!$U:$U,$B360,BV_Data_An_Cour!$V:$V,$C360)</f>
        <v>0</v>
      </c>
      <c r="K360" s="410">
        <f>IF(J360&lt;=0,0,L360/J360)</f>
        <v>0</v>
      </c>
      <c r="L360" s="425">
        <f>-SUMIFS(BV_Data_An_Cour!$O:$O,BV_Data_An_Cour!$X:$X,"Oui",BV_Data_An_Cour!$U:$U,$B360,BV_Data_An_Cour!$V:$V,$C360)</f>
        <v>0</v>
      </c>
      <c r="M360" s="411"/>
      <c r="N360" s="412"/>
      <c r="O360" s="424">
        <f t="array" ref="O360">+INDEX('Réel 2024'!$A$2:$AO$501,MATCH($A360,'Réel 2024'!$A$2:$A$501,0),MATCH(O$2,'Réel 2024'!$A$2:$AO$2,0))</f>
        <v>0</v>
      </c>
      <c r="P360" s="410">
        <f>IFERROR(Q360/O360,0)</f>
        <v>0</v>
      </c>
      <c r="Q360" s="425">
        <f t="array" ref="Q360">+INDEX('Réel 2024'!$A$2:$AO$501,MATCH($A360,'Réel 2024'!$A$2:$A$501,0),MATCH(Q$2,'Réel 2024'!$A$2:$AO$2,0))</f>
        <v>0</v>
      </c>
      <c r="R360" s="411">
        <f>IF(O360=0,0,(J360-O360)/O360)</f>
        <v>0</v>
      </c>
      <c r="S360" s="412">
        <f>L360-Q360</f>
        <v>0</v>
      </c>
      <c r="T360" s="38"/>
      <c r="U360" s="38"/>
      <c r="V360" s="426"/>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c r="A361" s="5" t="s">
        <v>196</v>
      </c>
      <c r="B361" s="41" t="s">
        <v>196</v>
      </c>
      <c r="C361" s="332"/>
      <c r="D361" s="413"/>
      <c r="E361" s="414"/>
      <c r="F361" s="335"/>
      <c r="G361" s="415"/>
      <c r="H361" s="414"/>
      <c r="I361" s="335"/>
      <c r="J361" s="415"/>
      <c r="K361" s="414"/>
      <c r="L361" s="335"/>
      <c r="M361" s="416"/>
      <c r="N361" s="287"/>
      <c r="O361" s="415"/>
      <c r="P361" s="414"/>
      <c r="Q361" s="335"/>
      <c r="R361" s="416"/>
      <c r="S361" s="287"/>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c r="A362" s="5" t="s">
        <v>572</v>
      </c>
      <c r="B362" s="41" t="s">
        <v>196</v>
      </c>
      <c r="C362" s="270" t="s">
        <v>197</v>
      </c>
      <c r="D362" s="319">
        <f>+D360</f>
        <v>0</v>
      </c>
      <c r="E362" s="372">
        <f>IF(D362&lt;=0,0,F362/D362)</f>
        <v>0</v>
      </c>
      <c r="F362" s="374">
        <f>+F360</f>
        <v>0</v>
      </c>
      <c r="G362" s="373"/>
      <c r="H362" s="372"/>
      <c r="I362" s="374"/>
      <c r="J362" s="373">
        <f t="shared" ref="J362" si="71">+J360</f>
        <v>0</v>
      </c>
      <c r="K362" s="372">
        <f>IF(J362&lt;=0,0,L362/J362)</f>
        <v>0</v>
      </c>
      <c r="L362" s="374">
        <f>+L360</f>
        <v>0</v>
      </c>
      <c r="M362" s="353"/>
      <c r="N362" s="427"/>
      <c r="O362" s="373">
        <f>+O360</f>
        <v>0</v>
      </c>
      <c r="P362" s="372">
        <f>IF(O362&lt;=0,0,Q362/O362)</f>
        <v>0</v>
      </c>
      <c r="Q362" s="374">
        <f t="shared" ref="Q362" si="72">+Q360</f>
        <v>0</v>
      </c>
      <c r="R362" s="253">
        <f>IF(O362=0,0,(J362-O362)/O362)</f>
        <v>0</v>
      </c>
      <c r="S362" s="265">
        <f>L362-Q362</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
        <v>196</v>
      </c>
      <c r="B363" s="41" t="s">
        <v>196</v>
      </c>
      <c r="C363" s="289"/>
      <c r="D363" s="41"/>
      <c r="E363" s="41"/>
      <c r="F363" s="276"/>
      <c r="G363" s="253"/>
      <c r="H363" s="41"/>
      <c r="I363" s="276"/>
      <c r="J363" s="253"/>
      <c r="K363" s="41"/>
      <c r="L363" s="263"/>
      <c r="M363" s="253"/>
      <c r="N363" s="362"/>
      <c r="O363" s="253"/>
      <c r="P363" s="41"/>
      <c r="Q363" s="263"/>
      <c r="R363" s="253"/>
      <c r="S363" s="263">
        <f>IF(Q362=0,0,S362/Q362)</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
        <v>573</v>
      </c>
      <c r="B364" s="41" t="s">
        <v>196</v>
      </c>
      <c r="C364" s="289" t="s">
        <v>110</v>
      </c>
      <c r="D364" s="41"/>
      <c r="E364" s="41"/>
      <c r="F364" s="276"/>
      <c r="G364" s="253"/>
      <c r="H364" s="41"/>
      <c r="I364" s="276"/>
      <c r="J364" s="253"/>
      <c r="K364" s="41"/>
      <c r="L364" s="263"/>
      <c r="M364" s="253"/>
      <c r="N364" s="263"/>
      <c r="O364" s="253"/>
      <c r="P364" s="41"/>
      <c r="Q364" s="263"/>
      <c r="R364" s="253"/>
      <c r="S364" s="263"/>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
        <v>574</v>
      </c>
      <c r="B365" s="41" t="s">
        <v>196</v>
      </c>
      <c r="C365" s="312" t="s">
        <v>120</v>
      </c>
      <c r="D365" s="41"/>
      <c r="E365" s="41"/>
      <c r="F365" s="254">
        <f>+INDEX('Budget original'!$A$2:$AO$501,MATCH($A365,'Budget original'!$A$2:$A$501,0),MATCH(F$2,'Budget original'!$A$2:$AO$2,0))</f>
        <v>0</v>
      </c>
      <c r="G365" s="253"/>
      <c r="H365" s="41"/>
      <c r="I365" s="254"/>
      <c r="J365" s="253"/>
      <c r="K365" s="41"/>
      <c r="L365" s="256">
        <f>-SUMIFS(BV_Data_An_Cour!$O:$O,BV_Data_An_Cour!$U:$U,$B365,BV_Data_An_Cour!$V:$V,$C365,BV_Data_An_Cour!$W:$W,$L$2)</f>
        <v>0</v>
      </c>
      <c r="M365" s="253"/>
      <c r="N365" s="263"/>
      <c r="O365" s="253"/>
      <c r="P365" s="41"/>
      <c r="Q365" s="256">
        <f t="array" ref="Q365">+INDEX('Réel 2024'!$A$2:$AO$501,MATCH($A365,'Réel 2024'!$A$2:$A$501,0),MATCH(Q$2,'Réel 2024'!$A$2:$AO$2,0))</f>
        <v>0</v>
      </c>
      <c r="R365" s="253"/>
      <c r="S365" s="256">
        <f t="shared" ref="S365:S394" si="73">L365-Q365</f>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
        <v>575</v>
      </c>
      <c r="B366" s="41" t="s">
        <v>196</v>
      </c>
      <c r="C366" s="313" t="s">
        <v>121</v>
      </c>
      <c r="D366" s="297"/>
      <c r="E366" s="41"/>
      <c r="F366" s="248">
        <f>+INDEX('Budget original'!$A$2:$AO$501,MATCH($A366,'Budget original'!$A$2:$A$501,0),MATCH(F$2,'Budget original'!$A$2:$AO$2,0))</f>
        <v>0</v>
      </c>
      <c r="G366" s="298"/>
      <c r="H366" s="41"/>
      <c r="I366" s="248"/>
      <c r="J366" s="253"/>
      <c r="K366" s="41"/>
      <c r="L366" s="248">
        <f>-SUMIFS(BV_Data_An_Cour!$O:$O,BV_Data_An_Cour!$U:$U,$B366,BV_Data_An_Cour!$V:$V,$C366,BV_Data_An_Cour!$W:$W,$L$2)</f>
        <v>0</v>
      </c>
      <c r="M366" s="253"/>
      <c r="N366" s="276"/>
      <c r="O366" s="253"/>
      <c r="P366" s="41"/>
      <c r="Q366" s="248">
        <f t="array" ref="Q366">+INDEX('Réel 2024'!$A$2:$AO$501,MATCH($A366,'Réel 2024'!$A$2:$A$501,0),MATCH(Q$2,'Réel 2024'!$A$2:$AO$2,0))</f>
        <v>0</v>
      </c>
      <c r="R366" s="253"/>
      <c r="S366" s="276">
        <f t="shared" si="73"/>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
        <v>576</v>
      </c>
      <c r="B367" s="41" t="s">
        <v>196</v>
      </c>
      <c r="C367" s="312" t="s">
        <v>122</v>
      </c>
      <c r="D367" s="314"/>
      <c r="E367" s="315"/>
      <c r="F367" s="254">
        <f>+INDEX('Budget original'!$A$2:$AO$501,MATCH($A367,'Budget original'!$A$2:$A$501,0),MATCH(F$2,'Budget original'!$A$2:$AO$2,0))</f>
        <v>0</v>
      </c>
      <c r="G367" s="316"/>
      <c r="H367" s="315"/>
      <c r="I367" s="254"/>
      <c r="J367" s="241"/>
      <c r="K367" s="315"/>
      <c r="L367" s="256">
        <f>-SUMIFS(BV_Data_An_Cour!$O:$O,BV_Data_An_Cour!$U:$U,$B367,BV_Data_An_Cour!$V:$V,$C367,BV_Data_An_Cour!$W:$W,$L$2)</f>
        <v>0</v>
      </c>
      <c r="M367" s="241"/>
      <c r="N367" s="317"/>
      <c r="O367" s="241"/>
      <c r="P367" s="315"/>
      <c r="Q367" s="256">
        <f t="array" ref="Q367">+INDEX('Réel 2024'!$A$2:$AO$501,MATCH($A367,'Réel 2024'!$A$2:$A$501,0),MATCH(Q$2,'Réel 2024'!$A$2:$AO$2,0))</f>
        <v>0</v>
      </c>
      <c r="R367" s="241"/>
      <c r="S367" s="317">
        <f t="shared" si="73"/>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
        <v>577</v>
      </c>
      <c r="B368" s="41" t="s">
        <v>196</v>
      </c>
      <c r="C368" s="312" t="s">
        <v>123</v>
      </c>
      <c r="D368" s="297"/>
      <c r="E368" s="41"/>
      <c r="F368" s="254">
        <f>+INDEX('Budget original'!$A$2:$AO$501,MATCH($A368,'Budget original'!$A$2:$A$501,0),MATCH(F$2,'Budget original'!$A$2:$AO$2,0))</f>
        <v>0</v>
      </c>
      <c r="G368" s="298"/>
      <c r="H368" s="41"/>
      <c r="I368" s="254"/>
      <c r="J368" s="253"/>
      <c r="K368" s="41"/>
      <c r="L368" s="256">
        <f>-SUMIFS(BV_Data_An_Cour!$O:$O,BV_Data_An_Cour!$U:$U,$B368,BV_Data_An_Cour!$V:$V,$C368,BV_Data_An_Cour!$W:$W,$L$2)</f>
        <v>0</v>
      </c>
      <c r="M368" s="253"/>
      <c r="N368" s="276"/>
      <c r="O368" s="253"/>
      <c r="P368" s="41"/>
      <c r="Q368" s="256">
        <f t="array" ref="Q368">+INDEX('Réel 2024'!$A$2:$AO$501,MATCH($A368,'Réel 2024'!$A$2:$A$501,0),MATCH(Q$2,'Réel 2024'!$A$2:$AO$2,0))</f>
        <v>0</v>
      </c>
      <c r="R368" s="253"/>
      <c r="S368" s="276">
        <f t="shared" si="73"/>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
        <v>578</v>
      </c>
      <c r="B369" s="41" t="s">
        <v>196</v>
      </c>
      <c r="C369" s="253" t="s">
        <v>59</v>
      </c>
      <c r="D369" s="297"/>
      <c r="E369" s="41"/>
      <c r="F369" s="254">
        <f>+INDEX('Budget original'!$A$2:$AO$501,MATCH($A369,'Budget original'!$A$2:$A$501,0),MATCH(F$2,'Budget original'!$A$2:$AO$2,0))</f>
        <v>0</v>
      </c>
      <c r="G369" s="298"/>
      <c r="H369" s="41"/>
      <c r="I369" s="254"/>
      <c r="J369" s="253"/>
      <c r="K369" s="41"/>
      <c r="L369" s="256">
        <f>-SUMIFS(BV_Data_An_Cour!$O:$O,BV_Data_An_Cour!$U:$U,$B369,BV_Data_An_Cour!$V:$V,$C369,BV_Data_An_Cour!$W:$W,$L$2)</f>
        <v>0</v>
      </c>
      <c r="M369" s="253"/>
      <c r="N369" s="276"/>
      <c r="O369" s="253"/>
      <c r="P369" s="41"/>
      <c r="Q369" s="256">
        <f t="array" ref="Q369">+INDEX('Réel 2024'!$A$2:$AO$501,MATCH($A369,'Réel 2024'!$A$2:$A$501,0),MATCH(Q$2,'Réel 2024'!$A$2:$AO$2,0))</f>
        <v>0</v>
      </c>
      <c r="R369" s="253"/>
      <c r="S369" s="276">
        <f t="shared" si="73"/>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
        <v>578</v>
      </c>
      <c r="B370" s="41" t="s">
        <v>196</v>
      </c>
      <c r="C370" s="253" t="s">
        <v>59</v>
      </c>
      <c r="D370" s="297"/>
      <c r="E370" s="41"/>
      <c r="F370" s="254">
        <f>+INDEX('Budget original'!$A$2:$AO$501,MATCH($A370,'Budget original'!$A$2:$A$501,0),MATCH(F$2,'Budget original'!$A$2:$AO$2,0))</f>
        <v>0</v>
      </c>
      <c r="G370" s="298"/>
      <c r="H370" s="41"/>
      <c r="I370" s="254"/>
      <c r="J370" s="253"/>
      <c r="K370" s="41"/>
      <c r="L370" s="256">
        <f>-SUMIFS(BV_Data_An_Cour!$O:$O,BV_Data_An_Cour!$U:$U,$B370,BV_Data_An_Cour!$V:$V,$C370,BV_Data_An_Cour!$W:$W,$L$2)</f>
        <v>0</v>
      </c>
      <c r="M370" s="253"/>
      <c r="N370" s="276"/>
      <c r="O370" s="253"/>
      <c r="P370" s="41"/>
      <c r="Q370" s="256">
        <f t="array" ref="Q370">+INDEX('Réel 2024'!$A$2:$AO$501,MATCH($A370,'Réel 2024'!$A$2:$A$501,0),MATCH(Q$2,'Réel 2024'!$A$2:$AO$2,0))</f>
        <v>0</v>
      </c>
      <c r="R370" s="253"/>
      <c r="S370" s="276">
        <f t="shared" si="73"/>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
        <v>578</v>
      </c>
      <c r="B371" s="41" t="s">
        <v>196</v>
      </c>
      <c r="C371" s="253" t="s">
        <v>59</v>
      </c>
      <c r="D371" s="297"/>
      <c r="E371" s="41"/>
      <c r="F371" s="254">
        <f>+INDEX('Budget original'!$A$2:$AO$501,MATCH($A371,'Budget original'!$A$2:$A$501,0),MATCH(F$2,'Budget original'!$A$2:$AO$2,0))</f>
        <v>0</v>
      </c>
      <c r="G371" s="298"/>
      <c r="H371" s="41"/>
      <c r="I371" s="254"/>
      <c r="J371" s="253"/>
      <c r="K371" s="41"/>
      <c r="L371" s="256">
        <f>-SUMIFS(BV_Data_An_Cour!$O:$O,BV_Data_An_Cour!$U:$U,$B371,BV_Data_An_Cour!$V:$V,$C371,BV_Data_An_Cour!$W:$W,$L$2)</f>
        <v>0</v>
      </c>
      <c r="M371" s="253"/>
      <c r="N371" s="276"/>
      <c r="O371" s="253"/>
      <c r="P371" s="41"/>
      <c r="Q371" s="256">
        <f t="array" ref="Q371">+INDEX('Réel 2024'!$A$2:$AO$501,MATCH($A371,'Réel 2024'!$A$2:$A$501,0),MATCH(Q$2,'Réel 2024'!$A$2:$AO$2,0))</f>
        <v>0</v>
      </c>
      <c r="R371" s="253"/>
      <c r="S371" s="276">
        <f t="shared" si="73"/>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
        <v>579</v>
      </c>
      <c r="B372" s="41" t="s">
        <v>196</v>
      </c>
      <c r="C372" s="313" t="s">
        <v>124</v>
      </c>
      <c r="D372" s="297"/>
      <c r="E372" s="41"/>
      <c r="F372" s="248">
        <f>+INDEX('Budget original'!$A$2:$AO$501,MATCH($A372,'Budget original'!$A$2:$A$501,0),MATCH(F$2,'Budget original'!$A$2:$AO$2,0))</f>
        <v>0</v>
      </c>
      <c r="G372" s="298"/>
      <c r="H372" s="41"/>
      <c r="I372" s="248"/>
      <c r="J372" s="253"/>
      <c r="K372" s="41"/>
      <c r="L372" s="248">
        <f>-SUMIFS(BV_Data_An_Cour!$O:$O,BV_Data_An_Cour!$U:$U,$B372,BV_Data_An_Cour!$V:$V,$C372,BV_Data_An_Cour!$W:$W,$L$2)</f>
        <v>0</v>
      </c>
      <c r="M372" s="253"/>
      <c r="N372" s="276"/>
      <c r="O372" s="253"/>
      <c r="P372" s="41"/>
      <c r="Q372" s="248">
        <f t="array" ref="Q372">+INDEX('Réel 2024'!$A$2:$AO$501,MATCH($A372,'Réel 2024'!$A$2:$A$501,0),MATCH(Q$2,'Réel 2024'!$A$2:$AO$2,0))</f>
        <v>0</v>
      </c>
      <c r="R372" s="253"/>
      <c r="S372" s="276">
        <f t="shared" si="73"/>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
        <v>580</v>
      </c>
      <c r="B373" s="41" t="s">
        <v>196</v>
      </c>
      <c r="C373" s="312" t="s">
        <v>125</v>
      </c>
      <c r="D373" s="314"/>
      <c r="E373" s="315"/>
      <c r="F373" s="254">
        <f>+INDEX('Budget original'!$A$2:$AO$501,MATCH($A373,'Budget original'!$A$2:$A$501,0),MATCH(F$2,'Budget original'!$A$2:$AO$2,0))</f>
        <v>0</v>
      </c>
      <c r="G373" s="316"/>
      <c r="H373" s="315"/>
      <c r="I373" s="254"/>
      <c r="J373" s="241"/>
      <c r="K373" s="315"/>
      <c r="L373" s="256">
        <f>-SUMIFS(BV_Data_An_Cour!$O:$O,BV_Data_An_Cour!$U:$U,$B373,BV_Data_An_Cour!$V:$V,$C373,BV_Data_An_Cour!$W:$W,$L$2)</f>
        <v>0</v>
      </c>
      <c r="M373" s="241"/>
      <c r="N373" s="317"/>
      <c r="O373" s="241"/>
      <c r="P373" s="315"/>
      <c r="Q373" s="256">
        <f t="array" ref="Q373">+INDEX('Réel 2024'!$A$2:$AO$501,MATCH($A373,'Réel 2024'!$A$2:$A$501,0),MATCH(Q$2,'Réel 2024'!$A$2:$AO$2,0))</f>
        <v>0</v>
      </c>
      <c r="R373" s="241"/>
      <c r="S373" s="317">
        <f t="shared" si="73"/>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
        <v>581</v>
      </c>
      <c r="B374" s="41" t="s">
        <v>196</v>
      </c>
      <c r="C374" s="312" t="s">
        <v>126</v>
      </c>
      <c r="D374" s="297"/>
      <c r="E374" s="41"/>
      <c r="F374" s="254">
        <f>+INDEX('Budget original'!$A$2:$AO$501,MATCH($A374,'Budget original'!$A$2:$A$501,0),MATCH(F$2,'Budget original'!$A$2:$AO$2,0))</f>
        <v>0</v>
      </c>
      <c r="G374" s="298"/>
      <c r="H374" s="41"/>
      <c r="I374" s="254"/>
      <c r="J374" s="253"/>
      <c r="K374" s="41"/>
      <c r="L374" s="256">
        <f>-SUMIFS(BV_Data_An_Cour!$O:$O,BV_Data_An_Cour!$U:$U,$B374,BV_Data_An_Cour!$V:$V,$C374,BV_Data_An_Cour!$W:$W,$L$2)</f>
        <v>0</v>
      </c>
      <c r="M374" s="253"/>
      <c r="N374" s="276"/>
      <c r="O374" s="253"/>
      <c r="P374" s="41"/>
      <c r="Q374" s="256">
        <f t="array" ref="Q374">+INDEX('Réel 2024'!$A$2:$AO$501,MATCH($A374,'Réel 2024'!$A$2:$A$501,0),MATCH(Q$2,'Réel 2024'!$A$2:$AO$2,0))</f>
        <v>0</v>
      </c>
      <c r="R374" s="253"/>
      <c r="S374" s="276">
        <f t="shared" si="73"/>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
        <v>582</v>
      </c>
      <c r="B375" s="41" t="s">
        <v>196</v>
      </c>
      <c r="C375" s="312" t="s">
        <v>127</v>
      </c>
      <c r="D375" s="297"/>
      <c r="E375" s="41"/>
      <c r="F375" s="254">
        <f>+INDEX('Budget original'!$A$2:$AO$501,MATCH($A375,'Budget original'!$A$2:$A$501,0),MATCH(F$2,'Budget original'!$A$2:$AO$2,0))</f>
        <v>0</v>
      </c>
      <c r="G375" s="298"/>
      <c r="H375" s="41"/>
      <c r="I375" s="254"/>
      <c r="J375" s="253"/>
      <c r="K375" s="41"/>
      <c r="L375" s="256">
        <f>-SUMIFS(BV_Data_An_Cour!$O:$O,BV_Data_An_Cour!$U:$U,$B375,BV_Data_An_Cour!$V:$V,$C375,BV_Data_An_Cour!$W:$W,$L$2)</f>
        <v>0</v>
      </c>
      <c r="M375" s="253"/>
      <c r="N375" s="276"/>
      <c r="O375" s="253"/>
      <c r="P375" s="41"/>
      <c r="Q375" s="256">
        <f t="array" ref="Q375">+INDEX('Réel 2024'!$A$2:$AO$501,MATCH($A375,'Réel 2024'!$A$2:$A$501,0),MATCH(Q$2,'Réel 2024'!$A$2:$AO$2,0))</f>
        <v>0</v>
      </c>
      <c r="R375" s="253"/>
      <c r="S375" s="276">
        <f t="shared" si="73"/>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
        <v>578</v>
      </c>
      <c r="B376" s="41" t="s">
        <v>196</v>
      </c>
      <c r="C376" s="253" t="s">
        <v>59</v>
      </c>
      <c r="D376" s="299"/>
      <c r="E376" s="318"/>
      <c r="F376" s="254">
        <f>+INDEX('Budget original'!$A$2:$AO$501,MATCH($A376,'Budget original'!$A$2:$A$501,0),MATCH(F$2,'Budget original'!$A$2:$AO$2,0))</f>
        <v>0</v>
      </c>
      <c r="G376" s="300"/>
      <c r="H376" s="318"/>
      <c r="I376" s="254"/>
      <c r="J376" s="246"/>
      <c r="K376" s="318"/>
      <c r="L376" s="256">
        <f>-SUMIFS(BV_Data_An_Cour!$O:$O,BV_Data_An_Cour!$U:$U,$B376,BV_Data_An_Cour!$V:$V,$C376,BV_Data_An_Cour!$W:$W,$L$2)</f>
        <v>0</v>
      </c>
      <c r="M376" s="246"/>
      <c r="N376" s="296"/>
      <c r="O376" s="246"/>
      <c r="P376" s="318"/>
      <c r="Q376" s="256">
        <f t="array" ref="Q376">+INDEX('Réel 2024'!$A$2:$AO$501,MATCH($A376,'Réel 2024'!$A$2:$A$501,0),MATCH(Q$2,'Réel 2024'!$A$2:$AO$2,0))</f>
        <v>0</v>
      </c>
      <c r="R376" s="246"/>
      <c r="S376" s="296">
        <f t="shared" si="73"/>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
        <v>583</v>
      </c>
      <c r="B377" s="41" t="s">
        <v>196</v>
      </c>
      <c r="C377" s="304" t="s">
        <v>128</v>
      </c>
      <c r="D377" s="305" t="s">
        <v>119</v>
      </c>
      <c r="E377" s="306">
        <f>IFERROR(F377/F$360,0)</f>
        <v>0</v>
      </c>
      <c r="F377" s="307">
        <f>+SUM(F365:F376)</f>
        <v>0</v>
      </c>
      <c r="G377" s="308"/>
      <c r="H377" s="306"/>
      <c r="I377" s="307"/>
      <c r="J377" s="308" t="s">
        <v>119</v>
      </c>
      <c r="K377" s="306">
        <f>IFERROR(L377/L$360,0)</f>
        <v>0</v>
      </c>
      <c r="L377" s="307">
        <f>+SUM(L365:L376)</f>
        <v>0</v>
      </c>
      <c r="M377" s="355"/>
      <c r="N377" s="320"/>
      <c r="O377" s="308" t="s">
        <v>119</v>
      </c>
      <c r="P377" s="306">
        <f>IFERROR(Q377/Q$360,0)</f>
        <v>0</v>
      </c>
      <c r="Q377" s="307">
        <f>+SUM(Q365:Q376)</f>
        <v>0</v>
      </c>
      <c r="R377" s="355"/>
      <c r="S377" s="320">
        <f t="shared" si="73"/>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
        <v>584</v>
      </c>
      <c r="B378" s="41" t="s">
        <v>196</v>
      </c>
      <c r="C378" s="406" t="s">
        <v>129</v>
      </c>
      <c r="D378" s="297"/>
      <c r="E378" s="41"/>
      <c r="F378" s="254">
        <f>+INDEX('Budget original'!$A$2:$AO$501,MATCH($A378,'Budget original'!$A$2:$A$501,0),MATCH(F$2,'Budget original'!$A$2:$AO$2,0))</f>
        <v>0</v>
      </c>
      <c r="G378" s="298"/>
      <c r="H378" s="41"/>
      <c r="I378" s="254"/>
      <c r="J378" s="253"/>
      <c r="K378" s="41"/>
      <c r="L378" s="256">
        <f>-SUMIFS(BV_Data_An_Cour!$O:$O,BV_Data_An_Cour!$U:$U,$B378,BV_Data_An_Cour!$V:$V,$C378,BV_Data_An_Cour!$W:$W,$L$2)</f>
        <v>0</v>
      </c>
      <c r="M378" s="253"/>
      <c r="N378" s="276"/>
      <c r="O378" s="253"/>
      <c r="P378" s="41"/>
      <c r="Q378" s="256">
        <f t="array" ref="Q378">+INDEX('Réel 2024'!$A$2:$AO$501,MATCH($A378,'Réel 2024'!$A$2:$A$501,0),MATCH(Q$2,'Réel 2024'!$A$2:$AO$2,0))</f>
        <v>0</v>
      </c>
      <c r="R378" s="253"/>
      <c r="S378" s="276">
        <f t="shared" si="73"/>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
        <v>585</v>
      </c>
      <c r="B379" s="41" t="s">
        <v>196</v>
      </c>
      <c r="C379" s="312" t="s">
        <v>130</v>
      </c>
      <c r="D379" s="297"/>
      <c r="E379" s="41"/>
      <c r="F379" s="254">
        <f>+INDEX('Budget original'!$A$2:$AO$501,MATCH($A379,'Budget original'!$A$2:$A$501,0),MATCH(F$2,'Budget original'!$A$2:$AO$2,0))</f>
        <v>0</v>
      </c>
      <c r="G379" s="298"/>
      <c r="H379" s="41"/>
      <c r="I379" s="254"/>
      <c r="J379" s="253"/>
      <c r="K379" s="41"/>
      <c r="L379" s="256">
        <f>-SUMIFS(BV_Data_An_Cour!$O:$O,BV_Data_An_Cour!$U:$U,$B379,BV_Data_An_Cour!$V:$V,$C379,BV_Data_An_Cour!$W:$W,$L$2)</f>
        <v>0</v>
      </c>
      <c r="M379" s="253"/>
      <c r="N379" s="276"/>
      <c r="O379" s="253"/>
      <c r="P379" s="41"/>
      <c r="Q379" s="256">
        <f t="array" ref="Q379">+INDEX('Réel 2024'!$A$2:$AO$501,MATCH($A379,'Réel 2024'!$A$2:$A$501,0),MATCH(Q$2,'Réel 2024'!$A$2:$AO$2,0))</f>
        <v>0</v>
      </c>
      <c r="R379" s="253"/>
      <c r="S379" s="276">
        <f t="shared" si="73"/>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
        <v>586</v>
      </c>
      <c r="B380" s="41" t="s">
        <v>196</v>
      </c>
      <c r="C380" s="313" t="s">
        <v>131</v>
      </c>
      <c r="D380" s="299"/>
      <c r="E380" s="318"/>
      <c r="F380" s="248">
        <f>+INDEX('Budget original'!$A$2:$AO$501,MATCH($A380,'Budget original'!$A$2:$A$501,0),MATCH(F$2,'Budget original'!$A$2:$AO$2,0))</f>
        <v>0</v>
      </c>
      <c r="G380" s="300"/>
      <c r="H380" s="318"/>
      <c r="I380" s="248"/>
      <c r="J380" s="246"/>
      <c r="K380" s="318"/>
      <c r="L380" s="248">
        <f>-SUMIFS(BV_Data_An_Cour!$O:$O,BV_Data_An_Cour!$U:$U,$B380,BV_Data_An_Cour!$V:$V,$C380,BV_Data_An_Cour!$W:$W,$L$2)</f>
        <v>0</v>
      </c>
      <c r="M380" s="246"/>
      <c r="N380" s="296"/>
      <c r="O380" s="246"/>
      <c r="P380" s="318"/>
      <c r="Q380" s="248">
        <f t="array" ref="Q380">+INDEX('Réel 2024'!$A$2:$AO$501,MATCH($A380,'Réel 2024'!$A$2:$A$501,0),MATCH(Q$2,'Réel 2024'!$A$2:$AO$2,0))</f>
        <v>0</v>
      </c>
      <c r="R380" s="246"/>
      <c r="S380" s="296">
        <f t="shared" si="73"/>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
        <v>587</v>
      </c>
      <c r="B381" s="41" t="s">
        <v>196</v>
      </c>
      <c r="C381" s="312" t="s">
        <v>132</v>
      </c>
      <c r="D381" s="297"/>
      <c r="E381" s="41"/>
      <c r="F381" s="254">
        <f>+INDEX('Budget original'!$A$2:$AO$501,MATCH($A381,'Budget original'!$A$2:$A$501,0),MATCH(F$2,'Budget original'!$A$2:$AO$2,0))</f>
        <v>0</v>
      </c>
      <c r="G381" s="298"/>
      <c r="H381" s="41"/>
      <c r="I381" s="254"/>
      <c r="J381" s="253"/>
      <c r="K381" s="41"/>
      <c r="L381" s="256">
        <f>-SUMIFS(BV_Data_An_Cour!$O:$O,BV_Data_An_Cour!$U:$U,$B381,BV_Data_An_Cour!$V:$V,$C381,BV_Data_An_Cour!$W:$W,$L$2)</f>
        <v>0</v>
      </c>
      <c r="M381" s="253"/>
      <c r="N381" s="276"/>
      <c r="O381" s="253"/>
      <c r="P381" s="41"/>
      <c r="Q381" s="256">
        <f t="array" ref="Q381">+INDEX('Réel 2024'!$A$2:$AO$501,MATCH($A381,'Réel 2024'!$A$2:$A$501,0),MATCH(Q$2,'Réel 2024'!$A$2:$AO$2,0))</f>
        <v>0</v>
      </c>
      <c r="R381" s="253"/>
      <c r="S381" s="276">
        <f t="shared" si="73"/>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
        <v>588</v>
      </c>
      <c r="B382" s="41" t="s">
        <v>196</v>
      </c>
      <c r="C382" s="312" t="s">
        <v>133</v>
      </c>
      <c r="D382" s="297"/>
      <c r="E382" s="41"/>
      <c r="F382" s="254">
        <f>+INDEX('Budget original'!$A$2:$AO$501,MATCH($A382,'Budget original'!$A$2:$A$501,0),MATCH(F$2,'Budget original'!$A$2:$AO$2,0))</f>
        <v>0</v>
      </c>
      <c r="G382" s="298"/>
      <c r="H382" s="41"/>
      <c r="I382" s="254"/>
      <c r="J382" s="253"/>
      <c r="K382" s="41"/>
      <c r="L382" s="256">
        <f>-SUMIFS(BV_Data_An_Cour!$O:$O,BV_Data_An_Cour!$U:$U,$B382,BV_Data_An_Cour!$V:$V,$C382,BV_Data_An_Cour!$W:$W,$L$2)</f>
        <v>0</v>
      </c>
      <c r="M382" s="253"/>
      <c r="N382" s="276"/>
      <c r="O382" s="253"/>
      <c r="P382" s="41"/>
      <c r="Q382" s="256">
        <f t="array" ref="Q382">+INDEX('Réel 2024'!$A$2:$AO$501,MATCH($A382,'Réel 2024'!$A$2:$A$501,0),MATCH(Q$2,'Réel 2024'!$A$2:$AO$2,0))</f>
        <v>0</v>
      </c>
      <c r="R382" s="253"/>
      <c r="S382" s="276">
        <f t="shared" si="73"/>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
        <v>589</v>
      </c>
      <c r="B383" s="41" t="s">
        <v>196</v>
      </c>
      <c r="C383" s="312" t="s">
        <v>134</v>
      </c>
      <c r="D383" s="299"/>
      <c r="E383" s="318"/>
      <c r="F383" s="248">
        <f>+INDEX('Budget original'!$A$2:$AO$501,MATCH($A383,'Budget original'!$A$2:$A$501,0),MATCH(F$2,'Budget original'!$A$2:$AO$2,0))</f>
        <v>0</v>
      </c>
      <c r="G383" s="300"/>
      <c r="H383" s="318"/>
      <c r="I383" s="248"/>
      <c r="J383" s="246"/>
      <c r="K383" s="318"/>
      <c r="L383" s="248">
        <f>-SUMIFS(BV_Data_An_Cour!$O:$O,BV_Data_An_Cour!$U:$U,$B383,BV_Data_An_Cour!$V:$V,$C383,BV_Data_An_Cour!$W:$W,$L$2)</f>
        <v>0</v>
      </c>
      <c r="M383" s="246"/>
      <c r="N383" s="296"/>
      <c r="O383" s="246"/>
      <c r="P383" s="318"/>
      <c r="Q383" s="248">
        <f t="array" ref="Q383">+INDEX('Réel 2024'!$A$2:$AO$501,MATCH($A383,'Réel 2024'!$A$2:$A$501,0),MATCH(Q$2,'Réel 2024'!$A$2:$AO$2,0))</f>
        <v>0</v>
      </c>
      <c r="R383" s="246"/>
      <c r="S383" s="296">
        <f t="shared" si="73"/>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
        <v>590</v>
      </c>
      <c r="B384" s="41" t="s">
        <v>196</v>
      </c>
      <c r="C384" s="406" t="s">
        <v>135</v>
      </c>
      <c r="D384" s="297"/>
      <c r="E384" s="41"/>
      <c r="F384" s="254">
        <f>+INDEX('Budget original'!$A$2:$AO$501,MATCH($A384,'Budget original'!$A$2:$A$501,0),MATCH(F$2,'Budget original'!$A$2:$AO$2,0))</f>
        <v>0</v>
      </c>
      <c r="G384" s="298"/>
      <c r="H384" s="41"/>
      <c r="I384" s="254"/>
      <c r="J384" s="253"/>
      <c r="K384" s="41"/>
      <c r="L384" s="256">
        <f>-SUMIFS(BV_Data_An_Cour!$O:$O,BV_Data_An_Cour!$U:$U,$B384,BV_Data_An_Cour!$V:$V,$C384,BV_Data_An_Cour!$W:$W,$L$2)</f>
        <v>0</v>
      </c>
      <c r="M384" s="253"/>
      <c r="N384" s="276"/>
      <c r="O384" s="253"/>
      <c r="P384" s="41"/>
      <c r="Q384" s="256">
        <f t="array" ref="Q384">+INDEX('Réel 2024'!$A$2:$AO$501,MATCH($A384,'Réel 2024'!$A$2:$A$501,0),MATCH(Q$2,'Réel 2024'!$A$2:$AO$2,0))</f>
        <v>0</v>
      </c>
      <c r="R384" s="253"/>
      <c r="S384" s="276">
        <f t="shared" si="73"/>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
        <v>591</v>
      </c>
      <c r="B385" s="41" t="s">
        <v>196</v>
      </c>
      <c r="C385" s="312" t="s">
        <v>136</v>
      </c>
      <c r="D385" s="297"/>
      <c r="E385" s="41"/>
      <c r="F385" s="254">
        <f>+INDEX('Budget original'!$A$2:$AO$501,MATCH($A385,'Budget original'!$A$2:$A$501,0),MATCH(F$2,'Budget original'!$A$2:$AO$2,0))</f>
        <v>0</v>
      </c>
      <c r="G385" s="298"/>
      <c r="H385" s="41"/>
      <c r="I385" s="254"/>
      <c r="J385" s="253"/>
      <c r="K385" s="41"/>
      <c r="L385" s="256">
        <f>-SUMIFS(BV_Data_An_Cour!$O:$O,BV_Data_An_Cour!$U:$U,$B385,BV_Data_An_Cour!$V:$V,$C385,BV_Data_An_Cour!$W:$W,$L$2)</f>
        <v>0</v>
      </c>
      <c r="M385" s="253"/>
      <c r="N385" s="276"/>
      <c r="O385" s="253"/>
      <c r="P385" s="41"/>
      <c r="Q385" s="256">
        <f t="array" ref="Q385">+INDEX('Réel 2024'!$A$2:$AO$501,MATCH($A385,'Réel 2024'!$A$2:$A$501,0),MATCH(Q$2,'Réel 2024'!$A$2:$AO$2,0))</f>
        <v>0</v>
      </c>
      <c r="R385" s="253"/>
      <c r="S385" s="276">
        <f t="shared" si="73"/>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
        <v>592</v>
      </c>
      <c r="B386" s="41" t="s">
        <v>196</v>
      </c>
      <c r="C386" s="312" t="s">
        <v>137</v>
      </c>
      <c r="D386" s="297"/>
      <c r="E386" s="41"/>
      <c r="F386" s="254">
        <f>+INDEX('Budget original'!$A$2:$AO$501,MATCH($A386,'Budget original'!$A$2:$A$501,0),MATCH(F$2,'Budget original'!$A$2:$AO$2,0))</f>
        <v>0</v>
      </c>
      <c r="G386" s="298"/>
      <c r="H386" s="41"/>
      <c r="I386" s="254"/>
      <c r="J386" s="253"/>
      <c r="K386" s="41"/>
      <c r="L386" s="256">
        <f>-SUMIFS(BV_Data_An_Cour!$O:$O,BV_Data_An_Cour!$U:$U,$B386,BV_Data_An_Cour!$V:$V,$C386,BV_Data_An_Cour!$W:$W,$L$2)</f>
        <v>0</v>
      </c>
      <c r="M386" s="253"/>
      <c r="N386" s="276"/>
      <c r="O386" s="253"/>
      <c r="P386" s="41"/>
      <c r="Q386" s="256">
        <f t="array" ref="Q386">+INDEX('Réel 2024'!$A$2:$AO$501,MATCH($A386,'Réel 2024'!$A$2:$A$501,0),MATCH(Q$2,'Réel 2024'!$A$2:$AO$2,0))</f>
        <v>0</v>
      </c>
      <c r="R386" s="253"/>
      <c r="S386" s="276">
        <f t="shared" si="73"/>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
        <v>593</v>
      </c>
      <c r="B387" s="41" t="s">
        <v>196</v>
      </c>
      <c r="C387" s="312" t="s">
        <v>138</v>
      </c>
      <c r="D387" s="297"/>
      <c r="E387" s="41"/>
      <c r="F387" s="254">
        <f>+INDEX('Budget original'!$A$2:$AO$501,MATCH($A387,'Budget original'!$A$2:$A$501,0),MATCH(F$2,'Budget original'!$A$2:$AO$2,0))</f>
        <v>0</v>
      </c>
      <c r="G387" s="298"/>
      <c r="H387" s="41"/>
      <c r="I387" s="254"/>
      <c r="J387" s="253"/>
      <c r="K387" s="41"/>
      <c r="L387" s="256">
        <f>-SUMIFS(BV_Data_An_Cour!$O:$O,BV_Data_An_Cour!$U:$U,$B387,BV_Data_An_Cour!$V:$V,$C387,BV_Data_An_Cour!$W:$W,$L$2)</f>
        <v>0</v>
      </c>
      <c r="M387" s="253"/>
      <c r="N387" s="276"/>
      <c r="O387" s="253"/>
      <c r="P387" s="41"/>
      <c r="Q387" s="256">
        <f t="array" ref="Q387">+INDEX('Réel 2024'!$A$2:$AO$501,MATCH($A387,'Réel 2024'!$A$2:$A$501,0),MATCH(Q$2,'Réel 2024'!$A$2:$AO$2,0))</f>
        <v>0</v>
      </c>
      <c r="R387" s="253"/>
      <c r="S387" s="276">
        <f t="shared" si="73"/>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
        <v>594</v>
      </c>
      <c r="B388" s="41" t="s">
        <v>196</v>
      </c>
      <c r="C388" s="312" t="s">
        <v>139</v>
      </c>
      <c r="D388" s="297"/>
      <c r="E388" s="41"/>
      <c r="F388" s="254">
        <f>+INDEX('Budget original'!$A$2:$AO$501,MATCH($A388,'Budget original'!$A$2:$A$501,0),MATCH(F$2,'Budget original'!$A$2:$AO$2,0))</f>
        <v>0</v>
      </c>
      <c r="G388" s="298"/>
      <c r="H388" s="41"/>
      <c r="I388" s="254"/>
      <c r="J388" s="253"/>
      <c r="K388" s="41"/>
      <c r="L388" s="256">
        <f>-SUMIFS(BV_Data_An_Cour!$O:$O,BV_Data_An_Cour!$U:$U,$B388,BV_Data_An_Cour!$V:$V,$C388,BV_Data_An_Cour!$W:$W,$L$2)</f>
        <v>0</v>
      </c>
      <c r="M388" s="253"/>
      <c r="N388" s="276"/>
      <c r="O388" s="253"/>
      <c r="P388" s="41"/>
      <c r="Q388" s="256">
        <f t="array" ref="Q388">+INDEX('Réel 2024'!$A$2:$AO$501,MATCH($A388,'Réel 2024'!$A$2:$A$501,0),MATCH(Q$2,'Réel 2024'!$A$2:$AO$2,0))</f>
        <v>0</v>
      </c>
      <c r="R388" s="253"/>
      <c r="S388" s="276">
        <f t="shared" si="73"/>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
        <v>595</v>
      </c>
      <c r="B389" s="41" t="s">
        <v>196</v>
      </c>
      <c r="C389" s="312" t="s">
        <v>140</v>
      </c>
      <c r="D389" s="297"/>
      <c r="E389" s="41"/>
      <c r="F389" s="254">
        <f>+INDEX('Budget original'!$A$2:$AO$501,MATCH($A389,'Budget original'!$A$2:$A$501,0),MATCH(F$2,'Budget original'!$A$2:$AO$2,0))</f>
        <v>0</v>
      </c>
      <c r="G389" s="298"/>
      <c r="H389" s="41"/>
      <c r="I389" s="254"/>
      <c r="J389" s="253"/>
      <c r="K389" s="41"/>
      <c r="L389" s="256">
        <f>-SUMIFS(BV_Data_An_Cour!$O:$O,BV_Data_An_Cour!$U:$U,$B389,BV_Data_An_Cour!$V:$V,$C389,BV_Data_An_Cour!$W:$W,$L$2)</f>
        <v>0</v>
      </c>
      <c r="M389" s="253"/>
      <c r="N389" s="276"/>
      <c r="O389" s="253"/>
      <c r="P389" s="41"/>
      <c r="Q389" s="256">
        <f t="array" ref="Q389">+INDEX('Réel 2024'!$A$2:$AO$501,MATCH($A389,'Réel 2024'!$A$2:$A$501,0),MATCH(Q$2,'Réel 2024'!$A$2:$AO$2,0))</f>
        <v>0</v>
      </c>
      <c r="R389" s="253"/>
      <c r="S389" s="276">
        <f t="shared" si="73"/>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
        <v>596</v>
      </c>
      <c r="B390" s="41" t="s">
        <v>196</v>
      </c>
      <c r="C390" s="312" t="s">
        <v>141</v>
      </c>
      <c r="D390" s="297"/>
      <c r="E390" s="41"/>
      <c r="F390" s="254">
        <f>+INDEX('Budget original'!$A$2:$AO$501,MATCH($A390,'Budget original'!$A$2:$A$501,0),MATCH(F$2,'Budget original'!$A$2:$AO$2,0))</f>
        <v>0</v>
      </c>
      <c r="G390" s="298"/>
      <c r="H390" s="41"/>
      <c r="I390" s="254"/>
      <c r="J390" s="253"/>
      <c r="K390" s="41"/>
      <c r="L390" s="256">
        <f>-SUMIFS(BV_Data_An_Cour!$O:$O,BV_Data_An_Cour!$U:$U,$B390,BV_Data_An_Cour!$V:$V,$C390,BV_Data_An_Cour!$W:$W,$L$2)</f>
        <v>0</v>
      </c>
      <c r="M390" s="253"/>
      <c r="N390" s="276"/>
      <c r="O390" s="253"/>
      <c r="P390" s="41"/>
      <c r="Q390" s="256">
        <f t="array" ref="Q390">+INDEX('Réel 2024'!$A$2:$AO$501,MATCH($A390,'Réel 2024'!$A$2:$A$501,0),MATCH(Q$2,'Réel 2024'!$A$2:$AO$2,0))</f>
        <v>0</v>
      </c>
      <c r="R390" s="253"/>
      <c r="S390" s="276">
        <f t="shared" si="73"/>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
        <v>597</v>
      </c>
      <c r="B391" s="41" t="s">
        <v>196</v>
      </c>
      <c r="C391" s="312" t="s">
        <v>142</v>
      </c>
      <c r="D391" s="297"/>
      <c r="E391" s="41"/>
      <c r="F391" s="254">
        <f>+INDEX('Budget original'!$A$2:$AO$501,MATCH($A391,'Budget original'!$A$2:$A$501,0),MATCH(F$2,'Budget original'!$A$2:$AO$2,0))</f>
        <v>0</v>
      </c>
      <c r="G391" s="298"/>
      <c r="H391" s="41"/>
      <c r="I391" s="254"/>
      <c r="J391" s="253"/>
      <c r="K391" s="41"/>
      <c r="L391" s="256">
        <f>-SUMIFS(BV_Data_An_Cour!$O:$O,BV_Data_An_Cour!$U:$U,$B391,BV_Data_An_Cour!$V:$V,$C391,BV_Data_An_Cour!$W:$W,$L$2)</f>
        <v>0</v>
      </c>
      <c r="M391" s="253"/>
      <c r="N391" s="276"/>
      <c r="O391" s="253"/>
      <c r="P391" s="41"/>
      <c r="Q391" s="256">
        <f t="array" ref="Q391">+INDEX('Réel 2024'!$A$2:$AO$501,MATCH($A391,'Réel 2024'!$A$2:$A$501,0),MATCH(Q$2,'Réel 2024'!$A$2:$AO$2,0))</f>
        <v>0</v>
      </c>
      <c r="R391" s="253"/>
      <c r="S391" s="276">
        <f t="shared" si="73"/>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
        <v>578</v>
      </c>
      <c r="B392" s="41" t="s">
        <v>196</v>
      </c>
      <c r="C392" s="312" t="s">
        <v>59</v>
      </c>
      <c r="D392" s="297"/>
      <c r="E392" s="41"/>
      <c r="F392" s="254">
        <f>+INDEX('Budget original'!$A$2:$AO$501,MATCH($A392,'Budget original'!$A$2:$A$501,0),MATCH(F$2,'Budget original'!$A$2:$AO$2,0))</f>
        <v>0</v>
      </c>
      <c r="G392" s="298"/>
      <c r="H392" s="41"/>
      <c r="I392" s="254"/>
      <c r="J392" s="253"/>
      <c r="K392" s="41"/>
      <c r="L392" s="256">
        <f>-SUMIFS(BV_Data_An_Cour!$O:$O,BV_Data_An_Cour!$U:$U,$B392,BV_Data_An_Cour!$V:$V,$C392,BV_Data_An_Cour!$W:$W,$L$2)</f>
        <v>0</v>
      </c>
      <c r="M392" s="253"/>
      <c r="N392" s="276"/>
      <c r="O392" s="253"/>
      <c r="P392" s="41"/>
      <c r="Q392" s="256">
        <f t="array" ref="Q392">+INDEX('Réel 2024'!$A$2:$AO$501,MATCH($A392,'Réel 2024'!$A$2:$A$501,0),MATCH(Q$2,'Réel 2024'!$A$2:$AO$2,0))</f>
        <v>0</v>
      </c>
      <c r="R392" s="253"/>
      <c r="S392" s="276">
        <f t="shared" si="73"/>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
        <v>578</v>
      </c>
      <c r="B393" s="41" t="s">
        <v>196</v>
      </c>
      <c r="C393" s="312" t="s">
        <v>59</v>
      </c>
      <c r="D393" s="297"/>
      <c r="E393" s="41"/>
      <c r="F393" s="254">
        <f>+INDEX('Budget original'!$A$2:$AO$501,MATCH($A393,'Budget original'!$A$2:$A$501,0),MATCH(F$2,'Budget original'!$A$2:$AO$2,0))</f>
        <v>0</v>
      </c>
      <c r="G393" s="298"/>
      <c r="H393" s="41"/>
      <c r="I393" s="254"/>
      <c r="J393" s="253"/>
      <c r="K393" s="41"/>
      <c r="L393" s="256">
        <f>-SUMIFS(BV_Data_An_Cour!$O:$O,BV_Data_An_Cour!$U:$U,$B393,BV_Data_An_Cour!$V:$V,$C393,BV_Data_An_Cour!$W:$W,$L$2)</f>
        <v>0</v>
      </c>
      <c r="M393" s="253"/>
      <c r="N393" s="276"/>
      <c r="O393" s="253"/>
      <c r="P393" s="41"/>
      <c r="Q393" s="256">
        <f t="array" ref="Q393">+INDEX('Réel 2024'!$A$2:$AO$501,MATCH($A393,'Réel 2024'!$A$2:$A$501,0),MATCH(Q$2,'Réel 2024'!$A$2:$AO$2,0))</f>
        <v>0</v>
      </c>
      <c r="R393" s="253"/>
      <c r="S393" s="276">
        <f t="shared" si="73"/>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
        <v>578</v>
      </c>
      <c r="B394" s="41" t="s">
        <v>196</v>
      </c>
      <c r="C394" s="312" t="s">
        <v>59</v>
      </c>
      <c r="D394" s="299"/>
      <c r="E394" s="318"/>
      <c r="F394" s="254">
        <f>+INDEX('Budget original'!$A$2:$AO$501,MATCH($A394,'Budget original'!$A$2:$A$501,0),MATCH(F$2,'Budget original'!$A$2:$AO$2,0))</f>
        <v>0</v>
      </c>
      <c r="G394" s="300"/>
      <c r="H394" s="318"/>
      <c r="I394" s="254"/>
      <c r="J394" s="246"/>
      <c r="K394" s="318"/>
      <c r="L394" s="256">
        <f>-SUMIFS(BV_Data_An_Cour!$O:$O,BV_Data_An_Cour!$U:$U,$B394,BV_Data_An_Cour!$V:$V,$C394,BV_Data_An_Cour!$W:$W,$L$2)</f>
        <v>0</v>
      </c>
      <c r="M394" s="246"/>
      <c r="N394" s="296"/>
      <c r="O394" s="246"/>
      <c r="P394" s="318"/>
      <c r="Q394" s="256">
        <f t="array" ref="Q394">+INDEX('Réel 2024'!$A$2:$AO$501,MATCH($A394,'Réel 2024'!$A$2:$A$501,0),MATCH(Q$2,'Réel 2024'!$A$2:$AO$2,0))</f>
        <v>0</v>
      </c>
      <c r="R394" s="246"/>
      <c r="S394" s="296">
        <f t="shared" si="73"/>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304" t="s">
        <v>143</v>
      </c>
      <c r="D395" s="305" t="s">
        <v>119</v>
      </c>
      <c r="E395" s="306">
        <f>IFERROR(F395/F$360,0)</f>
        <v>0</v>
      </c>
      <c r="F395" s="307">
        <f>+SUM(F378:F394)</f>
        <v>0</v>
      </c>
      <c r="G395" s="308"/>
      <c r="H395" s="306"/>
      <c r="I395" s="307"/>
      <c r="J395" s="308" t="s">
        <v>119</v>
      </c>
      <c r="K395" s="306">
        <f>IFERROR(L395/L$360,0)</f>
        <v>0</v>
      </c>
      <c r="L395" s="307">
        <f>+SUM(L378:L394)</f>
        <v>0</v>
      </c>
      <c r="M395" s="355"/>
      <c r="N395" s="307"/>
      <c r="O395" s="308" t="s">
        <v>119</v>
      </c>
      <c r="P395" s="306">
        <f>IFERROR(Q395/Q$360,0)</f>
        <v>0</v>
      </c>
      <c r="Q395" s="307">
        <f>+SUM(Q378:Q394)</f>
        <v>0</v>
      </c>
      <c r="R395" s="355"/>
      <c r="S395" s="320">
        <f>+SUM(S378:S394)</f>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253"/>
      <c r="D396" s="41"/>
      <c r="E396" s="41"/>
      <c r="F396" s="263"/>
      <c r="G396" s="253"/>
      <c r="H396" s="41"/>
      <c r="I396" s="263"/>
      <c r="J396" s="253"/>
      <c r="K396" s="41"/>
      <c r="L396" s="263"/>
      <c r="M396" s="270"/>
      <c r="N396" s="288"/>
      <c r="O396" s="253"/>
      <c r="P396" s="41"/>
      <c r="Q396" s="263"/>
      <c r="R396" s="253"/>
      <c r="S396" s="288"/>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304" t="s">
        <v>144</v>
      </c>
      <c r="D397" s="305" t="s">
        <v>119</v>
      </c>
      <c r="E397" s="306">
        <f>IFERROR(F397/F$360,0)</f>
        <v>0</v>
      </c>
      <c r="F397" s="307">
        <f>F377+F395</f>
        <v>0</v>
      </c>
      <c r="G397" s="308"/>
      <c r="H397" s="306"/>
      <c r="I397" s="307"/>
      <c r="J397" s="308" t="s">
        <v>119</v>
      </c>
      <c r="K397" s="306">
        <f>IFERROR(L397/L$360,0)</f>
        <v>0</v>
      </c>
      <c r="L397" s="307">
        <f>L377+L395</f>
        <v>0</v>
      </c>
      <c r="M397" s="304"/>
      <c r="N397" s="307"/>
      <c r="O397" s="308" t="s">
        <v>119</v>
      </c>
      <c r="P397" s="306">
        <f>IFERROR(Q397/Q$360,0)</f>
        <v>0</v>
      </c>
      <c r="Q397" s="307">
        <f>Q377+Q395</f>
        <v>0</v>
      </c>
      <c r="R397" s="311"/>
      <c r="S397" s="307">
        <f>L397-Q397</f>
        <v>0</v>
      </c>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253"/>
      <c r="D398" s="41"/>
      <c r="E398" s="41"/>
      <c r="F398" s="276"/>
      <c r="G398" s="253"/>
      <c r="H398" s="41"/>
      <c r="I398" s="276"/>
      <c r="J398" s="253"/>
      <c r="K398" s="41"/>
      <c r="L398" s="276"/>
      <c r="M398" s="270"/>
      <c r="N398" s="288"/>
      <c r="O398" s="253"/>
      <c r="P398" s="41"/>
      <c r="Q398" s="276"/>
      <c r="R398" s="253"/>
      <c r="S398" s="288"/>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c r="B399" s="3"/>
      <c r="C399" s="428" t="s">
        <v>151</v>
      </c>
      <c r="D399" s="429"/>
      <c r="E399" s="429"/>
      <c r="F399" s="430">
        <f>F362-F397</f>
        <v>0</v>
      </c>
      <c r="G399" s="428"/>
      <c r="H399" s="429"/>
      <c r="I399" s="430"/>
      <c r="J399" s="431"/>
      <c r="K399" s="432"/>
      <c r="L399" s="430">
        <f>L362-L397</f>
        <v>0</v>
      </c>
      <c r="M399" s="428"/>
      <c r="N399" s="430"/>
      <c r="O399" s="431"/>
      <c r="P399" s="432"/>
      <c r="Q399" s="430">
        <f>Q362-Q397</f>
        <v>0</v>
      </c>
      <c r="R399" s="431"/>
      <c r="S399" s="430">
        <f>L399-Q399</f>
        <v>0</v>
      </c>
      <c r="T399" s="38"/>
      <c r="U399" s="38"/>
      <c r="V399" s="41"/>
      <c r="W399" s="38"/>
      <c r="X399" s="38"/>
      <c r="Y399" s="38"/>
      <c r="Z399" s="38"/>
      <c r="AA399" s="38"/>
      <c r="AB399" s="38"/>
      <c r="AC399" s="38"/>
      <c r="AD399" s="38"/>
      <c r="AE399" s="38"/>
      <c r="AF399" s="38"/>
      <c r="AG399" s="38"/>
      <c r="AH399" s="38"/>
      <c r="AI399" s="38"/>
      <c r="AJ399" s="38"/>
      <c r="AK399" s="38"/>
      <c r="AL399" s="38"/>
      <c r="AM399" s="38"/>
      <c r="AN399" s="38"/>
    </row>
    <row r="400" spans="1:40" ht="15.75" customHeight="1">
      <c r="B400" s="3"/>
      <c r="C400" s="11"/>
      <c r="D400" s="1040"/>
      <c r="E400" s="41"/>
      <c r="F400" s="319">
        <f>F353+F233</f>
        <v>14920.580709334012</v>
      </c>
      <c r="G400" s="297"/>
      <c r="H400" s="41"/>
      <c r="I400" s="319"/>
      <c r="J400" s="1040"/>
      <c r="K400" s="11"/>
      <c r="L400" s="319">
        <f>L353+L233</f>
        <v>54293.840000000011</v>
      </c>
      <c r="M400" s="11"/>
      <c r="N400" s="319"/>
      <c r="O400" s="11"/>
      <c r="P400" s="11"/>
      <c r="Q400" s="319"/>
      <c r="R400" s="11"/>
      <c r="S400" s="319"/>
      <c r="T400" s="41"/>
      <c r="U400" s="41"/>
      <c r="V400" s="41"/>
      <c r="W400" s="41"/>
      <c r="X400" s="41"/>
      <c r="Y400" s="41"/>
      <c r="Z400" s="41"/>
      <c r="AA400" s="41"/>
      <c r="AB400" s="41"/>
      <c r="AC400" s="41"/>
      <c r="AD400" s="41"/>
      <c r="AE400" s="41"/>
      <c r="AF400" s="41"/>
      <c r="AG400" s="41"/>
      <c r="AH400" s="41"/>
      <c r="AI400" s="41"/>
      <c r="AJ400" s="41"/>
      <c r="AK400" s="41"/>
      <c r="AL400" s="41"/>
      <c r="AM400" s="41"/>
      <c r="AN400" s="41"/>
    </row>
    <row r="401" spans="1:61" ht="15.75" customHeight="1">
      <c r="B401" s="3"/>
      <c r="F401" s="1034"/>
      <c r="L401" s="1034"/>
      <c r="V401" s="41"/>
      <c r="W401" s="38"/>
      <c r="X401" s="38"/>
      <c r="Y401" s="38"/>
      <c r="Z401" s="38"/>
      <c r="AA401" s="38"/>
      <c r="AB401" s="38"/>
      <c r="AC401" s="38"/>
      <c r="AD401" s="38"/>
      <c r="AE401" s="38"/>
      <c r="AF401" s="38"/>
      <c r="AG401" s="38"/>
      <c r="AH401" s="38"/>
      <c r="AI401" s="38"/>
      <c r="AJ401" s="38"/>
      <c r="AK401" s="38"/>
      <c r="AL401" s="38"/>
      <c r="AM401" s="38"/>
      <c r="AN401" s="38"/>
    </row>
    <row r="402" spans="1:61" ht="35">
      <c r="B402" s="3"/>
      <c r="C402" s="433" t="s">
        <v>598</v>
      </c>
      <c r="F402" s="1034"/>
      <c r="L402" s="1034"/>
      <c r="V402" s="954" t="str">
        <f>C1</f>
        <v>Volks</v>
      </c>
      <c r="W402" s="36"/>
      <c r="X402" s="36"/>
      <c r="Y402" s="36"/>
      <c r="Z402" s="36"/>
      <c r="AA402" s="36"/>
      <c r="AB402" s="36"/>
      <c r="AC402" s="36"/>
      <c r="AD402" s="36"/>
      <c r="AE402" s="232" t="s">
        <v>3309</v>
      </c>
      <c r="AF402" s="36"/>
      <c r="AG402" s="36"/>
      <c r="AH402" s="36"/>
      <c r="AI402" s="36"/>
      <c r="AJ402" s="955"/>
      <c r="AK402" s="956"/>
      <c r="AL402" s="957"/>
      <c r="AM402" s="957"/>
      <c r="AN402" s="957"/>
      <c r="AO402" s="955" t="str">
        <f>$S$1</f>
        <v>Réalisé, Février 2025</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B403" s="3"/>
      <c r="C403" s="433" t="s">
        <v>598</v>
      </c>
      <c r="V403" s="434"/>
      <c r="W403" s="235"/>
      <c r="X403" s="235"/>
      <c r="Y403" s="235"/>
      <c r="Z403" s="235"/>
      <c r="AA403" s="235"/>
      <c r="AB403" s="235"/>
      <c r="AC403" s="235"/>
      <c r="AD403" s="235"/>
      <c r="AE403" s="235"/>
      <c r="AF403" s="235"/>
      <c r="AG403" s="235"/>
      <c r="AH403" s="235"/>
      <c r="AI403" s="235"/>
      <c r="AJ403" s="235"/>
      <c r="AK403" s="235"/>
      <c r="AL403" s="38"/>
      <c r="AM403" s="38"/>
      <c r="AN403" s="38"/>
      <c r="AO403" s="38"/>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5" t="s">
        <v>599</v>
      </c>
      <c r="B404" s="3"/>
      <c r="C404" s="433" t="s">
        <v>598</v>
      </c>
      <c r="V404" s="435"/>
      <c r="W404" s="436"/>
      <c r="X404" s="1245" t="s">
        <v>600</v>
      </c>
      <c r="Y404" s="1237"/>
      <c r="Z404" s="1246"/>
      <c r="AA404" s="1236"/>
      <c r="AB404" s="1237"/>
      <c r="AC404" s="1246"/>
      <c r="AD404" s="1236" t="s">
        <v>344</v>
      </c>
      <c r="AE404" s="1237"/>
      <c r="AF404" s="1246"/>
      <c r="AG404" s="1236" t="s">
        <v>3310</v>
      </c>
      <c r="AH404" s="1237"/>
      <c r="AI404" s="1246"/>
      <c r="AJ404" s="1236" t="s">
        <v>601</v>
      </c>
      <c r="AK404" s="1237"/>
      <c r="AL404" s="1237"/>
      <c r="AM404" s="1236" t="s">
        <v>602</v>
      </c>
      <c r="AN404" s="1237"/>
      <c r="AO404" s="1238"/>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5" t="s">
        <v>599</v>
      </c>
      <c r="B405" s="3"/>
      <c r="C405" s="433" t="s">
        <v>598</v>
      </c>
      <c r="V405" s="246"/>
      <c r="W405" s="401" t="s">
        <v>603</v>
      </c>
      <c r="X405" s="401" t="s">
        <v>199</v>
      </c>
      <c r="Y405" s="401" t="s">
        <v>200</v>
      </c>
      <c r="Z405" s="437" t="s">
        <v>201</v>
      </c>
      <c r="AA405" s="401"/>
      <c r="AB405" s="401"/>
      <c r="AC405" s="437"/>
      <c r="AD405" s="438" t="s">
        <v>199</v>
      </c>
      <c r="AE405" s="401" t="s">
        <v>200</v>
      </c>
      <c r="AF405" s="401" t="s">
        <v>201</v>
      </c>
      <c r="AG405" s="438" t="s">
        <v>604</v>
      </c>
      <c r="AH405" s="401" t="s">
        <v>605</v>
      </c>
      <c r="AI405" s="401" t="s">
        <v>606</v>
      </c>
      <c r="AJ405" s="438" t="s">
        <v>199</v>
      </c>
      <c r="AK405" s="401" t="s">
        <v>200</v>
      </c>
      <c r="AL405" s="401" t="s">
        <v>201</v>
      </c>
      <c r="AM405" s="439" t="s">
        <v>604</v>
      </c>
      <c r="AN405" s="401" t="s">
        <v>605</v>
      </c>
      <c r="AO405" s="343" t="s">
        <v>606</v>
      </c>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5" t="s">
        <v>96</v>
      </c>
      <c r="B406" s="3"/>
      <c r="C406" s="433" t="s">
        <v>598</v>
      </c>
      <c r="V406" s="313" t="s">
        <v>96</v>
      </c>
      <c r="W406" s="440"/>
      <c r="X406" s="440"/>
      <c r="Y406" s="440"/>
      <c r="Z406" s="441">
        <f>F5+F93+E194+E250+D314+D362</f>
        <v>4829966.1848414261</v>
      </c>
      <c r="AA406" s="440"/>
      <c r="AB406" s="440"/>
      <c r="AC406" s="441"/>
      <c r="AD406" s="442"/>
      <c r="AE406" s="443"/>
      <c r="AF406" s="443">
        <f>L5+L93+K194+K250+J314+J362</f>
        <v>3468713.2499999995</v>
      </c>
      <c r="AG406" s="442"/>
      <c r="AH406" s="443"/>
      <c r="AI406" s="444"/>
      <c r="AJ406" s="442"/>
      <c r="AK406" s="443"/>
      <c r="AL406" s="443">
        <f>Q5+Q93+P194+P250+O314+O362</f>
        <v>5869044.6399999987</v>
      </c>
      <c r="AM406" s="445"/>
      <c r="AN406" s="443"/>
      <c r="AO406" s="446"/>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5" t="s">
        <v>202</v>
      </c>
      <c r="B407" s="3"/>
      <c r="C407" s="433" t="s">
        <v>598</v>
      </c>
      <c r="V407" s="447" t="s">
        <v>202</v>
      </c>
      <c r="W407" s="448"/>
      <c r="X407" s="1269">
        <f>Z407/Z406</f>
        <v>0.11068074914947375</v>
      </c>
      <c r="Y407" s="448"/>
      <c r="Z407" s="449">
        <f>F27+F108+F194+F250+F314+F362</f>
        <v>534584.27570487466</v>
      </c>
      <c r="AA407" s="448"/>
      <c r="AB407" s="448"/>
      <c r="AC407" s="449"/>
      <c r="AD407" s="1270">
        <f>AF407/AF406</f>
        <v>0.13085052792991755</v>
      </c>
      <c r="AE407" s="451"/>
      <c r="AF407" s="449">
        <f>L27+L108+L194+L250+L314+L362</f>
        <v>453882.96</v>
      </c>
      <c r="AG407" s="450"/>
      <c r="AH407" s="451">
        <f>AF407-Z407</f>
        <v>-80701.315704874636</v>
      </c>
      <c r="AI407" s="452">
        <f>AH407/Z407</f>
        <v>-0.1509608856311124</v>
      </c>
      <c r="AJ407" s="1269">
        <f>+AL407/AL406</f>
        <v>8.6703448553085066E-2</v>
      </c>
      <c r="AK407" s="451"/>
      <c r="AL407" s="451">
        <f>Q27+Q108+Q194+Q250+Q314+Q362</f>
        <v>508866.40999999957</v>
      </c>
      <c r="AM407" s="453"/>
      <c r="AN407" s="451">
        <f>AF407-AL407</f>
        <v>-54983.449999999546</v>
      </c>
      <c r="AO407" s="454">
        <f>IF(AL407=0,0,AN407/AL407)</f>
        <v>-0.10805085366117916</v>
      </c>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5" t="s">
        <v>203</v>
      </c>
      <c r="B408" s="3"/>
      <c r="C408" s="433" t="s">
        <v>598</v>
      </c>
      <c r="V408" s="455" t="s">
        <v>203</v>
      </c>
      <c r="W408" s="456"/>
      <c r="X408" s="456"/>
      <c r="Y408" s="456"/>
      <c r="Z408" s="457"/>
      <c r="AA408" s="456"/>
      <c r="AB408" s="456"/>
      <c r="AC408" s="457"/>
      <c r="AD408" s="458"/>
      <c r="AE408" s="456"/>
      <c r="AF408" s="459"/>
      <c r="AG408" s="458"/>
      <c r="AH408" s="459"/>
      <c r="AI408" s="460"/>
      <c r="AJ408" s="458"/>
      <c r="AK408" s="456"/>
      <c r="AL408" s="459"/>
      <c r="AM408" s="461"/>
      <c r="AN408" s="459"/>
      <c r="AO408" s="462"/>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5" t="s">
        <v>111</v>
      </c>
      <c r="B409" s="3"/>
      <c r="C409" s="433" t="s">
        <v>598</v>
      </c>
      <c r="V409" s="312" t="s">
        <v>111</v>
      </c>
      <c r="W409" s="463" t="s">
        <v>607</v>
      </c>
      <c r="X409" s="456"/>
      <c r="Y409" s="464">
        <f t="shared" ref="Y409:Y418" si="74">Z409/(D$13+D$97)</f>
        <v>709.38726538167566</v>
      </c>
      <c r="Z409" s="457">
        <f t="shared" ref="Z409:Z415" si="75">+SUMIF($C:$C,$V409,F:F)</f>
        <v>54622.819434389028</v>
      </c>
      <c r="AA409" s="456"/>
      <c r="AB409" s="464"/>
      <c r="AC409" s="457"/>
      <c r="AD409" s="465"/>
      <c r="AE409" s="464">
        <f t="shared" ref="AE409:AE414" si="76">IF(AF409=0,0,AF409/(J$13+J$97))</f>
        <v>765.97914893617019</v>
      </c>
      <c r="AF409" s="457">
        <f t="shared" ref="AF409:AF415" si="77">+SUMIF($C:$C,$V409,L:L)</f>
        <v>36001.019999999997</v>
      </c>
      <c r="AG409" s="458">
        <f t="shared" ref="AG409:AG418" si="78">AE409-Y409</f>
        <v>56.59188355449453</v>
      </c>
      <c r="AH409" s="459">
        <f t="shared" ref="AH409:AH418" si="79">AF409-Z409</f>
        <v>-18621.799434389031</v>
      </c>
      <c r="AI409" s="460">
        <f t="shared" ref="AI409:AI418" si="80">IF(Z409=0,0,AH409/Z409)</f>
        <v>-0.34091611577752534</v>
      </c>
      <c r="AJ409" s="1148">
        <f t="shared" ref="AJ409:AJ415" si="81">AL409/AL$407</f>
        <v>0.1158487352309225</v>
      </c>
      <c r="AK409" s="459">
        <f t="shared" ref="AK409:AK418" si="82">AL409/(O$13+O$97)</f>
        <v>601.54622448979592</v>
      </c>
      <c r="AL409" s="457">
        <f t="shared" ref="AL409:AL414" si="83">+SUMIF($C:$C,$V409,Q:Q)</f>
        <v>58951.53</v>
      </c>
      <c r="AM409" s="461">
        <f t="shared" ref="AM409:AM418" si="84">AE409-Y409</f>
        <v>56.59188355449453</v>
      </c>
      <c r="AN409" s="459">
        <f t="shared" ref="AN409:AN431" si="85">AF409-AL409</f>
        <v>-22950.510000000002</v>
      </c>
      <c r="AO409" s="466">
        <f t="shared" ref="AO409:AO431" si="86">IF(AL409=0,0,AN409/AL409)</f>
        <v>-0.38931152423015997</v>
      </c>
      <c r="AP409" s="38"/>
      <c r="AQ409" s="38"/>
      <c r="AR409" s="3"/>
      <c r="AS409" s="38"/>
      <c r="AT409" s="38"/>
      <c r="AU409" s="38"/>
      <c r="AV409" s="38"/>
      <c r="AW409" s="38"/>
      <c r="AX409" s="38"/>
      <c r="AY409" s="38"/>
      <c r="AZ409" s="38"/>
      <c r="BA409" s="38"/>
      <c r="BB409" s="38"/>
      <c r="BC409" s="38"/>
      <c r="BD409" s="38"/>
      <c r="BE409" s="38"/>
      <c r="BF409" s="38"/>
      <c r="BG409" s="38"/>
      <c r="BH409" s="38"/>
      <c r="BI409" s="38"/>
    </row>
    <row r="410" spans="1:61" ht="15.75" customHeight="1">
      <c r="A410" s="5" t="s">
        <v>112</v>
      </c>
      <c r="B410" s="3"/>
      <c r="C410" s="433" t="s">
        <v>598</v>
      </c>
      <c r="V410" s="313" t="s">
        <v>112</v>
      </c>
      <c r="W410" s="467" t="s">
        <v>608</v>
      </c>
      <c r="X410" s="440"/>
      <c r="Y410" s="468">
        <f t="shared" si="74"/>
        <v>385.06493506493507</v>
      </c>
      <c r="Z410" s="441">
        <f t="shared" si="75"/>
        <v>29650</v>
      </c>
      <c r="AA410" s="440"/>
      <c r="AB410" s="468"/>
      <c r="AC410" s="441"/>
      <c r="AD410" s="469"/>
      <c r="AE410" s="468">
        <f t="shared" si="76"/>
        <v>316.15659574468089</v>
      </c>
      <c r="AF410" s="441">
        <f t="shared" si="77"/>
        <v>14859.36</v>
      </c>
      <c r="AG410" s="442">
        <f t="shared" si="78"/>
        <v>-68.908339320254186</v>
      </c>
      <c r="AH410" s="443">
        <f t="shared" si="79"/>
        <v>-14790.64</v>
      </c>
      <c r="AI410" s="470">
        <f t="shared" si="80"/>
        <v>-0.49884114671163571</v>
      </c>
      <c r="AJ410" s="1149">
        <f t="shared" si="81"/>
        <v>5.8248254193079919E-2</v>
      </c>
      <c r="AK410" s="443">
        <f t="shared" si="82"/>
        <v>302.45489795918371</v>
      </c>
      <c r="AL410" s="441">
        <f t="shared" si="83"/>
        <v>29640.58</v>
      </c>
      <c r="AM410" s="445">
        <f t="shared" si="84"/>
        <v>-68.908339320254186</v>
      </c>
      <c r="AN410" s="443">
        <f t="shared" si="85"/>
        <v>-14781.220000000001</v>
      </c>
      <c r="AO410" s="446">
        <f t="shared" si="86"/>
        <v>-0.49868187464617764</v>
      </c>
      <c r="AP410" s="38"/>
      <c r="AQ410" s="38"/>
      <c r="AR410" s="41"/>
      <c r="AS410" s="38"/>
      <c r="AT410" s="38"/>
      <c r="AU410" s="38"/>
      <c r="AV410" s="38"/>
      <c r="AW410" s="38"/>
      <c r="AX410" s="38"/>
      <c r="AY410" s="38"/>
      <c r="AZ410" s="38"/>
      <c r="BA410" s="38"/>
      <c r="BB410" s="38"/>
      <c r="BC410" s="38"/>
      <c r="BD410" s="38"/>
      <c r="BE410" s="38"/>
      <c r="BF410" s="38"/>
      <c r="BG410" s="38"/>
      <c r="BH410" s="38"/>
      <c r="BI410" s="38"/>
    </row>
    <row r="411" spans="1:61" ht="15.75" customHeight="1">
      <c r="A411" s="5" t="s">
        <v>113</v>
      </c>
      <c r="B411" s="3"/>
      <c r="C411" s="433" t="s">
        <v>598</v>
      </c>
      <c r="V411" s="312" t="s">
        <v>113</v>
      </c>
      <c r="W411" s="463" t="s">
        <v>609</v>
      </c>
      <c r="X411" s="456"/>
      <c r="Y411" s="464">
        <f t="shared" si="74"/>
        <v>84.740259740259745</v>
      </c>
      <c r="Z411" s="457">
        <f t="shared" si="75"/>
        <v>6525</v>
      </c>
      <c r="AA411" s="456"/>
      <c r="AB411" s="464"/>
      <c r="AC411" s="457"/>
      <c r="AD411" s="465"/>
      <c r="AE411" s="464">
        <f t="shared" si="76"/>
        <v>52.674893617021283</v>
      </c>
      <c r="AF411" s="457">
        <f t="shared" si="77"/>
        <v>2475.7200000000003</v>
      </c>
      <c r="AG411" s="458">
        <f t="shared" si="78"/>
        <v>-32.065366123238462</v>
      </c>
      <c r="AH411" s="459">
        <f t="shared" si="79"/>
        <v>-4049.2799999999997</v>
      </c>
      <c r="AI411" s="460">
        <f t="shared" si="80"/>
        <v>-0.62057931034482749</v>
      </c>
      <c r="AJ411" s="1148">
        <f t="shared" si="81"/>
        <v>1.8005747323742608E-2</v>
      </c>
      <c r="AK411" s="459">
        <f t="shared" si="82"/>
        <v>93.495102040816334</v>
      </c>
      <c r="AL411" s="457">
        <f t="shared" si="83"/>
        <v>9162.52</v>
      </c>
      <c r="AM411" s="461">
        <f t="shared" si="84"/>
        <v>-32.065366123238462</v>
      </c>
      <c r="AN411" s="459">
        <f t="shared" si="85"/>
        <v>-6686.8</v>
      </c>
      <c r="AO411" s="466">
        <f t="shared" si="86"/>
        <v>-0.72979922554057175</v>
      </c>
      <c r="AP411" s="38"/>
      <c r="AQ411" s="38"/>
      <c r="AR411" s="41"/>
      <c r="AS411" s="38"/>
      <c r="AT411" s="38"/>
      <c r="AU411" s="38"/>
      <c r="AV411" s="38"/>
      <c r="AW411" s="38"/>
      <c r="AX411" s="38"/>
      <c r="AY411" s="38"/>
      <c r="AZ411" s="38"/>
      <c r="BA411" s="38"/>
      <c r="BB411" s="38"/>
      <c r="BC411" s="38"/>
      <c r="BD411" s="38"/>
      <c r="BE411" s="38"/>
      <c r="BF411" s="38"/>
      <c r="BG411" s="38"/>
      <c r="BH411" s="38"/>
      <c r="BI411" s="38"/>
    </row>
    <row r="412" spans="1:61" ht="15.75" customHeight="1">
      <c r="A412" s="5" t="s">
        <v>114</v>
      </c>
      <c r="B412" s="3"/>
      <c r="C412" s="433" t="s">
        <v>598</v>
      </c>
      <c r="V412" s="312" t="s">
        <v>114</v>
      </c>
      <c r="W412" s="463" t="s">
        <v>610</v>
      </c>
      <c r="X412" s="456"/>
      <c r="Y412" s="464">
        <f t="shared" si="74"/>
        <v>21.753246753246753</v>
      </c>
      <c r="Z412" s="457">
        <f t="shared" si="75"/>
        <v>1675</v>
      </c>
      <c r="AA412" s="456"/>
      <c r="AB412" s="464"/>
      <c r="AC412" s="457"/>
      <c r="AD412" s="465"/>
      <c r="AE412" s="464">
        <f t="shared" si="76"/>
        <v>29.936382978723405</v>
      </c>
      <c r="AF412" s="457">
        <f t="shared" si="77"/>
        <v>1407.01</v>
      </c>
      <c r="AG412" s="458">
        <f t="shared" si="78"/>
        <v>8.1831362254766518</v>
      </c>
      <c r="AH412" s="459">
        <f t="shared" si="79"/>
        <v>-267.99</v>
      </c>
      <c r="AI412" s="460">
        <f t="shared" si="80"/>
        <v>-0.15999402985074626</v>
      </c>
      <c r="AJ412" s="1148">
        <f t="shared" si="81"/>
        <v>5.2711673383983079E-3</v>
      </c>
      <c r="AK412" s="459">
        <f t="shared" si="82"/>
        <v>27.370612244897956</v>
      </c>
      <c r="AL412" s="457">
        <f t="shared" si="83"/>
        <v>2682.3199999999997</v>
      </c>
      <c r="AM412" s="461">
        <f t="shared" si="84"/>
        <v>8.1831362254766518</v>
      </c>
      <c r="AN412" s="459">
        <f t="shared" si="85"/>
        <v>-1275.3099999999997</v>
      </c>
      <c r="AO412" s="466">
        <f t="shared" si="86"/>
        <v>-0.47545035640788563</v>
      </c>
      <c r="AP412" s="38"/>
      <c r="AQ412" s="38"/>
      <c r="AR412" s="41"/>
      <c r="AS412" s="38"/>
      <c r="AT412" s="38"/>
      <c r="AU412" s="38"/>
      <c r="AV412" s="38"/>
      <c r="AW412" s="38"/>
      <c r="AX412" s="38"/>
      <c r="AY412" s="38"/>
      <c r="AZ412" s="38"/>
      <c r="BA412" s="38"/>
      <c r="BB412" s="38"/>
      <c r="BC412" s="38"/>
      <c r="BD412" s="38"/>
      <c r="BE412" s="38"/>
      <c r="BF412" s="38"/>
      <c r="BG412" s="38"/>
      <c r="BH412" s="38"/>
      <c r="BI412" s="38"/>
    </row>
    <row r="413" spans="1:61" ht="15.75" customHeight="1">
      <c r="A413" s="5" t="s">
        <v>115</v>
      </c>
      <c r="B413" s="3"/>
      <c r="C413" s="433" t="s">
        <v>598</v>
      </c>
      <c r="V413" s="313" t="s">
        <v>115</v>
      </c>
      <c r="W413" s="467"/>
      <c r="X413" s="440"/>
      <c r="Y413" s="468">
        <f t="shared" si="74"/>
        <v>138.19805194805195</v>
      </c>
      <c r="Z413" s="441">
        <f t="shared" si="75"/>
        <v>10641.25</v>
      </c>
      <c r="AA413" s="440"/>
      <c r="AB413" s="468"/>
      <c r="AC413" s="441"/>
      <c r="AD413" s="469"/>
      <c r="AE413" s="468">
        <f t="shared" si="76"/>
        <v>221.29808510638298</v>
      </c>
      <c r="AF413" s="441">
        <f t="shared" si="77"/>
        <v>10401.01</v>
      </c>
      <c r="AG413" s="442">
        <f t="shared" si="78"/>
        <v>83.10003315833103</v>
      </c>
      <c r="AH413" s="443">
        <f t="shared" si="79"/>
        <v>-240.23999999999978</v>
      </c>
      <c r="AI413" s="470">
        <f t="shared" si="80"/>
        <v>-2.2576295078115802E-2</v>
      </c>
      <c r="AJ413" s="1149">
        <f t="shared" si="81"/>
        <v>1.1569225015264823E-2</v>
      </c>
      <c r="AK413" s="443">
        <f t="shared" si="82"/>
        <v>60.073367346938781</v>
      </c>
      <c r="AL413" s="441">
        <f t="shared" si="83"/>
        <v>5887.1900000000005</v>
      </c>
      <c r="AM413" s="445">
        <f t="shared" si="84"/>
        <v>83.10003315833103</v>
      </c>
      <c r="AN413" s="443">
        <f t="shared" si="85"/>
        <v>4513.82</v>
      </c>
      <c r="AO413" s="446">
        <f t="shared" si="86"/>
        <v>0.76671892702630617</v>
      </c>
      <c r="AP413" s="38"/>
      <c r="AQ413" s="38"/>
      <c r="AR413" s="41"/>
      <c r="AS413" s="38"/>
      <c r="AT413" s="38"/>
      <c r="AU413" s="38"/>
      <c r="AV413" s="38"/>
      <c r="AW413" s="38"/>
      <c r="AX413" s="38"/>
      <c r="AY413" s="38"/>
      <c r="AZ413" s="38"/>
      <c r="BA413" s="38"/>
      <c r="BB413" s="38"/>
      <c r="BC413" s="38"/>
      <c r="BD413" s="38"/>
      <c r="BE413" s="38"/>
      <c r="BF413" s="38"/>
      <c r="BG413" s="38"/>
      <c r="BH413" s="38"/>
      <c r="BI413" s="38"/>
    </row>
    <row r="414" spans="1:61" ht="15.75" customHeight="1">
      <c r="A414" s="5" t="s">
        <v>116</v>
      </c>
      <c r="B414" s="3"/>
      <c r="C414" s="433" t="s">
        <v>598</v>
      </c>
      <c r="V414" s="312" t="s">
        <v>116</v>
      </c>
      <c r="W414" s="463" t="s">
        <v>611</v>
      </c>
      <c r="X414" s="460"/>
      <c r="Y414" s="464">
        <f t="shared" si="74"/>
        <v>243.42857142857142</v>
      </c>
      <c r="Z414" s="457">
        <f t="shared" si="75"/>
        <v>18744</v>
      </c>
      <c r="AA414" s="460"/>
      <c r="AB414" s="464"/>
      <c r="AC414" s="457"/>
      <c r="AD414" s="465"/>
      <c r="AE414" s="464">
        <f t="shared" si="76"/>
        <v>242.95446808510638</v>
      </c>
      <c r="AF414" s="457">
        <f t="shared" si="77"/>
        <v>11418.86</v>
      </c>
      <c r="AG414" s="458">
        <f t="shared" si="78"/>
        <v>-0.47410334346503191</v>
      </c>
      <c r="AH414" s="459">
        <f t="shared" si="79"/>
        <v>-7325.1399999999994</v>
      </c>
      <c r="AI414" s="460">
        <f t="shared" si="80"/>
        <v>-0.39079918907383693</v>
      </c>
      <c r="AJ414" s="1148">
        <f t="shared" si="81"/>
        <v>2.1667808649425316E-2</v>
      </c>
      <c r="AK414" s="459">
        <f t="shared" si="82"/>
        <v>112.51040816326531</v>
      </c>
      <c r="AL414" s="457">
        <f t="shared" si="83"/>
        <v>11026.02</v>
      </c>
      <c r="AM414" s="461">
        <f t="shared" si="84"/>
        <v>-0.47410334346503191</v>
      </c>
      <c r="AN414" s="459">
        <f t="shared" si="85"/>
        <v>392.84000000000015</v>
      </c>
      <c r="AO414" s="466">
        <f t="shared" si="86"/>
        <v>3.5628449794214062E-2</v>
      </c>
      <c r="AP414" s="38"/>
      <c r="AQ414" s="38"/>
      <c r="AR414" s="41"/>
      <c r="AS414" s="38"/>
      <c r="AT414" s="38"/>
      <c r="AU414" s="38"/>
      <c r="AV414" s="38"/>
      <c r="AW414" s="38"/>
      <c r="AX414" s="38"/>
      <c r="AY414" s="38"/>
      <c r="AZ414" s="38"/>
      <c r="BA414" s="38"/>
      <c r="BB414" s="38"/>
      <c r="BC414" s="38"/>
      <c r="BD414" s="38"/>
      <c r="BE414" s="38"/>
      <c r="BF414" s="38"/>
      <c r="BG414" s="38"/>
      <c r="BH414" s="38"/>
      <c r="BI414" s="38"/>
    </row>
    <row r="415" spans="1:61" ht="15.75" customHeight="1">
      <c r="A415" s="5" t="s">
        <v>117</v>
      </c>
      <c r="B415" s="3"/>
      <c r="C415" s="433" t="s">
        <v>598</v>
      </c>
      <c r="V415" s="312" t="s">
        <v>117</v>
      </c>
      <c r="W415" s="463" t="s">
        <v>612</v>
      </c>
      <c r="X415" s="456"/>
      <c r="Y415" s="464">
        <f t="shared" si="74"/>
        <v>533.38128849956968</v>
      </c>
      <c r="Z415" s="457">
        <f t="shared" si="75"/>
        <v>41070.359214466866</v>
      </c>
      <c r="AA415" s="456"/>
      <c r="AB415" s="464"/>
      <c r="AC415" s="457"/>
      <c r="AD415" s="465"/>
      <c r="AE415" s="464">
        <f t="shared" ref="AE415:AE418" si="87">IF(AF415=0,0,AF415/(J$13+J$13))</f>
        <v>-153.24516666666668</v>
      </c>
      <c r="AF415" s="958">
        <f t="shared" si="77"/>
        <v>-9194.7100000000009</v>
      </c>
      <c r="AG415" s="1016">
        <f t="shared" si="78"/>
        <v>-686.62645516623638</v>
      </c>
      <c r="AH415" s="962">
        <f t="shared" si="79"/>
        <v>-50265.069214466865</v>
      </c>
      <c r="AI415" s="460">
        <f t="shared" si="80"/>
        <v>-1.2238770289781444</v>
      </c>
      <c r="AJ415" s="1148">
        <f t="shared" si="81"/>
        <v>7.6314508556381291E-2</v>
      </c>
      <c r="AK415" s="459">
        <f t="shared" si="82"/>
        <v>396.2641836734694</v>
      </c>
      <c r="AL415" s="457">
        <f>IFERROR(SUMIF($C:$C,$V415,Q:Q),0)</f>
        <v>38833.89</v>
      </c>
      <c r="AM415" s="461">
        <f t="shared" si="84"/>
        <v>-686.62645516623638</v>
      </c>
      <c r="AN415" s="459">
        <f t="shared" si="85"/>
        <v>-48028.6</v>
      </c>
      <c r="AO415" s="466">
        <f t="shared" si="86"/>
        <v>-1.2367702540229681</v>
      </c>
      <c r="AP415" s="38"/>
      <c r="AQ415" s="38"/>
      <c r="AR415" s="41"/>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
        <v>59</v>
      </c>
      <c r="B416" s="3"/>
      <c r="C416" s="433" t="s">
        <v>598</v>
      </c>
      <c r="V416" s="312" t="s">
        <v>59</v>
      </c>
      <c r="W416" s="463"/>
      <c r="X416" s="460"/>
      <c r="Y416" s="464">
        <f t="shared" si="74"/>
        <v>0</v>
      </c>
      <c r="Z416" s="457">
        <f>IFERROR(SUMIF($C:$C,$V416,F:F),0)</f>
        <v>0</v>
      </c>
      <c r="AA416" s="456"/>
      <c r="AB416" s="464"/>
      <c r="AC416" s="457"/>
      <c r="AD416" s="465"/>
      <c r="AE416" s="464">
        <f t="shared" si="87"/>
        <v>0</v>
      </c>
      <c r="AF416" s="457">
        <f>IFERROR(SUMIF($C:$C,$V416,L:L),0)</f>
        <v>0</v>
      </c>
      <c r="AG416" s="458">
        <f t="shared" si="78"/>
        <v>0</v>
      </c>
      <c r="AH416" s="459">
        <f t="shared" si="79"/>
        <v>0</v>
      </c>
      <c r="AI416" s="460">
        <f t="shared" si="80"/>
        <v>0</v>
      </c>
      <c r="AJ416" s="465"/>
      <c r="AK416" s="459">
        <f t="shared" si="82"/>
        <v>0</v>
      </c>
      <c r="AL416" s="457">
        <f>IFERROR(SUMIF($C:$C,$V416,Q:Q),0)</f>
        <v>0</v>
      </c>
      <c r="AM416" s="461">
        <f t="shared" si="84"/>
        <v>0</v>
      </c>
      <c r="AN416" s="459">
        <f t="shared" si="85"/>
        <v>0</v>
      </c>
      <c r="AO416" s="466">
        <f t="shared" si="86"/>
        <v>0</v>
      </c>
      <c r="AP416" s="38"/>
      <c r="AQ416" s="38"/>
      <c r="AR416" s="41"/>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
        <v>59</v>
      </c>
      <c r="B417" s="3"/>
      <c r="C417" s="433" t="s">
        <v>598</v>
      </c>
      <c r="V417" s="312" t="s">
        <v>59</v>
      </c>
      <c r="W417" s="463"/>
      <c r="X417" s="460"/>
      <c r="Y417" s="464">
        <f t="shared" si="74"/>
        <v>0</v>
      </c>
      <c r="Z417" s="457">
        <f>IFERROR(SUMIF($C:$C,$V417,F:F),0)</f>
        <v>0</v>
      </c>
      <c r="AA417" s="456"/>
      <c r="AB417" s="464"/>
      <c r="AC417" s="457"/>
      <c r="AD417" s="465"/>
      <c r="AE417" s="464">
        <f t="shared" si="87"/>
        <v>0</v>
      </c>
      <c r="AF417" s="457">
        <f>IFERROR(SUMIF($C:$C,$V417,L:L),0)</f>
        <v>0</v>
      </c>
      <c r="AG417" s="458">
        <f t="shared" si="78"/>
        <v>0</v>
      </c>
      <c r="AH417" s="459">
        <f t="shared" si="79"/>
        <v>0</v>
      </c>
      <c r="AI417" s="460">
        <f t="shared" si="80"/>
        <v>0</v>
      </c>
      <c r="AJ417" s="465"/>
      <c r="AK417" s="459">
        <f t="shared" si="82"/>
        <v>0</v>
      </c>
      <c r="AL417" s="457">
        <f>IFERROR(SUMIF($C:$C,$V417,Q:Q),0)</f>
        <v>0</v>
      </c>
      <c r="AM417" s="461">
        <f t="shared" si="84"/>
        <v>0</v>
      </c>
      <c r="AN417" s="459">
        <f t="shared" si="85"/>
        <v>0</v>
      </c>
      <c r="AO417" s="466">
        <f t="shared" si="86"/>
        <v>0</v>
      </c>
      <c r="AP417" s="38"/>
      <c r="AQ417" s="38"/>
      <c r="AR417" s="41"/>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
        <v>59</v>
      </c>
      <c r="B418" s="3"/>
      <c r="C418" s="433" t="s">
        <v>598</v>
      </c>
      <c r="V418" s="312" t="s">
        <v>59</v>
      </c>
      <c r="W418" s="463" t="s">
        <v>612</v>
      </c>
      <c r="X418" s="456"/>
      <c r="Y418" s="464">
        <f t="shared" si="74"/>
        <v>0</v>
      </c>
      <c r="Z418" s="457">
        <f>IFERROR(SUMIF($C:$C,$V418,F:F),0)</f>
        <v>0</v>
      </c>
      <c r="AA418" s="456"/>
      <c r="AB418" s="464"/>
      <c r="AC418" s="457"/>
      <c r="AD418" s="465"/>
      <c r="AE418" s="464">
        <f t="shared" si="87"/>
        <v>0</v>
      </c>
      <c r="AF418" s="457">
        <f>IFERROR(SUMIF($C:$C,$V418,L:L),0)</f>
        <v>0</v>
      </c>
      <c r="AG418" s="458">
        <f t="shared" si="78"/>
        <v>0</v>
      </c>
      <c r="AH418" s="459">
        <f t="shared" si="79"/>
        <v>0</v>
      </c>
      <c r="AI418" s="460">
        <f t="shared" si="80"/>
        <v>0</v>
      </c>
      <c r="AJ418" s="465"/>
      <c r="AK418" s="459">
        <f t="shared" si="82"/>
        <v>0</v>
      </c>
      <c r="AL418" s="457">
        <f>IFERROR(SUMIF($C:$C,$V418,Q:Q),0)</f>
        <v>0</v>
      </c>
      <c r="AM418" s="461">
        <f t="shared" si="84"/>
        <v>0</v>
      </c>
      <c r="AN418" s="459">
        <f t="shared" si="85"/>
        <v>0</v>
      </c>
      <c r="AO418" s="466">
        <f t="shared" si="86"/>
        <v>0</v>
      </c>
      <c r="AP418" s="38"/>
      <c r="AQ418" s="38"/>
      <c r="AR418" s="41"/>
      <c r="AS418" s="38"/>
      <c r="AT418" s="38"/>
      <c r="AU418" s="38"/>
      <c r="AV418" s="38"/>
      <c r="AW418" s="38"/>
      <c r="AX418" s="38"/>
      <c r="AY418" s="38"/>
      <c r="AZ418" s="38"/>
      <c r="BA418" s="38"/>
      <c r="BB418" s="38"/>
      <c r="BC418" s="38"/>
      <c r="BD418" s="38"/>
      <c r="BE418" s="38"/>
      <c r="BF418" s="38"/>
      <c r="BG418" s="38"/>
      <c r="BH418" s="38"/>
      <c r="BI418" s="38"/>
    </row>
    <row r="419" spans="1:61" ht="15.75" customHeight="1">
      <c r="A419" s="5" t="s">
        <v>118</v>
      </c>
      <c r="B419" s="3"/>
      <c r="C419" s="433" t="s">
        <v>598</v>
      </c>
      <c r="V419" s="471" t="s">
        <v>118</v>
      </c>
      <c r="W419" s="472"/>
      <c r="X419" s="473">
        <f>Z419/Z407</f>
        <v>0.30477594656899898</v>
      </c>
      <c r="Y419" s="472"/>
      <c r="Z419" s="474">
        <f>SUM(Z409:Z418)</f>
        <v>162928.42864885589</v>
      </c>
      <c r="AA419" s="473"/>
      <c r="AB419" s="472"/>
      <c r="AC419" s="474"/>
      <c r="AD419" s="475">
        <f>AF419/AF407</f>
        <v>0.14842652387743308</v>
      </c>
      <c r="AE419" s="472"/>
      <c r="AF419" s="474">
        <f>SUM(AF409:AF418)</f>
        <v>67368.27</v>
      </c>
      <c r="AG419" s="476"/>
      <c r="AH419" s="477">
        <f t="shared" ref="AH419:AH451" si="88">AF419-Z419</f>
        <v>-95560.158648855882</v>
      </c>
      <c r="AI419" s="473">
        <f>AH419/Z419</f>
        <v>-0.5865161742571493</v>
      </c>
      <c r="AJ419" s="475">
        <f>IF($AL$407=0,0,AL419/$AL$407)</f>
        <v>0.3069254463072148</v>
      </c>
      <c r="AK419" s="472"/>
      <c r="AL419" s="474">
        <f>SUM(AL409:AL418)</f>
        <v>156184.05000000002</v>
      </c>
      <c r="AM419" s="478"/>
      <c r="AN419" s="477">
        <f t="shared" si="85"/>
        <v>-88815.780000000013</v>
      </c>
      <c r="AO419" s="454">
        <f t="shared" si="86"/>
        <v>-0.56866101244013079</v>
      </c>
      <c r="AP419" s="38"/>
      <c r="AQ419" s="38"/>
      <c r="AR419" s="41"/>
      <c r="AS419" s="38"/>
      <c r="AT419" s="38"/>
      <c r="AU419" s="38"/>
      <c r="AV419" s="38"/>
      <c r="AW419" s="38"/>
      <c r="AX419" s="38"/>
      <c r="AY419" s="38"/>
      <c r="AZ419" s="38"/>
      <c r="BA419" s="38"/>
      <c r="BB419" s="38"/>
      <c r="BC419" s="38"/>
      <c r="BD419" s="38"/>
      <c r="BE419" s="38"/>
      <c r="BF419" s="38"/>
      <c r="BG419" s="38"/>
      <c r="BH419" s="38"/>
      <c r="BI419" s="38"/>
    </row>
    <row r="420" spans="1:61" ht="15.75" customHeight="1">
      <c r="A420" s="5" t="s">
        <v>204</v>
      </c>
      <c r="B420" s="3"/>
      <c r="C420" s="433" t="s">
        <v>598</v>
      </c>
      <c r="V420" s="312" t="s">
        <v>204</v>
      </c>
      <c r="W420" s="463" t="s">
        <v>613</v>
      </c>
      <c r="X420" s="456"/>
      <c r="Y420" s="456"/>
      <c r="Z420" s="457">
        <f>+INDEX('Budget original'!$A$2:$AO$501,MATCH($A420,'Budget original'!$A$2:$A$501,0),MATCH(F$2,'Budget original'!$A$2:$AO$2,0))</f>
        <v>14451.14423076923</v>
      </c>
      <c r="AA420" s="456"/>
      <c r="AB420" s="456"/>
      <c r="AC420" s="457"/>
      <c r="AD420" s="465"/>
      <c r="AE420" s="464"/>
      <c r="AF420" s="457">
        <f>SUMIFS(BV_Data_An_Cour!$O:$O,BV_Data_An_Cour!$V:$V,$V420)</f>
        <v>16663.66</v>
      </c>
      <c r="AG420" s="458"/>
      <c r="AH420" s="459">
        <f t="shared" si="88"/>
        <v>2212.5157692307694</v>
      </c>
      <c r="AI420" s="460">
        <f t="shared" ref="AI420:AI432" si="89">IF(Z420=0,0,AH420/Z420)</f>
        <v>0.15310315459449247</v>
      </c>
      <c r="AJ420" s="465"/>
      <c r="AK420" s="456"/>
      <c r="AL420" s="457">
        <f>+INDEX('Réel 2024'!$A$2:$AO$501,MATCH($A420,'Réel 2024'!$A$2:$A$501,0),MATCH(F$2,'Réel 2024'!$A$2:$AO$2,0))</f>
        <v>18048.38</v>
      </c>
      <c r="AM420" s="461"/>
      <c r="AN420" s="459">
        <f t="shared" si="85"/>
        <v>-1384.7200000000012</v>
      </c>
      <c r="AO420" s="466">
        <f t="shared" si="86"/>
        <v>-7.6722675386932296E-2</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5" t="s">
        <v>120</v>
      </c>
      <c r="B421" s="3"/>
      <c r="C421" s="433" t="s">
        <v>598</v>
      </c>
      <c r="V421" s="312" t="s">
        <v>120</v>
      </c>
      <c r="W421" s="463" t="s">
        <v>614</v>
      </c>
      <c r="X421" s="456"/>
      <c r="Y421" s="456"/>
      <c r="Z421" s="457">
        <f t="shared" ref="Z421:Z431" si="90">+SUMIF($C:$C,$V421,F:F)</f>
        <v>56603.570512820515</v>
      </c>
      <c r="AA421" s="456"/>
      <c r="AB421" s="456"/>
      <c r="AC421" s="457"/>
      <c r="AD421" s="465"/>
      <c r="AE421" s="464"/>
      <c r="AF421" s="457">
        <f>+SUMIF($C:$C,$V421,L:L)</f>
        <v>38146.89</v>
      </c>
      <c r="AG421" s="458"/>
      <c r="AH421" s="459">
        <f t="shared" si="88"/>
        <v>-18456.680512820516</v>
      </c>
      <c r="AI421" s="460">
        <f t="shared" si="89"/>
        <v>-0.32606919220122593</v>
      </c>
      <c r="AJ421" s="465"/>
      <c r="AK421" s="456"/>
      <c r="AL421" s="457">
        <f t="shared" ref="AL421:AL429" si="91">+SUMIF($C:$C,$V421,Q:Q)</f>
        <v>57197.599999999999</v>
      </c>
      <c r="AM421" s="461"/>
      <c r="AN421" s="459">
        <f t="shared" si="85"/>
        <v>-19050.71</v>
      </c>
      <c r="AO421" s="466">
        <f t="shared" si="86"/>
        <v>-0.33306834552498704</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5" t="s">
        <v>121</v>
      </c>
      <c r="B422" s="3"/>
      <c r="C422" s="433" t="s">
        <v>598</v>
      </c>
      <c r="V422" s="313" t="s">
        <v>121</v>
      </c>
      <c r="W422" s="467" t="s">
        <v>615</v>
      </c>
      <c r="X422" s="440"/>
      <c r="Y422" s="440"/>
      <c r="Z422" s="441">
        <f t="shared" si="90"/>
        <v>62004.212615384618</v>
      </c>
      <c r="AA422" s="440"/>
      <c r="AB422" s="440"/>
      <c r="AC422" s="441"/>
      <c r="AD422" s="469"/>
      <c r="AE422" s="468"/>
      <c r="AF422" s="441">
        <f>+SUMIF($C:$C,$V422,L:L)</f>
        <v>54584.880000000005</v>
      </c>
      <c r="AG422" s="442"/>
      <c r="AH422" s="443">
        <f t="shared" si="88"/>
        <v>-7419.3326153846137</v>
      </c>
      <c r="AI422" s="470">
        <f t="shared" si="89"/>
        <v>-0.11965852483938669</v>
      </c>
      <c r="AJ422" s="469"/>
      <c r="AK422" s="440"/>
      <c r="AL422" s="441">
        <f t="shared" si="91"/>
        <v>43825.009999999995</v>
      </c>
      <c r="AM422" s="445"/>
      <c r="AN422" s="443">
        <f t="shared" si="85"/>
        <v>10759.87000000001</v>
      </c>
      <c r="AO422" s="446">
        <f t="shared" si="86"/>
        <v>0.24551893998426952</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5" t="s">
        <v>122</v>
      </c>
      <c r="B423" s="3"/>
      <c r="C423" s="433" t="s">
        <v>598</v>
      </c>
      <c r="V423" s="312" t="s">
        <v>122</v>
      </c>
      <c r="W423" s="463" t="s">
        <v>616</v>
      </c>
      <c r="X423" s="456"/>
      <c r="Y423" s="456"/>
      <c r="Z423" s="457">
        <f t="shared" si="90"/>
        <v>19486</v>
      </c>
      <c r="AA423" s="456"/>
      <c r="AB423" s="456"/>
      <c r="AC423" s="457"/>
      <c r="AD423" s="465"/>
      <c r="AE423" s="464"/>
      <c r="AF423" s="457">
        <f>+SUMIF($C:$C,$V423,L:L)</f>
        <v>23093.05</v>
      </c>
      <c r="AG423" s="458"/>
      <c r="AH423" s="459">
        <f t="shared" si="88"/>
        <v>3607.0499999999993</v>
      </c>
      <c r="AI423" s="460">
        <f t="shared" si="89"/>
        <v>0.18510982243662114</v>
      </c>
      <c r="AJ423" s="465"/>
      <c r="AK423" s="456"/>
      <c r="AL423" s="457">
        <f t="shared" si="91"/>
        <v>27362.47</v>
      </c>
      <c r="AM423" s="461"/>
      <c r="AN423" s="459">
        <f t="shared" si="85"/>
        <v>-4269.4200000000019</v>
      </c>
      <c r="AO423" s="466">
        <f t="shared" si="86"/>
        <v>-0.15603196641238901</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5" t="s">
        <v>123</v>
      </c>
      <c r="B424" s="3"/>
      <c r="C424" s="433" t="s">
        <v>598</v>
      </c>
      <c r="V424" s="312" t="s">
        <v>123</v>
      </c>
      <c r="W424" s="463" t="s">
        <v>617</v>
      </c>
      <c r="X424" s="456"/>
      <c r="Y424" s="456"/>
      <c r="Z424" s="457">
        <f t="shared" si="90"/>
        <v>22603.078374153847</v>
      </c>
      <c r="AA424" s="456"/>
      <c r="AB424" s="456"/>
      <c r="AC424" s="457"/>
      <c r="AD424" s="465"/>
      <c r="AE424" s="464"/>
      <c r="AF424" s="457">
        <f>+SUMIF($C:$C,$V424,L:L)</f>
        <v>14700.61</v>
      </c>
      <c r="AG424" s="458"/>
      <c r="AH424" s="459">
        <f t="shared" si="88"/>
        <v>-7902.4683741538465</v>
      </c>
      <c r="AI424" s="460">
        <f t="shared" si="89"/>
        <v>-0.34961912016330288</v>
      </c>
      <c r="AJ424" s="465"/>
      <c r="AK424" s="456"/>
      <c r="AL424" s="457">
        <f t="shared" si="91"/>
        <v>19491.41</v>
      </c>
      <c r="AM424" s="461"/>
      <c r="AN424" s="459">
        <f t="shared" si="85"/>
        <v>-4790.7999999999993</v>
      </c>
      <c r="AO424" s="466">
        <f t="shared" si="86"/>
        <v>-0.24579032507140322</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
        <v>59</v>
      </c>
      <c r="B425" s="3"/>
      <c r="C425" s="433" t="s">
        <v>598</v>
      </c>
      <c r="V425" s="312" t="s">
        <v>59</v>
      </c>
      <c r="W425" s="463"/>
      <c r="X425" s="456"/>
      <c r="Y425" s="456"/>
      <c r="Z425" s="457">
        <f t="shared" si="90"/>
        <v>0</v>
      </c>
      <c r="AA425" s="456"/>
      <c r="AB425" s="456"/>
      <c r="AC425" s="457"/>
      <c r="AD425" s="465"/>
      <c r="AE425" s="464"/>
      <c r="AF425" s="457">
        <f>IFERROR(SUMIF($C:$C,$V425,L:L),0)</f>
        <v>0</v>
      </c>
      <c r="AG425" s="458"/>
      <c r="AH425" s="459">
        <f t="shared" si="88"/>
        <v>0</v>
      </c>
      <c r="AI425" s="460">
        <f t="shared" si="89"/>
        <v>0</v>
      </c>
      <c r="AJ425" s="465"/>
      <c r="AK425" s="456"/>
      <c r="AL425" s="457">
        <f t="shared" si="91"/>
        <v>0</v>
      </c>
      <c r="AM425" s="461"/>
      <c r="AN425" s="459">
        <f t="shared" si="85"/>
        <v>0</v>
      </c>
      <c r="AO425" s="466">
        <f t="shared" si="86"/>
        <v>0</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
        <v>59</v>
      </c>
      <c r="B426" s="3"/>
      <c r="C426" s="433" t="s">
        <v>598</v>
      </c>
      <c r="V426" s="312" t="s">
        <v>59</v>
      </c>
      <c r="W426" s="463"/>
      <c r="X426" s="456"/>
      <c r="Y426" s="456"/>
      <c r="Z426" s="457">
        <f t="shared" si="90"/>
        <v>0</v>
      </c>
      <c r="AA426" s="456"/>
      <c r="AB426" s="456"/>
      <c r="AC426" s="457"/>
      <c r="AD426" s="465"/>
      <c r="AE426" s="464"/>
      <c r="AF426" s="457">
        <f>IFERROR(SUMIF($C:$C,$V426,L:L),0)</f>
        <v>0</v>
      </c>
      <c r="AG426" s="458"/>
      <c r="AH426" s="459">
        <f t="shared" si="88"/>
        <v>0</v>
      </c>
      <c r="AI426" s="460">
        <f t="shared" si="89"/>
        <v>0</v>
      </c>
      <c r="AJ426" s="465"/>
      <c r="AK426" s="456"/>
      <c r="AL426" s="457">
        <f t="shared" si="91"/>
        <v>0</v>
      </c>
      <c r="AM426" s="461"/>
      <c r="AN426" s="459">
        <f t="shared" si="85"/>
        <v>0</v>
      </c>
      <c r="AO426" s="466">
        <f t="shared" si="86"/>
        <v>0</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
        <v>59</v>
      </c>
      <c r="B427" s="3"/>
      <c r="C427" s="433" t="s">
        <v>598</v>
      </c>
      <c r="V427" s="312" t="s">
        <v>59</v>
      </c>
      <c r="W427" s="463"/>
      <c r="X427" s="456"/>
      <c r="Y427" s="456"/>
      <c r="Z427" s="457">
        <f t="shared" si="90"/>
        <v>0</v>
      </c>
      <c r="AA427" s="456"/>
      <c r="AB427" s="456"/>
      <c r="AC427" s="457"/>
      <c r="AD427" s="465"/>
      <c r="AE427" s="464"/>
      <c r="AF427" s="457">
        <f>IFERROR(SUMIF($C:$C,$V427,L:L),0)</f>
        <v>0</v>
      </c>
      <c r="AG427" s="458"/>
      <c r="AH427" s="459">
        <f t="shared" si="88"/>
        <v>0</v>
      </c>
      <c r="AI427" s="460">
        <f t="shared" si="89"/>
        <v>0</v>
      </c>
      <c r="AJ427" s="465"/>
      <c r="AK427" s="456"/>
      <c r="AL427" s="457">
        <f t="shared" si="91"/>
        <v>0</v>
      </c>
      <c r="AM427" s="461"/>
      <c r="AN427" s="459">
        <f t="shared" si="85"/>
        <v>0</v>
      </c>
      <c r="AO427" s="466">
        <f t="shared" si="86"/>
        <v>0</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5" t="s">
        <v>124</v>
      </c>
      <c r="B428" s="3"/>
      <c r="C428" s="433" t="s">
        <v>598</v>
      </c>
      <c r="V428" s="313" t="s">
        <v>124</v>
      </c>
      <c r="W428" s="467" t="s">
        <v>618</v>
      </c>
      <c r="X428" s="440"/>
      <c r="Y428" s="1150">
        <f>Z428/(SUM(Z420:Z424)+E194-F194+Z409+Z410)</f>
        <v>0.10776608722725012</v>
      </c>
      <c r="Z428" s="441">
        <f t="shared" si="90"/>
        <v>34766.414348550854</v>
      </c>
      <c r="AA428" s="440"/>
      <c r="AB428" s="440"/>
      <c r="AC428" s="441"/>
      <c r="AD428" s="469"/>
      <c r="AE428" s="468"/>
      <c r="AF428" s="441">
        <f>+SUMIF($C:$C,$V428,L:L)</f>
        <v>31789.33</v>
      </c>
      <c r="AG428" s="442"/>
      <c r="AH428" s="443">
        <f t="shared" si="88"/>
        <v>-2977.0843485508522</v>
      </c>
      <c r="AI428" s="470">
        <f t="shared" si="89"/>
        <v>-8.5631043762640538E-2</v>
      </c>
      <c r="AJ428" s="469"/>
      <c r="AK428" s="440"/>
      <c r="AL428" s="441">
        <f t="shared" si="91"/>
        <v>34268.229999999996</v>
      </c>
      <c r="AM428" s="445"/>
      <c r="AN428" s="443">
        <f t="shared" si="85"/>
        <v>-2478.8999999999942</v>
      </c>
      <c r="AO428" s="446">
        <f t="shared" si="86"/>
        <v>-7.233813943702358E-2</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5" t="s">
        <v>125</v>
      </c>
      <c r="B429" s="3"/>
      <c r="C429" s="433" t="s">
        <v>598</v>
      </c>
      <c r="V429" s="312" t="s">
        <v>125</v>
      </c>
      <c r="W429" s="463" t="s">
        <v>619</v>
      </c>
      <c r="X429" s="456"/>
      <c r="Y429" s="1151">
        <f>Z429/(SUM(Z420:Z424)+E194-F194+Z409+Z410)</f>
        <v>0.13102837037322038</v>
      </c>
      <c r="Z429" s="457">
        <f t="shared" si="90"/>
        <v>42271.058855506759</v>
      </c>
      <c r="AA429" s="456"/>
      <c r="AB429" s="456"/>
      <c r="AC429" s="457"/>
      <c r="AD429" s="465"/>
      <c r="AE429" s="464"/>
      <c r="AF429" s="457">
        <f>+SUMIF($C:$C,$V429,L:L)</f>
        <v>46268.75</v>
      </c>
      <c r="AG429" s="458"/>
      <c r="AH429" s="459">
        <f t="shared" si="88"/>
        <v>3997.6911444932412</v>
      </c>
      <c r="AI429" s="460">
        <f t="shared" si="89"/>
        <v>9.4572770418606428E-2</v>
      </c>
      <c r="AJ429" s="465"/>
      <c r="AK429" s="456"/>
      <c r="AL429" s="457">
        <f t="shared" si="91"/>
        <v>51731.83</v>
      </c>
      <c r="AM429" s="461"/>
      <c r="AN429" s="459">
        <f t="shared" si="85"/>
        <v>-5463.0800000000017</v>
      </c>
      <c r="AO429" s="466">
        <f t="shared" si="86"/>
        <v>-0.10560384196731493</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5" t="s">
        <v>126</v>
      </c>
      <c r="B430" s="3"/>
      <c r="C430" s="433" t="s">
        <v>598</v>
      </c>
      <c r="V430" s="312" t="s">
        <v>126</v>
      </c>
      <c r="W430" s="463" t="s">
        <v>620</v>
      </c>
      <c r="X430" s="456"/>
      <c r="Y430" s="1151">
        <f>Z430/(SUM(Z420:Z424)+E194-F194+Z410+Z409)</f>
        <v>6.7508095170550494E-2</v>
      </c>
      <c r="Z430" s="457">
        <f t="shared" si="90"/>
        <v>21778.78467120674</v>
      </c>
      <c r="AA430" s="456"/>
      <c r="AB430" s="456"/>
      <c r="AC430" s="457"/>
      <c r="AD430" s="465"/>
      <c r="AE430" s="464"/>
      <c r="AF430" s="457">
        <f>+SUMIF($C:$C,$V430,L:L)</f>
        <v>19687.640000000003</v>
      </c>
      <c r="AG430" s="458"/>
      <c r="AH430" s="459">
        <f t="shared" si="88"/>
        <v>-2091.1446712067373</v>
      </c>
      <c r="AI430" s="460">
        <f t="shared" si="89"/>
        <v>-9.6017509827873659E-2</v>
      </c>
      <c r="AJ430" s="465"/>
      <c r="AK430" s="456"/>
      <c r="AL430" s="457">
        <f>IFERROR(SUMIF($C:$C,$V430,Q:Q),0)</f>
        <v>20815.75</v>
      </c>
      <c r="AM430" s="461"/>
      <c r="AN430" s="459">
        <f t="shared" si="85"/>
        <v>-1128.1099999999969</v>
      </c>
      <c r="AO430" s="466">
        <f t="shared" si="86"/>
        <v>-5.4195020597384048E-2</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5" t="s">
        <v>127</v>
      </c>
      <c r="B431" s="3"/>
      <c r="C431" s="433" t="s">
        <v>598</v>
      </c>
      <c r="V431" s="312" t="s">
        <v>127</v>
      </c>
      <c r="W431" s="463"/>
      <c r="X431" s="456"/>
      <c r="Y431" s="456"/>
      <c r="Z431" s="457">
        <f t="shared" si="90"/>
        <v>9495.6726414544155</v>
      </c>
      <c r="AA431" s="456"/>
      <c r="AB431" s="456"/>
      <c r="AC431" s="457"/>
      <c r="AD431" s="465"/>
      <c r="AE431" s="464"/>
      <c r="AF431" s="457">
        <f>+SUMIF($C:$C,$V431,L:L)</f>
        <v>10755.45</v>
      </c>
      <c r="AG431" s="458"/>
      <c r="AH431" s="459">
        <f t="shared" si="88"/>
        <v>1259.7773585455852</v>
      </c>
      <c r="AI431" s="479">
        <f t="shared" si="89"/>
        <v>0.13266857505658808</v>
      </c>
      <c r="AJ431" s="465"/>
      <c r="AK431" s="456"/>
      <c r="AL431" s="457">
        <f>IFERROR(SUMIF($C:$C,$V431,Q:Q),0)</f>
        <v>8165.579999999999</v>
      </c>
      <c r="AM431" s="461"/>
      <c r="AN431" s="459">
        <f t="shared" si="85"/>
        <v>2589.8700000000017</v>
      </c>
      <c r="AO431" s="466">
        <f t="shared" si="86"/>
        <v>0.31716914168987409</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hidden="1" customHeight="1">
      <c r="A432" s="5" t="s">
        <v>59</v>
      </c>
      <c r="B432" s="3"/>
      <c r="C432" s="433" t="s">
        <v>598</v>
      </c>
      <c r="V432" s="253" t="s">
        <v>59</v>
      </c>
      <c r="W432" s="463"/>
      <c r="X432" s="456"/>
      <c r="Y432" s="464"/>
      <c r="Z432" s="457">
        <f>IFERROR(SUMIF($C:$C,$V432,F:F),0)</f>
        <v>0</v>
      </c>
      <c r="AA432" s="456"/>
      <c r="AB432" s="456"/>
      <c r="AC432" s="457"/>
      <c r="AD432" s="465"/>
      <c r="AE432" s="464"/>
      <c r="AF432" s="457">
        <f>IFERROR(SUMIF($C:$C,$V432,L:L),0)</f>
        <v>0</v>
      </c>
      <c r="AG432" s="458"/>
      <c r="AH432" s="459">
        <f t="shared" si="88"/>
        <v>0</v>
      </c>
      <c r="AI432" s="460">
        <f t="shared" si="89"/>
        <v>0</v>
      </c>
      <c r="AJ432" s="465"/>
      <c r="AK432" s="456"/>
      <c r="AL432" s="457">
        <f>IFERROR(SUMIF($C:$C,$V432,Q:Q),0)</f>
        <v>0</v>
      </c>
      <c r="AM432" s="461"/>
      <c r="AN432" s="459"/>
      <c r="AO432" s="446"/>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2" ht="15.75" customHeight="1">
      <c r="A433" s="5" t="s">
        <v>128</v>
      </c>
      <c r="B433" s="3"/>
      <c r="C433" s="433" t="s">
        <v>598</v>
      </c>
      <c r="V433" s="471" t="s">
        <v>128</v>
      </c>
      <c r="W433" s="472"/>
      <c r="X433" s="473">
        <f>Z433/Z407</f>
        <v>0.53024368491963525</v>
      </c>
      <c r="Y433" s="472"/>
      <c r="Z433" s="474">
        <f>SUM(Z420:Z432)</f>
        <v>283459.936249847</v>
      </c>
      <c r="AA433" s="473"/>
      <c r="AB433" s="472"/>
      <c r="AC433" s="474"/>
      <c r="AD433" s="475">
        <f>AF433/AF407</f>
        <v>0.56333963275466448</v>
      </c>
      <c r="AE433" s="480"/>
      <c r="AF433" s="474">
        <f>SUM(AF420:AF432)</f>
        <v>255690.26000000007</v>
      </c>
      <c r="AG433" s="476"/>
      <c r="AH433" s="477">
        <f t="shared" si="88"/>
        <v>-27769.676249846932</v>
      </c>
      <c r="AI433" s="473">
        <f>AH433/Z433</f>
        <v>-9.7966847157441708E-2</v>
      </c>
      <c r="AJ433" s="475">
        <f>IF($AL$407=0,0,AL433/$AL$407)</f>
        <v>0.55202358512915062</v>
      </c>
      <c r="AK433" s="472"/>
      <c r="AL433" s="474">
        <f>SUM(AL420:AL432)</f>
        <v>280906.26</v>
      </c>
      <c r="AM433" s="482"/>
      <c r="AN433" s="477">
        <f t="shared" ref="AN433:AN451" si="92">AF433-AL433</f>
        <v>-25215.999999999942</v>
      </c>
      <c r="AO433" s="454">
        <f t="shared" ref="AO433:AO461" si="93">IF(AL433=0,0,AN433/AL433)</f>
        <v>-8.9766600431047505E-2</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2" ht="15.75" customHeight="1">
      <c r="A434" s="5" t="s">
        <v>129</v>
      </c>
      <c r="B434" s="3"/>
      <c r="C434" s="433" t="s">
        <v>598</v>
      </c>
      <c r="V434" s="406" t="s">
        <v>129</v>
      </c>
      <c r="W434" s="483" t="s">
        <v>611</v>
      </c>
      <c r="X434" s="484"/>
      <c r="Y434" s="484"/>
      <c r="Z434" s="485">
        <f t="shared" ref="Z434:Z448" si="94">+SUMIF($C:$C,$V434,F:F)</f>
        <v>12556.580701543739</v>
      </c>
      <c r="AA434" s="484"/>
      <c r="AB434" s="484"/>
      <c r="AC434" s="485"/>
      <c r="AD434" s="486"/>
      <c r="AE434" s="487"/>
      <c r="AF434" s="485">
        <f t="shared" ref="AF434:AF448" si="95">+SUMIF($C:$C,$V434,L:L)</f>
        <v>13701.99</v>
      </c>
      <c r="AG434" s="486"/>
      <c r="AH434" s="488">
        <f t="shared" si="88"/>
        <v>1145.4092984562612</v>
      </c>
      <c r="AI434" s="489">
        <f t="shared" ref="AI434:AI451" si="96">IF(Z434=0,0,AH434/Z434)</f>
        <v>9.1219841267411408E-2</v>
      </c>
      <c r="AJ434" s="486"/>
      <c r="AK434" s="484"/>
      <c r="AL434" s="485">
        <f t="shared" ref="AL434:AL448" si="97">+SUMIF($C:$C,$V434,Q:Q)</f>
        <v>17676.28</v>
      </c>
      <c r="AM434" s="490"/>
      <c r="AN434" s="488">
        <f t="shared" si="92"/>
        <v>-3974.2899999999991</v>
      </c>
      <c r="AO434" s="462">
        <f t="shared" si="93"/>
        <v>-0.22483746580162792</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2" ht="15.75" customHeight="1">
      <c r="A435" s="5" t="s">
        <v>130</v>
      </c>
      <c r="B435" s="3"/>
      <c r="C435" s="433" t="s">
        <v>598</v>
      </c>
      <c r="V435" s="312" t="s">
        <v>130</v>
      </c>
      <c r="W435" s="463" t="s">
        <v>621</v>
      </c>
      <c r="X435" s="456"/>
      <c r="Y435" s="456"/>
      <c r="Z435" s="457">
        <f t="shared" si="94"/>
        <v>4545.3811628057083</v>
      </c>
      <c r="AA435" s="456"/>
      <c r="AB435" s="456"/>
      <c r="AC435" s="457"/>
      <c r="AD435" s="465"/>
      <c r="AE435" s="464"/>
      <c r="AF435" s="1266">
        <f t="shared" si="95"/>
        <v>9465.369999999999</v>
      </c>
      <c r="AG435" s="458"/>
      <c r="AH435" s="459">
        <f t="shared" si="88"/>
        <v>4919.9888371942907</v>
      </c>
      <c r="AI435" s="460">
        <f t="shared" si="96"/>
        <v>1.0824150188886139</v>
      </c>
      <c r="AJ435" s="465"/>
      <c r="AK435" s="456"/>
      <c r="AL435" s="457">
        <f t="shared" si="97"/>
        <v>3288.27</v>
      </c>
      <c r="AM435" s="461"/>
      <c r="AN435" s="459">
        <f t="shared" si="92"/>
        <v>6177.0999999999985</v>
      </c>
      <c r="AO435" s="466">
        <f t="shared" si="93"/>
        <v>1.8785257901571339</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2" ht="15.75" customHeight="1">
      <c r="A436" s="5" t="s">
        <v>131</v>
      </c>
      <c r="B436" s="3"/>
      <c r="C436" s="433" t="s">
        <v>598</v>
      </c>
      <c r="U436" s="491"/>
      <c r="V436" s="313" t="s">
        <v>131</v>
      </c>
      <c r="W436" s="467" t="s">
        <v>622</v>
      </c>
      <c r="X436" s="440"/>
      <c r="Y436" s="440"/>
      <c r="Z436" s="441">
        <f t="shared" si="94"/>
        <v>22709.26466666667</v>
      </c>
      <c r="AA436" s="440"/>
      <c r="AB436" s="440"/>
      <c r="AC436" s="441"/>
      <c r="AD436" s="469"/>
      <c r="AE436" s="468"/>
      <c r="AF436" s="441">
        <f t="shared" si="95"/>
        <v>26692.03</v>
      </c>
      <c r="AG436" s="442"/>
      <c r="AH436" s="443">
        <f t="shared" si="88"/>
        <v>3982.7653333333292</v>
      </c>
      <c r="AI436" s="470">
        <f t="shared" si="96"/>
        <v>0.17538063833389331</v>
      </c>
      <c r="AJ436" s="469"/>
      <c r="AK436" s="440"/>
      <c r="AL436" s="441">
        <f t="shared" si="97"/>
        <v>17688.399999999998</v>
      </c>
      <c r="AM436" s="445"/>
      <c r="AN436" s="443">
        <f t="shared" si="92"/>
        <v>9003.630000000001</v>
      </c>
      <c r="AO436" s="446">
        <f t="shared" si="93"/>
        <v>0.50901325162253241</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2" ht="15.75" customHeight="1">
      <c r="A437" s="5" t="s">
        <v>132</v>
      </c>
      <c r="B437" s="3"/>
      <c r="C437" s="433" t="s">
        <v>598</v>
      </c>
      <c r="U437" s="491"/>
      <c r="V437" s="312" t="s">
        <v>132</v>
      </c>
      <c r="W437" s="463" t="s">
        <v>623</v>
      </c>
      <c r="X437" s="456"/>
      <c r="Y437" s="456"/>
      <c r="Z437" s="457">
        <f t="shared" si="94"/>
        <v>22402.080143777777</v>
      </c>
      <c r="AA437" s="456"/>
      <c r="AB437" s="456"/>
      <c r="AC437" s="457"/>
      <c r="AD437" s="465"/>
      <c r="AE437" s="464"/>
      <c r="AF437" s="457">
        <f t="shared" si="95"/>
        <v>24573.200000000001</v>
      </c>
      <c r="AG437" s="458"/>
      <c r="AH437" s="1152">
        <f t="shared" si="88"/>
        <v>2171.1198562222235</v>
      </c>
      <c r="AI437" s="460">
        <f t="shared" si="96"/>
        <v>9.6915993617014903E-2</v>
      </c>
      <c r="AJ437" s="465"/>
      <c r="AK437" s="456"/>
      <c r="AL437" s="457">
        <f t="shared" si="97"/>
        <v>21884.649999999998</v>
      </c>
      <c r="AM437" s="461"/>
      <c r="AN437" s="459">
        <f t="shared" si="92"/>
        <v>2688.5500000000029</v>
      </c>
      <c r="AO437" s="466">
        <f t="shared" si="93"/>
        <v>0.12285094803892241</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2" ht="15.75" customHeight="1">
      <c r="A438" s="5" t="s">
        <v>133</v>
      </c>
      <c r="B438" s="3"/>
      <c r="C438" s="433" t="s">
        <v>598</v>
      </c>
      <c r="U438" s="491"/>
      <c r="V438" s="312" t="s">
        <v>133</v>
      </c>
      <c r="W438" s="463" t="s">
        <v>624</v>
      </c>
      <c r="X438" s="456"/>
      <c r="Y438" s="456"/>
      <c r="Z438" s="457">
        <f t="shared" si="94"/>
        <v>3905.5576324861113</v>
      </c>
      <c r="AA438" s="456"/>
      <c r="AB438" s="456"/>
      <c r="AC438" s="457"/>
      <c r="AD438" s="465"/>
      <c r="AE438" s="464"/>
      <c r="AF438" s="457">
        <f t="shared" si="95"/>
        <v>3147.93</v>
      </c>
      <c r="AG438" s="458"/>
      <c r="AH438" s="459">
        <f t="shared" si="88"/>
        <v>-757.62763248611145</v>
      </c>
      <c r="AI438" s="460">
        <f t="shared" si="96"/>
        <v>-0.19398705736262251</v>
      </c>
      <c r="AJ438" s="465"/>
      <c r="AK438" s="456"/>
      <c r="AL438" s="457">
        <f t="shared" si="97"/>
        <v>1268.96</v>
      </c>
      <c r="AM438" s="461"/>
      <c r="AN438" s="459">
        <f t="shared" si="92"/>
        <v>1878.9699999999998</v>
      </c>
      <c r="AO438" s="466">
        <f t="shared" si="93"/>
        <v>1.4807164922456182</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2" ht="15.75" customHeight="1">
      <c r="A439" s="5" t="s">
        <v>134</v>
      </c>
      <c r="B439" s="3"/>
      <c r="C439" s="433" t="s">
        <v>598</v>
      </c>
      <c r="V439" s="312" t="s">
        <v>134</v>
      </c>
      <c r="W439" s="463" t="s">
        <v>625</v>
      </c>
      <c r="X439" s="456"/>
      <c r="Y439" s="456"/>
      <c r="Z439" s="457">
        <f t="shared" si="94"/>
        <v>32918.054597609284</v>
      </c>
      <c r="AA439" s="456"/>
      <c r="AB439" s="456"/>
      <c r="AC439" s="457"/>
      <c r="AD439" s="465"/>
      <c r="AE439" s="464"/>
      <c r="AF439" s="1266">
        <f t="shared" si="95"/>
        <v>39617.289999999994</v>
      </c>
      <c r="AG439" s="458"/>
      <c r="AH439" s="459">
        <f t="shared" si="88"/>
        <v>6699.2354023907101</v>
      </c>
      <c r="AI439" s="460">
        <f t="shared" si="96"/>
        <v>0.20351249441324065</v>
      </c>
      <c r="AJ439" s="465"/>
      <c r="AK439" s="456"/>
      <c r="AL439" s="457">
        <f t="shared" si="97"/>
        <v>32381.999999999996</v>
      </c>
      <c r="AM439" s="461"/>
      <c r="AN439" s="459">
        <f t="shared" si="92"/>
        <v>7235.2899999999972</v>
      </c>
      <c r="AO439" s="466">
        <f t="shared" si="93"/>
        <v>0.22343555061453887</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2" ht="15.75" customHeight="1">
      <c r="B440" s="3"/>
      <c r="C440" s="433" t="s">
        <v>598</v>
      </c>
      <c r="V440" s="406" t="s">
        <v>490</v>
      </c>
      <c r="W440" s="483"/>
      <c r="X440" s="484"/>
      <c r="Y440" s="484"/>
      <c r="Z440" s="485">
        <f t="shared" si="94"/>
        <v>0</v>
      </c>
      <c r="AA440" s="484"/>
      <c r="AB440" s="484"/>
      <c r="AC440" s="485"/>
      <c r="AD440" s="486"/>
      <c r="AE440" s="487"/>
      <c r="AF440" s="485">
        <f t="shared" si="95"/>
        <v>0</v>
      </c>
      <c r="AG440" s="492"/>
      <c r="AH440" s="488">
        <f t="shared" si="88"/>
        <v>0</v>
      </c>
      <c r="AI440" s="489">
        <f t="shared" si="96"/>
        <v>0</v>
      </c>
      <c r="AJ440" s="486"/>
      <c r="AK440" s="484"/>
      <c r="AL440" s="485">
        <f t="shared" si="97"/>
        <v>0</v>
      </c>
      <c r="AM440" s="490"/>
      <c r="AN440" s="488">
        <f t="shared" si="92"/>
        <v>0</v>
      </c>
      <c r="AO440" s="462">
        <f t="shared" si="93"/>
        <v>0</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2" ht="15.75" customHeight="1">
      <c r="A441" s="5" t="s">
        <v>135</v>
      </c>
      <c r="B441" s="3"/>
      <c r="C441" s="433" t="s">
        <v>598</v>
      </c>
      <c r="V441" s="312" t="s">
        <v>135</v>
      </c>
      <c r="W441" s="463" t="s">
        <v>626</v>
      </c>
      <c r="X441" s="456"/>
      <c r="Y441" s="464"/>
      <c r="Z441" s="457">
        <f t="shared" si="94"/>
        <v>5252.6901555555569</v>
      </c>
      <c r="AA441" s="456"/>
      <c r="AB441" s="464"/>
      <c r="AC441" s="457"/>
      <c r="AD441" s="465"/>
      <c r="AE441" s="464"/>
      <c r="AF441" s="457">
        <f t="shared" si="95"/>
        <v>7186.12</v>
      </c>
      <c r="AG441" s="458"/>
      <c r="AH441" s="459">
        <f t="shared" si="88"/>
        <v>1933.429844444443</v>
      </c>
      <c r="AI441" s="460">
        <f t="shared" si="96"/>
        <v>0.36808374131863325</v>
      </c>
      <c r="AJ441" s="465"/>
      <c r="AK441" s="456"/>
      <c r="AL441" s="457">
        <f t="shared" si="97"/>
        <v>6925.84</v>
      </c>
      <c r="AM441" s="461"/>
      <c r="AN441" s="459">
        <f t="shared" si="92"/>
        <v>260.27999999999975</v>
      </c>
      <c r="AO441" s="466">
        <f t="shared" si="93"/>
        <v>3.7581001004932217E-2</v>
      </c>
      <c r="AP441" s="38"/>
      <c r="AQ441" s="38"/>
      <c r="AR441" s="38"/>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
        <v>136</v>
      </c>
      <c r="B442" s="3"/>
      <c r="C442" s="433" t="s">
        <v>598</v>
      </c>
      <c r="U442" s="38"/>
      <c r="V442" s="312" t="s">
        <v>136</v>
      </c>
      <c r="W442" s="463" t="s">
        <v>627</v>
      </c>
      <c r="X442" s="456"/>
      <c r="Y442" s="456"/>
      <c r="Z442" s="457">
        <f t="shared" si="94"/>
        <v>1333.7987401197504</v>
      </c>
      <c r="AA442" s="456"/>
      <c r="AB442" s="456"/>
      <c r="AC442" s="457"/>
      <c r="AD442" s="465"/>
      <c r="AE442" s="464"/>
      <c r="AF442" s="457">
        <f t="shared" si="95"/>
        <v>967.33999999999992</v>
      </c>
      <c r="AG442" s="458"/>
      <c r="AH442" s="459">
        <f t="shared" si="88"/>
        <v>-366.45874011975047</v>
      </c>
      <c r="AI442" s="479">
        <f t="shared" si="96"/>
        <v>-0.27474815284864434</v>
      </c>
      <c r="AJ442" s="465"/>
      <c r="AK442" s="456"/>
      <c r="AL442" s="457">
        <f t="shared" si="97"/>
        <v>786.75</v>
      </c>
      <c r="AM442" s="461"/>
      <c r="AN442" s="459">
        <f t="shared" si="92"/>
        <v>180.58999999999992</v>
      </c>
      <c r="AO442" s="466">
        <f t="shared" si="93"/>
        <v>0.22953924372418166</v>
      </c>
      <c r="AP442" s="38"/>
      <c r="AQ442" s="38"/>
      <c r="AR442" s="38"/>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
        <v>137</v>
      </c>
      <c r="B443" s="3"/>
      <c r="C443" s="433" t="s">
        <v>598</v>
      </c>
      <c r="T443" s="38"/>
      <c r="U443" s="38"/>
      <c r="V443" s="312" t="s">
        <v>137</v>
      </c>
      <c r="W443" s="463" t="s">
        <v>628</v>
      </c>
      <c r="X443" s="456"/>
      <c r="Y443" s="456"/>
      <c r="Z443" s="457">
        <f t="shared" si="94"/>
        <v>2760.7503854659999</v>
      </c>
      <c r="AA443" s="456"/>
      <c r="AB443" s="456"/>
      <c r="AC443" s="457"/>
      <c r="AD443" s="465"/>
      <c r="AE443" s="464"/>
      <c r="AF443" s="457">
        <f t="shared" si="95"/>
        <v>3256.09</v>
      </c>
      <c r="AG443" s="458"/>
      <c r="AH443" s="459">
        <f t="shared" si="88"/>
        <v>495.33961453400025</v>
      </c>
      <c r="AI443" s="460">
        <f t="shared" si="96"/>
        <v>0.17942209376904228</v>
      </c>
      <c r="AJ443" s="465"/>
      <c r="AK443" s="456"/>
      <c r="AL443" s="457">
        <f t="shared" si="97"/>
        <v>4208.28</v>
      </c>
      <c r="AM443" s="461"/>
      <c r="AN443" s="459">
        <f t="shared" si="92"/>
        <v>-952.1899999999996</v>
      </c>
      <c r="AO443" s="466">
        <f t="shared" si="93"/>
        <v>-0.22626583782447929</v>
      </c>
      <c r="AP443" s="38"/>
      <c r="AQ443" s="38"/>
      <c r="AR443" s="38"/>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
        <v>138</v>
      </c>
      <c r="B444" s="3"/>
      <c r="C444" s="433" t="s">
        <v>598</v>
      </c>
      <c r="T444" s="38"/>
      <c r="U444" s="38"/>
      <c r="V444" s="312" t="s">
        <v>138</v>
      </c>
      <c r="W444" s="463" t="s">
        <v>629</v>
      </c>
      <c r="X444" s="456"/>
      <c r="Y444" s="456"/>
      <c r="Z444" s="457">
        <f t="shared" si="94"/>
        <v>734.68076036869445</v>
      </c>
      <c r="AA444" s="456"/>
      <c r="AB444" s="456"/>
      <c r="AC444" s="457"/>
      <c r="AD444" s="465"/>
      <c r="AE444" s="464"/>
      <c r="AF444" s="457">
        <f t="shared" si="95"/>
        <v>916.31</v>
      </c>
      <c r="AG444" s="458"/>
      <c r="AH444" s="459">
        <f t="shared" si="88"/>
        <v>181.6292396313055</v>
      </c>
      <c r="AI444" s="479">
        <f t="shared" si="96"/>
        <v>0.24722199005205489</v>
      </c>
      <c r="AJ444" s="465"/>
      <c r="AK444" s="456"/>
      <c r="AL444" s="457">
        <f t="shared" si="97"/>
        <v>547.28</v>
      </c>
      <c r="AM444" s="461"/>
      <c r="AN444" s="459">
        <f t="shared" si="92"/>
        <v>369.03</v>
      </c>
      <c r="AO444" s="466">
        <f t="shared" si="93"/>
        <v>0.67429834819470835</v>
      </c>
      <c r="AP444" s="38"/>
      <c r="AQ444" s="38"/>
      <c r="AR444" s="38"/>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
        <v>139</v>
      </c>
      <c r="B445" s="3"/>
      <c r="C445" s="433" t="s">
        <v>598</v>
      </c>
      <c r="T445" s="38"/>
      <c r="U445" s="38"/>
      <c r="V445" s="312" t="s">
        <v>139</v>
      </c>
      <c r="W445" s="463" t="s">
        <v>630</v>
      </c>
      <c r="X445" s="456"/>
      <c r="Y445" s="456"/>
      <c r="Z445" s="457">
        <f t="shared" si="94"/>
        <v>235.21156215130546</v>
      </c>
      <c r="AA445" s="456"/>
      <c r="AB445" s="456"/>
      <c r="AC445" s="457"/>
      <c r="AD445" s="465"/>
      <c r="AE445" s="464"/>
      <c r="AF445" s="457">
        <f t="shared" si="95"/>
        <v>1194.3599999999999</v>
      </c>
      <c r="AG445" s="458"/>
      <c r="AH445" s="459">
        <f t="shared" si="88"/>
        <v>959.14843784869447</v>
      </c>
      <c r="AI445" s="460">
        <f t="shared" si="96"/>
        <v>4.0778116053312861</v>
      </c>
      <c r="AJ445" s="465"/>
      <c r="AK445" s="456"/>
      <c r="AL445" s="457">
        <f t="shared" si="97"/>
        <v>730.92</v>
      </c>
      <c r="AM445" s="461"/>
      <c r="AN445" s="459">
        <f t="shared" si="92"/>
        <v>463.43999999999994</v>
      </c>
      <c r="AO445" s="466">
        <f t="shared" si="93"/>
        <v>0.63405023805614835</v>
      </c>
      <c r="AP445" s="38"/>
      <c r="AQ445" s="38"/>
      <c r="AR445" s="38"/>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
        <v>140</v>
      </c>
      <c r="B446" s="3"/>
      <c r="C446" s="433" t="s">
        <v>598</v>
      </c>
      <c r="T446" s="38"/>
      <c r="U446" s="38"/>
      <c r="V446" s="312" t="s">
        <v>140</v>
      </c>
      <c r="W446" s="463" t="s">
        <v>631</v>
      </c>
      <c r="X446" s="456"/>
      <c r="Y446" s="464"/>
      <c r="Z446" s="457">
        <f t="shared" si="94"/>
        <v>720.38919864980562</v>
      </c>
      <c r="AA446" s="456"/>
      <c r="AB446" s="464"/>
      <c r="AC446" s="457"/>
      <c r="AD446" s="465"/>
      <c r="AE446" s="464"/>
      <c r="AF446" s="457">
        <f t="shared" si="95"/>
        <v>222.52</v>
      </c>
      <c r="AG446" s="458"/>
      <c r="AH446" s="459">
        <f t="shared" si="88"/>
        <v>-497.86919864980564</v>
      </c>
      <c r="AI446" s="479">
        <f t="shared" si="96"/>
        <v>-0.69111141530569919</v>
      </c>
      <c r="AJ446" s="465"/>
      <c r="AK446" s="456"/>
      <c r="AL446" s="457">
        <f t="shared" si="97"/>
        <v>642.70000000000005</v>
      </c>
      <c r="AM446" s="461"/>
      <c r="AN446" s="459">
        <f t="shared" si="92"/>
        <v>-420.18000000000006</v>
      </c>
      <c r="AO446" s="466">
        <f t="shared" si="93"/>
        <v>-0.65377314454644475</v>
      </c>
      <c r="AP446" s="38"/>
      <c r="AQ446" s="38"/>
      <c r="AR446" s="38"/>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
        <v>141</v>
      </c>
      <c r="B447" s="3"/>
      <c r="C447" s="433" t="s">
        <v>598</v>
      </c>
      <c r="T447" s="38"/>
      <c r="U447" s="38"/>
      <c r="V447" s="312" t="s">
        <v>141</v>
      </c>
      <c r="W447" s="463" t="s">
        <v>632</v>
      </c>
      <c r="X447" s="456"/>
      <c r="Y447" s="464"/>
      <c r="Z447" s="457">
        <f t="shared" si="94"/>
        <v>5774.1370435507661</v>
      </c>
      <c r="AA447" s="456"/>
      <c r="AB447" s="464"/>
      <c r="AC447" s="457"/>
      <c r="AD447" s="465"/>
      <c r="AE447" s="464"/>
      <c r="AF447" s="457">
        <f t="shared" si="95"/>
        <v>2184.52</v>
      </c>
      <c r="AG447" s="458"/>
      <c r="AH447" s="459">
        <f t="shared" si="88"/>
        <v>-3589.6170435507661</v>
      </c>
      <c r="AI447" s="460">
        <f t="shared" si="96"/>
        <v>-0.6216716050340495</v>
      </c>
      <c r="AJ447" s="465"/>
      <c r="AK447" s="456"/>
      <c r="AL447" s="457">
        <f t="shared" si="97"/>
        <v>5281.3899999999994</v>
      </c>
      <c r="AM447" s="461"/>
      <c r="AN447" s="459">
        <f t="shared" si="92"/>
        <v>-3096.8699999999994</v>
      </c>
      <c r="AO447" s="466">
        <f t="shared" si="93"/>
        <v>-0.58637404168220864</v>
      </c>
      <c r="AQ447" s="38"/>
      <c r="AR447" s="38"/>
      <c r="AS447" s="38"/>
      <c r="AT447" s="38"/>
      <c r="AU447" s="38"/>
      <c r="AV447" s="38"/>
      <c r="AW447" s="38"/>
      <c r="AX447" s="38"/>
      <c r="AY447" s="38"/>
      <c r="AZ447" s="38"/>
      <c r="BA447" s="38"/>
      <c r="BB447" s="38"/>
      <c r="BC447" s="38"/>
      <c r="BD447" s="38"/>
      <c r="BE447" s="38"/>
      <c r="BF447" s="38"/>
      <c r="BG447" s="38"/>
      <c r="BH447" s="38"/>
      <c r="BI447" s="38"/>
      <c r="BJ447" s="38"/>
    </row>
    <row r="448" spans="1:62" ht="15.75" customHeight="1">
      <c r="A448" s="5" t="s">
        <v>142</v>
      </c>
      <c r="B448" s="3"/>
      <c r="C448" s="433" t="s">
        <v>598</v>
      </c>
      <c r="T448" s="38"/>
      <c r="U448" s="38"/>
      <c r="V448" s="312" t="s">
        <v>142</v>
      </c>
      <c r="W448" s="463" t="s">
        <v>633</v>
      </c>
      <c r="X448" s="456"/>
      <c r="Y448" s="1151">
        <f>Z448/Z406</f>
        <v>1.2536920363976879E-3</v>
      </c>
      <c r="Z448" s="457">
        <f t="shared" si="94"/>
        <v>6055.2901420058188</v>
      </c>
      <c r="AA448" s="456"/>
      <c r="AB448" s="464"/>
      <c r="AC448" s="457"/>
      <c r="AD448" s="465"/>
      <c r="AE448" s="464"/>
      <c r="AF448" s="958">
        <f t="shared" si="95"/>
        <v>4811.93</v>
      </c>
      <c r="AG448" s="458"/>
      <c r="AH448" s="962">
        <f t="shared" si="88"/>
        <v>-1243.3601420058185</v>
      </c>
      <c r="AI448" s="460">
        <f t="shared" si="96"/>
        <v>-0.20533452780083541</v>
      </c>
      <c r="AJ448" s="465"/>
      <c r="AK448" s="456"/>
      <c r="AL448" s="457">
        <f t="shared" si="97"/>
        <v>5432.78</v>
      </c>
      <c r="AM448" s="461"/>
      <c r="AN448" s="459">
        <f t="shared" si="92"/>
        <v>-620.84999999999945</v>
      </c>
      <c r="AO448" s="466">
        <f t="shared" si="93"/>
        <v>-0.1142785093451234</v>
      </c>
      <c r="AQ448" s="38"/>
      <c r="AR448" s="38"/>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
        <v>59</v>
      </c>
      <c r="B449" s="3"/>
      <c r="C449" s="433" t="s">
        <v>598</v>
      </c>
      <c r="T449" s="38"/>
      <c r="U449" s="38"/>
      <c r="V449" s="312" t="s">
        <v>59</v>
      </c>
      <c r="W449" s="463"/>
      <c r="X449" s="456"/>
      <c r="Y449" s="464"/>
      <c r="Z449" s="457">
        <f>IFERROR(SUMIF($C:$C,$V449,F:F),0)</f>
        <v>0</v>
      </c>
      <c r="AA449" s="456"/>
      <c r="AB449" s="456"/>
      <c r="AC449" s="457"/>
      <c r="AD449" s="465"/>
      <c r="AE449" s="464"/>
      <c r="AF449" s="457">
        <f>IFERROR(SUMIF($C:$C,$V449,L:L),0)</f>
        <v>0</v>
      </c>
      <c r="AG449" s="458"/>
      <c r="AH449" s="459">
        <f t="shared" si="88"/>
        <v>0</v>
      </c>
      <c r="AI449" s="460">
        <f t="shared" si="96"/>
        <v>0</v>
      </c>
      <c r="AJ449" s="465"/>
      <c r="AK449" s="456"/>
      <c r="AL449" s="457">
        <f>IFERROR(SUMIF($C:$C,$V449,Q:Q),0)</f>
        <v>0</v>
      </c>
      <c r="AM449" s="461"/>
      <c r="AN449" s="459">
        <f t="shared" si="92"/>
        <v>0</v>
      </c>
      <c r="AO449" s="466">
        <f t="shared" si="93"/>
        <v>0</v>
      </c>
      <c r="AP449" s="38"/>
      <c r="AQ449" s="38"/>
      <c r="AR449" s="38"/>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
        <v>59</v>
      </c>
      <c r="B450" s="3"/>
      <c r="C450" s="433" t="s">
        <v>598</v>
      </c>
      <c r="T450" s="38"/>
      <c r="U450" s="38"/>
      <c r="V450" s="312" t="s">
        <v>59</v>
      </c>
      <c r="W450" s="463"/>
      <c r="X450" s="456"/>
      <c r="Y450" s="464"/>
      <c r="Z450" s="457">
        <f>IFERROR(SUMIF($C:$C,$V450,F:F),0)</f>
        <v>0</v>
      </c>
      <c r="AA450" s="456"/>
      <c r="AB450" s="456"/>
      <c r="AC450" s="457"/>
      <c r="AD450" s="465"/>
      <c r="AE450" s="464"/>
      <c r="AF450" s="457">
        <f>IFERROR(SUMIF($C:$C,$V450,L:L),0)</f>
        <v>0</v>
      </c>
      <c r="AG450" s="458"/>
      <c r="AH450" s="459">
        <f t="shared" si="88"/>
        <v>0</v>
      </c>
      <c r="AI450" s="460">
        <f t="shared" si="96"/>
        <v>0</v>
      </c>
      <c r="AJ450" s="465"/>
      <c r="AK450" s="456"/>
      <c r="AL450" s="457">
        <f>IFERROR(SUMIF($C:$C,$V450,Q:Q),0)</f>
        <v>0</v>
      </c>
      <c r="AM450" s="461"/>
      <c r="AN450" s="459">
        <f t="shared" si="92"/>
        <v>0</v>
      </c>
      <c r="AO450" s="466">
        <f t="shared" si="93"/>
        <v>0</v>
      </c>
      <c r="AP450" s="38"/>
      <c r="AQ450" s="38"/>
      <c r="AR450" s="38"/>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
        <v>59</v>
      </c>
      <c r="B451" s="3"/>
      <c r="C451" s="433" t="s">
        <v>598</v>
      </c>
      <c r="T451" s="38"/>
      <c r="U451" s="38"/>
      <c r="V451" s="312" t="s">
        <v>59</v>
      </c>
      <c r="W451" s="463"/>
      <c r="X451" s="456"/>
      <c r="Y451" s="464"/>
      <c r="Z451" s="457">
        <f>IFERROR(SUMIF($C:$C,$V451,F:F),0)</f>
        <v>0</v>
      </c>
      <c r="AA451" s="456"/>
      <c r="AB451" s="456"/>
      <c r="AC451" s="457"/>
      <c r="AD451" s="465"/>
      <c r="AE451" s="464"/>
      <c r="AF451" s="457">
        <f>IFERROR(SUMIF($C:$C,$V451,L:L),0)</f>
        <v>0</v>
      </c>
      <c r="AG451" s="458"/>
      <c r="AH451" s="459">
        <f t="shared" si="88"/>
        <v>0</v>
      </c>
      <c r="AI451" s="460">
        <f t="shared" si="96"/>
        <v>0</v>
      </c>
      <c r="AJ451" s="465"/>
      <c r="AK451" s="456"/>
      <c r="AL451" s="457">
        <f>IFERROR(SUMIF($C:$C,$V451,Q:Q),0)</f>
        <v>0</v>
      </c>
      <c r="AM451" s="461"/>
      <c r="AN451" s="459">
        <f t="shared" si="92"/>
        <v>0</v>
      </c>
      <c r="AO451" s="466">
        <f t="shared" si="93"/>
        <v>0</v>
      </c>
      <c r="AP451" s="38"/>
      <c r="AQ451" s="38"/>
      <c r="AR451" s="38"/>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
        <v>143</v>
      </c>
      <c r="B452" s="3"/>
      <c r="C452" s="433" t="s">
        <v>598</v>
      </c>
      <c r="T452" s="38"/>
      <c r="U452" s="38"/>
      <c r="V452" s="471" t="s">
        <v>143</v>
      </c>
      <c r="W452" s="493"/>
      <c r="X452" s="473">
        <f>Z452/+Z407</f>
        <v>0.22803489072330263</v>
      </c>
      <c r="Y452" s="472"/>
      <c r="Z452" s="474">
        <f>+SUM(Z434:Z451)</f>
        <v>121903.86689275698</v>
      </c>
      <c r="AA452" s="473"/>
      <c r="AB452" s="472"/>
      <c r="AC452" s="474"/>
      <c r="AD452" s="475">
        <f>AF452/AF407</f>
        <v>0.30390433692421492</v>
      </c>
      <c r="AE452" s="472"/>
      <c r="AF452" s="474">
        <f>+SUM(AF434:AF451)</f>
        <v>137936.99999999997</v>
      </c>
      <c r="AG452" s="481"/>
      <c r="AH452" s="494">
        <f>+SUM(AH434:AH451)</f>
        <v>16033.133107243004</v>
      </c>
      <c r="AI452" s="473">
        <f>AH452/Z452</f>
        <v>0.13152276064669796</v>
      </c>
      <c r="AJ452" s="475">
        <f>IF($AL$407=0,0,AL452/$AL$407)</f>
        <v>0.23335102821976414</v>
      </c>
      <c r="AK452" s="473"/>
      <c r="AL452" s="474">
        <f>+SUM(AL434:AL451)</f>
        <v>118744.49999999997</v>
      </c>
      <c r="AM452" s="482"/>
      <c r="AN452" s="477">
        <f>+SUM(AN434:AN451)</f>
        <v>19192.5</v>
      </c>
      <c r="AO452" s="495">
        <f t="shared" si="93"/>
        <v>0.16162853858494503</v>
      </c>
      <c r="AP452" s="38"/>
      <c r="AQ452" s="38"/>
      <c r="AR452" s="38"/>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
        <v>205</v>
      </c>
      <c r="B453" s="3"/>
      <c r="C453" s="433" t="s">
        <v>598</v>
      </c>
      <c r="D453" s="38"/>
      <c r="E453" s="38"/>
      <c r="F453" s="38"/>
      <c r="G453" s="38"/>
      <c r="H453" s="38"/>
      <c r="I453" s="38"/>
      <c r="J453" s="38"/>
      <c r="K453" s="38"/>
      <c r="L453" s="38"/>
      <c r="M453" s="38"/>
      <c r="N453" s="38"/>
      <c r="O453" s="38"/>
      <c r="P453" s="38"/>
      <c r="Q453" s="38"/>
      <c r="R453" s="38"/>
      <c r="S453" s="38"/>
      <c r="T453" s="38"/>
      <c r="U453" s="38"/>
      <c r="V453" s="312" t="s">
        <v>205</v>
      </c>
      <c r="W453" s="463" t="s">
        <v>634</v>
      </c>
      <c r="X453" s="456"/>
      <c r="Y453" s="464"/>
      <c r="Z453" s="457">
        <f>+INDEX('Budget original'!$A$2:$AO$501,MATCH($A453,'Budget original'!$A$2:$A$501,0),MATCH(F$2,'Budget original'!$A$2:$AO$2,0))</f>
        <v>36000</v>
      </c>
      <c r="AA453" s="456"/>
      <c r="AB453" s="464"/>
      <c r="AC453" s="457"/>
      <c r="AD453" s="465"/>
      <c r="AE453" s="464"/>
      <c r="AF453" s="457">
        <f>SUMIFS(BV_Data_An_Cour!$O:$O,BV_Data_An_Cour!$V:$V,$V453)</f>
        <v>36000</v>
      </c>
      <c r="AG453" s="458"/>
      <c r="AH453" s="459">
        <f t="shared" ref="AH453:AH461" si="98">AF453-Z453</f>
        <v>0</v>
      </c>
      <c r="AI453" s="460">
        <f t="shared" ref="AI453:AI461" si="99">IF(Z453=0,0,AH453/Z453)</f>
        <v>0</v>
      </c>
      <c r="AJ453" s="465"/>
      <c r="AK453" s="456"/>
      <c r="AL453" s="457">
        <f>+INDEX('Réel 2024'!$A$2:$AO$501,MATCH($A453,'Réel 2024'!$A$2:$A$501,0),MATCH(F$2,'Réel 2024'!$A$2:$AO$2,0))</f>
        <v>36000</v>
      </c>
      <c r="AM453" s="461"/>
      <c r="AN453" s="459">
        <f t="shared" ref="AN453:AN461" si="100">AF453-AL453</f>
        <v>0</v>
      </c>
      <c r="AO453" s="466">
        <f t="shared" si="93"/>
        <v>0</v>
      </c>
      <c r="AP453" s="38"/>
      <c r="AQ453" s="38"/>
      <c r="AR453" s="38"/>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
        <v>206</v>
      </c>
      <c r="B454" s="3"/>
      <c r="C454" s="433" t="s">
        <v>598</v>
      </c>
      <c r="D454" s="38"/>
      <c r="E454" s="38"/>
      <c r="F454" s="38"/>
      <c r="G454" s="38"/>
      <c r="H454" s="38"/>
      <c r="I454" s="38"/>
      <c r="J454" s="38"/>
      <c r="K454" s="38"/>
      <c r="L454" s="38"/>
      <c r="M454" s="38"/>
      <c r="N454" s="38"/>
      <c r="O454" s="38"/>
      <c r="P454" s="38"/>
      <c r="Q454" s="38"/>
      <c r="R454" s="38"/>
      <c r="S454" s="38"/>
      <c r="T454" s="38"/>
      <c r="U454" s="38"/>
      <c r="V454" s="312" t="s">
        <v>206</v>
      </c>
      <c r="W454" s="463" t="s">
        <v>635</v>
      </c>
      <c r="X454" s="456"/>
      <c r="Y454" s="464"/>
      <c r="Z454" s="457">
        <f>+INDEX('Budget original'!$A$2:$AO$501,MATCH($A454,'Budget original'!$A$2:$A$501,0),MATCH(F$2,'Budget original'!$A$2:$AO$2,0))</f>
        <v>5423.4400000000005</v>
      </c>
      <c r="AA454" s="456"/>
      <c r="AB454" s="464"/>
      <c r="AC454" s="457"/>
      <c r="AD454" s="465"/>
      <c r="AE454" s="464"/>
      <c r="AF454" s="457">
        <f>SUMIFS(BV_Data_An_Cour!$O:$O,BV_Data_An_Cour!$V:$V,$V454)</f>
        <v>5423</v>
      </c>
      <c r="AG454" s="458"/>
      <c r="AH454" s="459">
        <f t="shared" si="98"/>
        <v>-0.44000000000050932</v>
      </c>
      <c r="AI454" s="460">
        <f t="shared" si="99"/>
        <v>-8.1129320136391167E-5</v>
      </c>
      <c r="AJ454" s="465"/>
      <c r="AK454" s="456"/>
      <c r="AL454" s="457">
        <f>+INDEX('Réel 2024'!$A$2:$AO$501,MATCH($A454,'Réel 2024'!$A$2:$A$501,0),MATCH(F$2,'Réel 2024'!$A$2:$AO$2,0))</f>
        <v>5177</v>
      </c>
      <c r="AM454" s="461"/>
      <c r="AN454" s="459">
        <f t="shared" si="100"/>
        <v>246</v>
      </c>
      <c r="AO454" s="466">
        <f t="shared" si="93"/>
        <v>4.7517867490824803E-2</v>
      </c>
      <c r="AP454" s="38"/>
      <c r="AQ454" s="38"/>
      <c r="AR454" s="38"/>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
        <v>207</v>
      </c>
      <c r="B455" s="3"/>
      <c r="C455" s="433" t="s">
        <v>598</v>
      </c>
      <c r="D455" s="38"/>
      <c r="E455" s="38"/>
      <c r="F455" s="38"/>
      <c r="G455" s="38"/>
      <c r="H455" s="38"/>
      <c r="I455" s="38"/>
      <c r="J455" s="38"/>
      <c r="K455" s="38"/>
      <c r="L455" s="38"/>
      <c r="M455" s="38"/>
      <c r="N455" s="38"/>
      <c r="O455" s="38"/>
      <c r="P455" s="38"/>
      <c r="Q455" s="38"/>
      <c r="R455" s="38"/>
      <c r="S455" s="38"/>
      <c r="T455" s="38"/>
      <c r="U455" s="38"/>
      <c r="V455" s="313" t="s">
        <v>207</v>
      </c>
      <c r="W455" s="467" t="s">
        <v>636</v>
      </c>
      <c r="X455" s="440"/>
      <c r="Y455" s="468"/>
      <c r="Z455" s="441">
        <f>+INDEX('Budget original'!$A$2:$AO$501,MATCH($A455,'Budget original'!$A$2:$A$501,0),MATCH(F$2,'Budget original'!$A$2:$AO$2,0))</f>
        <v>3608.8800000000006</v>
      </c>
      <c r="AA455" s="440"/>
      <c r="AB455" s="468"/>
      <c r="AC455" s="441"/>
      <c r="AD455" s="469"/>
      <c r="AE455" s="468"/>
      <c r="AF455" s="1267">
        <f>SUMIFS(BV_Data_An_Cour!$O:$O,BV_Data_An_Cour!$V:$V,$V455)</f>
        <v>4909</v>
      </c>
      <c r="AG455" s="442"/>
      <c r="AH455" s="443">
        <f t="shared" si="98"/>
        <v>1300.1199999999994</v>
      </c>
      <c r="AI455" s="470">
        <f t="shared" si="99"/>
        <v>0.36025581343796392</v>
      </c>
      <c r="AJ455" s="469"/>
      <c r="AK455" s="440"/>
      <c r="AL455" s="441">
        <f>+INDEX('Réel 2024'!$A$2:$AO$501,MATCH($A455,'Réel 2024'!$A$2:$A$501,0),MATCH(F$2,'Réel 2024'!$A$2:$AO$2,0))</f>
        <v>3445</v>
      </c>
      <c r="AM455" s="445"/>
      <c r="AN455" s="443">
        <f t="shared" si="100"/>
        <v>1464</v>
      </c>
      <c r="AO455" s="446">
        <f t="shared" si="93"/>
        <v>0.42496371552975326</v>
      </c>
      <c r="AP455" s="38"/>
      <c r="AQ455" s="38"/>
      <c r="AR455" s="38"/>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
        <v>208</v>
      </c>
      <c r="B456" s="3"/>
      <c r="C456" s="433" t="s">
        <v>598</v>
      </c>
      <c r="D456" s="38"/>
      <c r="E456" s="38"/>
      <c r="F456" s="38"/>
      <c r="G456" s="38"/>
      <c r="H456" s="38"/>
      <c r="I456" s="38"/>
      <c r="J456" s="38"/>
      <c r="K456" s="38"/>
      <c r="L456" s="38"/>
      <c r="M456" s="38"/>
      <c r="N456" s="38"/>
      <c r="O456" s="38"/>
      <c r="P456" s="38"/>
      <c r="Q456" s="38"/>
      <c r="R456" s="38"/>
      <c r="S456" s="38"/>
      <c r="T456" s="38"/>
      <c r="U456" s="38"/>
      <c r="V456" s="312" t="s">
        <v>208</v>
      </c>
      <c r="W456" s="463"/>
      <c r="X456" s="456"/>
      <c r="Y456" s="464"/>
      <c r="Z456" s="457">
        <f>+INDEX('Budget original'!$A$2:$AO$501,MATCH($A456,'Budget original'!$A$2:$A$501,0),MATCH(F$2,'Budget original'!$A$2:$AO$2,0))</f>
        <v>0</v>
      </c>
      <c r="AA456" s="456"/>
      <c r="AB456" s="464"/>
      <c r="AC456" s="457"/>
      <c r="AD456" s="465"/>
      <c r="AE456" s="464"/>
      <c r="AF456" s="457">
        <f>SUMIFS(BV_Data_An_Cour!$O:$O,BV_Data_An_Cour!$V:$V,$V456)</f>
        <v>0</v>
      </c>
      <c r="AG456" s="458"/>
      <c r="AH456" s="459">
        <f t="shared" si="98"/>
        <v>0</v>
      </c>
      <c r="AI456" s="460">
        <f t="shared" si="99"/>
        <v>0</v>
      </c>
      <c r="AJ456" s="465"/>
      <c r="AK456" s="456"/>
      <c r="AL456" s="457">
        <f>+INDEX('Réel 2024'!$A$2:$AO$501,MATCH($A456,'Réel 2024'!$A$2:$A$501,0),MATCH(F$2,'Réel 2024'!$A$2:$AO$2,0))</f>
        <v>0</v>
      </c>
      <c r="AM456" s="461"/>
      <c r="AN456" s="459">
        <f t="shared" si="100"/>
        <v>0</v>
      </c>
      <c r="AO456" s="466">
        <f t="shared" si="93"/>
        <v>0</v>
      </c>
      <c r="AP456" s="38"/>
      <c r="AQ456" s="38"/>
      <c r="AR456" s="38"/>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
        <v>209</v>
      </c>
      <c r="B457" s="3"/>
      <c r="C457" s="433" t="s">
        <v>598</v>
      </c>
      <c r="D457" s="38"/>
      <c r="E457" s="38"/>
      <c r="F457" s="38"/>
      <c r="G457" s="38"/>
      <c r="H457" s="38"/>
      <c r="I457" s="38"/>
      <c r="J457" s="38"/>
      <c r="K457" s="38"/>
      <c r="L457" s="38"/>
      <c r="M457" s="38"/>
      <c r="N457" s="38"/>
      <c r="O457" s="38"/>
      <c r="P457" s="38"/>
      <c r="Q457" s="38"/>
      <c r="R457" s="38"/>
      <c r="S457" s="38"/>
      <c r="T457" s="38"/>
      <c r="U457" s="38"/>
      <c r="V457" s="313" t="s">
        <v>209</v>
      </c>
      <c r="W457" s="467" t="s">
        <v>637</v>
      </c>
      <c r="X457" s="440"/>
      <c r="Y457" s="468"/>
      <c r="Z457" s="441">
        <f>+INDEX('Budget original'!$A$2:$AO$501,MATCH($A457,'Budget original'!$A$2:$A$501,0),MATCH(F$2,'Budget original'!$A$2:$AO$2,0))</f>
        <v>4344.25</v>
      </c>
      <c r="AA457" s="440"/>
      <c r="AB457" s="468"/>
      <c r="AC457" s="441"/>
      <c r="AD457" s="469"/>
      <c r="AE457" s="468"/>
      <c r="AF457" s="441">
        <f>SUMIF(BV_Data_An_Cour!$V:$V,Print_Mois!$V457,BV_Data_An_Cour!$O:$O)</f>
        <v>4344.25</v>
      </c>
      <c r="AG457" s="442"/>
      <c r="AH457" s="443">
        <f t="shared" si="98"/>
        <v>0</v>
      </c>
      <c r="AI457" s="470">
        <f t="shared" si="99"/>
        <v>0</v>
      </c>
      <c r="AJ457" s="469"/>
      <c r="AK457" s="440"/>
      <c r="AL457" s="441">
        <f>+INDEX('Réel 2024'!$A$2:$AO$501,MATCH($A457,'Réel 2024'!$A$2:$A$501,0),MATCH(F$2,'Réel 2024'!$A$2:$AO$2,0))</f>
        <v>3893.08</v>
      </c>
      <c r="AM457" s="445"/>
      <c r="AN457" s="443">
        <f t="shared" si="100"/>
        <v>451.17000000000007</v>
      </c>
      <c r="AO457" s="446">
        <f t="shared" si="93"/>
        <v>0.11589024628314858</v>
      </c>
      <c r="AP457" s="38"/>
      <c r="AQ457" s="38"/>
      <c r="AR457" s="38"/>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
        <v>210</v>
      </c>
      <c r="B458" s="3"/>
      <c r="C458" s="433" t="s">
        <v>598</v>
      </c>
      <c r="D458" s="38"/>
      <c r="E458" s="38"/>
      <c r="F458" s="38"/>
      <c r="G458" s="38"/>
      <c r="H458" s="38"/>
      <c r="I458" s="38"/>
      <c r="J458" s="38"/>
      <c r="K458" s="38"/>
      <c r="L458" s="38"/>
      <c r="M458" s="38"/>
      <c r="N458" s="38"/>
      <c r="O458" s="38"/>
      <c r="P458" s="38"/>
      <c r="Q458" s="38"/>
      <c r="R458" s="38"/>
      <c r="S458" s="38"/>
      <c r="T458" s="38"/>
      <c r="U458" s="38"/>
      <c r="V458" s="312" t="s">
        <v>210</v>
      </c>
      <c r="W458" s="463" t="s">
        <v>638</v>
      </c>
      <c r="X458" s="496"/>
      <c r="Y458" s="497"/>
      <c r="Z458" s="457">
        <f>+INDEX('Budget original'!$A$2:$AO$501,MATCH($A458,'Budget original'!$A$2:$A$501,0),MATCH(F$2,'Budget original'!$A$2:$AO$2,0))</f>
        <v>3700</v>
      </c>
      <c r="AA458" s="496"/>
      <c r="AB458" s="497"/>
      <c r="AC458" s="457"/>
      <c r="AD458" s="465"/>
      <c r="AE458" s="464"/>
      <c r="AF458" s="1217">
        <f>SUMIFS(BV_Data_An_Cour!$O:$O,BV_Data_An_Cour!$V:$V,$V458)</f>
        <v>8639.25</v>
      </c>
      <c r="AG458" s="458"/>
      <c r="AH458" s="459">
        <f t="shared" si="98"/>
        <v>4939.25</v>
      </c>
      <c r="AI458" s="460">
        <f t="shared" si="99"/>
        <v>1.3349324324324325</v>
      </c>
      <c r="AJ458" s="465"/>
      <c r="AK458" s="456"/>
      <c r="AL458" s="457">
        <f>+INDEX('Réel 2024'!$A$2:$AO$501,MATCH($A458,'Réel 2024'!$A$2:$A$501,0),MATCH(F$2,'Réel 2024'!$A$2:$AO$2,0))</f>
        <v>3668.39</v>
      </c>
      <c r="AM458" s="461"/>
      <c r="AN458" s="459">
        <f t="shared" si="100"/>
        <v>4970.8600000000006</v>
      </c>
      <c r="AO458" s="466">
        <f t="shared" si="93"/>
        <v>1.3550522163673984</v>
      </c>
      <c r="AP458" s="38"/>
      <c r="AQ458" s="38"/>
      <c r="AR458" s="38"/>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
        <v>211</v>
      </c>
      <c r="B459" s="3"/>
      <c r="C459" s="433" t="s">
        <v>598</v>
      </c>
      <c r="D459" s="38"/>
      <c r="E459" s="38"/>
      <c r="F459" s="38"/>
      <c r="G459" s="38"/>
      <c r="H459" s="38"/>
      <c r="I459" s="38"/>
      <c r="J459" s="38"/>
      <c r="K459" s="38"/>
      <c r="L459" s="38"/>
      <c r="M459" s="38"/>
      <c r="N459" s="38"/>
      <c r="O459" s="38"/>
      <c r="P459" s="38"/>
      <c r="Q459" s="38"/>
      <c r="R459" s="38"/>
      <c r="S459" s="38"/>
      <c r="T459" s="38"/>
      <c r="U459" s="38"/>
      <c r="V459" s="312" t="s">
        <v>211</v>
      </c>
      <c r="W459" s="463" t="s">
        <v>639</v>
      </c>
      <c r="X459" s="456"/>
      <c r="Y459" s="464"/>
      <c r="Z459" s="457">
        <f>+INDEX('Budget original'!$A$2:$AO$501,MATCH($A459,'Budget original'!$A$2:$A$501,0),MATCH(F$2,'Budget original'!$A$2:$AO$2,0))</f>
        <v>6784.05</v>
      </c>
      <c r="AA459" s="456"/>
      <c r="AB459" s="464"/>
      <c r="AC459" s="457"/>
      <c r="AD459" s="465"/>
      <c r="AE459" s="464"/>
      <c r="AF459" s="457">
        <f>SUMIFS(BV_Data_An_Cour!$O:$O,BV_Data_An_Cour!$V:$V,$V459)</f>
        <v>6940.67</v>
      </c>
      <c r="AG459" s="458"/>
      <c r="AH459" s="459">
        <f t="shared" si="98"/>
        <v>156.61999999999989</v>
      </c>
      <c r="AI459" s="460">
        <f t="shared" si="99"/>
        <v>2.3086504374230717E-2</v>
      </c>
      <c r="AJ459" s="465"/>
      <c r="AK459" s="456"/>
      <c r="AL459" s="457">
        <f>+INDEX('Réel 2024'!$A$2:$AO$501,MATCH($A459,'Réel 2024'!$A$2:$A$501,0),MATCH(F$2,'Réel 2024'!$A$2:$AO$2,0))</f>
        <v>6423.3299999999899</v>
      </c>
      <c r="AM459" s="461"/>
      <c r="AN459" s="459">
        <f t="shared" si="100"/>
        <v>517.34000000001015</v>
      </c>
      <c r="AO459" s="466">
        <f t="shared" si="93"/>
        <v>8.0540778692673579E-2</v>
      </c>
      <c r="AP459" s="38"/>
      <c r="AQ459" s="38"/>
      <c r="AR459" s="38"/>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
        <v>212</v>
      </c>
      <c r="B460" s="3"/>
      <c r="C460" s="433" t="s">
        <v>598</v>
      </c>
      <c r="D460" s="38"/>
      <c r="E460" s="38"/>
      <c r="F460" s="38"/>
      <c r="G460" s="38"/>
      <c r="H460" s="38"/>
      <c r="I460" s="38"/>
      <c r="J460" s="38"/>
      <c r="K460" s="38"/>
      <c r="L460" s="38"/>
      <c r="M460" s="38"/>
      <c r="N460" s="38"/>
      <c r="O460" s="38"/>
      <c r="P460" s="38"/>
      <c r="Q460" s="38"/>
      <c r="R460" s="38"/>
      <c r="S460" s="38"/>
      <c r="T460" s="38"/>
      <c r="U460" s="38"/>
      <c r="V460" s="313" t="s">
        <v>212</v>
      </c>
      <c r="W460" s="467" t="s">
        <v>640</v>
      </c>
      <c r="X460" s="440"/>
      <c r="Y460" s="468"/>
      <c r="Z460" s="441">
        <f>+INDEX('Budget original'!$A$2:$AO$501,MATCH($A460,'Budget original'!$A$2:$A$501,0),MATCH(F$2,'Budget original'!$A$2:$AO$2,0))</f>
        <v>1364.5623407645369</v>
      </c>
      <c r="AA460" s="440"/>
      <c r="AB460" s="468"/>
      <c r="AC460" s="441"/>
      <c r="AD460" s="469"/>
      <c r="AE460" s="468"/>
      <c r="AF460" s="441">
        <f>SUMIFS(BV_Data_An_Cour!$O:$O,BV_Data_An_Cour!$V:$V,$V460)</f>
        <v>486.24</v>
      </c>
      <c r="AG460" s="442"/>
      <c r="AH460" s="443">
        <f t="shared" si="98"/>
        <v>-878.32234076453688</v>
      </c>
      <c r="AI460" s="470">
        <f t="shared" si="99"/>
        <v>-0.6436659685862578</v>
      </c>
      <c r="AJ460" s="469"/>
      <c r="AK460" s="440"/>
      <c r="AL460" s="441">
        <f>+INDEX('Réel 2024'!$A$2:$AO$501,MATCH($A460,'Réel 2024'!$A$2:$A$501,0),MATCH(F$2,'Réel 2024'!$A$2:$AO$2,0))</f>
        <v>287.2</v>
      </c>
      <c r="AM460" s="445"/>
      <c r="AN460" s="443">
        <f t="shared" si="100"/>
        <v>199.04000000000002</v>
      </c>
      <c r="AO460" s="446">
        <f t="shared" si="93"/>
        <v>0.69303621169916441</v>
      </c>
      <c r="AP460" s="38"/>
      <c r="AQ460" s="38"/>
      <c r="AR460" s="38"/>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
        <v>213</v>
      </c>
      <c r="B461" s="3"/>
      <c r="C461" s="433" t="s">
        <v>598</v>
      </c>
      <c r="D461" s="38"/>
      <c r="E461" s="38"/>
      <c r="F461" s="38"/>
      <c r="G461" s="38"/>
      <c r="H461" s="38"/>
      <c r="I461" s="38"/>
      <c r="J461" s="38"/>
      <c r="K461" s="38"/>
      <c r="L461" s="38"/>
      <c r="M461" s="38"/>
      <c r="N461" s="38"/>
      <c r="O461" s="38"/>
      <c r="P461" s="38"/>
      <c r="Q461" s="38"/>
      <c r="R461" s="38"/>
      <c r="S461" s="38"/>
      <c r="T461" s="38"/>
      <c r="U461" s="80"/>
      <c r="V461" s="312" t="s">
        <v>213</v>
      </c>
      <c r="W461" s="463" t="s">
        <v>641</v>
      </c>
      <c r="X461" s="456"/>
      <c r="Y461" s="464"/>
      <c r="Z461" s="457">
        <f>+INDEX('Budget original'!$A$2:$AO$501,MATCH($A461,'Budget original'!$A$2:$A$501,0),MATCH(F$2,'Budget original'!$A$2:$AO$2,0))</f>
        <v>1000</v>
      </c>
      <c r="AA461" s="456"/>
      <c r="AB461" s="464"/>
      <c r="AC461" s="457"/>
      <c r="AD461" s="465"/>
      <c r="AE461" s="464"/>
      <c r="AF461" s="457">
        <f>SUMIFS(BV_Data_An_Cour!$O:$O,BV_Data_An_Cour!$V:$V,$V461)</f>
        <v>805.57</v>
      </c>
      <c r="AG461" s="458"/>
      <c r="AH461" s="459">
        <f t="shared" si="98"/>
        <v>-194.42999999999995</v>
      </c>
      <c r="AI461" s="498">
        <f t="shared" si="99"/>
        <v>-0.19442999999999994</v>
      </c>
      <c r="AJ461" s="456"/>
      <c r="AK461" s="456"/>
      <c r="AL461" s="457">
        <f>+INDEX('Réel 2024'!$A$2:$AO$501,MATCH($A461,'Réel 2024'!$A$2:$A$501,0),MATCH(F$2,'Réel 2024'!$A$2:$AO$2,0))</f>
        <v>562.73</v>
      </c>
      <c r="AM461" s="461"/>
      <c r="AN461" s="459">
        <f t="shared" si="100"/>
        <v>242.84000000000003</v>
      </c>
      <c r="AO461" s="466">
        <f t="shared" si="93"/>
        <v>0.43153910401080453</v>
      </c>
      <c r="AP461" s="38"/>
      <c r="AQ461" s="38"/>
      <c r="AR461" s="38"/>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
        <v>214</v>
      </c>
      <c r="B462" s="3"/>
      <c r="C462" s="433" t="s">
        <v>598</v>
      </c>
      <c r="D462" s="38"/>
      <c r="E462" s="38"/>
      <c r="F462" s="38"/>
      <c r="G462" s="38"/>
      <c r="H462" s="38"/>
      <c r="I462" s="38"/>
      <c r="J462" s="38"/>
      <c r="K462" s="38"/>
      <c r="L462" s="38"/>
      <c r="M462" s="38"/>
      <c r="N462" s="38"/>
      <c r="O462" s="38"/>
      <c r="P462" s="38"/>
      <c r="Q462" s="38"/>
      <c r="R462" s="38"/>
      <c r="S462" s="38"/>
      <c r="T462" s="38"/>
      <c r="U462" s="80"/>
      <c r="V462" s="312" t="s">
        <v>214</v>
      </c>
      <c r="W462" s="463" t="s">
        <v>642</v>
      </c>
      <c r="X462" s="456"/>
      <c r="Y462" s="464"/>
      <c r="Z462" s="457">
        <v>0</v>
      </c>
      <c r="AA462" s="456"/>
      <c r="AB462" s="464"/>
      <c r="AC462" s="457"/>
      <c r="AD462" s="465"/>
      <c r="AE462" s="464"/>
      <c r="AF462" s="457">
        <f>SUMIFS(BV_Data_An_Cour!$O:$O,BV_Data_An_Cour!$V:$V,$V462)</f>
        <v>0</v>
      </c>
      <c r="AG462" s="458"/>
      <c r="AH462" s="459">
        <v>0</v>
      </c>
      <c r="AI462" s="479">
        <v>0</v>
      </c>
      <c r="AJ462" s="456"/>
      <c r="AK462" s="456"/>
      <c r="AL462" s="457">
        <f>+INDEX('Réel 2024'!$A$2:$AO$501,MATCH($A462,'Réel 2024'!$A$2:$A$501,0),MATCH(F$2,'Réel 2024'!$A$2:$AO$2,0))</f>
        <v>0</v>
      </c>
      <c r="AM462" s="461"/>
      <c r="AN462" s="459">
        <v>0</v>
      </c>
      <c r="AO462" s="466">
        <v>0</v>
      </c>
      <c r="AP462" s="38"/>
      <c r="AQ462" s="38"/>
      <c r="AR462" s="38"/>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
        <v>59</v>
      </c>
      <c r="B463" s="3"/>
      <c r="C463" s="433" t="s">
        <v>598</v>
      </c>
      <c r="D463" s="38"/>
      <c r="E463" s="38"/>
      <c r="F463" s="38"/>
      <c r="G463" s="38"/>
      <c r="H463" s="38"/>
      <c r="I463" s="38"/>
      <c r="J463" s="38"/>
      <c r="K463" s="38"/>
      <c r="L463" s="38"/>
      <c r="M463" s="38"/>
      <c r="N463" s="38"/>
      <c r="O463" s="38"/>
      <c r="P463" s="38"/>
      <c r="Q463" s="38"/>
      <c r="R463" s="38"/>
      <c r="S463" s="38"/>
      <c r="T463" s="38"/>
      <c r="U463" s="80"/>
      <c r="V463" s="312" t="s">
        <v>59</v>
      </c>
      <c r="W463" s="463"/>
      <c r="X463" s="456"/>
      <c r="Y463" s="464"/>
      <c r="Z463" s="457">
        <f>IFERROR(SUMIF($C:$C,$V463,F:F),0)</f>
        <v>0</v>
      </c>
      <c r="AA463" s="456"/>
      <c r="AB463" s="456"/>
      <c r="AC463" s="457"/>
      <c r="AD463" s="465"/>
      <c r="AE463" s="464"/>
      <c r="AF463" s="457">
        <f>IFERROR(SUMIF($C:$C,$V463,L:L),0)</f>
        <v>0</v>
      </c>
      <c r="AG463" s="458"/>
      <c r="AH463" s="459">
        <f>AF463-Z463</f>
        <v>0</v>
      </c>
      <c r="AI463" s="460">
        <f>IF(Z463=0,0,AH463/Z463)</f>
        <v>0</v>
      </c>
      <c r="AJ463" s="465"/>
      <c r="AK463" s="456"/>
      <c r="AL463" s="457">
        <f>IFERROR(SUMIF($C:$C,$V463,Q:Q),0)</f>
        <v>0</v>
      </c>
      <c r="AM463" s="461"/>
      <c r="AN463" s="459">
        <v>0</v>
      </c>
      <c r="AO463" s="466">
        <v>1</v>
      </c>
      <c r="AP463" s="38"/>
      <c r="AQ463" s="38"/>
      <c r="AR463" s="38"/>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
        <v>59</v>
      </c>
      <c r="B464" s="3"/>
      <c r="C464" s="433" t="s">
        <v>598</v>
      </c>
      <c r="D464" s="38"/>
      <c r="E464" s="38"/>
      <c r="F464" s="38"/>
      <c r="G464" s="38"/>
      <c r="H464" s="38"/>
      <c r="I464" s="38"/>
      <c r="J464" s="38"/>
      <c r="K464" s="38"/>
      <c r="L464" s="38"/>
      <c r="M464" s="38"/>
      <c r="N464" s="38"/>
      <c r="O464" s="38"/>
      <c r="P464" s="38"/>
      <c r="Q464" s="38"/>
      <c r="R464" s="38"/>
      <c r="S464" s="38"/>
      <c r="T464" s="38"/>
      <c r="U464" s="80"/>
      <c r="V464" s="312" t="s">
        <v>59</v>
      </c>
      <c r="W464" s="463"/>
      <c r="X464" s="456"/>
      <c r="Y464" s="464"/>
      <c r="Z464" s="457">
        <f>IFERROR(SUMIF($C:$C,$V464,F:F),0)</f>
        <v>0</v>
      </c>
      <c r="AA464" s="456"/>
      <c r="AB464" s="456"/>
      <c r="AC464" s="457"/>
      <c r="AD464" s="465"/>
      <c r="AE464" s="464"/>
      <c r="AF464" s="457">
        <f>IFERROR(SUMIF($C:$C,$V464,L:L),0)</f>
        <v>0</v>
      </c>
      <c r="AG464" s="458"/>
      <c r="AH464" s="459">
        <f>AF464-Z464</f>
        <v>0</v>
      </c>
      <c r="AI464" s="460">
        <f>IF(Z464=0,0,AH464/Z464)</f>
        <v>0</v>
      </c>
      <c r="AJ464" s="465"/>
      <c r="AK464" s="456"/>
      <c r="AL464" s="457">
        <f>IFERROR(SUMIF($C:$C,$V464,Q:Q),0)</f>
        <v>0</v>
      </c>
      <c r="AM464" s="461"/>
      <c r="AN464" s="459">
        <v>0</v>
      </c>
      <c r="AO464" s="466">
        <v>2</v>
      </c>
      <c r="AP464" s="38"/>
      <c r="AQ464" s="38"/>
      <c r="AR464" s="38"/>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
        <v>59</v>
      </c>
      <c r="B465" s="3"/>
      <c r="C465" s="433" t="s">
        <v>598</v>
      </c>
      <c r="D465" s="38"/>
      <c r="E465" s="38"/>
      <c r="F465" s="38"/>
      <c r="G465" s="38"/>
      <c r="H465" s="38"/>
      <c r="I465" s="38"/>
      <c r="J465" s="38"/>
      <c r="K465" s="38"/>
      <c r="L465" s="38"/>
      <c r="M465" s="38"/>
      <c r="N465" s="38"/>
      <c r="O465" s="38"/>
      <c r="P465" s="38"/>
      <c r="Q465" s="38"/>
      <c r="R465" s="38"/>
      <c r="S465" s="38"/>
      <c r="T465" s="38"/>
      <c r="U465" s="38"/>
      <c r="V465" s="312" t="s">
        <v>59</v>
      </c>
      <c r="W465" s="463"/>
      <c r="X465" s="456"/>
      <c r="Y465" s="464"/>
      <c r="Z465" s="457">
        <f>IFERROR(SUMIF($C:$C,$V465,F:F),0)</f>
        <v>0</v>
      </c>
      <c r="AA465" s="456"/>
      <c r="AB465" s="456"/>
      <c r="AC465" s="457"/>
      <c r="AD465" s="465"/>
      <c r="AE465" s="464"/>
      <c r="AF465" s="457">
        <f>IFERROR(SUMIF($C:$C,$V465,L:L),0)</f>
        <v>0</v>
      </c>
      <c r="AG465" s="458"/>
      <c r="AH465" s="459">
        <f>AF465-Z465</f>
        <v>0</v>
      </c>
      <c r="AI465" s="460">
        <f>IF(Z465=0,0,AH465/Z465)</f>
        <v>0</v>
      </c>
      <c r="AJ465" s="465"/>
      <c r="AK465" s="456"/>
      <c r="AL465" s="457">
        <f>IFERROR(SUMIF($C:$C,$V465,Q:Q),0)</f>
        <v>0</v>
      </c>
      <c r="AM465" s="461"/>
      <c r="AN465" s="459">
        <v>0</v>
      </c>
      <c r="AO465" s="466">
        <v>3</v>
      </c>
      <c r="AP465" s="38"/>
      <c r="AQ465" s="38"/>
      <c r="AR465" s="38"/>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
        <v>215</v>
      </c>
      <c r="B466" s="3"/>
      <c r="C466" s="433" t="s">
        <v>598</v>
      </c>
      <c r="D466" s="38"/>
      <c r="E466" s="38"/>
      <c r="F466" s="38"/>
      <c r="G466" s="38"/>
      <c r="H466" s="38"/>
      <c r="I466" s="38"/>
      <c r="J466" s="38"/>
      <c r="K466" s="38"/>
      <c r="L466" s="38"/>
      <c r="M466" s="38"/>
      <c r="N466" s="38"/>
      <c r="O466" s="38"/>
      <c r="P466" s="38"/>
      <c r="Q466" s="38"/>
      <c r="R466" s="38"/>
      <c r="S466" s="38"/>
      <c r="T466" s="38"/>
      <c r="U466" s="38"/>
      <c r="V466" s="471" t="s">
        <v>215</v>
      </c>
      <c r="W466" s="472"/>
      <c r="X466" s="473">
        <f>Z466/+Z407</f>
        <v>0.11639920059137111</v>
      </c>
      <c r="Y466" s="472"/>
      <c r="Z466" s="474">
        <f>SUM(Z453:Z465)</f>
        <v>62225.182340764542</v>
      </c>
      <c r="AA466" s="473"/>
      <c r="AB466" s="472"/>
      <c r="AC466" s="474"/>
      <c r="AD466" s="475">
        <f>AF466/AF407</f>
        <v>0.14882246295388574</v>
      </c>
      <c r="AE466" s="472"/>
      <c r="AF466" s="474">
        <f>SUM(AF453:AF465)</f>
        <v>67547.98000000001</v>
      </c>
      <c r="AG466" s="481"/>
      <c r="AH466" s="494">
        <f>SUM(AH453:AH465)</f>
        <v>5322.7976592354607</v>
      </c>
      <c r="AI466" s="473">
        <f>IF(Z466=0,0,AH466/Z466)</f>
        <v>8.55408929151249E-2</v>
      </c>
      <c r="AJ466" s="475">
        <f>IF($AL$407=0,0,AL466/$AL$407)</f>
        <v>0.11684153017684944</v>
      </c>
      <c r="AK466" s="473"/>
      <c r="AL466" s="474">
        <f>SUM(AL453:AL465)</f>
        <v>59456.729999999989</v>
      </c>
      <c r="AM466" s="482"/>
      <c r="AN466" s="477">
        <f>SUM(AN453:AN465)</f>
        <v>8091.2500000000109</v>
      </c>
      <c r="AO466" s="495">
        <f t="shared" ref="AO466:AO483" si="101">IF(AL466=0,0,AN466/AL466)</f>
        <v>0.13608636061889062</v>
      </c>
      <c r="AP466" s="38"/>
      <c r="AQ466" s="38"/>
      <c r="AR466" s="38"/>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
        <v>599</v>
      </c>
      <c r="B467" s="3"/>
      <c r="C467" s="433" t="s">
        <v>598</v>
      </c>
      <c r="D467" s="38"/>
      <c r="E467" s="38"/>
      <c r="F467" s="38"/>
      <c r="G467" s="38"/>
      <c r="H467" s="38"/>
      <c r="I467" s="38"/>
      <c r="J467" s="38"/>
      <c r="K467" s="38"/>
      <c r="L467" s="38"/>
      <c r="M467" s="38"/>
      <c r="N467" s="38"/>
      <c r="O467" s="38"/>
      <c r="P467" s="38"/>
      <c r="Q467" s="38"/>
      <c r="R467" s="38"/>
      <c r="S467" s="38"/>
      <c r="T467" s="38"/>
      <c r="U467" s="38"/>
      <c r="V467" s="312"/>
      <c r="W467" s="456"/>
      <c r="X467" s="456"/>
      <c r="Y467" s="456"/>
      <c r="Z467" s="499"/>
      <c r="AA467" s="456"/>
      <c r="AB467" s="456"/>
      <c r="AC467" s="499"/>
      <c r="AD467" s="465"/>
      <c r="AE467" s="456"/>
      <c r="AF467" s="499"/>
      <c r="AG467" s="465"/>
      <c r="AH467" s="459">
        <f t="shared" ref="AH467:AH481" si="102">AF467-Z467</f>
        <v>0</v>
      </c>
      <c r="AI467" s="460"/>
      <c r="AJ467" s="465"/>
      <c r="AK467" s="456"/>
      <c r="AL467" s="499"/>
      <c r="AM467" s="500"/>
      <c r="AN467" s="459">
        <f t="shared" ref="AN467:AN483" si="103">AF467-AL467</f>
        <v>0</v>
      </c>
      <c r="AO467" s="501">
        <f t="shared" si="101"/>
        <v>0</v>
      </c>
      <c r="AP467" s="38"/>
      <c r="AQ467" s="38"/>
      <c r="AR467" s="38"/>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
        <v>144</v>
      </c>
      <c r="B468" s="3"/>
      <c r="C468" s="433" t="s">
        <v>598</v>
      </c>
      <c r="D468" s="38"/>
      <c r="E468" s="38"/>
      <c r="F468" s="38"/>
      <c r="G468" s="38"/>
      <c r="H468" s="38"/>
      <c r="I468" s="38"/>
      <c r="J468" s="38"/>
      <c r="K468" s="38"/>
      <c r="L468" s="38"/>
      <c r="M468" s="38"/>
      <c r="N468" s="38"/>
      <c r="O468" s="38"/>
      <c r="P468" s="38"/>
      <c r="Q468" s="38"/>
      <c r="R468" s="38"/>
      <c r="S468" s="38"/>
      <c r="T468" s="38"/>
      <c r="U468" s="38"/>
      <c r="V468" s="471" t="s">
        <v>144</v>
      </c>
      <c r="W468" s="472"/>
      <c r="X468" s="473">
        <f>Z468/+Z407</f>
        <v>1.179453722803308</v>
      </c>
      <c r="Y468" s="472"/>
      <c r="Z468" s="474">
        <f>Z419+Z433+Z452+Z466</f>
        <v>630517.4141322244</v>
      </c>
      <c r="AA468" s="473"/>
      <c r="AB468" s="472"/>
      <c r="AC468" s="474"/>
      <c r="AD468" s="475">
        <f>AF468/AF407</f>
        <v>1.164492956510198</v>
      </c>
      <c r="AE468" s="472"/>
      <c r="AF468" s="474">
        <f>AF419+AF433+AF452+AF466</f>
        <v>528543.51</v>
      </c>
      <c r="AG468" s="481"/>
      <c r="AH468" s="494">
        <f t="shared" si="102"/>
        <v>-101973.90413222439</v>
      </c>
      <c r="AI468" s="473">
        <f>AH468/Z468</f>
        <v>-0.16173051187265014</v>
      </c>
      <c r="AJ468" s="475">
        <f>IF($AL$407=0,0,AL468/$AL$407)</f>
        <v>1.2091415898329791</v>
      </c>
      <c r="AK468" s="473"/>
      <c r="AL468" s="474">
        <f>AL419+AL433+AL452+AL466</f>
        <v>615291.54</v>
      </c>
      <c r="AM468" s="482"/>
      <c r="AN468" s="477">
        <f t="shared" si="103"/>
        <v>-86748.030000000028</v>
      </c>
      <c r="AO468" s="454">
        <f t="shared" si="101"/>
        <v>-0.14098687266202298</v>
      </c>
      <c r="AP468" s="38"/>
      <c r="AQ468" s="38"/>
      <c r="AR468" s="38"/>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
        <v>216</v>
      </c>
      <c r="B469" s="3"/>
      <c r="C469" s="433" t="s">
        <v>598</v>
      </c>
      <c r="D469" s="38"/>
      <c r="E469" s="38"/>
      <c r="F469" s="38"/>
      <c r="G469" s="38"/>
      <c r="H469" s="38"/>
      <c r="I469" s="38"/>
      <c r="J469" s="38"/>
      <c r="K469" s="38"/>
      <c r="L469" s="38"/>
      <c r="M469" s="38"/>
      <c r="N469" s="38"/>
      <c r="O469" s="38"/>
      <c r="P469" s="38"/>
      <c r="Q469" s="38"/>
      <c r="R469" s="38"/>
      <c r="S469" s="38"/>
      <c r="T469" s="38"/>
      <c r="U469" s="38"/>
      <c r="V469" s="312" t="s">
        <v>216</v>
      </c>
      <c r="W469" s="497"/>
      <c r="X469" s="497"/>
      <c r="Y469" s="456"/>
      <c r="Z469" s="485">
        <f>+INDEX('Budget original'!$A$2:$AO$501,MATCH($A469,'Budget original'!$A$2:$A$501,0),MATCH(F$2,'Budget original'!$A$2:$AO$2,0))</f>
        <v>0</v>
      </c>
      <c r="AA469" s="502"/>
      <c r="AB469" s="503"/>
      <c r="AC469" s="485"/>
      <c r="AD469" s="504"/>
      <c r="AE469" s="503"/>
      <c r="AF469" s="457">
        <f>-SUMIFS(BV_Data_An_Cour!$O:$O,BV_Data_An_Cour!$V:$V,$V469)</f>
        <v>26653.53</v>
      </c>
      <c r="AG469" s="505"/>
      <c r="AH469" s="459">
        <f t="shared" si="102"/>
        <v>26653.53</v>
      </c>
      <c r="AI469" s="498" t="e">
        <f>IF(AH469=0,0,AH469/Z469)</f>
        <v>#DIV/0!</v>
      </c>
      <c r="AJ469" s="504"/>
      <c r="AK469" s="502"/>
      <c r="AL469" s="506">
        <f>+INDEX('Réel 2024'!$A$2:$AO$501,MATCH($A469,'Réel 2024'!$A$2:$A$501,0),MATCH(F$2,'Réel 2024'!$A$2:$AO$2,0))</f>
        <v>1162.58</v>
      </c>
      <c r="AM469" s="507"/>
      <c r="AN469" s="459">
        <f t="shared" si="103"/>
        <v>25490.949999999997</v>
      </c>
      <c r="AO469" s="466">
        <f t="shared" si="101"/>
        <v>21.926190025632643</v>
      </c>
      <c r="AP469" s="38"/>
      <c r="AQ469" s="38"/>
      <c r="AR469" s="38"/>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
        <v>148</v>
      </c>
      <c r="B470" s="3"/>
      <c r="C470" s="433" t="s">
        <v>598</v>
      </c>
      <c r="D470" s="38"/>
      <c r="E470" s="38"/>
      <c r="F470" s="38"/>
      <c r="G470" s="38"/>
      <c r="H470" s="38"/>
      <c r="I470" s="38"/>
      <c r="J470" s="38"/>
      <c r="K470" s="38"/>
      <c r="L470" s="38"/>
      <c r="M470" s="38"/>
      <c r="N470" s="38"/>
      <c r="O470" s="38"/>
      <c r="P470" s="38"/>
      <c r="Q470" s="38"/>
      <c r="R470" s="38"/>
      <c r="S470" s="38"/>
      <c r="T470" s="38"/>
      <c r="U470" s="38"/>
      <c r="V470" s="312" t="s">
        <v>148</v>
      </c>
      <c r="W470" s="456"/>
      <c r="X470" s="456"/>
      <c r="Y470" s="456"/>
      <c r="Z470" s="457">
        <f t="shared" ref="Z470:Z476" si="104">+SUMIF($C:$C,$V470,F:F)</f>
        <v>76895.937507984767</v>
      </c>
      <c r="AA470" s="496"/>
      <c r="AB470" s="459"/>
      <c r="AC470" s="457"/>
      <c r="AD470" s="508"/>
      <c r="AE470" s="509"/>
      <c r="AF470" s="457">
        <f t="shared" ref="AF470:AF476" si="105">+SUMIF($C:$C,$V470,L:L)</f>
        <v>47635</v>
      </c>
      <c r="AG470" s="510"/>
      <c r="AH470" s="459">
        <f t="shared" si="102"/>
        <v>-29260.937507984767</v>
      </c>
      <c r="AI470" s="479">
        <f>IF(Z470=0,0,AH470/Z470)</f>
        <v>-0.3805264420496382</v>
      </c>
      <c r="AJ470" s="511"/>
      <c r="AK470" s="496"/>
      <c r="AL470" s="512">
        <f t="shared" ref="AL470:AL479" si="106">+SUMIF($C:$C,$V470,Q:Q)</f>
        <v>91804.85</v>
      </c>
      <c r="AM470" s="508"/>
      <c r="AN470" s="459">
        <f t="shared" si="103"/>
        <v>-44169.850000000006</v>
      </c>
      <c r="AO470" s="466">
        <f t="shared" si="101"/>
        <v>-0.48112763105652917</v>
      </c>
      <c r="AP470" s="38"/>
      <c r="AQ470" s="38"/>
      <c r="AR470" s="38"/>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
        <v>145</v>
      </c>
      <c r="B471" s="3"/>
      <c r="C471" s="433" t="s">
        <v>598</v>
      </c>
      <c r="D471" s="38"/>
      <c r="E471" s="38"/>
      <c r="F471" s="38"/>
      <c r="G471" s="38"/>
      <c r="H471" s="38"/>
      <c r="I471" s="38"/>
      <c r="J471" s="38"/>
      <c r="K471" s="38"/>
      <c r="L471" s="38"/>
      <c r="M471" s="38"/>
      <c r="N471" s="38"/>
      <c r="O471" s="38"/>
      <c r="P471" s="38"/>
      <c r="Q471" s="38"/>
      <c r="R471" s="38"/>
      <c r="S471" s="38"/>
      <c r="T471" s="38"/>
      <c r="U471" s="38"/>
      <c r="V471" s="312" t="s">
        <v>145</v>
      </c>
      <c r="W471" s="456"/>
      <c r="X471" s="456"/>
      <c r="Y471" s="456"/>
      <c r="Z471" s="457">
        <f t="shared" si="104"/>
        <v>0</v>
      </c>
      <c r="AA471" s="496"/>
      <c r="AB471" s="497"/>
      <c r="AC471" s="457"/>
      <c r="AD471" s="511"/>
      <c r="AF471" s="457">
        <f t="shared" si="105"/>
        <v>0</v>
      </c>
      <c r="AG471" s="510"/>
      <c r="AH471" s="459">
        <f t="shared" si="102"/>
        <v>0</v>
      </c>
      <c r="AI471" s="479">
        <f t="shared" ref="AI471:AI480" si="107">IF(AH471=0,0,AH471/Z471)</f>
        <v>0</v>
      </c>
      <c r="AJ471" s="511"/>
      <c r="AK471" s="496"/>
      <c r="AL471" s="512">
        <f t="shared" si="106"/>
        <v>0</v>
      </c>
      <c r="AM471" s="508"/>
      <c r="AN471" s="459">
        <f t="shared" si="103"/>
        <v>0</v>
      </c>
      <c r="AO471" s="466">
        <f t="shared" si="101"/>
        <v>0</v>
      </c>
      <c r="AP471" s="38"/>
      <c r="AQ471" s="38"/>
      <c r="AR471" s="38"/>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
        <v>146</v>
      </c>
      <c r="B472" s="3"/>
      <c r="C472" s="433" t="s">
        <v>598</v>
      </c>
      <c r="D472" s="38"/>
      <c r="E472" s="38"/>
      <c r="F472" s="38"/>
      <c r="G472" s="38"/>
      <c r="H472" s="38"/>
      <c r="I472" s="38"/>
      <c r="J472" s="38"/>
      <c r="K472" s="38"/>
      <c r="L472" s="38"/>
      <c r="M472" s="38"/>
      <c r="N472" s="38"/>
      <c r="O472" s="38"/>
      <c r="P472" s="38"/>
      <c r="Q472" s="38"/>
      <c r="R472" s="38"/>
      <c r="S472" s="38"/>
      <c r="T472" s="38"/>
      <c r="U472" s="38"/>
      <c r="V472" s="312" t="s">
        <v>146</v>
      </c>
      <c r="W472" s="456"/>
      <c r="X472" s="456"/>
      <c r="Y472" s="456"/>
      <c r="Z472" s="457">
        <f t="shared" si="104"/>
        <v>0</v>
      </c>
      <c r="AA472" s="496"/>
      <c r="AB472" s="497"/>
      <c r="AC472" s="457"/>
      <c r="AD472" s="511"/>
      <c r="AE472" s="497"/>
      <c r="AF472" s="457">
        <f t="shared" si="105"/>
        <v>0</v>
      </c>
      <c r="AG472" s="510"/>
      <c r="AH472" s="459">
        <f t="shared" si="102"/>
        <v>0</v>
      </c>
      <c r="AI472" s="479">
        <f t="shared" si="107"/>
        <v>0</v>
      </c>
      <c r="AJ472" s="511"/>
      <c r="AK472" s="496"/>
      <c r="AL472" s="512">
        <f t="shared" si="106"/>
        <v>0</v>
      </c>
      <c r="AM472" s="508"/>
      <c r="AN472" s="459">
        <f t="shared" si="103"/>
        <v>0</v>
      </c>
      <c r="AO472" s="466">
        <f t="shared" si="101"/>
        <v>0</v>
      </c>
      <c r="AP472" s="38"/>
      <c r="AQ472" s="38"/>
      <c r="AR472" s="38"/>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
        <v>147</v>
      </c>
      <c r="B473" s="3"/>
      <c r="C473" s="433" t="s">
        <v>598</v>
      </c>
      <c r="D473" s="38"/>
      <c r="E473" s="38"/>
      <c r="F473" s="38"/>
      <c r="G473" s="38"/>
      <c r="H473" s="38"/>
      <c r="I473" s="38"/>
      <c r="J473" s="38"/>
      <c r="K473" s="38"/>
      <c r="L473" s="38"/>
      <c r="M473" s="38"/>
      <c r="N473" s="38"/>
      <c r="O473" s="38"/>
      <c r="P473" s="38"/>
      <c r="Q473" s="38"/>
      <c r="R473" s="38"/>
      <c r="S473" s="38"/>
      <c r="T473" s="38"/>
      <c r="U473" s="38"/>
      <c r="V473" s="312" t="s">
        <v>147</v>
      </c>
      <c r="W473" s="456"/>
      <c r="X473" s="456"/>
      <c r="Y473" s="456"/>
      <c r="Z473" s="457">
        <f t="shared" si="104"/>
        <v>0</v>
      </c>
      <c r="AA473" s="496"/>
      <c r="AB473" s="497"/>
      <c r="AC473" s="457"/>
      <c r="AD473" s="511"/>
      <c r="AE473" s="497"/>
      <c r="AF473" s="457">
        <f t="shared" si="105"/>
        <v>0</v>
      </c>
      <c r="AG473" s="510"/>
      <c r="AH473" s="459">
        <f t="shared" si="102"/>
        <v>0</v>
      </c>
      <c r="AI473" s="479">
        <f t="shared" si="107"/>
        <v>0</v>
      </c>
      <c r="AJ473" s="511"/>
      <c r="AK473" s="496"/>
      <c r="AL473" s="512">
        <f t="shared" si="106"/>
        <v>0</v>
      </c>
      <c r="AM473" s="508"/>
      <c r="AN473" s="459">
        <f t="shared" si="103"/>
        <v>0</v>
      </c>
      <c r="AO473" s="466">
        <f t="shared" si="101"/>
        <v>0</v>
      </c>
      <c r="AP473" s="38"/>
      <c r="AQ473" s="38"/>
      <c r="AR473" s="38"/>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
        <v>158</v>
      </c>
      <c r="B474" s="3"/>
      <c r="C474" s="433" t="s">
        <v>598</v>
      </c>
      <c r="D474" s="38"/>
      <c r="E474" s="38"/>
      <c r="F474" s="38"/>
      <c r="G474" s="38"/>
      <c r="H474" s="38"/>
      <c r="I474" s="38"/>
      <c r="J474" s="38"/>
      <c r="K474" s="38"/>
      <c r="L474" s="38"/>
      <c r="M474" s="38"/>
      <c r="N474" s="38"/>
      <c r="O474" s="38"/>
      <c r="P474" s="38"/>
      <c r="Q474" s="38"/>
      <c r="R474" s="38"/>
      <c r="S474" s="38"/>
      <c r="T474" s="38"/>
      <c r="U474" s="38"/>
      <c r="V474" s="312" t="s">
        <v>158</v>
      </c>
      <c r="W474" s="456"/>
      <c r="X474" s="456"/>
      <c r="Y474" s="456"/>
      <c r="Z474" s="457">
        <f t="shared" si="104"/>
        <v>0</v>
      </c>
      <c r="AA474" s="496"/>
      <c r="AB474" s="497"/>
      <c r="AC474" s="457"/>
      <c r="AD474" s="511"/>
      <c r="AE474" s="497"/>
      <c r="AF474" s="457">
        <f t="shared" si="105"/>
        <v>0</v>
      </c>
      <c r="AG474" s="510"/>
      <c r="AH474" s="459">
        <f t="shared" si="102"/>
        <v>0</v>
      </c>
      <c r="AI474" s="479">
        <f t="shared" si="107"/>
        <v>0</v>
      </c>
      <c r="AJ474" s="511"/>
      <c r="AK474" s="496"/>
      <c r="AL474" s="512">
        <f t="shared" si="106"/>
        <v>0</v>
      </c>
      <c r="AM474" s="508"/>
      <c r="AN474" s="459">
        <f t="shared" si="103"/>
        <v>0</v>
      </c>
      <c r="AO474" s="466">
        <f t="shared" si="101"/>
        <v>0</v>
      </c>
      <c r="AP474" s="38"/>
      <c r="AQ474" s="38"/>
      <c r="AR474" s="38"/>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
        <v>159</v>
      </c>
      <c r="B475" s="3"/>
      <c r="C475" s="433" t="s">
        <v>598</v>
      </c>
      <c r="D475" s="38"/>
      <c r="E475" s="38"/>
      <c r="F475" s="38"/>
      <c r="G475" s="38"/>
      <c r="H475" s="38"/>
      <c r="I475" s="38"/>
      <c r="J475" s="38"/>
      <c r="K475" s="38"/>
      <c r="L475" s="38"/>
      <c r="M475" s="38"/>
      <c r="N475" s="38"/>
      <c r="O475" s="38"/>
      <c r="P475" s="38"/>
      <c r="Q475" s="38"/>
      <c r="R475" s="38"/>
      <c r="S475" s="38"/>
      <c r="T475" s="38"/>
      <c r="U475" s="38"/>
      <c r="V475" s="312" t="s">
        <v>159</v>
      </c>
      <c r="W475" s="456"/>
      <c r="X475" s="456"/>
      <c r="Y475" s="456"/>
      <c r="Z475" s="457">
        <f t="shared" si="104"/>
        <v>0</v>
      </c>
      <c r="AA475" s="496"/>
      <c r="AB475" s="497"/>
      <c r="AC475" s="457"/>
      <c r="AD475" s="511"/>
      <c r="AE475" s="497"/>
      <c r="AF475" s="457">
        <f t="shared" si="105"/>
        <v>0</v>
      </c>
      <c r="AG475" s="510"/>
      <c r="AH475" s="459">
        <f t="shared" si="102"/>
        <v>0</v>
      </c>
      <c r="AI475" s="479">
        <f t="shared" si="107"/>
        <v>0</v>
      </c>
      <c r="AJ475" s="511"/>
      <c r="AK475" s="496"/>
      <c r="AL475" s="512">
        <f t="shared" si="106"/>
        <v>0</v>
      </c>
      <c r="AM475" s="508"/>
      <c r="AN475" s="459">
        <f t="shared" si="103"/>
        <v>0</v>
      </c>
      <c r="AO475" s="466">
        <f t="shared" si="101"/>
        <v>0</v>
      </c>
      <c r="AP475" s="38"/>
      <c r="AQ475" s="38"/>
      <c r="AR475" s="38"/>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
        <v>160</v>
      </c>
      <c r="B476" s="3"/>
      <c r="C476" s="433" t="s">
        <v>598</v>
      </c>
      <c r="D476" s="38"/>
      <c r="E476" s="38"/>
      <c r="F476" s="38"/>
      <c r="G476" s="38"/>
      <c r="H476" s="38"/>
      <c r="I476" s="38"/>
      <c r="J476" s="38"/>
      <c r="K476" s="38"/>
      <c r="L476" s="38"/>
      <c r="M476" s="38"/>
      <c r="N476" s="38"/>
      <c r="O476" s="38"/>
      <c r="P476" s="38"/>
      <c r="Q476" s="38"/>
      <c r="R476" s="38"/>
      <c r="S476" s="38"/>
      <c r="T476" s="38"/>
      <c r="U476" s="38"/>
      <c r="V476" s="312" t="s">
        <v>160</v>
      </c>
      <c r="W476" s="456"/>
      <c r="X476" s="456"/>
      <c r="Y476" s="456"/>
      <c r="Z476" s="457">
        <f t="shared" si="104"/>
        <v>0</v>
      </c>
      <c r="AA476" s="496"/>
      <c r="AB476" s="497"/>
      <c r="AC476" s="457"/>
      <c r="AD476" s="511"/>
      <c r="AE476" s="497"/>
      <c r="AF476" s="457">
        <f t="shared" si="105"/>
        <v>0</v>
      </c>
      <c r="AG476" s="510"/>
      <c r="AH476" s="459">
        <f t="shared" si="102"/>
        <v>0</v>
      </c>
      <c r="AI476" s="479">
        <f t="shared" si="107"/>
        <v>0</v>
      </c>
      <c r="AJ476" s="511"/>
      <c r="AK476" s="496"/>
      <c r="AL476" s="512">
        <f t="shared" si="106"/>
        <v>0</v>
      </c>
      <c r="AM476" s="508"/>
      <c r="AN476" s="459">
        <f t="shared" si="103"/>
        <v>0</v>
      </c>
      <c r="AO476" s="466">
        <f t="shared" si="101"/>
        <v>0</v>
      </c>
      <c r="AP476" s="38"/>
      <c r="AQ476" s="38"/>
      <c r="AR476" s="38"/>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
        <v>59</v>
      </c>
      <c r="B477" s="3"/>
      <c r="C477" s="433" t="s">
        <v>598</v>
      </c>
      <c r="D477" s="38"/>
      <c r="E477" s="38"/>
      <c r="F477" s="38"/>
      <c r="G477" s="38"/>
      <c r="H477" s="38"/>
      <c r="I477" s="38"/>
      <c r="J477" s="38"/>
      <c r="K477" s="38"/>
      <c r="L477" s="38"/>
      <c r="M477" s="38"/>
      <c r="N477" s="38"/>
      <c r="O477" s="38"/>
      <c r="P477" s="38"/>
      <c r="Q477" s="38"/>
      <c r="R477" s="38"/>
      <c r="S477" s="38"/>
      <c r="T477" s="38"/>
      <c r="U477" s="38"/>
      <c r="V477" s="312" t="s">
        <v>59</v>
      </c>
      <c r="W477" s="456"/>
      <c r="X477" s="456"/>
      <c r="Y477" s="456"/>
      <c r="Z477" s="457">
        <f>+INDEX('Budget original'!$A$2:$AO$501,MATCH($A477,'Budget original'!$A$2:$A$501,0),MATCH(F$2,'Budget original'!$A$2:$AO$2,0))</f>
        <v>0</v>
      </c>
      <c r="AA477" s="456"/>
      <c r="AB477" s="456"/>
      <c r="AC477" s="457"/>
      <c r="AD477" s="465"/>
      <c r="AE477" s="464"/>
      <c r="AF477" s="457">
        <f>IFERROR(SUMIF($C:$C,$V477,L:L),0)</f>
        <v>0</v>
      </c>
      <c r="AG477" s="458"/>
      <c r="AH477" s="459">
        <f t="shared" si="102"/>
        <v>0</v>
      </c>
      <c r="AI477" s="460">
        <f t="shared" si="107"/>
        <v>0</v>
      </c>
      <c r="AJ477" s="465"/>
      <c r="AK477" s="456"/>
      <c r="AL477" s="457">
        <f>+INDEX('Réel 2024'!$A$2:$AO$501,MATCH($A477,'Réel 2024'!$A$2:$A$501,0),MATCH(F$2,'Réel 2024'!$A$2:$AO$2,0))</f>
        <v>83258.900000000009</v>
      </c>
      <c r="AM477" s="508"/>
      <c r="AN477" s="459">
        <f t="shared" si="103"/>
        <v>-83258.900000000009</v>
      </c>
      <c r="AO477" s="466">
        <f t="shared" si="101"/>
        <v>-1</v>
      </c>
      <c r="AP477" s="38"/>
      <c r="AQ477" s="38"/>
      <c r="AR477" s="38"/>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
        <v>59</v>
      </c>
      <c r="B478" s="3"/>
      <c r="C478" s="433" t="s">
        <v>598</v>
      </c>
      <c r="D478" s="38"/>
      <c r="E478" s="38"/>
      <c r="F478" s="38"/>
      <c r="G478" s="38"/>
      <c r="H478" s="38"/>
      <c r="I478" s="38"/>
      <c r="J478" s="38"/>
      <c r="K478" s="38"/>
      <c r="L478" s="38"/>
      <c r="M478" s="38"/>
      <c r="N478" s="38"/>
      <c r="O478" s="38"/>
      <c r="P478" s="38"/>
      <c r="Q478" s="38"/>
      <c r="R478" s="38"/>
      <c r="S478" s="38"/>
      <c r="T478" s="38"/>
      <c r="U478" s="38"/>
      <c r="V478" s="312" t="s">
        <v>59</v>
      </c>
      <c r="W478" s="456"/>
      <c r="X478" s="456"/>
      <c r="Y478" s="456"/>
      <c r="Z478" s="457">
        <f>IFERROR(SUMIF($C:$C,$V478,F:F),0)</f>
        <v>0</v>
      </c>
      <c r="AA478" s="456"/>
      <c r="AB478" s="456"/>
      <c r="AC478" s="457"/>
      <c r="AD478" s="465"/>
      <c r="AE478" s="464"/>
      <c r="AF478" s="457">
        <f>IFERROR(SUMIF($C:$C,$V478,L:L),0)</f>
        <v>0</v>
      </c>
      <c r="AG478" s="458"/>
      <c r="AH478" s="459">
        <f t="shared" si="102"/>
        <v>0</v>
      </c>
      <c r="AI478" s="460">
        <f t="shared" si="107"/>
        <v>0</v>
      </c>
      <c r="AJ478" s="465"/>
      <c r="AK478" s="456"/>
      <c r="AL478" s="457">
        <f t="shared" si="106"/>
        <v>0</v>
      </c>
      <c r="AM478" s="508"/>
      <c r="AN478" s="459">
        <f t="shared" si="103"/>
        <v>0</v>
      </c>
      <c r="AO478" s="466">
        <f t="shared" si="101"/>
        <v>0</v>
      </c>
      <c r="AP478" s="38"/>
      <c r="AQ478" s="38"/>
      <c r="AR478" s="38"/>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
        <v>59</v>
      </c>
      <c r="B479" s="3"/>
      <c r="C479" s="433" t="s">
        <v>598</v>
      </c>
      <c r="D479" s="38"/>
      <c r="E479" s="38"/>
      <c r="F479" s="38"/>
      <c r="G479" s="38"/>
      <c r="H479" s="38"/>
      <c r="I479" s="38"/>
      <c r="J479" s="38"/>
      <c r="K479" s="38"/>
      <c r="L479" s="38"/>
      <c r="M479" s="38"/>
      <c r="N479" s="38"/>
      <c r="O479" s="38"/>
      <c r="P479" s="38"/>
      <c r="Q479" s="38"/>
      <c r="R479" s="38"/>
      <c r="S479" s="38"/>
      <c r="T479" s="38"/>
      <c r="U479" s="38"/>
      <c r="V479" s="312" t="s">
        <v>59</v>
      </c>
      <c r="W479" s="456"/>
      <c r="X479" s="456"/>
      <c r="Y479" s="456"/>
      <c r="Z479" s="457">
        <f>IFERROR(SUMIF($C:$C,$V479,F:F),0)</f>
        <v>0</v>
      </c>
      <c r="AA479" s="456"/>
      <c r="AB479" s="456"/>
      <c r="AC479" s="457"/>
      <c r="AD479" s="465"/>
      <c r="AE479" s="464"/>
      <c r="AF479" s="457">
        <f>IFERROR(SUMIF($C:$C,$V479,L:L),0)</f>
        <v>0</v>
      </c>
      <c r="AG479" s="458"/>
      <c r="AH479" s="459">
        <f t="shared" si="102"/>
        <v>0</v>
      </c>
      <c r="AI479" s="460">
        <f t="shared" si="107"/>
        <v>0</v>
      </c>
      <c r="AJ479" s="465"/>
      <c r="AK479" s="456"/>
      <c r="AL479" s="457">
        <f t="shared" si="106"/>
        <v>0</v>
      </c>
      <c r="AM479" s="508"/>
      <c r="AN479" s="459">
        <f t="shared" si="103"/>
        <v>0</v>
      </c>
      <c r="AO479" s="466">
        <f t="shared" si="101"/>
        <v>0</v>
      </c>
      <c r="AP479" s="38"/>
      <c r="AQ479" s="38"/>
      <c r="AR479" s="38"/>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
        <v>149</v>
      </c>
      <c r="B480" s="3"/>
      <c r="C480" s="433" t="s">
        <v>598</v>
      </c>
      <c r="D480" s="38"/>
      <c r="E480" s="38"/>
      <c r="F480" s="38"/>
      <c r="G480" s="38"/>
      <c r="H480" s="38"/>
      <c r="I480" s="38"/>
      <c r="J480" s="38"/>
      <c r="K480" s="38"/>
      <c r="L480" s="38"/>
      <c r="M480" s="38"/>
      <c r="N480" s="38"/>
      <c r="O480" s="38"/>
      <c r="P480" s="38"/>
      <c r="Q480" s="38"/>
      <c r="R480" s="38"/>
      <c r="S480" s="38"/>
      <c r="T480" s="38"/>
      <c r="U480" s="38"/>
      <c r="V480" s="313" t="s">
        <v>149</v>
      </c>
      <c r="W480" s="456"/>
      <c r="X480" s="456"/>
      <c r="Y480" s="456"/>
      <c r="Z480" s="457">
        <f>+SUMIF($C:$C,$V480,F:F)</f>
        <v>35549</v>
      </c>
      <c r="AA480" s="496"/>
      <c r="AB480" s="497"/>
      <c r="AC480" s="457"/>
      <c r="AD480" s="513">
        <f>AF480/499</f>
        <v>48.384769539078157</v>
      </c>
      <c r="AE480" s="496">
        <f>(AF480/399)/(J13+J15+J97)</f>
        <v>1.2349240448058922</v>
      </c>
      <c r="AF480" s="457">
        <f>+SUMIF($C:$C,$V480,L:L)</f>
        <v>24144</v>
      </c>
      <c r="AG480" s="510"/>
      <c r="AH480" s="459">
        <f t="shared" si="102"/>
        <v>-11405</v>
      </c>
      <c r="AI480" s="479">
        <f t="shared" si="107"/>
        <v>-0.32082477706827195</v>
      </c>
      <c r="AJ480" s="511"/>
      <c r="AK480" s="496"/>
      <c r="AL480" s="512">
        <f>+INDEX('Réel 2024'!$A$2:$AO$501,MATCH($A480,'Réel 2024'!$A$2:$A$501,0),MATCH(F$2,'Réel 2024'!$A$2:$AO$2,0))</f>
        <v>38314</v>
      </c>
      <c r="AM480" s="508"/>
      <c r="AN480" s="459">
        <f t="shared" si="103"/>
        <v>-14170</v>
      </c>
      <c r="AO480" s="466">
        <f t="shared" si="101"/>
        <v>-0.36983870125802576</v>
      </c>
      <c r="AP480" s="38"/>
      <c r="AQ480" s="38"/>
      <c r="AR480" s="38"/>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
        <v>217</v>
      </c>
      <c r="B481" s="3"/>
      <c r="C481" s="433" t="s">
        <v>598</v>
      </c>
      <c r="D481" s="38"/>
      <c r="E481" s="38"/>
      <c r="F481" s="38"/>
      <c r="G481" s="38"/>
      <c r="H481" s="38"/>
      <c r="I481" s="38"/>
      <c r="J481" s="38"/>
      <c r="K481" s="38"/>
      <c r="L481" s="38"/>
      <c r="M481" s="38"/>
      <c r="N481" s="38"/>
      <c r="O481" s="38"/>
      <c r="P481" s="38"/>
      <c r="Q481" s="38"/>
      <c r="R481" s="38"/>
      <c r="S481" s="38"/>
      <c r="T481" s="38"/>
      <c r="U481" s="38"/>
      <c r="V481" s="471" t="s">
        <v>217</v>
      </c>
      <c r="W481" s="472"/>
      <c r="X481" s="473">
        <f>Z481/+Z407</f>
        <v>0.21034089968269418</v>
      </c>
      <c r="Y481" s="493"/>
      <c r="Z481" s="474">
        <f>SUM(Z469:Z480)</f>
        <v>112444.93750798477</v>
      </c>
      <c r="AA481" s="473"/>
      <c r="AB481" s="493"/>
      <c r="AC481" s="474"/>
      <c r="AD481" s="473">
        <f>AF481/+AF407</f>
        <v>0.21686764799454025</v>
      </c>
      <c r="AE481" s="493"/>
      <c r="AF481" s="474">
        <f>SUM(AF469:AF480)</f>
        <v>98432.53</v>
      </c>
      <c r="AG481" s="481"/>
      <c r="AH481" s="477">
        <f t="shared" si="102"/>
        <v>-14012.407507984768</v>
      </c>
      <c r="AI481" s="473">
        <f>AH481/Z481</f>
        <v>-0.12461572587018194</v>
      </c>
      <c r="AJ481" s="514"/>
      <c r="AK481" s="515"/>
      <c r="AL481" s="474">
        <f>SUM(AL469:AL480)</f>
        <v>214540.33000000002</v>
      </c>
      <c r="AM481" s="516"/>
      <c r="AN481" s="477">
        <f t="shared" si="103"/>
        <v>-116107.80000000002</v>
      </c>
      <c r="AO481" s="495">
        <f t="shared" si="101"/>
        <v>-0.54119335045303607</v>
      </c>
      <c r="AP481" s="38"/>
      <c r="AQ481" s="38"/>
      <c r="AR481" s="38"/>
      <c r="AS481" s="38"/>
      <c r="AT481" s="38"/>
      <c r="AU481" s="38"/>
      <c r="AV481" s="38"/>
      <c r="AW481" s="38"/>
      <c r="AX481" s="38"/>
      <c r="AY481" s="38"/>
      <c r="AZ481" s="38"/>
      <c r="BA481" s="38"/>
      <c r="BB481" s="38"/>
      <c r="BC481" s="38"/>
      <c r="BD481" s="38"/>
      <c r="BE481" s="38"/>
      <c r="BF481" s="38"/>
      <c r="BG481" s="38"/>
      <c r="BH481" s="38"/>
      <c r="BI481" s="38"/>
      <c r="BJ481" s="38"/>
    </row>
    <row r="482" spans="1:62" ht="6" customHeight="1">
      <c r="A482" s="5" t="s">
        <v>599</v>
      </c>
      <c r="B482" s="3"/>
      <c r="C482" s="433" t="s">
        <v>598</v>
      </c>
      <c r="D482" s="38"/>
      <c r="E482" s="38"/>
      <c r="F482" s="38"/>
      <c r="G482" s="38"/>
      <c r="H482" s="38"/>
      <c r="I482" s="38"/>
      <c r="J482" s="38"/>
      <c r="K482" s="38"/>
      <c r="L482" s="38"/>
      <c r="M482" s="38"/>
      <c r="N482" s="38"/>
      <c r="O482" s="38"/>
      <c r="P482" s="38"/>
      <c r="Q482" s="38"/>
      <c r="R482" s="38"/>
      <c r="S482" s="38"/>
      <c r="T482" s="38"/>
      <c r="U482" s="38"/>
      <c r="V482" s="517"/>
      <c r="W482" s="518"/>
      <c r="X482" s="518"/>
      <c r="Y482" s="519"/>
      <c r="Z482" s="520"/>
      <c r="AA482" s="518"/>
      <c r="AB482" s="521"/>
      <c r="AC482" s="520"/>
      <c r="AD482" s="518"/>
      <c r="AE482" s="521"/>
      <c r="AF482" s="522"/>
      <c r="AG482" s="523"/>
      <c r="AH482" s="524"/>
      <c r="AI482" s="525"/>
      <c r="AJ482" s="526"/>
      <c r="AK482" s="527"/>
      <c r="AL482" s="522"/>
      <c r="AM482" s="528"/>
      <c r="AN482" s="524">
        <f t="shared" si="103"/>
        <v>0</v>
      </c>
      <c r="AO482" s="529">
        <f t="shared" si="101"/>
        <v>0</v>
      </c>
      <c r="AP482" s="38"/>
      <c r="AQ482" s="38"/>
      <c r="AR482" s="38"/>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
        <v>218</v>
      </c>
      <c r="B483" s="3"/>
      <c r="C483" s="433" t="s">
        <v>598</v>
      </c>
      <c r="D483" s="38"/>
      <c r="E483" s="38"/>
      <c r="F483" s="38"/>
      <c r="G483" s="38"/>
      <c r="H483" s="38"/>
      <c r="I483" s="38"/>
      <c r="J483" s="38"/>
      <c r="K483" s="38"/>
      <c r="L483" s="38"/>
      <c r="M483" s="38"/>
      <c r="N483" s="38"/>
      <c r="O483" s="38"/>
      <c r="P483" s="38"/>
      <c r="Q483" s="38"/>
      <c r="R483" s="38"/>
      <c r="S483" s="38"/>
      <c r="T483" s="38"/>
      <c r="U483" s="38"/>
      <c r="V483" s="530" t="s">
        <v>218</v>
      </c>
      <c r="W483" s="531"/>
      <c r="X483" s="532" t="s">
        <v>219</v>
      </c>
      <c r="Y483" s="533">
        <f>Z483/Z406</f>
        <v>3.4186158761227705E-3</v>
      </c>
      <c r="Z483" s="534">
        <f>Z407-Z468+Z481</f>
        <v>16511.799080635028</v>
      </c>
      <c r="AA483" s="532"/>
      <c r="AB483" s="533"/>
      <c r="AC483" s="534"/>
      <c r="AD483" s="532" t="s">
        <v>219</v>
      </c>
      <c r="AE483" s="533">
        <f>AF483/AF406</f>
        <v>6.8532560308927279E-3</v>
      </c>
      <c r="AF483" s="535">
        <f>AF407-AF468+AF481</f>
        <v>23771.98000000001</v>
      </c>
      <c r="AG483" s="536"/>
      <c r="AH483" s="536">
        <f>AF483-Z483</f>
        <v>7260.1809193649824</v>
      </c>
      <c r="AI483" s="537">
        <f>AH483/Z483</f>
        <v>0.43969653966294281</v>
      </c>
      <c r="AJ483" s="538" t="s">
        <v>219</v>
      </c>
      <c r="AK483" s="533">
        <f>IF($AL$406=0,0,AL483/$AL$406)</f>
        <v>1.8421260465996313E-2</v>
      </c>
      <c r="AL483" s="535">
        <f>AL407-AL468+AL481</f>
        <v>108115.19999999955</v>
      </c>
      <c r="AM483" s="539"/>
      <c r="AN483" s="535">
        <f t="shared" si="103"/>
        <v>-84343.219999999536</v>
      </c>
      <c r="AO483" s="540">
        <f t="shared" si="101"/>
        <v>-0.78012360889125576</v>
      </c>
      <c r="AP483" s="38"/>
      <c r="AQ483" s="38"/>
      <c r="AR483" s="38"/>
      <c r="AS483" s="38"/>
      <c r="AT483" s="38"/>
      <c r="AU483" s="38"/>
      <c r="AV483" s="38"/>
      <c r="AW483" s="38"/>
      <c r="AX483" s="38"/>
      <c r="AY483" s="38"/>
      <c r="AZ483" s="38"/>
      <c r="BA483" s="38"/>
      <c r="BB483" s="38"/>
      <c r="BC483" s="38"/>
      <c r="BD483" s="38"/>
      <c r="BE483" s="38"/>
      <c r="BF483" s="38"/>
      <c r="BG483" s="38"/>
      <c r="BH483" s="38"/>
      <c r="BI483" s="38"/>
      <c r="BJ483" s="38"/>
    </row>
    <row r="484" spans="1:62" ht="8.25" customHeight="1" thickTop="1">
      <c r="A484" s="5" t="s">
        <v>599</v>
      </c>
      <c r="B484" s="3"/>
      <c r="C484" s="433" t="s">
        <v>598</v>
      </c>
      <c r="D484" s="38"/>
      <c r="E484" s="38"/>
      <c r="F484" s="38"/>
      <c r="G484" s="38"/>
      <c r="H484" s="38"/>
      <c r="I484" s="38"/>
      <c r="J484" s="38"/>
      <c r="K484" s="38"/>
      <c r="L484" s="38"/>
      <c r="M484" s="38"/>
      <c r="N484" s="38"/>
      <c r="O484" s="38"/>
      <c r="P484" s="38"/>
      <c r="Q484" s="38"/>
      <c r="R484" s="38"/>
      <c r="S484" s="38"/>
      <c r="T484" s="38"/>
      <c r="U484" s="38"/>
      <c r="V484" s="36"/>
      <c r="W484" s="36"/>
      <c r="X484" s="36"/>
      <c r="Y484" s="36"/>
      <c r="Z484" s="291"/>
      <c r="AA484" s="41"/>
      <c r="AB484" s="41"/>
      <c r="AC484" s="291"/>
      <c r="AD484" s="41"/>
      <c r="AE484" s="41"/>
      <c r="AF484" s="541"/>
      <c r="AG484" s="41"/>
      <c r="AH484" s="41"/>
      <c r="AI484" s="41"/>
      <c r="AJ484" s="41"/>
      <c r="AK484" s="41"/>
      <c r="AL484" s="291"/>
      <c r="AM484" s="41"/>
      <c r="AN484" s="41"/>
      <c r="AO484" s="41"/>
      <c r="AP484" s="38"/>
      <c r="AQ484" s="38"/>
      <c r="AR484" s="38"/>
      <c r="AS484" s="38"/>
      <c r="AT484" s="38"/>
      <c r="AU484" s="38"/>
      <c r="AV484" s="38"/>
      <c r="AW484" s="38"/>
      <c r="AX484" s="38"/>
      <c r="AY484" s="38"/>
      <c r="AZ484" s="38"/>
      <c r="BA484" s="38"/>
      <c r="BB484" s="38"/>
      <c r="BC484" s="38"/>
      <c r="BD484" s="38"/>
      <c r="BE484" s="38"/>
      <c r="BF484" s="38"/>
      <c r="BG484" s="38"/>
      <c r="BH484" s="38"/>
      <c r="BI484" s="38"/>
      <c r="BJ484" s="38"/>
    </row>
    <row r="485" spans="1:62" ht="18" customHeight="1">
      <c r="A485" s="5" t="s">
        <v>1</v>
      </c>
      <c r="B485" s="3"/>
      <c r="C485" s="433" t="s">
        <v>598</v>
      </c>
      <c r="D485" s="38"/>
      <c r="E485" s="38"/>
      <c r="F485" s="38"/>
      <c r="G485" s="38"/>
      <c r="H485" s="38"/>
      <c r="I485" s="38"/>
      <c r="J485" s="38"/>
      <c r="K485" s="38"/>
      <c r="L485" s="38"/>
      <c r="M485" s="38"/>
      <c r="N485" s="38"/>
      <c r="O485" s="38"/>
      <c r="P485" s="38"/>
      <c r="Q485" s="38"/>
      <c r="R485" s="38"/>
      <c r="S485" s="38"/>
      <c r="T485" s="38"/>
      <c r="U485" s="38"/>
      <c r="V485" s="981" t="str">
        <f>C1</f>
        <v>Volks</v>
      </c>
      <c r="W485" s="981"/>
      <c r="X485" s="981"/>
      <c r="Y485" s="981"/>
      <c r="Z485" s="981"/>
      <c r="AA485" s="981"/>
      <c r="AB485" s="981"/>
      <c r="AC485" s="981"/>
      <c r="AD485" s="981"/>
      <c r="AE485" s="982" t="s">
        <v>220</v>
      </c>
      <c r="AF485" s="981"/>
      <c r="AG485" s="981"/>
      <c r="AH485" s="981"/>
      <c r="AI485" s="981"/>
      <c r="AJ485" s="983"/>
      <c r="AK485" s="984"/>
      <c r="AL485" s="981"/>
      <c r="AM485" s="981"/>
      <c r="AN485" s="981"/>
      <c r="AO485" s="985" t="str">
        <f>$S$1</f>
        <v>Réalisé, Février 2025</v>
      </c>
      <c r="AP485" s="38"/>
      <c r="AQ485" s="38"/>
      <c r="AR485" s="38"/>
      <c r="AS485" s="38"/>
      <c r="AT485" s="38"/>
      <c r="AU485" s="38"/>
      <c r="AV485" s="38"/>
      <c r="AW485" s="38"/>
      <c r="AX485" s="38"/>
      <c r="AY485" s="38"/>
      <c r="AZ485" s="38"/>
      <c r="BA485" s="38"/>
      <c r="BB485" s="38"/>
      <c r="BC485" s="38"/>
      <c r="BD485" s="38"/>
      <c r="BE485" s="38"/>
      <c r="BF485" s="38"/>
      <c r="BG485" s="38"/>
      <c r="BH485" s="38"/>
      <c r="BI485" s="38"/>
      <c r="BJ485" s="38"/>
    </row>
    <row r="486" spans="1:62" ht="19.5" customHeight="1">
      <c r="A486" s="5" t="s">
        <v>599</v>
      </c>
      <c r="B486" s="3"/>
      <c r="C486" s="433" t="s">
        <v>598</v>
      </c>
      <c r="D486" s="38"/>
      <c r="E486" s="38"/>
      <c r="F486" s="38"/>
      <c r="G486" s="38"/>
      <c r="H486" s="38"/>
      <c r="I486" s="38"/>
      <c r="J486" s="38"/>
      <c r="K486" s="38"/>
      <c r="L486" s="38"/>
      <c r="M486" s="38"/>
      <c r="N486" s="38"/>
      <c r="O486" s="38"/>
      <c r="P486" s="38"/>
      <c r="Q486" s="38"/>
      <c r="R486" s="38"/>
      <c r="S486" s="38"/>
      <c r="T486" s="38"/>
      <c r="U486" s="38"/>
      <c r="V486" s="36"/>
      <c r="W486" s="36"/>
      <c r="X486" s="36"/>
      <c r="Y486" s="36"/>
      <c r="Z486" s="291"/>
      <c r="AA486" s="41"/>
      <c r="AB486" s="41"/>
      <c r="AC486" s="291"/>
      <c r="AD486" s="41"/>
      <c r="AE486" s="41"/>
      <c r="AF486" s="541"/>
      <c r="AG486" s="41"/>
      <c r="AH486" s="41"/>
      <c r="AI486" s="41"/>
      <c r="AJ486" s="41"/>
      <c r="AK486" s="41"/>
      <c r="AL486" s="291"/>
      <c r="AM486" s="41"/>
      <c r="AN486" s="41"/>
      <c r="AO486" s="41"/>
      <c r="AP486" s="38"/>
      <c r="AQ486" s="38"/>
      <c r="AR486" s="38"/>
      <c r="AS486" s="38"/>
      <c r="AT486" s="38"/>
      <c r="AU486" s="38"/>
      <c r="AV486" s="38"/>
      <c r="AW486" s="38"/>
      <c r="AX486" s="38"/>
      <c r="AY486" s="38"/>
      <c r="AZ486" s="38"/>
      <c r="BA486" s="38"/>
      <c r="BB486" s="38"/>
      <c r="BC486" s="38"/>
      <c r="BD486" s="38"/>
      <c r="BE486" s="38"/>
      <c r="BF486" s="38"/>
      <c r="BG486" s="38"/>
      <c r="BH486" s="38"/>
      <c r="BI486" s="38"/>
      <c r="BJ486" s="38"/>
    </row>
    <row r="487" spans="1:62" ht="19.5" customHeight="1" thickBot="1">
      <c r="A487" s="5" t="s">
        <v>599</v>
      </c>
      <c r="B487" s="3"/>
      <c r="C487" s="433" t="s">
        <v>598</v>
      </c>
      <c r="D487" s="38"/>
      <c r="E487" s="38"/>
      <c r="F487" s="38"/>
      <c r="G487" s="38"/>
      <c r="H487" s="38"/>
      <c r="I487" s="38"/>
      <c r="J487" s="38"/>
      <c r="K487" s="38"/>
      <c r="L487" s="38"/>
      <c r="M487" s="38"/>
      <c r="N487" s="38"/>
      <c r="O487" s="38"/>
      <c r="P487" s="38"/>
      <c r="Q487" s="38"/>
      <c r="R487" s="38"/>
      <c r="S487" s="38"/>
      <c r="T487" s="38"/>
      <c r="U487" s="38"/>
      <c r="V487" s="36"/>
      <c r="W487" s="36"/>
      <c r="X487" s="36"/>
      <c r="Y487" s="36"/>
      <c r="Z487" s="291"/>
      <c r="AA487" s="41"/>
      <c r="AB487" s="41"/>
      <c r="AC487" s="291"/>
      <c r="AD487" s="41"/>
      <c r="AE487" s="41"/>
      <c r="AF487" s="541"/>
      <c r="AG487" s="41"/>
      <c r="AH487" s="41"/>
      <c r="AI487" s="41"/>
      <c r="AJ487" s="41"/>
      <c r="AK487" s="41"/>
      <c r="AL487" s="291"/>
      <c r="AM487" s="41"/>
      <c r="AN487" s="41"/>
      <c r="AO487" s="41"/>
      <c r="AP487" s="38"/>
      <c r="AQ487" s="38"/>
      <c r="AR487" s="38"/>
      <c r="AS487" s="38"/>
      <c r="AT487" s="38"/>
      <c r="AU487" s="38"/>
      <c r="AV487" s="38"/>
      <c r="AW487" s="38"/>
      <c r="AX487" s="38"/>
      <c r="AY487" s="38"/>
      <c r="AZ487" s="38"/>
      <c r="BA487" s="38"/>
      <c r="BB487" s="38"/>
      <c r="BC487" s="38"/>
      <c r="BD487" s="38"/>
      <c r="BE487" s="38"/>
      <c r="BF487" s="38"/>
      <c r="BG487" s="38"/>
      <c r="BH487" s="38"/>
      <c r="BI487" s="38"/>
      <c r="BJ487" s="38"/>
    </row>
    <row r="488" spans="1:62" ht="19.5" customHeight="1" thickTop="1" thickBot="1">
      <c r="A488" s="5" t="s">
        <v>599</v>
      </c>
      <c r="B488" s="3"/>
      <c r="C488" s="433" t="s">
        <v>598</v>
      </c>
      <c r="D488" s="38"/>
      <c r="E488" s="38"/>
      <c r="F488" s="38"/>
      <c r="G488" s="38"/>
      <c r="H488" s="38"/>
      <c r="I488" s="38"/>
      <c r="J488" s="38"/>
      <c r="K488" s="38"/>
      <c r="L488" s="38"/>
      <c r="M488" s="38"/>
      <c r="N488" s="38"/>
      <c r="O488" s="38"/>
      <c r="P488" s="38"/>
      <c r="Q488" s="38"/>
      <c r="R488" s="38"/>
      <c r="S488" s="38"/>
      <c r="T488" s="38"/>
      <c r="U488" s="38"/>
      <c r="V488" s="1183" t="s">
        <v>3915</v>
      </c>
      <c r="W488" s="1184"/>
      <c r="X488" s="1185" t="s">
        <v>219</v>
      </c>
      <c r="Y488" s="1186">
        <f>Z488/Z406</f>
        <v>1.1921855369468262E-2</v>
      </c>
      <c r="Z488" s="1187">
        <f>Z489+Z415</f>
        <v>57582.158295101894</v>
      </c>
      <c r="AA488" s="1185"/>
      <c r="AB488" s="1186"/>
      <c r="AC488" s="534"/>
      <c r="AD488" s="1185" t="s">
        <v>219</v>
      </c>
      <c r="AE488" s="1186">
        <f>AF488/AF406</f>
        <v>4.2025007400078437E-3</v>
      </c>
      <c r="AF488" s="1187">
        <f>AF489+AF415</f>
        <v>14577.27000000001</v>
      </c>
      <c r="AG488" s="536"/>
      <c r="AH488" s="536">
        <f t="shared" ref="AH488" si="108">AF488-Z488</f>
        <v>-43004.888295101882</v>
      </c>
      <c r="AI488" s="537">
        <f>AH488/Z488</f>
        <v>-0.74684398029519505</v>
      </c>
      <c r="AJ488" s="1185" t="s">
        <v>219</v>
      </c>
      <c r="AK488" s="1186">
        <f>IF($AL$406=0,0,AL488/$AL$406)</f>
        <v>2.5037991532468492E-2</v>
      </c>
      <c r="AL488" s="1187">
        <f>AL489+AL415</f>
        <v>146949.08999999956</v>
      </c>
      <c r="AM488" s="539"/>
      <c r="AN488" s="1187">
        <f t="shared" ref="AN488" si="109">AF488-AL488</f>
        <v>-132371.81999999954</v>
      </c>
      <c r="AO488" s="1188">
        <f t="shared" ref="AO488" si="110">IF(AL488=0,0,AN488/AL488)</f>
        <v>-0.90080054255524777</v>
      </c>
      <c r="AP488" s="38"/>
      <c r="AQ488" s="38"/>
      <c r="AR488" s="38"/>
      <c r="AS488" s="38"/>
      <c r="AT488" s="38"/>
      <c r="AU488" s="38"/>
      <c r="AV488" s="38"/>
      <c r="AW488" s="38"/>
      <c r="AX488" s="38"/>
      <c r="AY488" s="38"/>
      <c r="AZ488" s="38"/>
      <c r="BA488" s="38"/>
      <c r="BB488" s="38"/>
      <c r="BC488" s="38"/>
      <c r="BD488" s="38"/>
      <c r="BE488" s="38"/>
      <c r="BF488" s="38"/>
      <c r="BG488" s="38"/>
      <c r="BH488" s="38"/>
      <c r="BI488" s="38"/>
      <c r="BJ488" s="38"/>
    </row>
    <row r="489" spans="1:62" ht="19" thickTop="1" thickBot="1">
      <c r="A489" s="5" t="s">
        <v>218</v>
      </c>
      <c r="B489" s="3"/>
      <c r="C489" s="433" t="s">
        <v>598</v>
      </c>
      <c r="D489" s="38"/>
      <c r="E489" s="38"/>
      <c r="F489" s="38"/>
      <c r="G489" s="38"/>
      <c r="H489" s="38"/>
      <c r="I489" s="38"/>
      <c r="J489" s="38"/>
      <c r="K489" s="38"/>
      <c r="L489" s="38"/>
      <c r="M489" s="38"/>
      <c r="N489" s="38"/>
      <c r="O489" s="38"/>
      <c r="P489" s="38"/>
      <c r="Q489" s="38"/>
      <c r="R489" s="38"/>
      <c r="S489" s="38"/>
      <c r="T489" s="38"/>
      <c r="U489" s="38"/>
      <c r="V489" s="530" t="s">
        <v>218</v>
      </c>
      <c r="W489" s="531"/>
      <c r="X489" s="532" t="s">
        <v>219</v>
      </c>
      <c r="Y489" s="533">
        <f>Z489/Z406</f>
        <v>3.4186158761227705E-3</v>
      </c>
      <c r="Z489" s="534">
        <f>Z483</f>
        <v>16511.799080635028</v>
      </c>
      <c r="AA489" s="532"/>
      <c r="AB489" s="533"/>
      <c r="AC489" s="534"/>
      <c r="AD489" s="532" t="s">
        <v>219</v>
      </c>
      <c r="AE489" s="533">
        <f>AF489/AF406</f>
        <v>6.8532560308927279E-3</v>
      </c>
      <c r="AF489" s="534">
        <f>AF483</f>
        <v>23771.98000000001</v>
      </c>
      <c r="AG489" s="535"/>
      <c r="AH489" s="536">
        <f>AF489-Z489</f>
        <v>7260.1809193649824</v>
      </c>
      <c r="AI489" s="537">
        <f>AH489/Z489</f>
        <v>0.43969653966294281</v>
      </c>
      <c r="AJ489" s="532" t="s">
        <v>219</v>
      </c>
      <c r="AK489" s="533">
        <f>IF($AL$406=0,0,AL489/$AL$406)</f>
        <v>1.8421260465996313E-2</v>
      </c>
      <c r="AL489" s="543">
        <f>AL483</f>
        <v>108115.19999999955</v>
      </c>
      <c r="AM489" s="544"/>
      <c r="AN489" s="545">
        <f>AF489-AL489</f>
        <v>-84343.219999999536</v>
      </c>
      <c r="AO489" s="546">
        <f>IF(AL489=0,0,AN489/AL489)</f>
        <v>-0.78012360889125576</v>
      </c>
      <c r="AP489" s="38"/>
      <c r="AQ489" s="38"/>
      <c r="AR489" s="38"/>
      <c r="AS489" s="38"/>
      <c r="AT489" s="38"/>
      <c r="AU489" s="38"/>
      <c r="AV489" s="38"/>
      <c r="AW489" s="38"/>
      <c r="AX489" s="38"/>
      <c r="AY489" s="38"/>
      <c r="AZ489" s="38"/>
      <c r="BA489" s="38"/>
      <c r="BB489" s="38"/>
      <c r="BC489" s="38"/>
      <c r="BD489" s="38"/>
      <c r="BE489" s="38"/>
      <c r="BF489" s="38"/>
      <c r="BG489" s="38"/>
      <c r="BH489" s="38"/>
      <c r="BI489" s="38"/>
      <c r="BJ489" s="38"/>
    </row>
    <row r="490" spans="1:62" ht="15.75" customHeight="1" thickTop="1">
      <c r="A490" s="5" t="s">
        <v>599</v>
      </c>
      <c r="B490" s="3"/>
      <c r="C490" s="433" t="s">
        <v>598</v>
      </c>
      <c r="D490" s="38"/>
      <c r="E490" s="38"/>
      <c r="F490" s="94"/>
      <c r="G490" s="38"/>
      <c r="H490" s="38"/>
      <c r="I490" s="94"/>
      <c r="J490" s="38"/>
      <c r="K490" s="38"/>
      <c r="L490" s="38"/>
      <c r="M490" s="94"/>
      <c r="N490" s="38"/>
      <c r="O490" s="38"/>
      <c r="P490" s="38"/>
      <c r="Q490" s="94"/>
      <c r="R490" s="94"/>
      <c r="S490" s="94"/>
      <c r="T490" s="80"/>
      <c r="U490" s="80"/>
      <c r="V490" s="547"/>
      <c r="W490" s="38"/>
      <c r="X490" s="38"/>
      <c r="Y490" s="38"/>
      <c r="Z490" s="548"/>
      <c r="AA490" s="38"/>
      <c r="AB490" s="38"/>
      <c r="AC490" s="549"/>
      <c r="AD490" s="38"/>
      <c r="AE490" s="38"/>
      <c r="AF490" s="549"/>
      <c r="AG490" s="38"/>
      <c r="AH490" s="38"/>
      <c r="AI490" s="549"/>
      <c r="AJ490" s="38"/>
      <c r="AK490" s="38"/>
      <c r="AL490" s="550"/>
      <c r="AM490" s="551"/>
      <c r="AN490" s="38"/>
      <c r="AO490" s="552"/>
      <c r="AP490" s="38"/>
      <c r="AQ490" s="38"/>
      <c r="AR490" s="38"/>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
        <v>221</v>
      </c>
      <c r="B491" s="3"/>
      <c r="C491" s="433" t="s">
        <v>598</v>
      </c>
      <c r="D491" s="38"/>
      <c r="E491" s="38"/>
      <c r="F491" s="38"/>
      <c r="G491" s="38"/>
      <c r="H491" s="38"/>
      <c r="I491" s="38"/>
      <c r="J491" s="38"/>
      <c r="K491" s="38"/>
      <c r="L491" s="38"/>
      <c r="M491" s="38"/>
      <c r="N491" s="38"/>
      <c r="O491" s="38"/>
      <c r="P491" s="38"/>
      <c r="Q491" s="38"/>
      <c r="R491" s="38"/>
      <c r="S491" s="38"/>
      <c r="T491" s="38"/>
      <c r="U491" s="38"/>
      <c r="V491" s="312" t="s">
        <v>221</v>
      </c>
      <c r="W491" s="463"/>
      <c r="X491" s="456"/>
      <c r="Y491" s="464"/>
      <c r="Z491" s="457">
        <f>+INDEX('Budget original'!$A$2:$AO$501,MATCH($A491,'Budget original'!$A$2:$A$501,0),MATCH(F$2,'Budget original'!$A$2:$AO$2,0))</f>
        <v>42648</v>
      </c>
      <c r="AA491" s="456"/>
      <c r="AB491" s="464"/>
      <c r="AC491" s="457"/>
      <c r="AD491" s="456"/>
      <c r="AE491" s="464"/>
      <c r="AF491" s="457">
        <f>SUMIFS(BV_Data_An_Cour!$O:$O,BV_Data_An_Cour!$V:$V,$V491)</f>
        <v>42648</v>
      </c>
      <c r="AG491" s="456"/>
      <c r="AH491" s="459">
        <f t="shared" ref="AH491:AH498" si="111">AF491-Z491</f>
        <v>0</v>
      </c>
      <c r="AI491" s="479">
        <f t="shared" ref="AI491:AI497" si="112">IF(Z491=0,0,AH491/Z491)</f>
        <v>0</v>
      </c>
      <c r="AJ491" s="456"/>
      <c r="AK491" s="456"/>
      <c r="AL491" s="457">
        <f>+INDEX('Réel 2024'!$A$2:$AO$501,MATCH($A491,'Réel 2024'!$A$2:$A$501,0),MATCH(F$2,'Réel 2024'!$A$2:$AO$2,0))</f>
        <v>6315</v>
      </c>
      <c r="AM491" s="461"/>
      <c r="AN491" s="459">
        <f t="shared" ref="AN491:AN498" si="113">AF491-AL491</f>
        <v>36333</v>
      </c>
      <c r="AO491" s="466">
        <f t="shared" ref="AO491:AO498" si="114">IF(AL491=0,0,AN491/AL491)</f>
        <v>5.7534441805225649</v>
      </c>
      <c r="AP491" s="38"/>
      <c r="AQ491" s="38"/>
      <c r="AR491" s="38"/>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
        <v>222</v>
      </c>
      <c r="B492" s="3"/>
      <c r="C492" s="433" t="s">
        <v>598</v>
      </c>
      <c r="D492" s="38"/>
      <c r="E492" s="38"/>
      <c r="F492" s="94"/>
      <c r="G492" s="38"/>
      <c r="H492" s="38"/>
      <c r="I492" s="94"/>
      <c r="J492" s="38"/>
      <c r="K492" s="38"/>
      <c r="L492" s="38"/>
      <c r="M492" s="94"/>
      <c r="N492" s="38"/>
      <c r="O492" s="38"/>
      <c r="P492" s="38"/>
      <c r="Q492" s="94"/>
      <c r="R492" s="94"/>
      <c r="S492" s="94"/>
      <c r="T492" s="38"/>
      <c r="U492" s="38"/>
      <c r="V492" s="312" t="s">
        <v>222</v>
      </c>
      <c r="W492" s="38"/>
      <c r="X492" s="38"/>
      <c r="Y492" s="38"/>
      <c r="Z492" s="457">
        <f>+INDEX('Budget original'!$A$2:$AO$501,MATCH($A492,'Budget original'!$A$2:$A$501,0),MATCH(F$2,'Budget original'!$A$2:$AO$2,0))</f>
        <v>0</v>
      </c>
      <c r="AA492" s="38"/>
      <c r="AB492" s="38"/>
      <c r="AC492" s="457"/>
      <c r="AD492" s="38"/>
      <c r="AE492" s="41"/>
      <c r="AF492" s="457">
        <f>SUMIFS(BV_Data_An_Cour!$O:$O,BV_Data_An_Cour!$V:$V,$V492)</f>
        <v>0</v>
      </c>
      <c r="AG492" s="38"/>
      <c r="AH492" s="459">
        <f t="shared" si="111"/>
        <v>0</v>
      </c>
      <c r="AI492" s="479">
        <f t="shared" si="112"/>
        <v>0</v>
      </c>
      <c r="AJ492" s="38"/>
      <c r="AK492" s="38"/>
      <c r="AL492" s="457">
        <f>+INDEX('Réel 2024'!$A$2:$AO$501,MATCH($A492,'Réel 2024'!$A$2:$A$501,0),MATCH(F$2,'Réel 2024'!$A$2:$AO$2,0))</f>
        <v>0</v>
      </c>
      <c r="AM492" s="551"/>
      <c r="AN492" s="459">
        <f t="shared" si="113"/>
        <v>0</v>
      </c>
      <c r="AO492" s="466">
        <f t="shared" si="114"/>
        <v>0</v>
      </c>
      <c r="AP492" s="38"/>
      <c r="AQ492" s="38"/>
      <c r="AR492" s="38"/>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
        <v>223</v>
      </c>
      <c r="B493" s="3"/>
      <c r="C493" s="433" t="s">
        <v>598</v>
      </c>
      <c r="D493" s="38"/>
      <c r="E493" s="38"/>
      <c r="F493" s="94"/>
      <c r="G493" s="38"/>
      <c r="H493" s="38"/>
      <c r="I493" s="94"/>
      <c r="J493" s="38"/>
      <c r="K493" s="38"/>
      <c r="L493" s="38"/>
      <c r="M493" s="94"/>
      <c r="N493" s="38"/>
      <c r="O493" s="38"/>
      <c r="P493" s="38"/>
      <c r="Q493" s="94"/>
      <c r="R493" s="94"/>
      <c r="S493" s="94"/>
      <c r="T493" s="38"/>
      <c r="U493" s="38"/>
      <c r="V493" s="312" t="s">
        <v>223</v>
      </c>
      <c r="W493" s="41"/>
      <c r="X493" s="41"/>
      <c r="Y493" s="41"/>
      <c r="Z493" s="457">
        <f>+INDEX('Budget original'!$A$2:$AO$501,MATCH($A493,'Budget original'!$A$2:$A$501,0),MATCH(F$2,'Budget original'!$A$2:$AO$2,0))</f>
        <v>0</v>
      </c>
      <c r="AA493" s="38"/>
      <c r="AB493" s="38"/>
      <c r="AC493" s="457"/>
      <c r="AD493" s="38"/>
      <c r="AE493" s="41"/>
      <c r="AF493" s="457">
        <f>SUMIFS(BV_Data_An_Cour!$O:$O,BV_Data_An_Cour!$V:$V,$V493)</f>
        <v>0</v>
      </c>
      <c r="AG493" s="38"/>
      <c r="AH493" s="459">
        <f t="shared" si="111"/>
        <v>0</v>
      </c>
      <c r="AI493" s="479">
        <f t="shared" si="112"/>
        <v>0</v>
      </c>
      <c r="AJ493" s="38"/>
      <c r="AK493" s="38"/>
      <c r="AL493" s="457">
        <f>+INDEX('Réel 2024'!$A$2:$AO$501,MATCH($A493,'Réel 2024'!$A$2:$A$501,0),MATCH(F$2,'Réel 2024'!$A$2:$AO$2,0))</f>
        <v>0</v>
      </c>
      <c r="AM493" s="551"/>
      <c r="AN493" s="459">
        <f t="shared" si="113"/>
        <v>0</v>
      </c>
      <c r="AO493" s="466">
        <f t="shared" si="114"/>
        <v>0</v>
      </c>
      <c r="AP493" s="38"/>
      <c r="AQ493" s="38"/>
      <c r="AR493" s="38"/>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
        <v>224</v>
      </c>
      <c r="B494" s="3"/>
      <c r="C494" s="433" t="s">
        <v>598</v>
      </c>
      <c r="D494" s="38"/>
      <c r="E494" s="38"/>
      <c r="F494" s="94"/>
      <c r="G494" s="38"/>
      <c r="H494" s="38"/>
      <c r="I494" s="94"/>
      <c r="J494" s="38"/>
      <c r="K494" s="38"/>
      <c r="L494" s="38"/>
      <c r="M494" s="94"/>
      <c r="N494" s="38"/>
      <c r="O494" s="38"/>
      <c r="P494" s="38"/>
      <c r="Q494" s="94"/>
      <c r="R494" s="94"/>
      <c r="S494" s="94"/>
      <c r="T494" s="38"/>
      <c r="U494" s="38"/>
      <c r="V494" s="312" t="s">
        <v>224</v>
      </c>
      <c r="W494" s="41"/>
      <c r="X494" s="41"/>
      <c r="Y494" s="41"/>
      <c r="Z494" s="457">
        <f>+INDEX('Budget original'!$A$2:$AO$501,MATCH($A494,'Budget original'!$A$2:$A$501,0),MATCH(F$2,'Budget original'!$A$2:$AO$2,0))</f>
        <v>0</v>
      </c>
      <c r="AA494" s="38"/>
      <c r="AB494" s="38"/>
      <c r="AC494" s="457"/>
      <c r="AD494" s="38"/>
      <c r="AE494" s="41"/>
      <c r="AF494" s="457">
        <f>SUMIFS(BV_Data_An_Cour!$O:$O,BV_Data_An_Cour!$V:$V,$V494)</f>
        <v>0</v>
      </c>
      <c r="AG494" s="38"/>
      <c r="AH494" s="459">
        <f t="shared" si="111"/>
        <v>0</v>
      </c>
      <c r="AI494" s="479">
        <f t="shared" si="112"/>
        <v>0</v>
      </c>
      <c r="AJ494" s="38"/>
      <c r="AK494" s="38"/>
      <c r="AL494" s="457">
        <f>+INDEX('Réel 2024'!$A$2:$AO$501,MATCH($A494,'Réel 2024'!$A$2:$A$501,0),MATCH(F$2,'Réel 2024'!$A$2:$AO$2,0))</f>
        <v>0</v>
      </c>
      <c r="AM494" s="551"/>
      <c r="AN494" s="459">
        <f t="shared" si="113"/>
        <v>0</v>
      </c>
      <c r="AO494" s="466">
        <f t="shared" si="114"/>
        <v>0</v>
      </c>
      <c r="AP494" s="38"/>
      <c r="AQ494" s="38"/>
      <c r="AR494" s="38"/>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
        <v>59</v>
      </c>
      <c r="B495" s="3"/>
      <c r="C495" s="433" t="s">
        <v>598</v>
      </c>
      <c r="D495" s="38"/>
      <c r="E495" s="38"/>
      <c r="F495" s="94"/>
      <c r="G495" s="38"/>
      <c r="H495" s="38"/>
      <c r="I495" s="94"/>
      <c r="J495" s="38"/>
      <c r="K495" s="38"/>
      <c r="L495" s="38"/>
      <c r="M495" s="94"/>
      <c r="N495" s="38"/>
      <c r="O495" s="38"/>
      <c r="P495" s="38"/>
      <c r="Q495" s="94"/>
      <c r="R495" s="94"/>
      <c r="S495" s="94"/>
      <c r="T495" s="38"/>
      <c r="U495" s="38"/>
      <c r="V495" s="312" t="s">
        <v>59</v>
      </c>
      <c r="W495" s="41"/>
      <c r="X495" s="41"/>
      <c r="Y495" s="41"/>
      <c r="Z495" s="457">
        <f>IFERROR(SUMIF($C:$C,$V495,F:F),0)</f>
        <v>0</v>
      </c>
      <c r="AA495" s="456"/>
      <c r="AB495" s="456"/>
      <c r="AC495" s="457"/>
      <c r="AD495" s="465"/>
      <c r="AE495" s="464"/>
      <c r="AF495" s="457">
        <f>IFERROR(SUMIF($C:$C,$V495,L:L),0)</f>
        <v>0</v>
      </c>
      <c r="AG495" s="458"/>
      <c r="AH495" s="459">
        <f t="shared" si="111"/>
        <v>0</v>
      </c>
      <c r="AI495" s="460">
        <f t="shared" si="112"/>
        <v>0</v>
      </c>
      <c r="AJ495" s="465"/>
      <c r="AK495" s="456"/>
      <c r="AL495" s="457">
        <f>+INDEX('Réel 2024'!$A$2:$AO$501,MATCH($A495,'Réel 2024'!$A$2:$A$501,0),MATCH(F$2,'Réel 2024'!$A$2:$AO$2,0))</f>
        <v>83258.900000000009</v>
      </c>
      <c r="AM495" s="551"/>
      <c r="AN495" s="459">
        <f t="shared" si="113"/>
        <v>-83258.900000000009</v>
      </c>
      <c r="AO495" s="466">
        <f t="shared" si="114"/>
        <v>-1</v>
      </c>
      <c r="AP495" s="38"/>
      <c r="AQ495" s="38"/>
      <c r="AR495" s="38"/>
      <c r="AS495" s="38"/>
      <c r="AT495" s="38"/>
      <c r="AU495" s="38"/>
      <c r="AV495" s="38"/>
      <c r="AW495" s="38"/>
      <c r="AX495" s="38"/>
      <c r="AY495" s="38"/>
      <c r="AZ495" s="38"/>
      <c r="BA495" s="38"/>
      <c r="BB495" s="38"/>
      <c r="BC495" s="38"/>
      <c r="BD495" s="38"/>
      <c r="BE495" s="38"/>
      <c r="BF495" s="38"/>
      <c r="BG495" s="38"/>
      <c r="BH495" s="38"/>
      <c r="BI495" s="38"/>
      <c r="BJ495" s="38"/>
    </row>
    <row r="496" spans="1:62" ht="15.75" customHeight="1">
      <c r="A496" s="312" t="str">
        <f>V496</f>
        <v>Revenus d'intérêts Floor plan</v>
      </c>
      <c r="B496" s="3"/>
      <c r="C496" s="433" t="s">
        <v>598</v>
      </c>
      <c r="D496" s="38"/>
      <c r="E496" s="38"/>
      <c r="F496" s="94"/>
      <c r="G496" s="38"/>
      <c r="H496" s="38"/>
      <c r="I496" s="94"/>
      <c r="J496" s="38"/>
      <c r="K496" s="38"/>
      <c r="L496" s="38"/>
      <c r="M496" s="94"/>
      <c r="N496" s="38"/>
      <c r="O496" s="38"/>
      <c r="P496" s="38"/>
      <c r="Q496" s="94"/>
      <c r="R496" s="94"/>
      <c r="S496" s="94"/>
      <c r="T496" s="38"/>
      <c r="U496" s="38"/>
      <c r="V496" s="312" t="s">
        <v>3938</v>
      </c>
      <c r="W496" s="41"/>
      <c r="X496" s="41"/>
      <c r="Y496" s="41"/>
      <c r="Z496" s="457">
        <f>+INDEX('Budget original'!$A$2:$AO$501,MATCH($A496,'Budget original'!$A$2:$A$501,0),MATCH(F$2,'Budget original'!$A$2:$AO$2,0))</f>
        <v>-1079.1666666666667</v>
      </c>
      <c r="AA496" s="456"/>
      <c r="AB496" s="456"/>
      <c r="AC496" s="457"/>
      <c r="AD496" s="465"/>
      <c r="AE496" s="464"/>
      <c r="AF496" s="457">
        <f>SUMIFS(BV_Data_An_Cour!$O:$O,BV_Data_An_Cour!$V:$V,$V496)</f>
        <v>-1079</v>
      </c>
      <c r="AG496" s="458"/>
      <c r="AH496" s="459">
        <f t="shared" si="111"/>
        <v>0.16666666666674246</v>
      </c>
      <c r="AI496" s="460">
        <f t="shared" si="112"/>
        <v>-1.5444015444022465E-4</v>
      </c>
      <c r="AJ496" s="465"/>
      <c r="AK496" s="456"/>
      <c r="AL496" s="457">
        <f>+INDEX('Réel 2024'!$A$2:$AO$501,MATCH($A496,'Réel 2024'!$A$2:$A$501,0),MATCH(F$2,'Réel 2024'!$A$2:$AO$2,0))</f>
        <v>-6685.45</v>
      </c>
      <c r="AM496" s="551"/>
      <c r="AN496" s="459">
        <f t="shared" si="113"/>
        <v>5606.45</v>
      </c>
      <c r="AO496" s="466">
        <f t="shared" si="114"/>
        <v>-0.83860473116992873</v>
      </c>
      <c r="AP496" s="38"/>
      <c r="AQ496" s="38"/>
      <c r="AR496" s="38"/>
      <c r="AS496" s="38"/>
      <c r="AT496" s="38"/>
      <c r="AU496" s="38"/>
      <c r="AV496" s="38"/>
      <c r="AW496" s="38"/>
      <c r="AX496" s="38"/>
      <c r="AY496" s="38"/>
      <c r="AZ496" s="38"/>
      <c r="BA496" s="38"/>
      <c r="BB496" s="38"/>
      <c r="BC496" s="38"/>
      <c r="BD496" s="38"/>
      <c r="BE496" s="38"/>
      <c r="BF496" s="38"/>
      <c r="BG496" s="38"/>
      <c r="BH496" s="38"/>
      <c r="BI496" s="38"/>
      <c r="BJ496" s="38"/>
    </row>
    <row r="497" spans="1:62" ht="15.75" customHeight="1" thickBot="1">
      <c r="A497" s="5" t="s">
        <v>59</v>
      </c>
      <c r="B497" s="3"/>
      <c r="C497" s="433" t="s">
        <v>598</v>
      </c>
      <c r="D497" s="38"/>
      <c r="E497" s="38"/>
      <c r="F497" s="94"/>
      <c r="G497" s="38"/>
      <c r="H497" s="38"/>
      <c r="I497" s="94"/>
      <c r="J497" s="38"/>
      <c r="K497" s="38"/>
      <c r="L497" s="38"/>
      <c r="M497" s="94"/>
      <c r="N497" s="38"/>
      <c r="O497" s="38"/>
      <c r="P497" s="38"/>
      <c r="Q497" s="94"/>
      <c r="R497" s="94"/>
      <c r="S497" s="94"/>
      <c r="T497" s="38"/>
      <c r="U497" s="38"/>
      <c r="V497" s="312" t="s">
        <v>59</v>
      </c>
      <c r="W497" s="41"/>
      <c r="X497" s="38"/>
      <c r="Y497" s="41"/>
      <c r="Z497" s="457">
        <f>IFERROR(SUMIF($C:$C,$V497,F:F),0)</f>
        <v>0</v>
      </c>
      <c r="AA497" s="456"/>
      <c r="AB497" s="456"/>
      <c r="AC497" s="457"/>
      <c r="AD497" s="465"/>
      <c r="AE497" s="464"/>
      <c r="AF497" s="457">
        <f>IFERROR(SUMIF($C:$C,$V497,L:L),0)</f>
        <v>0</v>
      </c>
      <c r="AG497" s="458"/>
      <c r="AH497" s="459">
        <f t="shared" si="111"/>
        <v>0</v>
      </c>
      <c r="AI497" s="460">
        <f t="shared" si="112"/>
        <v>0</v>
      </c>
      <c r="AJ497" s="465"/>
      <c r="AK497" s="456"/>
      <c r="AL497" s="457">
        <f>+INDEX('Réel 2024'!$A$2:$AO$501,MATCH($A497,'Réel 2024'!$A$2:$A$501,0),MATCH(F$2,'Réel 2024'!$A$2:$AO$2,0))</f>
        <v>83258.900000000009</v>
      </c>
      <c r="AM497" s="551"/>
      <c r="AN497" s="459">
        <f t="shared" si="113"/>
        <v>-83258.900000000009</v>
      </c>
      <c r="AO497" s="466">
        <f t="shared" si="114"/>
        <v>-1</v>
      </c>
      <c r="AP497" s="38"/>
      <c r="AQ497" s="38"/>
      <c r="AR497" s="38"/>
      <c r="AS497" s="38"/>
      <c r="AT497" s="38"/>
      <c r="AU497" s="38"/>
      <c r="AV497" s="38"/>
      <c r="AW497" s="38"/>
      <c r="AX497" s="38"/>
      <c r="AY497" s="38"/>
      <c r="AZ497" s="38"/>
      <c r="BA497" s="38"/>
      <c r="BB497" s="38"/>
      <c r="BC497" s="38"/>
      <c r="BD497" s="38"/>
      <c r="BE497" s="38"/>
      <c r="BF497" s="38"/>
      <c r="BG497" s="38"/>
      <c r="BH497" s="38"/>
      <c r="BI497" s="38"/>
      <c r="BJ497" s="38"/>
    </row>
    <row r="498" spans="1:62" ht="15.75" customHeight="1" thickTop="1" thickBot="1">
      <c r="A498" s="5" t="s">
        <v>225</v>
      </c>
      <c r="B498" s="3"/>
      <c r="C498" s="433" t="s">
        <v>598</v>
      </c>
      <c r="D498" s="38"/>
      <c r="E498" s="38"/>
      <c r="F498" s="94"/>
      <c r="G498" s="38"/>
      <c r="H498" s="38"/>
      <c r="I498" s="94"/>
      <c r="J498" s="38"/>
      <c r="K498" s="38"/>
      <c r="L498" s="38"/>
      <c r="M498" s="94"/>
      <c r="N498" s="38"/>
      <c r="O498" s="38"/>
      <c r="P498" s="38"/>
      <c r="Q498" s="94"/>
      <c r="R498" s="94"/>
      <c r="S498" s="94"/>
      <c r="T498" s="38"/>
      <c r="U498" s="38"/>
      <c r="V498" s="530" t="s">
        <v>225</v>
      </c>
      <c r="W498" s="531"/>
      <c r="X498" s="532" t="s">
        <v>219</v>
      </c>
      <c r="Y498" s="533">
        <f>Z498/Z406</f>
        <v>-5.1878280910823719E-3</v>
      </c>
      <c r="Z498" s="534">
        <f>Z489-Z491-Z492-Z493-Z497-Z496</f>
        <v>-25057.034252698304</v>
      </c>
      <c r="AA498" s="532"/>
      <c r="AB498" s="533"/>
      <c r="AC498" s="534"/>
      <c r="AD498" s="532" t="s">
        <v>219</v>
      </c>
      <c r="AE498" s="533">
        <f>AF498/AF406</f>
        <v>-5.1307267904027497E-3</v>
      </c>
      <c r="AF498" s="535">
        <f>AF489-AF491-AF492-AF493-AF497-AF496</f>
        <v>-17797.01999999999</v>
      </c>
      <c r="AG498" s="536"/>
      <c r="AH498" s="536">
        <f t="shared" si="111"/>
        <v>7260.0142526983145</v>
      </c>
      <c r="AI498" s="537">
        <f>AH498/Z498</f>
        <v>-0.2897395669208741</v>
      </c>
      <c r="AJ498" s="538" t="s">
        <v>219</v>
      </c>
      <c r="AK498" s="533">
        <f>IF($AL$406=0,0,AL498/$AL$406)</f>
        <v>4.2982719586197498E-3</v>
      </c>
      <c r="AL498" s="535">
        <f>AL489-AL491-AL492-AL493-AL497-AL496</f>
        <v>25226.749999999538</v>
      </c>
      <c r="AM498" s="539"/>
      <c r="AN498" s="535">
        <f t="shared" si="113"/>
        <v>-43023.769999999524</v>
      </c>
      <c r="AO498" s="553">
        <f t="shared" si="114"/>
        <v>-1.7054820775565744</v>
      </c>
      <c r="AP498" s="38"/>
      <c r="AQ498" s="38"/>
      <c r="AR498" s="38"/>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c r="A499" s="5" t="s">
        <v>599</v>
      </c>
      <c r="B499" s="3"/>
      <c r="C499" s="38"/>
      <c r="D499" s="38"/>
      <c r="E499" s="38"/>
      <c r="F499" s="94"/>
      <c r="G499" s="38"/>
      <c r="H499" s="38"/>
      <c r="I499" s="94"/>
      <c r="J499" s="38"/>
      <c r="K499" s="38"/>
      <c r="L499" s="38"/>
      <c r="M499" s="94"/>
      <c r="N499" s="38"/>
      <c r="O499" s="38"/>
      <c r="P499" s="38"/>
      <c r="Q499" s="94"/>
      <c r="R499" s="94"/>
      <c r="S499" s="94"/>
      <c r="T499" s="38"/>
      <c r="U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T500" s="38"/>
      <c r="U500" s="38"/>
      <c r="V500" s="38"/>
      <c r="W500" s="38"/>
      <c r="X500" s="38"/>
      <c r="Y500" s="38"/>
      <c r="Z500" s="94"/>
      <c r="AA500" s="38"/>
      <c r="AB500" s="38"/>
      <c r="AC500" s="94"/>
      <c r="AE500" s="555" t="s">
        <v>3317</v>
      </c>
      <c r="AF500" s="555">
        <v>-20450</v>
      </c>
      <c r="AG500" s="38"/>
      <c r="AH500" s="38"/>
      <c r="AI500" s="38"/>
      <c r="AJ500" s="554"/>
      <c r="AK500" s="1008"/>
      <c r="AL500" s="960"/>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S501" s="94"/>
      <c r="W501" s="38"/>
      <c r="X501" s="38"/>
      <c r="Y501" s="38"/>
      <c r="Z501" s="94"/>
      <c r="AA501" s="38"/>
      <c r="AB501" s="38"/>
      <c r="AC501" s="94"/>
      <c r="AD501" s="38"/>
      <c r="AE501" s="38"/>
      <c r="AF501" s="555"/>
      <c r="AG501" s="38"/>
      <c r="AH501" s="38"/>
      <c r="AI501" s="38"/>
      <c r="AJ501" s="38"/>
      <c r="AL501" s="960"/>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456"/>
      <c r="W502" s="38"/>
      <c r="X502" s="38"/>
      <c r="Y502" s="38"/>
      <c r="AE502" s="1268" t="s">
        <v>3955</v>
      </c>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456"/>
      <c r="W503" s="38"/>
      <c r="X503" s="38"/>
      <c r="Y503" s="38"/>
      <c r="Z503" s="38"/>
      <c r="AA503" s="38"/>
      <c r="AB503" s="38"/>
      <c r="AC503" s="38"/>
      <c r="AD503" s="38"/>
      <c r="AE503" s="94"/>
      <c r="AG503" s="38"/>
      <c r="AH503" s="38"/>
      <c r="AI503" s="38"/>
      <c r="AJ503" s="1007"/>
      <c r="AK503" s="1008"/>
      <c r="AL503" s="960"/>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456"/>
      <c r="W504" s="38"/>
      <c r="X504" s="38"/>
      <c r="Y504" s="38"/>
      <c r="Z504" s="38"/>
      <c r="AA504" s="38"/>
      <c r="AB504" s="38"/>
      <c r="AC504" s="38"/>
      <c r="AD504" s="38"/>
      <c r="AE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456"/>
      <c r="W505" s="38"/>
      <c r="X505" s="38"/>
      <c r="Y505" s="38"/>
      <c r="Z505" s="38"/>
      <c r="AA505" s="38"/>
      <c r="AB505" s="38"/>
      <c r="AC505" s="38"/>
      <c r="AD505" s="38"/>
      <c r="AE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456"/>
      <c r="W506" s="38"/>
      <c r="X506" s="38"/>
      <c r="Y506" s="38"/>
      <c r="Z506" s="38"/>
      <c r="AA506" s="38"/>
      <c r="AB506" s="38"/>
      <c r="AC506" s="38"/>
      <c r="AD506" s="38"/>
      <c r="AE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456"/>
      <c r="W507" s="38"/>
      <c r="X507" s="38"/>
      <c r="Y507" s="38"/>
      <c r="Z507" s="38"/>
      <c r="AA507" s="38"/>
      <c r="AB507" s="38"/>
      <c r="AC507" s="38"/>
      <c r="AD507" s="38"/>
      <c r="AE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456"/>
      <c r="W508" s="38"/>
      <c r="X508" s="38"/>
      <c r="Y508" s="38"/>
      <c r="Z508" s="38"/>
      <c r="AA508" s="38"/>
      <c r="AB508" s="38"/>
      <c r="AC508" s="38"/>
      <c r="AD508" s="38"/>
      <c r="AE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456"/>
      <c r="W509" s="38"/>
      <c r="X509" s="38"/>
      <c r="Y509" s="38"/>
      <c r="Z509" s="38"/>
      <c r="AA509" s="38"/>
      <c r="AB509" s="38"/>
      <c r="AC509" s="38"/>
      <c r="AD509" s="38"/>
      <c r="AE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456"/>
      <c r="W510" s="38"/>
      <c r="X510" s="38"/>
      <c r="Y510" s="38"/>
      <c r="Z510" s="38"/>
      <c r="AA510" s="38"/>
      <c r="AB510" s="38"/>
      <c r="AC510" s="38"/>
      <c r="AD510" s="38"/>
      <c r="AE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456"/>
      <c r="W511" s="38"/>
      <c r="X511" s="38"/>
      <c r="Y511" s="38"/>
      <c r="Z511" s="38"/>
      <c r="AA511" s="38"/>
      <c r="AB511" s="38"/>
      <c r="AC511" s="38"/>
      <c r="AD511" s="38"/>
      <c r="AE511" s="38"/>
      <c r="AF511" s="555"/>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456"/>
      <c r="W512" s="38"/>
      <c r="X512" s="38"/>
      <c r="Y512" s="38"/>
      <c r="Z512" s="38"/>
      <c r="AA512" s="38"/>
      <c r="AB512" s="38"/>
      <c r="AC512" s="38"/>
      <c r="AD512" s="38"/>
      <c r="AE512" s="38"/>
      <c r="AF512" s="1073"/>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456"/>
      <c r="W513" s="38"/>
      <c r="X513" s="38"/>
      <c r="Y513" s="38"/>
      <c r="Z513" s="38"/>
      <c r="AA513" s="38"/>
      <c r="AB513" s="38"/>
      <c r="AC513" s="38"/>
      <c r="AD513" s="38"/>
      <c r="AE513" s="38"/>
      <c r="AF513" s="1073"/>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456"/>
      <c r="W514" s="38"/>
      <c r="X514" s="38"/>
      <c r="Y514" s="38"/>
      <c r="Z514" s="38"/>
      <c r="AA514" s="38"/>
      <c r="AB514" s="38"/>
      <c r="AC514" s="38"/>
      <c r="AD514" s="38"/>
      <c r="AE514" s="38"/>
      <c r="AF514" s="1073"/>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456"/>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W518" s="38"/>
      <c r="X518" s="38"/>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W519" s="38"/>
      <c r="X519" s="38"/>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W520" s="38"/>
      <c r="X520" s="38"/>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W521" s="38"/>
      <c r="X521" s="38"/>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W522" s="38"/>
      <c r="X522" s="38"/>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W523" s="38"/>
      <c r="X523" s="38"/>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W524" s="38"/>
      <c r="X524" s="38"/>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456"/>
      <c r="W525" s="38"/>
      <c r="X525" s="38"/>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456"/>
      <c r="W526" s="38"/>
      <c r="X526" s="38"/>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456"/>
      <c r="W527" s="38"/>
      <c r="X527" s="38"/>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456"/>
      <c r="W528" s="38"/>
      <c r="X528" s="38"/>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456"/>
      <c r="W529" s="38"/>
      <c r="X529" s="38"/>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456"/>
      <c r="W530" s="38"/>
      <c r="X530" s="38"/>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456"/>
      <c r="W531" s="38"/>
      <c r="X531" s="38"/>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456"/>
      <c r="W532" s="38"/>
      <c r="X532" s="38"/>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456"/>
      <c r="W533" s="38"/>
      <c r="X533" s="38"/>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456"/>
      <c r="W534" s="38"/>
      <c r="X534" s="38"/>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W535" s="38"/>
      <c r="X535" s="38"/>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W536" s="38"/>
      <c r="X536" s="38"/>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W537" s="38"/>
      <c r="X537" s="38"/>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W538" s="38"/>
      <c r="X538" s="38"/>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row r="540" spans="2:62" ht="15.75" customHeight="1"/>
    <row r="541" spans="2:62" ht="15.75" customHeight="1"/>
    <row r="542" spans="2:62" ht="15.75" customHeight="1"/>
    <row r="543" spans="2:62" ht="15.75" customHeight="1"/>
    <row r="544" spans="2:62"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sheetData>
  <mergeCells count="42">
    <mergeCell ref="O170:Q170"/>
    <mergeCell ref="R170:S170"/>
    <mergeCell ref="R3:S3"/>
    <mergeCell ref="D91:F91"/>
    <mergeCell ref="R91:S91"/>
    <mergeCell ref="G91:I91"/>
    <mergeCell ref="J91:L91"/>
    <mergeCell ref="M91:N91"/>
    <mergeCell ref="O91:Q91"/>
    <mergeCell ref="D3:F3"/>
    <mergeCell ref="G3:I3"/>
    <mergeCell ref="J3:L3"/>
    <mergeCell ref="M3:N3"/>
    <mergeCell ref="O3:Q3"/>
    <mergeCell ref="D170:F170"/>
    <mergeCell ref="D238:F238"/>
    <mergeCell ref="G238:I238"/>
    <mergeCell ref="J238:L238"/>
    <mergeCell ref="M238:N238"/>
    <mergeCell ref="G170:I170"/>
    <mergeCell ref="J170:L170"/>
    <mergeCell ref="M170:N170"/>
    <mergeCell ref="O238:Q238"/>
    <mergeCell ref="R238:S238"/>
    <mergeCell ref="G358:I358"/>
    <mergeCell ref="J358:L358"/>
    <mergeCell ref="M358:N358"/>
    <mergeCell ref="O358:Q358"/>
    <mergeCell ref="AM404:AO404"/>
    <mergeCell ref="D293:F293"/>
    <mergeCell ref="G293:I293"/>
    <mergeCell ref="J293:L293"/>
    <mergeCell ref="M293:N293"/>
    <mergeCell ref="O293:Q293"/>
    <mergeCell ref="R293:S293"/>
    <mergeCell ref="D358:F358"/>
    <mergeCell ref="R358:S358"/>
    <mergeCell ref="X404:Z404"/>
    <mergeCell ref="AA404:AC404"/>
    <mergeCell ref="AD404:AF404"/>
    <mergeCell ref="AG404:AI404"/>
    <mergeCell ref="AJ404:AL404"/>
  </mergeCells>
  <conditionalFormatting sqref="D112">
    <cfRule type="expression" dxfId="112" priority="2" stopIfTrue="1">
      <formula>"esterreur(reference)"</formula>
    </cfRule>
  </conditionalFormatting>
  <conditionalFormatting sqref="D172:D181">
    <cfRule type="expression" dxfId="111" priority="360" stopIfTrue="1">
      <formula>"esterreur(reference)"</formula>
    </cfRule>
  </conditionalFormatting>
  <conditionalFormatting sqref="D400">
    <cfRule type="expression" dxfId="110" priority="9" stopIfTrue="1">
      <formula>"esterreur(reference)"</formula>
    </cfRule>
  </conditionalFormatting>
  <conditionalFormatting sqref="E186">
    <cfRule type="expression" dxfId="109" priority="361" stopIfTrue="1">
      <formula>"esterreur(reference)"</formula>
    </cfRule>
  </conditionalFormatting>
  <conditionalFormatting sqref="F5">
    <cfRule type="expression" dxfId="108" priority="358" stopIfTrue="1">
      <formula>"esterreur(reference)"</formula>
    </cfRule>
  </conditionalFormatting>
  <conditionalFormatting sqref="F83:F85">
    <cfRule type="expression" dxfId="107" priority="357" stopIfTrue="1">
      <formula>"esterreur(reference)"</formula>
    </cfRule>
  </conditionalFormatting>
  <conditionalFormatting sqref="F101">
    <cfRule type="expression" dxfId="106" priority="362" stopIfTrue="1">
      <formula>"esterreur(reference)"</formula>
    </cfRule>
  </conditionalFormatting>
  <conditionalFormatting sqref="F184">
    <cfRule type="expression" dxfId="105" priority="159" stopIfTrue="1">
      <formula>"esterreur(reference)"</formula>
    </cfRule>
  </conditionalFormatting>
  <conditionalFormatting sqref="G31:G32">
    <cfRule type="expression" dxfId="104" priority="355" stopIfTrue="1">
      <formula>"esterreur(reference)"</formula>
    </cfRule>
  </conditionalFormatting>
  <conditionalFormatting sqref="G112:G113">
    <cfRule type="expression" dxfId="103" priority="338" stopIfTrue="1">
      <formula>"esterreur(reference)"</formula>
    </cfRule>
  </conditionalFormatting>
  <conditionalFormatting sqref="G172:G181">
    <cfRule type="expression" dxfId="102" priority="359" stopIfTrue="1">
      <formula>"esterreur(reference)"</formula>
    </cfRule>
  </conditionalFormatting>
  <conditionalFormatting sqref="H25:H26 H28:H72">
    <cfRule type="expression" dxfId="101" priority="350" stopIfTrue="1">
      <formula>"esterreur(reference)"</formula>
    </cfRule>
  </conditionalFormatting>
  <conditionalFormatting sqref="H360 J360:L360">
    <cfRule type="expression" dxfId="100" priority="29" stopIfTrue="1">
      <formula>"esterreur(reference)"</formula>
    </cfRule>
  </conditionalFormatting>
  <conditionalFormatting sqref="H197:L197">
    <cfRule type="expression" dxfId="99" priority="32" stopIfTrue="1">
      <formula>"esterreur(reference)"</formula>
    </cfRule>
  </conditionalFormatting>
  <conditionalFormatting sqref="H396:L399">
    <cfRule type="expression" dxfId="98" priority="26" stopIfTrue="1">
      <formula>"esterreur(reference)"</formula>
    </cfRule>
  </conditionalFormatting>
  <conditionalFormatting sqref="I16:I18 I20 I24:I30">
    <cfRule type="expression" dxfId="97" priority="356" stopIfTrue="1">
      <formula>"esterreur(reference)"</formula>
    </cfRule>
  </conditionalFormatting>
  <conditionalFormatting sqref="I377:L377 J378:L394 H378:H395">
    <cfRule type="expression" dxfId="96" priority="27" stopIfTrue="1">
      <formula>"esterreur(reference)"</formula>
    </cfRule>
  </conditionalFormatting>
  <conditionalFormatting sqref="J3 L6:L14 I13:J14 J16 L16:L24 J18:J24 J25:L26 J27 L27 J28:L30 J31:K48 J49:L72 H83:L85 H86:K88 L86:L90 H90:I90 K90 J90:J91 K93:L96 H97:L98 K99:L100 I101:L101 H101:H104 O101:Q153 J102:L104 I105:L111 H106:H134 J112:L121 I122:L122 J123:L134 H135:L135 H136:H152 J136:L152 H153:L153 H156:H157 J156:K157 H164:L164 H165 J165:K165 H166:K167 L167:L169 H169:I169 K169 J169:J176 H171:I171 K171:L173 H173:I173 I174 L174 K175:L176 H176:I176 I177:J177 L177 J178:L179 H179:I179 I180:J180 L180 K181:L182 J181:J196 H182:I183 L183 K183:K184 H185:I187 K185:L196 H189:I190 H192:I196 J198:K200 H198:H229 J201 J202:K229 H232:L232 H233 J233:K233 H234:K235 L234:L237 H237:I237 K237 J237:J240 H239:I240 K239:L241 H243:L243 H252:L253 H254:H284 J254:K284 L267:L285 H285:J285 H288:L288 H289 J289:K289 H290:K290 L290:L292 H292:I292 K292 J292:J293 H294:L294 J295:K303 H304:L306 J307:K308 H309:L311 J312:M312 H313:L317 L318:L329 H318:H348 J318:K348 H349:L349 H352:L352 H353:H355 J353:K355 H361:L364 H365:H376 J365:L376 H400 J400:K400">
    <cfRule type="expression" dxfId="95" priority="11" stopIfTrue="1">
      <formula>"esterreur(reference)"</formula>
    </cfRule>
  </conditionalFormatting>
  <conditionalFormatting sqref="K395">
    <cfRule type="expression" dxfId="94" priority="30" stopIfTrue="1">
      <formula>"esterreur(reference)"</formula>
    </cfRule>
  </conditionalFormatting>
  <conditionalFormatting sqref="K5:L5">
    <cfRule type="expression" dxfId="93" priority="138" stopIfTrue="1">
      <formula>"esterreur(reference)"</formula>
    </cfRule>
  </conditionalFormatting>
  <conditionalFormatting sqref="K244:L244">
    <cfRule type="expression" dxfId="92" priority="117" stopIfTrue="1">
      <formula>"esterreur(reference)"</formula>
    </cfRule>
  </conditionalFormatting>
  <conditionalFormatting sqref="K247:L247">
    <cfRule type="expression" dxfId="91" priority="118" stopIfTrue="1">
      <formula>"esterreur(reference)"</formula>
    </cfRule>
  </conditionalFormatting>
  <conditionalFormatting sqref="L42:L48">
    <cfRule type="expression" dxfId="90" priority="46" stopIfTrue="1">
      <formula>"esterreur(reference)"</formula>
    </cfRule>
  </conditionalFormatting>
  <conditionalFormatting sqref="L75:L82">
    <cfRule type="expression" dxfId="89" priority="18" stopIfTrue="1">
      <formula>"esterreur(reference)"</formula>
    </cfRule>
  </conditionalFormatting>
  <conditionalFormatting sqref="L156:L162">
    <cfRule type="expression" dxfId="88" priority="96" stopIfTrue="1">
      <formula>"esterreur(reference)"</formula>
    </cfRule>
  </conditionalFormatting>
  <conditionalFormatting sqref="L198:L209">
    <cfRule type="expression" dxfId="87" priority="73" stopIfTrue="1">
      <formula>"esterreur(reference)"</formula>
    </cfRule>
  </conditionalFormatting>
  <conditionalFormatting sqref="L211:L228">
    <cfRule type="expression" dxfId="86" priority="75" stopIfTrue="1">
      <formula>"esterreur(reference)"</formula>
    </cfRule>
  </conditionalFormatting>
  <conditionalFormatting sqref="L254:L265">
    <cfRule type="expression" dxfId="85" priority="119" stopIfTrue="1">
      <formula>"esterreur(reference)"</formula>
    </cfRule>
  </conditionalFormatting>
  <conditionalFormatting sqref="L331:L348">
    <cfRule type="expression" dxfId="84" priority="39" stopIfTrue="1">
      <formula>"esterreur(reference)"</formula>
    </cfRule>
  </conditionalFormatting>
  <conditionalFormatting sqref="L356:L357 H357:I357 K357 J357:J358 H359:L359">
    <cfRule type="expression" dxfId="83" priority="25" stopIfTrue="1">
      <formula>"esterreur(reference)"</formula>
    </cfRule>
  </conditionalFormatting>
  <conditionalFormatting sqref="M95:M97">
    <cfRule type="expression" dxfId="82" priority="12" stopIfTrue="1">
      <formula>"esterreur(reference)"</formula>
    </cfRule>
  </conditionalFormatting>
  <conditionalFormatting sqref="N197:N209">
    <cfRule type="expression" dxfId="81" priority="1" stopIfTrue="1">
      <formula>"esterreur(reference)"</formula>
    </cfRule>
  </conditionalFormatting>
  <conditionalFormatting sqref="N318:N328">
    <cfRule type="expression" dxfId="80" priority="6" stopIfTrue="1">
      <formula>"esterreur(reference)"</formula>
    </cfRule>
  </conditionalFormatting>
  <conditionalFormatting sqref="O295:P303 O304:Q306 O307:P308 O309:Q317 Q318:Q329 O318:P348 O349:Q349 O352:Q352 O353:P353">
    <cfRule type="expression" dxfId="79" priority="304" stopIfTrue="1">
      <formula>"esterreur(reference)"</formula>
    </cfRule>
  </conditionalFormatting>
  <conditionalFormatting sqref="O197:Q197">
    <cfRule type="expression" dxfId="78" priority="248" stopIfTrue="1">
      <formula>"esterreur(reference)"</formula>
    </cfRule>
  </conditionalFormatting>
  <conditionalFormatting sqref="O243:Q243 O252:Q253 O254:P284 Q282:Q285 O285 O288:Q288 O289:P289">
    <cfRule type="expression" dxfId="77" priority="276" stopIfTrue="1">
      <formula>"esterreur(reference)"</formula>
    </cfRule>
  </conditionalFormatting>
  <conditionalFormatting sqref="O359:Q394">
    <cfRule type="expression" dxfId="76" priority="317" stopIfTrue="1">
      <formula>"esterreur(reference)"</formula>
    </cfRule>
  </conditionalFormatting>
  <conditionalFormatting sqref="O396:Q399">
    <cfRule type="expression" dxfId="75" priority="320" stopIfTrue="1">
      <formula>"esterreur(reference)"</formula>
    </cfRule>
  </conditionalFormatting>
  <conditionalFormatting sqref="P5">
    <cfRule type="expression" dxfId="74" priority="174" stopIfTrue="1">
      <formula>"esterreur(reference)"</formula>
    </cfRule>
  </conditionalFormatting>
  <conditionalFormatting sqref="P175">
    <cfRule type="expression" dxfId="73" priority="270" stopIfTrue="1">
      <formula>"esterreur(reference)"</formula>
    </cfRule>
  </conditionalFormatting>
  <conditionalFormatting sqref="P178">
    <cfRule type="expression" dxfId="72" priority="271" stopIfTrue="1">
      <formula>"esterreur(reference)"</formula>
    </cfRule>
  </conditionalFormatting>
  <conditionalFormatting sqref="P181">
    <cfRule type="expression" dxfId="71" priority="272" stopIfTrue="1">
      <formula>"esterreur(reference)"</formula>
    </cfRule>
  </conditionalFormatting>
  <conditionalFormatting sqref="P395">
    <cfRule type="expression" dxfId="70" priority="322" stopIfTrue="1">
      <formula>"esterreur(reference)"</formula>
    </cfRule>
  </conditionalFormatting>
  <conditionalFormatting sqref="P93:Q96 O97:Q98 O156:P157 O164:Q164 O165:P165">
    <cfRule type="expression" dxfId="69" priority="206" stopIfTrue="1">
      <formula>"esterreur(reference)"</formula>
    </cfRule>
  </conditionalFormatting>
  <conditionalFormatting sqref="P99:Q100">
    <cfRule type="expression" dxfId="68" priority="204" stopIfTrue="1">
      <formula>"esterreur(reference)"</formula>
    </cfRule>
  </conditionalFormatting>
  <conditionalFormatting sqref="P172:Q173 O172:O196 Q174:Q175 P176:Q176 Q177:Q178 P179:Q179 Q180:Q181 O198:P229 O232:Q232 O233:P233">
    <cfRule type="expression" dxfId="67" priority="246" stopIfTrue="1">
      <formula>"esterreur(reference)"</formula>
    </cfRule>
  </conditionalFormatting>
  <conditionalFormatting sqref="P182:Q196">
    <cfRule type="expression" dxfId="66" priority="4" stopIfTrue="1">
      <formula>"esterreur(reference)"</formula>
    </cfRule>
  </conditionalFormatting>
  <conditionalFormatting sqref="P241:Q241">
    <cfRule type="expression" dxfId="65" priority="299" stopIfTrue="1">
      <formula>"esterreur(reference)"</formula>
    </cfRule>
  </conditionalFormatting>
  <conditionalFormatting sqref="P244:Q244">
    <cfRule type="expression" dxfId="64" priority="281" stopIfTrue="1">
      <formula>"esterreur(reference)"</formula>
    </cfRule>
  </conditionalFormatting>
  <conditionalFormatting sqref="P247:Q247">
    <cfRule type="expression" dxfId="63" priority="282" stopIfTrue="1">
      <formula>"esterreur(reference)"</formula>
    </cfRule>
  </conditionalFormatting>
  <conditionalFormatting sqref="Q5:Q14 O13:O14 O16 Q16:Q24 O18:O24 O25:Q26 O27 Q27 O28:Q72 O83:Q85">
    <cfRule type="expression" dxfId="62" priority="173" stopIfTrue="1">
      <formula>"esterreur(reference)"</formula>
    </cfRule>
  </conditionalFormatting>
  <conditionalFormatting sqref="Q75:Q82">
    <cfRule type="expression" dxfId="61" priority="199" stopIfTrue="1">
      <formula>"esterreur(reference)"</formula>
    </cfRule>
  </conditionalFormatting>
  <conditionalFormatting sqref="Q156:Q162">
    <cfRule type="expression" dxfId="60" priority="240" stopIfTrue="1">
      <formula>"esterreur(reference)"</formula>
    </cfRule>
  </conditionalFormatting>
  <conditionalFormatting sqref="Q198:Q209">
    <cfRule type="expression" dxfId="59" priority="249" stopIfTrue="1">
      <formula>"esterreur(reference)"</formula>
    </cfRule>
  </conditionalFormatting>
  <conditionalFormatting sqref="Q211:Q228">
    <cfRule type="expression" dxfId="58" priority="250" stopIfTrue="1">
      <formula>"esterreur(reference)"</formula>
    </cfRule>
  </conditionalFormatting>
  <conditionalFormatting sqref="Q254:Q265">
    <cfRule type="expression" dxfId="57" priority="283" stopIfTrue="1">
      <formula>"esterreur(reference)"</formula>
    </cfRule>
  </conditionalFormatting>
  <conditionalFormatting sqref="Q331:Q348">
    <cfRule type="expression" dxfId="56" priority="306" stopIfTrue="1">
      <formula>"esterreur(reference)"</formula>
    </cfRule>
  </conditionalFormatting>
  <conditionalFormatting sqref="R312">
    <cfRule type="expression" dxfId="55" priority="20" stopIfTrue="1">
      <formula>"esterreur(reference)"</formula>
    </cfRule>
  </conditionalFormatting>
  <conditionalFormatting sqref="S186">
    <cfRule type="expression" dxfId="54" priority="162" stopIfTrue="1">
      <formula>"esterreur(reference)"</formula>
    </cfRule>
  </conditionalFormatting>
  <conditionalFormatting sqref="AG409:AI418 AH420:AI432 AH434:AI451 AH453:AI460 AH461:AH462 AH463:AI465 AH467:AI467 AH491:AI497">
    <cfRule type="cellIs" dxfId="53" priority="21" operator="greaterThan">
      <formula>0</formula>
    </cfRule>
  </conditionalFormatting>
  <conditionalFormatting sqref="AH469:AI476 AH480:AI480">
    <cfRule type="cellIs" dxfId="52" priority="22" operator="lessThan">
      <formula>0</formula>
    </cfRule>
  </conditionalFormatting>
  <conditionalFormatting sqref="AH477:AI479">
    <cfRule type="cellIs" dxfId="51" priority="346" operator="greaterThan">
      <formula>0</formula>
    </cfRule>
  </conditionalFormatting>
  <conditionalFormatting sqref="AO409:AO418">
    <cfRule type="cellIs" dxfId="50" priority="163" operator="greaterThan">
      <formula>0</formula>
    </cfRule>
  </conditionalFormatting>
  <printOptions horizontalCentered="1"/>
  <pageMargins left="0.15748031496062992" right="0.15748031496062992" top="0.15748031496062992" bottom="0.31496062992125984" header="0" footer="0.23622047244094491"/>
  <pageSetup scale="45" fitToHeight="0" orientation="landscape" r:id="rId1"/>
  <headerFooter>
    <oddFooter>&amp;L&amp;F&amp;C&amp;P de &amp;N&amp;RImprimé le &amp;D  @ &amp;T</oddFooter>
  </headerFooter>
  <rowBreaks count="15" manualBreakCount="15">
    <brk id="85" min="2" max="18" man="1"/>
    <brk id="165" min="2" max="18" man="1"/>
    <brk id="233" min="2" max="18" man="1"/>
    <brk id="289" min="2" max="18" man="1"/>
    <brk id="353" man="1"/>
    <brk id="289" man="1"/>
    <brk id="290" man="1"/>
    <brk id="483" man="1"/>
    <brk id="355" man="1"/>
    <brk id="484" man="1"/>
    <brk id="85" man="1"/>
    <brk id="167" man="1"/>
    <brk id="88" man="1"/>
    <brk id="235" man="1"/>
    <brk id="399"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J7"/>
  <sheetViews>
    <sheetView workbookViewId="0">
      <selection activeCell="J10" sqref="J10"/>
    </sheetView>
  </sheetViews>
  <sheetFormatPr baseColWidth="10" defaultColWidth="11" defaultRowHeight="14"/>
  <cols>
    <col min="1" max="1" width="2.5" style="1164" customWidth="1"/>
    <col min="2" max="2" width="11" style="1169"/>
    <col min="3" max="3" width="23" style="1170" customWidth="1"/>
    <col min="4" max="4" width="11.58203125" style="1170" customWidth="1"/>
    <col min="5" max="5" width="16" style="1170" customWidth="1"/>
    <col min="6" max="6" width="18.08203125" style="1170" bestFit="1" customWidth="1"/>
    <col min="7" max="7" width="10.9140625" style="1171" bestFit="1" customWidth="1"/>
    <col min="8" max="8" width="12.08203125" style="1170" customWidth="1"/>
    <col min="9" max="9" width="16.9140625" style="1170" customWidth="1"/>
    <col min="10" max="10" width="25.5" style="1172" customWidth="1"/>
    <col min="11" max="16384" width="11" style="1164"/>
  </cols>
  <sheetData>
    <row r="1" spans="2:10" ht="20">
      <c r="B1" s="1247" t="s">
        <v>3899</v>
      </c>
      <c r="C1" s="1248"/>
      <c r="D1" s="1248"/>
      <c r="E1" s="1248"/>
      <c r="F1" s="1248"/>
      <c r="G1" s="1248"/>
      <c r="H1" s="1248"/>
      <c r="I1" s="1248"/>
      <c r="J1" s="1249"/>
    </row>
    <row r="2" spans="2:10" ht="14.5">
      <c r="B2" s="1165" t="s">
        <v>3900</v>
      </c>
      <c r="C2" s="1166" t="s">
        <v>257</v>
      </c>
      <c r="D2" s="1166" t="s">
        <v>9</v>
      </c>
      <c r="E2" s="1166" t="s">
        <v>253</v>
      </c>
      <c r="F2" s="1166" t="s">
        <v>254</v>
      </c>
      <c r="G2" s="1167" t="s">
        <v>3901</v>
      </c>
      <c r="H2" s="1166" t="s">
        <v>3902</v>
      </c>
      <c r="I2" s="1166" t="s">
        <v>3903</v>
      </c>
      <c r="J2" s="1168" t="s">
        <v>3904</v>
      </c>
    </row>
    <row r="3" spans="2:10">
      <c r="C3" s="1197"/>
      <c r="E3" s="1197"/>
      <c r="F3" s="1197"/>
      <c r="H3" s="1177" t="s">
        <v>3909</v>
      </c>
      <c r="I3" s="1177" t="s">
        <v>3908</v>
      </c>
      <c r="J3" s="1178" t="s">
        <v>3911</v>
      </c>
    </row>
    <row r="4" spans="2:10">
      <c r="C4" s="1197"/>
      <c r="E4" s="1197"/>
      <c r="F4" s="1197"/>
      <c r="H4" s="1206" t="s">
        <v>3941</v>
      </c>
      <c r="I4" s="1206" t="s">
        <v>3942</v>
      </c>
      <c r="J4" s="1207" t="s">
        <v>3943</v>
      </c>
    </row>
    <row r="5" spans="2:10">
      <c r="C5" s="1197"/>
      <c r="E5" s="1197"/>
      <c r="F5" s="1197"/>
      <c r="H5" s="1191" t="s">
        <v>3916</v>
      </c>
      <c r="I5" s="1191" t="s">
        <v>3917</v>
      </c>
      <c r="J5" s="1192" t="s">
        <v>3918</v>
      </c>
    </row>
    <row r="6" spans="2:10">
      <c r="C6" s="1199"/>
      <c r="E6" s="1197"/>
      <c r="F6" s="1197"/>
      <c r="H6" s="1199" t="s">
        <v>3926</v>
      </c>
      <c r="I6" s="1199" t="s">
        <v>3927</v>
      </c>
      <c r="J6" s="1178" t="s">
        <v>3910</v>
      </c>
    </row>
    <row r="7" spans="2:10">
      <c r="C7" s="1199"/>
      <c r="E7" s="1197"/>
      <c r="F7" s="1199"/>
      <c r="H7" s="1177" t="s">
        <v>3913</v>
      </c>
      <c r="I7" s="1177" t="s">
        <v>3912</v>
      </c>
      <c r="J7" s="1178" t="s">
        <v>3910</v>
      </c>
    </row>
  </sheetData>
  <mergeCells count="1">
    <mergeCell ref="B1:J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O52"/>
  <sheetViews>
    <sheetView topLeftCell="A16" workbookViewId="0">
      <selection activeCell="L34" sqref="L34"/>
    </sheetView>
  </sheetViews>
  <sheetFormatPr baseColWidth="10" defaultColWidth="11" defaultRowHeight="14"/>
  <cols>
    <col min="1" max="1" width="4.6640625" style="1079" customWidth="1"/>
    <col min="2" max="2" width="5.5" style="1079" customWidth="1"/>
    <col min="3" max="3" width="20" style="1079" customWidth="1"/>
    <col min="4" max="4" width="1.6640625" style="1079" customWidth="1"/>
    <col min="5" max="7" width="11.08203125" style="1082" customWidth="1"/>
    <col min="8" max="8" width="8" style="1082" customWidth="1"/>
    <col min="9" max="9" width="1.6640625" style="1082" customWidth="1"/>
    <col min="10" max="12" width="11.08203125" style="1082" customWidth="1"/>
    <col min="13" max="13" width="8" style="1082" customWidth="1"/>
    <col min="14" max="14" width="11" style="1079"/>
    <col min="15" max="15" width="10" style="1079" customWidth="1"/>
    <col min="16" max="16" width="11" style="1079"/>
    <col min="17" max="17" width="6.4140625" style="1079" customWidth="1"/>
    <col min="18" max="16384" width="11" style="1079"/>
  </cols>
  <sheetData>
    <row r="1" spans="1:17" ht="30.75" customHeight="1">
      <c r="C1" s="1252" t="str">
        <f>"Analyse Wholesale "&amp;Parametres!B1</f>
        <v>Analyse Wholesale Volks</v>
      </c>
      <c r="D1" s="1252"/>
      <c r="E1" s="1252"/>
      <c r="F1" s="1252"/>
      <c r="G1" s="1252"/>
      <c r="H1" s="1252"/>
      <c r="I1" s="1252"/>
      <c r="J1" s="1252"/>
      <c r="K1" s="1252"/>
      <c r="L1" s="1080"/>
      <c r="M1" s="1080"/>
      <c r="N1" s="1081"/>
      <c r="O1" s="1081"/>
      <c r="P1" s="1081"/>
      <c r="Q1" s="1081"/>
    </row>
    <row r="2" spans="1:17" ht="14.25" hidden="1" customHeight="1">
      <c r="D2" s="1079" t="s">
        <v>303</v>
      </c>
      <c r="F2" s="1082" t="s">
        <v>338</v>
      </c>
      <c r="G2" s="1082" t="s">
        <v>340</v>
      </c>
      <c r="L2" s="1082" t="s">
        <v>303</v>
      </c>
      <c r="N2" s="1079" t="s">
        <v>338</v>
      </c>
      <c r="O2" s="1079" t="s">
        <v>340</v>
      </c>
    </row>
    <row r="4" spans="1:17" ht="15" customHeight="1">
      <c r="A4" s="1083"/>
      <c r="B4" s="1083"/>
      <c r="E4" s="1253" t="str">
        <f>CONCATENATE("Pièces Wholesale ",Parametres!B3," ",Parametres!B4)</f>
        <v>Pièces Wholesale Février 2025</v>
      </c>
      <c r="F4" s="1254"/>
      <c r="G4" s="1254"/>
      <c r="H4" s="1255"/>
      <c r="J4" s="1256" t="str">
        <f>CONCATENATE("Pièces Wholesale AAD ",Parametres!B4)</f>
        <v>Pièces Wholesale AAD 2025</v>
      </c>
      <c r="K4" s="1257"/>
      <c r="L4" s="1257"/>
      <c r="M4" s="1258"/>
    </row>
    <row r="5" spans="1:17">
      <c r="A5" s="1083"/>
      <c r="B5" s="1083"/>
      <c r="C5" s="1086"/>
      <c r="D5" s="1087"/>
      <c r="E5" s="1084" t="s">
        <v>656</v>
      </c>
      <c r="F5" s="1085" t="s">
        <v>3864</v>
      </c>
      <c r="G5" s="1084" t="s">
        <v>3865</v>
      </c>
      <c r="H5" s="1085" t="s">
        <v>3866</v>
      </c>
      <c r="J5" s="1084" t="s">
        <v>656</v>
      </c>
      <c r="K5" s="1085" t="s">
        <v>3864</v>
      </c>
      <c r="L5" s="1084" t="s">
        <v>3865</v>
      </c>
      <c r="M5" s="1085" t="s">
        <v>3866</v>
      </c>
    </row>
    <row r="6" spans="1:17">
      <c r="A6" s="1083"/>
      <c r="B6" s="1083"/>
      <c r="C6" s="1088" t="s">
        <v>3867</v>
      </c>
      <c r="D6" s="1089"/>
      <c r="E6" s="1090">
        <f>SUMIF(A37:A48,"X",E37:E48)</f>
        <v>433</v>
      </c>
      <c r="F6" s="1091">
        <f>SUMIF(A37:A48,"X",F37:F48)</f>
        <v>311.9435150172892</v>
      </c>
      <c r="G6" s="1090">
        <f>E6-F6</f>
        <v>121.0564849827108</v>
      </c>
      <c r="H6" s="1092">
        <f>G6/F6</f>
        <v>0.38807181157781512</v>
      </c>
      <c r="J6" s="1090">
        <f>SUMIF($B$37:$B$48,"X",$E$37:$E$48)</f>
        <v>966</v>
      </c>
      <c r="K6" s="1091">
        <f>SUMIF($B$37:$B$48,"X",$F$37:$F$48)</f>
        <v>730.86558406647328</v>
      </c>
      <c r="L6" s="1090">
        <f>J6-K6</f>
        <v>235.13441593352672</v>
      </c>
      <c r="M6" s="1092">
        <f>L6/K6</f>
        <v>0.32172046551331512</v>
      </c>
    </row>
    <row r="7" spans="1:17">
      <c r="A7" s="1093" t="str">
        <f>B7&amp;C7</f>
        <v>piècesVentes de Gros</v>
      </c>
      <c r="B7" s="1093" t="s">
        <v>3868</v>
      </c>
      <c r="C7" s="1094" t="s">
        <v>187</v>
      </c>
      <c r="D7" s="1095"/>
      <c r="E7" s="1096">
        <f>-SUMIFS(BV_Data_An_Cour!$O:$O,BV_Data_An_Cour!$X:$X,"Oui",BV_Data_An_Cour!$U:$U,$B7,BV_Data_An_Cour!$V:$V,$C7)</f>
        <v>198781.86</v>
      </c>
      <c r="F7" s="1097">
        <f>+INDEX('Budget original'!$A$2:$AO$501,MATCH($A7,'Budget original'!$A$2:$A$501,0),MATCH(F$2,'Budget original'!$A$2:$AO$2,0))</f>
        <v>149847.52499999999</v>
      </c>
      <c r="G7" s="1098">
        <f>E7-F7</f>
        <v>48934.334999999992</v>
      </c>
      <c r="H7" s="1099">
        <f>G7/F7</f>
        <v>0.32656084910311328</v>
      </c>
      <c r="J7" s="1096">
        <f>-SUMIFS(BV_Data_An_Cour!$P:$P,BV_Data_An_Cour!$X:$X,"Oui",BV_Data_An_Cour!$U:$U,$B7,BV_Data_An_Cour!$V:$V,$C7)</f>
        <v>396618.38</v>
      </c>
      <c r="K7" s="1097" cm="1">
        <f t="array" ref="K7">+SUMPRODUCT(('Budget original'!$A$8:$A$501=$A7)*('Budget original'!$C$3:$AO$3=N$2),'Budget original'!$C$8:$AO$501)</f>
        <v>331662.522</v>
      </c>
      <c r="L7" s="1098">
        <f t="shared" ref="L7:L10" si="0">J7-K7</f>
        <v>64955.858000000007</v>
      </c>
      <c r="M7" s="1099">
        <f>L7/K7</f>
        <v>0.1958492554669774</v>
      </c>
    </row>
    <row r="8" spans="1:17">
      <c r="A8" s="1093"/>
      <c r="B8" s="1093"/>
      <c r="C8" s="1100" t="s">
        <v>3869</v>
      </c>
      <c r="D8" s="1095"/>
      <c r="E8" s="1101">
        <f>E7-E9</f>
        <v>166918.96</v>
      </c>
      <c r="F8" s="1102">
        <f>F7-F9</f>
        <v>126066.82912499999</v>
      </c>
      <c r="G8" s="1096">
        <f t="shared" ref="G8:G15" si="1">E8-F8</f>
        <v>40852.130875000003</v>
      </c>
      <c r="H8" s="1103">
        <f t="shared" ref="H8:H9" si="2">G8/F8</f>
        <v>0.32405138733594691</v>
      </c>
      <c r="J8" s="1101">
        <f>J7-J9</f>
        <v>335757.47</v>
      </c>
      <c r="K8" s="1102">
        <f>K7-K9</f>
        <v>279322.40152999997</v>
      </c>
      <c r="L8" s="1096">
        <f t="shared" si="0"/>
        <v>56435.068469999998</v>
      </c>
      <c r="M8" s="1103">
        <f t="shared" ref="M8:M9" si="3">L8/K8</f>
        <v>0.20204275833543814</v>
      </c>
    </row>
    <row r="9" spans="1:17">
      <c r="C9" s="1104" t="s">
        <v>202</v>
      </c>
      <c r="D9" s="1095"/>
      <c r="E9" s="1105">
        <f>E12+E11</f>
        <v>31862.899999999994</v>
      </c>
      <c r="F9" s="1106">
        <f>F12+F11</f>
        <v>23780.695874999998</v>
      </c>
      <c r="G9" s="1105">
        <f t="shared" si="1"/>
        <v>8082.2041249999966</v>
      </c>
      <c r="H9" s="1103">
        <f t="shared" si="2"/>
        <v>0.33986407157650078</v>
      </c>
      <c r="J9" s="1105">
        <f>J12+J11</f>
        <v>60860.910000000033</v>
      </c>
      <c r="K9" s="1106">
        <f>K12+K11</f>
        <v>52340.120470000002</v>
      </c>
      <c r="L9" s="1105">
        <f t="shared" si="0"/>
        <v>8520.7895300000309</v>
      </c>
      <c r="M9" s="1103">
        <f t="shared" si="3"/>
        <v>0.16279652116742693</v>
      </c>
    </row>
    <row r="10" spans="1:17">
      <c r="A10" s="1093"/>
      <c r="B10" s="1093"/>
      <c r="C10" s="1100" t="s">
        <v>3870</v>
      </c>
      <c r="D10" s="1095"/>
      <c r="E10" s="1107">
        <f>E9/E7</f>
        <v>0.16029078307245942</v>
      </c>
      <c r="F10" s="1108">
        <f>F9/F7</f>
        <v>0.15869929032861904</v>
      </c>
      <c r="G10" s="1107">
        <f t="shared" si="1"/>
        <v>1.5914927438403781E-3</v>
      </c>
      <c r="H10" s="1103"/>
      <c r="J10" s="1107">
        <f>J9/J7</f>
        <v>0.15344954512698084</v>
      </c>
      <c r="K10" s="1108">
        <f>K9/K7</f>
        <v>0.15781138053940263</v>
      </c>
      <c r="L10" s="1107">
        <f t="shared" si="0"/>
        <v>-4.3618354124217995E-3</v>
      </c>
      <c r="M10" s="1103"/>
    </row>
    <row r="11" spans="1:17">
      <c r="A11" s="1093"/>
      <c r="B11" s="1093"/>
      <c r="C11" s="1109" t="s">
        <v>3871</v>
      </c>
      <c r="D11" s="1095"/>
      <c r="E11" s="1098">
        <f>SUMIFS(BV_Data_An_Cour!$O:$O,BV_Data_An_Cour!$W:$W,$D$2,BV_Data_An_Cour!L:L,C31)</f>
        <v>6418.57</v>
      </c>
      <c r="F11" s="1110">
        <f>SUMIF($A$37:$A$48,"X",$G$37:$G$48)</f>
        <v>3551.28</v>
      </c>
      <c r="G11" s="1098">
        <f t="shared" si="1"/>
        <v>2867.2899999999995</v>
      </c>
      <c r="H11" s="1099">
        <f t="shared" ref="H11:H12" si="4">G11/F11</f>
        <v>0.80739620643824184</v>
      </c>
      <c r="J11" s="1098">
        <f>SUMIFS(BV_Data_An_Cour!$P:$P,BV_Data_An_Cour!$W:$W,$L$2,BV_Data_An_Cour!T:T,C31)</f>
        <v>11020.7</v>
      </c>
      <c r="K11" s="1110">
        <f>SUMIF($B$37:$B$48,"X",$G$37:$G$48)</f>
        <v>7565.68</v>
      </c>
      <c r="L11" s="1098">
        <f>J11-K11</f>
        <v>3455.0200000000004</v>
      </c>
      <c r="M11" s="1099">
        <f t="shared" ref="M11:M12" si="5">L11/K11</f>
        <v>0.45667012086157494</v>
      </c>
    </row>
    <row r="12" spans="1:17">
      <c r="A12" s="1111" t="s">
        <v>187</v>
      </c>
      <c r="B12" s="1093" t="s">
        <v>3868</v>
      </c>
      <c r="C12" s="1104" t="s">
        <v>3872</v>
      </c>
      <c r="D12" s="1095"/>
      <c r="E12" s="1105">
        <f>-SUMIFS(BV_Data_An_Cour!$O:$O,BV_Data_An_Cour!$U:$U,$B12,BV_Data_An_Cour!$V:$V,$A12,BV_Data_An_Cour!$W:$W,$D$2)</f>
        <v>25444.329999999994</v>
      </c>
      <c r="F12" s="1106">
        <f>+INDEX('Budget original'!$A$2:$AO$501,MATCH(B12&amp;$A12,'Budget original'!$A$2:$A$501,0),MATCH(G$2,'Budget original'!$A$2:$AO$2,0))</f>
        <v>20229.415874999999</v>
      </c>
      <c r="G12" s="1105">
        <f t="shared" si="1"/>
        <v>5214.9141249999957</v>
      </c>
      <c r="H12" s="1103">
        <f t="shared" si="4"/>
        <v>0.25778866563540831</v>
      </c>
      <c r="J12" s="1105">
        <f>-SUMIFS(BV_Data_An_Cour!$P:$P,BV_Data_An_Cour!$U:$U,$B12,BV_Data_An_Cour!$V:$V,$A12,BV_Data_An_Cour!$W:$W,$D$2)</f>
        <v>49840.210000000036</v>
      </c>
      <c r="K12" s="1106" cm="1">
        <f t="array" ref="K12">+SUMPRODUCT(('Budget original'!$A$8:$A$501=B12&amp;$A12)*('Budget original'!$C$3:$AO$3=O$2),'Budget original'!$C$8:$AO$501)</f>
        <v>44774.440470000001</v>
      </c>
      <c r="L12" s="1105">
        <f t="shared" ref="L12:L16" si="6">J12-K12</f>
        <v>5065.7695300000341</v>
      </c>
      <c r="M12" s="1103">
        <f t="shared" si="5"/>
        <v>0.11313976181107673</v>
      </c>
    </row>
    <row r="13" spans="1:17">
      <c r="A13" s="1083"/>
      <c r="B13" s="1083"/>
      <c r="C13" s="1100" t="s">
        <v>119</v>
      </c>
      <c r="D13" s="1095"/>
      <c r="E13" s="1107">
        <f>(E12)/E7</f>
        <v>0.12800126731885897</v>
      </c>
      <c r="F13" s="1108">
        <f>(F12)/F7</f>
        <v>0.13500000000000001</v>
      </c>
      <c r="G13" s="1112">
        <f t="shared" si="1"/>
        <v>-6.99873268114104E-3</v>
      </c>
      <c r="H13" s="1113"/>
      <c r="J13" s="1107">
        <f>(J12)/J7</f>
        <v>0.12566288531560246</v>
      </c>
      <c r="K13" s="1108">
        <f>(K12)/K7</f>
        <v>0.13500000000000001</v>
      </c>
      <c r="L13" s="1112">
        <f t="shared" si="6"/>
        <v>-9.3371146843975461E-3</v>
      </c>
      <c r="M13" s="1113"/>
    </row>
    <row r="14" spans="1:17">
      <c r="A14" s="1083"/>
      <c r="B14" s="1083"/>
      <c r="C14" s="1109" t="s">
        <v>3873</v>
      </c>
      <c r="D14" s="1095"/>
      <c r="E14" s="1098">
        <f>SUMIFS(BV_Data_An_Cour!$O:$O,BV_Data_An_Cour!$W:$W,$D$2,BV_Data_An_Cour!L:L,C33)</f>
        <v>10060</v>
      </c>
      <c r="F14" s="1114">
        <f>SUMIF(A37:A48,"X",F37:F48)*$G$33</f>
        <v>6238.870300345784</v>
      </c>
      <c r="G14" s="1096">
        <f>E14-F14</f>
        <v>3821.129699654216</v>
      </c>
      <c r="H14" s="1103">
        <f t="shared" ref="H14:H15" si="7">G14/F14</f>
        <v>0.61247141160194229</v>
      </c>
      <c r="J14" s="1098">
        <f>SUMIFS(BV_Data_An_Cour!$P:$P,BV_Data_An_Cour!$W:$W,$L$2,BV_Data_An_Cour!T:T,C33)</f>
        <v>21200</v>
      </c>
      <c r="K14" s="1114">
        <f>SUMIF(B37:B48,"X",F37:F48)*$G$33</f>
        <v>14617.311681329466</v>
      </c>
      <c r="L14" s="1096">
        <f t="shared" si="6"/>
        <v>6582.6883186705345</v>
      </c>
      <c r="M14" s="1103">
        <f t="shared" ref="M14:M15" si="8">L14/K14</f>
        <v>0.45033508638107039</v>
      </c>
    </row>
    <row r="15" spans="1:17">
      <c r="C15" s="1104" t="s">
        <v>3874</v>
      </c>
      <c r="D15" s="1095"/>
      <c r="E15" s="1105">
        <f>E12-E14</f>
        <v>15384.329999999994</v>
      </c>
      <c r="F15" s="1106">
        <f t="shared" ref="F15" si="9">F12-F14</f>
        <v>13990.545574654214</v>
      </c>
      <c r="G15" s="1105">
        <f t="shared" si="1"/>
        <v>1393.7844253457806</v>
      </c>
      <c r="H15" s="1103">
        <f t="shared" si="7"/>
        <v>9.9623307605016614E-2</v>
      </c>
      <c r="J15" s="1105">
        <f t="shared" ref="J15:K15" si="10">J12-J14</f>
        <v>28640.210000000036</v>
      </c>
      <c r="K15" s="1106">
        <f t="shared" si="10"/>
        <v>30157.128788670536</v>
      </c>
      <c r="L15" s="1105">
        <f t="shared" si="6"/>
        <v>-1516.9187886705004</v>
      </c>
      <c r="M15" s="1103">
        <f t="shared" si="8"/>
        <v>-5.0300504378267538E-2</v>
      </c>
    </row>
    <row r="16" spans="1:17">
      <c r="C16" s="1115" t="s">
        <v>3875</v>
      </c>
      <c r="D16" s="1116"/>
      <c r="E16" s="1112">
        <f>E15/E7</f>
        <v>7.7393027713897014E-2</v>
      </c>
      <c r="F16" s="1117">
        <f>F15/F7</f>
        <v>9.336520956655249E-2</v>
      </c>
      <c r="G16" s="1112">
        <f>E16-F16</f>
        <v>-1.5972181852655476E-2</v>
      </c>
      <c r="H16" s="1117"/>
      <c r="J16" s="1112">
        <f>J15/J7</f>
        <v>7.221100040799934E-2</v>
      </c>
      <c r="K16" s="1117">
        <f>K15/K7</f>
        <v>9.0927152717817594E-2</v>
      </c>
      <c r="L16" s="1112">
        <f t="shared" si="6"/>
        <v>-1.8716152309818254E-2</v>
      </c>
      <c r="M16" s="1118"/>
    </row>
    <row r="17" spans="3:13">
      <c r="C17" s="1119"/>
      <c r="G17" s="1120"/>
      <c r="K17" s="1120"/>
    </row>
    <row r="18" spans="3:13">
      <c r="E18" s="1253" t="str">
        <f>CONCATENATE("Pièces Wholesale $ / livraison ",Parametres!B3," ",Parametres!B4)</f>
        <v>Pièces Wholesale $ / livraison Février 2025</v>
      </c>
      <c r="F18" s="1254"/>
      <c r="G18" s="1254"/>
      <c r="H18" s="1255"/>
      <c r="J18" s="1256" t="str">
        <f>CONCATENATE("Pièces Wholesale AAD $ / livraison ",Parametres!B4)</f>
        <v>Pièces Wholesale AAD $ / livraison 2025</v>
      </c>
      <c r="K18" s="1257"/>
      <c r="L18" s="1257"/>
      <c r="M18" s="1258"/>
    </row>
    <row r="19" spans="3:13">
      <c r="C19" s="1086"/>
      <c r="D19" s="1087"/>
      <c r="E19" s="1084" t="s">
        <v>656</v>
      </c>
      <c r="F19" s="1085" t="s">
        <v>3864</v>
      </c>
      <c r="G19" s="1084" t="s">
        <v>3865</v>
      </c>
      <c r="H19" s="1085" t="s">
        <v>3866</v>
      </c>
      <c r="J19" s="1084" t="s">
        <v>656</v>
      </c>
      <c r="K19" s="1085" t="s">
        <v>3864</v>
      </c>
      <c r="L19" s="1084" t="s">
        <v>3865</v>
      </c>
      <c r="M19" s="1085" t="s">
        <v>3866</v>
      </c>
    </row>
    <row r="20" spans="3:13">
      <c r="C20" s="1094" t="s">
        <v>187</v>
      </c>
      <c r="D20" s="1095"/>
      <c r="E20" s="1096">
        <f>E7/E$6</f>
        <v>459.08050808314084</v>
      </c>
      <c r="F20" s="1097">
        <f>F7/F$6</f>
        <v>480.36749535150562</v>
      </c>
      <c r="G20" s="1098">
        <f t="shared" ref="G20:G25" si="11">E20-F20</f>
        <v>-21.286987268364783</v>
      </c>
      <c r="H20" s="1099">
        <f t="shared" ref="H20:H26" si="12">G20/F20</f>
        <v>-4.431396269389163E-2</v>
      </c>
      <c r="J20" s="1096">
        <f>J7/J$6</f>
        <v>410.57803312629397</v>
      </c>
      <c r="K20" s="1097">
        <f>K7/K$6</f>
        <v>453.79414386248459</v>
      </c>
      <c r="L20" s="1098">
        <f t="shared" ref="L20:L25" si="13">J20-K20</f>
        <v>-43.216110736190615</v>
      </c>
      <c r="M20" s="1099">
        <f t="shared" ref="M20:M26" si="14">L20/K20</f>
        <v>-9.5232852430300649E-2</v>
      </c>
    </row>
    <row r="21" spans="3:13">
      <c r="C21" s="1100" t="s">
        <v>3869</v>
      </c>
      <c r="D21" s="1095"/>
      <c r="E21" s="1101">
        <f t="shared" ref="E21:F22" si="15">E8/E$6</f>
        <v>385.49413394919168</v>
      </c>
      <c r="F21" s="1102">
        <f>F8/F$6</f>
        <v>404.13351474228546</v>
      </c>
      <c r="G21" s="1096">
        <f t="shared" si="11"/>
        <v>-18.639380793093778</v>
      </c>
      <c r="H21" s="1103">
        <f t="shared" si="12"/>
        <v>-4.6121838731885544E-2</v>
      </c>
      <c r="J21" s="1101">
        <f t="shared" ref="J21:K22" si="16">J8/J$6</f>
        <v>347.57502070393372</v>
      </c>
      <c r="K21" s="1102">
        <f t="shared" si="16"/>
        <v>382.1802635388496</v>
      </c>
      <c r="L21" s="1096">
        <f t="shared" si="13"/>
        <v>-34.605242834915884</v>
      </c>
      <c r="M21" s="1103">
        <f t="shared" si="14"/>
        <v>-9.0546912377117483E-2</v>
      </c>
    </row>
    <row r="22" spans="3:13">
      <c r="C22" s="1104" t="s">
        <v>202</v>
      </c>
      <c r="D22" s="1095"/>
      <c r="E22" s="1105">
        <f>E9/E$6</f>
        <v>73.586374133949178</v>
      </c>
      <c r="F22" s="1106">
        <f t="shared" si="15"/>
        <v>76.23398060922014</v>
      </c>
      <c r="G22" s="1105">
        <f t="shared" si="11"/>
        <v>-2.6476064752709618</v>
      </c>
      <c r="H22" s="1103">
        <f t="shared" si="12"/>
        <v>-3.4730004311892722E-2</v>
      </c>
      <c r="J22" s="1105">
        <f t="shared" si="16"/>
        <v>63.003012422360285</v>
      </c>
      <c r="K22" s="1106">
        <f t="shared" si="16"/>
        <v>71.613880323634987</v>
      </c>
      <c r="L22" s="1105">
        <f t="shared" si="13"/>
        <v>-8.6108679012747018</v>
      </c>
      <c r="M22" s="1103">
        <f t="shared" si="14"/>
        <v>-0.12024020849534704</v>
      </c>
    </row>
    <row r="23" spans="3:13">
      <c r="C23" s="1109" t="s">
        <v>3871</v>
      </c>
      <c r="D23" s="1095"/>
      <c r="E23" s="1098">
        <f>E11/E$6</f>
        <v>14.823487297921478</v>
      </c>
      <c r="F23" s="1110">
        <f>F11/F$6</f>
        <v>11.384368736766891</v>
      </c>
      <c r="G23" s="1098">
        <f t="shared" si="11"/>
        <v>3.4391185611545865</v>
      </c>
      <c r="H23" s="1099">
        <f t="shared" si="12"/>
        <v>0.30209128329159168</v>
      </c>
      <c r="J23" s="1098">
        <f t="shared" ref="J23:K23" si="17">J11/J$6</f>
        <v>11.408592132505177</v>
      </c>
      <c r="K23" s="1110">
        <f t="shared" si="17"/>
        <v>10.351670902199563</v>
      </c>
      <c r="L23" s="1098">
        <f t="shared" si="13"/>
        <v>1.0569212303056137</v>
      </c>
      <c r="M23" s="1099">
        <f t="shared" si="14"/>
        <v>0.10210151001622694</v>
      </c>
    </row>
    <row r="24" spans="3:13">
      <c r="C24" s="1104" t="s">
        <v>3872</v>
      </c>
      <c r="D24" s="1095"/>
      <c r="E24" s="1105">
        <f>E12/E$6</f>
        <v>58.762886836027704</v>
      </c>
      <c r="F24" s="1106">
        <f>F12/F$6</f>
        <v>64.849611872453252</v>
      </c>
      <c r="G24" s="1121">
        <f t="shared" si="11"/>
        <v>-6.0867250364255483</v>
      </c>
      <c r="H24" s="1113">
        <f t="shared" si="12"/>
        <v>-9.3859081969479924E-2</v>
      </c>
      <c r="J24" s="1105">
        <f>J12/J$6</f>
        <v>51.594420289855108</v>
      </c>
      <c r="K24" s="1106">
        <f>K12/K$6</f>
        <v>61.262209421435422</v>
      </c>
      <c r="L24" s="1121">
        <f t="shared" si="13"/>
        <v>-9.6677891315803137</v>
      </c>
      <c r="M24" s="1113">
        <f t="shared" si="14"/>
        <v>-0.15780999776017857</v>
      </c>
    </row>
    <row r="25" spans="3:13">
      <c r="C25" s="1109" t="s">
        <v>3873</v>
      </c>
      <c r="D25" s="1095"/>
      <c r="E25" s="1122">
        <f>E14/E$6</f>
        <v>23.233256351039262</v>
      </c>
      <c r="F25" s="1114">
        <f>F14/F$6</f>
        <v>20</v>
      </c>
      <c r="G25" s="1096">
        <f t="shared" si="11"/>
        <v>3.2332563510392625</v>
      </c>
      <c r="H25" s="1103">
        <f t="shared" si="12"/>
        <v>0.16166281755196313</v>
      </c>
      <c r="J25" s="1098">
        <f t="shared" ref="J25:K25" si="18">J14/J$6</f>
        <v>21.946169772256727</v>
      </c>
      <c r="K25" s="1114">
        <f t="shared" si="18"/>
        <v>20</v>
      </c>
      <c r="L25" s="1096">
        <f t="shared" si="13"/>
        <v>1.9461697722567273</v>
      </c>
      <c r="M25" s="1103">
        <f t="shared" si="14"/>
        <v>9.7308488612836364E-2</v>
      </c>
    </row>
    <row r="26" spans="3:13">
      <c r="C26" s="1123" t="s">
        <v>3874</v>
      </c>
      <c r="D26" s="1095"/>
      <c r="E26" s="1121">
        <f>E15/E$6</f>
        <v>35.529630484988438</v>
      </c>
      <c r="F26" s="1124">
        <f>F15/F$6</f>
        <v>44.849611872453252</v>
      </c>
      <c r="G26" s="1121">
        <f>E26-F26</f>
        <v>-9.3199813874648143</v>
      </c>
      <c r="H26" s="1113">
        <f t="shared" si="12"/>
        <v>-0.20780517374307916</v>
      </c>
      <c r="J26" s="1121">
        <f>J15/J$6</f>
        <v>29.648250517598381</v>
      </c>
      <c r="K26" s="1124">
        <f>K15/K$6</f>
        <v>41.262209421435422</v>
      </c>
      <c r="L26" s="1121">
        <f>J26-K26</f>
        <v>-11.613958903837041</v>
      </c>
      <c r="M26" s="1113">
        <f t="shared" si="14"/>
        <v>-0.28146720853497664</v>
      </c>
    </row>
    <row r="27" spans="3:13">
      <c r="C27" s="1119"/>
      <c r="G27" s="1120"/>
      <c r="K27" s="1120"/>
    </row>
    <row r="29" spans="3:13">
      <c r="C29" s="1125" t="s">
        <v>3876</v>
      </c>
    </row>
    <row r="30" spans="3:13">
      <c r="C30" s="1126" t="s">
        <v>3877</v>
      </c>
      <c r="E30" s="1127" t="s">
        <v>3878</v>
      </c>
      <c r="F30" s="1128"/>
      <c r="G30" s="1129">
        <f>SUMIF(A37:A48,"X",E37:E48)*$G$33-E14</f>
        <v>-1400</v>
      </c>
      <c r="H30" s="1130" t="s">
        <v>3879</v>
      </c>
    </row>
    <row r="31" spans="3:13" ht="14.5">
      <c r="C31" s="1131">
        <v>5773</v>
      </c>
      <c r="E31" s="1127" t="s">
        <v>3880</v>
      </c>
      <c r="F31" s="1128"/>
      <c r="G31" s="1129">
        <f>SUMIF(B37:B48,"X",E37:E48)*$G$33-J14</f>
        <v>-1880</v>
      </c>
      <c r="H31" s="1130" t="s">
        <v>3879</v>
      </c>
    </row>
    <row r="32" spans="3:13">
      <c r="C32" s="1126" t="s">
        <v>3881</v>
      </c>
    </row>
    <row r="33" spans="1:41" ht="14.5">
      <c r="C33" s="1131">
        <v>6758</v>
      </c>
      <c r="E33" s="1259" t="s">
        <v>3882</v>
      </c>
      <c r="F33" s="1259"/>
      <c r="G33" s="1132">
        <v>20</v>
      </c>
    </row>
    <row r="35" spans="1:41">
      <c r="E35" s="1250" t="s">
        <v>3883</v>
      </c>
      <c r="F35" s="1251"/>
    </row>
    <row r="36" spans="1:41" ht="46.5" customHeight="1">
      <c r="A36" s="1133" t="s">
        <v>3</v>
      </c>
      <c r="B36" s="1133" t="s">
        <v>4</v>
      </c>
      <c r="C36" s="1134" t="s">
        <v>3</v>
      </c>
      <c r="D36" s="1128"/>
      <c r="E36" s="1135" t="s">
        <v>656</v>
      </c>
      <c r="F36" s="1135" t="s">
        <v>3884</v>
      </c>
      <c r="G36" s="1136" t="s">
        <v>3885</v>
      </c>
      <c r="H36" s="1079" t="str">
        <f>+IF(Parametres!$B$3=H$38,"X","")</f>
        <v/>
      </c>
      <c r="I36" s="1082" t="str">
        <f>+IF(Parametres!$B$3=I$38,"X","")</f>
        <v/>
      </c>
      <c r="J36" s="1082" t="str">
        <f>+IF(Parametres!$B$3=J$38,"X","")</f>
        <v/>
      </c>
      <c r="K36" s="1082" t="str">
        <f>+IF(Parametres!$B$3=K$38,"X","")</f>
        <v/>
      </c>
      <c r="L36" s="1082" t="str">
        <f>+IF(Parametres!$B$3=L$38,"X","")</f>
        <v/>
      </c>
      <c r="M36" s="1082" t="str">
        <f>+IF(Parametres!$B$3=M$38,"X","")</f>
        <v/>
      </c>
      <c r="N36" s="1082" t="str">
        <f>+IF(Parametres!$B$3=N$38,"X","")</f>
        <v/>
      </c>
      <c r="O36" s="1082" t="str">
        <f>+IF(Parametres!$B$3=O$38,"X","")</f>
        <v/>
      </c>
      <c r="P36" s="1082" t="str">
        <f>+IF(Parametres!$B$3=P$38,"X","")</f>
        <v/>
      </c>
      <c r="Q36" s="1082" t="str">
        <f>+IF(Parametres!$B$3=Q$38,"X","")</f>
        <v/>
      </c>
      <c r="R36" s="1079" t="str">
        <f>+IF(Parametres!$B$3=R$38,"X","")</f>
        <v/>
      </c>
      <c r="S36" s="1079" t="str">
        <f>+IF(Parametres!$B$3=S$38,"X","")</f>
        <v/>
      </c>
      <c r="U36" s="1079" t="str">
        <f>+IF(Parametres!$B$3=N$7,"X","")</f>
        <v/>
      </c>
      <c r="V36" s="1079" t="str">
        <f>+IF(Parametres!$B$3=N$7,"O","")</f>
        <v/>
      </c>
      <c r="W36" s="1079" t="str">
        <f>+IF(Parametres!$B$3=N$7,"U","")</f>
        <v/>
      </c>
      <c r="X36" s="1079" t="str">
        <f>+IF(Parametres!$B$3=Q$7,"X","")</f>
        <v/>
      </c>
      <c r="Y36" s="1079" t="str">
        <f>+IF(Parametres!$B$3=Q$7,"O","")</f>
        <v/>
      </c>
      <c r="Z36" s="1079" t="str">
        <f>+IF(Parametres!$B$3=Q$7,"U","")</f>
        <v/>
      </c>
      <c r="AA36" s="1079" t="str">
        <f>+IF(Parametres!$B$3=T$7,"X","")</f>
        <v/>
      </c>
      <c r="AB36" s="1079" t="str">
        <f>+IF(Parametres!$B$3=T$7,"O","")</f>
        <v/>
      </c>
      <c r="AC36" s="1079" t="str">
        <f>+IF(Parametres!$B$3=T$7,"U","")</f>
        <v/>
      </c>
      <c r="AD36" s="1079" t="str">
        <f>+IF(Parametres!$B$3=W$7,"X","")</f>
        <v/>
      </c>
      <c r="AE36" s="1079" t="str">
        <f>+IF(Parametres!$B$3=W$7,"O","")</f>
        <v/>
      </c>
      <c r="AF36" s="1079" t="str">
        <f>+IF(Parametres!$B$3=W$7,"U","")</f>
        <v/>
      </c>
      <c r="AG36" s="1079" t="str">
        <f>+IF(Parametres!$B$3=Z$7,"X","")</f>
        <v/>
      </c>
      <c r="AH36" s="1079" t="str">
        <f>+IF(Parametres!$B$3=Z$7,"O","")</f>
        <v/>
      </c>
      <c r="AI36" s="1079" t="str">
        <f>+IF(Parametres!$B$3=Z$7,"U","")</f>
        <v/>
      </c>
      <c r="AJ36" s="1079" t="str">
        <f>+IF(Parametres!$B$3=AC$7,"X","")</f>
        <v/>
      </c>
      <c r="AK36" s="1079" t="str">
        <f>+IF(Parametres!$B$3=AC$7,"O","")</f>
        <v/>
      </c>
      <c r="AL36" s="1079" t="str">
        <f>+IF(Parametres!$B$3=AC$7,"U","")</f>
        <v/>
      </c>
      <c r="AM36" s="1079" t="str">
        <f>+IF(Parametres!$B$3=AF$7,"X","")</f>
        <v/>
      </c>
      <c r="AN36" s="1079" t="str">
        <f>+IF(Parametres!$B$3=AF$7,"O","")</f>
        <v/>
      </c>
      <c r="AO36" s="1079" t="str">
        <f>+IF(Parametres!$B$3=AF$7,"U","")</f>
        <v/>
      </c>
    </row>
    <row r="37" spans="1:41">
      <c r="A37" s="1137" t="str">
        <f>+IF(Parametres!$B$3=$C37,"X","")</f>
        <v/>
      </c>
      <c r="B37" s="1137" t="str">
        <f>+IF(VLOOKUP($C37,Parametres!$K$3:$N$14,4,0)="X","X","")</f>
        <v>X</v>
      </c>
      <c r="C37" s="1138" t="s">
        <v>8</v>
      </c>
      <c r="E37" s="1139">
        <v>533</v>
      </c>
      <c r="F37" s="1139">
        <v>418.92206904918402</v>
      </c>
      <c r="G37" s="1139">
        <v>4014.4</v>
      </c>
      <c r="H37" s="1079" t="e">
        <f>ARRONDI</f>
        <v>#NAME?</v>
      </c>
      <c r="I37" s="1079"/>
      <c r="J37" s="1180"/>
      <c r="K37" s="1153"/>
      <c r="L37" s="1079"/>
      <c r="M37" s="1079"/>
    </row>
    <row r="38" spans="1:41">
      <c r="A38" s="1137" t="str">
        <f>+IF(Parametres!$B$3=$C38,"X","")</f>
        <v>X</v>
      </c>
      <c r="B38" s="1137" t="str">
        <f>+IF(VLOOKUP($C38,Parametres!$K$3:$N$14,4,0)="X","X","")</f>
        <v>X</v>
      </c>
      <c r="C38" s="1140" t="s">
        <v>10</v>
      </c>
      <c r="E38" s="1139">
        <v>433</v>
      </c>
      <c r="F38" s="1139">
        <v>311.9435150172892</v>
      </c>
      <c r="G38" s="1139">
        <v>3551.28</v>
      </c>
      <c r="H38" s="1079"/>
      <c r="I38" s="1079"/>
      <c r="J38" s="1180"/>
      <c r="K38" s="1079"/>
      <c r="L38" s="1079"/>
      <c r="M38" s="1079"/>
    </row>
    <row r="39" spans="1:41">
      <c r="A39" s="1079" t="str">
        <f>+IF(Parametres!$B$3=$C39,"X","")</f>
        <v/>
      </c>
      <c r="B39" s="1079" t="str">
        <f>+IF(VLOOKUP($C39,Parametres!$K$3:$N$14,4,0)="X","X","")</f>
        <v/>
      </c>
      <c r="C39" s="1140" t="s">
        <v>11</v>
      </c>
      <c r="E39" s="1139">
        <v>429</v>
      </c>
      <c r="F39" s="1139">
        <v>418.68023703135316</v>
      </c>
      <c r="G39" s="1139">
        <v>4269.5213600121897</v>
      </c>
      <c r="H39" s="1079"/>
      <c r="I39" s="1079"/>
      <c r="J39" s="1180"/>
      <c r="K39" s="1079"/>
      <c r="L39" s="1079"/>
      <c r="M39" s="1079"/>
    </row>
    <row r="40" spans="1:41">
      <c r="A40" s="1079" t="str">
        <f>+IF(Parametres!$B$3=$C40,"X","")</f>
        <v/>
      </c>
      <c r="B40" s="1079" t="str">
        <f>+IF(VLOOKUP($C40,Parametres!$K$3:$N$14,4,0)="X","X","")</f>
        <v/>
      </c>
      <c r="C40" s="1140" t="s">
        <v>12</v>
      </c>
      <c r="E40" s="1139">
        <v>469</v>
      </c>
      <c r="F40" s="1139">
        <v>365.36471094335428</v>
      </c>
      <c r="G40" s="1139">
        <v>3179.2297395705646</v>
      </c>
      <c r="H40" s="1079"/>
      <c r="I40" s="1079"/>
      <c r="J40" s="1180"/>
      <c r="K40" s="1079"/>
      <c r="L40" s="1079"/>
      <c r="M40" s="1079"/>
    </row>
    <row r="41" spans="1:41">
      <c r="A41" s="1079" t="str">
        <f>+IF(Parametres!$B$3=$C41,"X","")</f>
        <v/>
      </c>
      <c r="B41" s="1079" t="str">
        <f>+IF(VLOOKUP($C41,Parametres!$K$3:$N$14,4,0)="X","X","")</f>
        <v/>
      </c>
      <c r="C41" s="1140" t="s">
        <v>13</v>
      </c>
      <c r="E41" s="1139">
        <v>461</v>
      </c>
      <c r="F41" s="1139">
        <v>375.8793196965787</v>
      </c>
      <c r="G41" s="1139">
        <v>4267.0566844986533</v>
      </c>
      <c r="H41" s="1079"/>
      <c r="I41" s="1079"/>
      <c r="J41" s="1180"/>
      <c r="K41" s="1182"/>
      <c r="L41" s="1079"/>
      <c r="M41" s="1079"/>
    </row>
    <row r="42" spans="1:41">
      <c r="A42" s="1079" t="str">
        <f>+IF(Parametres!$B$3=$C42,"X","")</f>
        <v/>
      </c>
      <c r="B42" s="1079" t="str">
        <f>+IF(VLOOKUP($C42,Parametres!$K$3:$N$14,4,0)="X","X","")</f>
        <v/>
      </c>
      <c r="C42" s="1140" t="s">
        <v>14</v>
      </c>
      <c r="E42" s="1139">
        <v>365</v>
      </c>
      <c r="F42" s="1139">
        <v>427.89426555292169</v>
      </c>
      <c r="G42" s="1139">
        <v>3723.6816888350295</v>
      </c>
      <c r="J42" s="1181"/>
      <c r="N42" s="1082"/>
      <c r="O42" s="1082"/>
      <c r="P42" s="1082"/>
      <c r="Q42" s="1082"/>
      <c r="R42" s="1128"/>
      <c r="S42" s="1128"/>
    </row>
    <row r="43" spans="1:41">
      <c r="A43" s="1079" t="str">
        <f>+IF(Parametres!$B$3=$C43,"X","")</f>
        <v/>
      </c>
      <c r="B43" s="1079" t="str">
        <f>+IF(VLOOKUP($C43,Parametres!$K$3:$N$14,4,0)="X","X","")</f>
        <v/>
      </c>
      <c r="C43" s="1140" t="s">
        <v>16</v>
      </c>
      <c r="E43" s="1139">
        <v>378</v>
      </c>
      <c r="F43" s="1139">
        <v>456.46099473794209</v>
      </c>
      <c r="G43" s="1139">
        <v>3830.8432589235963</v>
      </c>
      <c r="N43" s="1082"/>
      <c r="O43" s="1082"/>
      <c r="P43" s="1082"/>
      <c r="Q43" s="1082"/>
      <c r="R43" s="1128"/>
      <c r="S43" s="1128"/>
    </row>
    <row r="44" spans="1:41">
      <c r="A44" s="1079" t="str">
        <f>+IF(Parametres!$B$3=$C44,"X","")</f>
        <v/>
      </c>
      <c r="B44" s="1079" t="str">
        <f>+IF(VLOOKUP($C44,Parametres!$K$3:$N$14,4,0)="X","X","")</f>
        <v/>
      </c>
      <c r="C44" s="1140" t="s">
        <v>18</v>
      </c>
      <c r="E44" s="1139">
        <v>413</v>
      </c>
      <c r="F44" s="1139">
        <v>398.12415969308483</v>
      </c>
      <c r="G44" s="1139">
        <v>4360.9631518134156</v>
      </c>
      <c r="H44" s="1128"/>
      <c r="I44" s="1129"/>
      <c r="N44" s="1082"/>
      <c r="O44" s="1082"/>
      <c r="P44" s="1082"/>
      <c r="Q44" s="1082"/>
      <c r="R44" s="1128"/>
      <c r="S44" s="1128"/>
    </row>
    <row r="45" spans="1:41">
      <c r="A45" s="1079" t="str">
        <f>+IF(Parametres!$B$3=$C45,"X","")</f>
        <v/>
      </c>
      <c r="B45" s="1079" t="str">
        <f>+IF(VLOOKUP($C45,Parametres!$K$3:$N$14,4,0)="X","X","")</f>
        <v/>
      </c>
      <c r="C45" s="1140" t="s">
        <v>20</v>
      </c>
      <c r="E45" s="1139">
        <v>447</v>
      </c>
      <c r="F45" s="1139">
        <v>476.56079414871488</v>
      </c>
      <c r="G45" s="1139">
        <v>4652.1062293742398</v>
      </c>
      <c r="H45" s="1128"/>
      <c r="I45" s="1129"/>
      <c r="N45" s="1082"/>
      <c r="O45" s="1082"/>
      <c r="P45" s="1082"/>
      <c r="Q45" s="1082"/>
      <c r="R45" s="1128"/>
      <c r="S45" s="1128"/>
    </row>
    <row r="46" spans="1:41" ht="18" customHeight="1">
      <c r="A46" s="1079" t="str">
        <f>+IF(Parametres!$B$3=$C46,"X","")</f>
        <v/>
      </c>
      <c r="B46" s="1079" t="str">
        <f>+IF(VLOOKUP($C46,Parametres!$K$3:$N$14,4,0)="X","X","")</f>
        <v/>
      </c>
      <c r="C46" s="1140" t="s">
        <v>22</v>
      </c>
      <c r="E46" s="1139">
        <v>430</v>
      </c>
      <c r="F46" s="1139">
        <v>479.32101018309692</v>
      </c>
      <c r="G46" s="1139">
        <v>4057.5556394164596</v>
      </c>
      <c r="H46" s="1128"/>
      <c r="I46" s="1129"/>
      <c r="N46" s="1082"/>
      <c r="O46" s="1082"/>
      <c r="P46" s="1082"/>
      <c r="Q46" s="1082"/>
      <c r="R46" s="1128"/>
      <c r="S46" s="1128"/>
    </row>
    <row r="47" spans="1:41">
      <c r="A47" s="1079" t="str">
        <f>+IF(Parametres!$B$3=$C47,"X","")</f>
        <v/>
      </c>
      <c r="B47" s="1079" t="str">
        <f>+IF(VLOOKUP($C47,Parametres!$K$3:$N$14,4,0)="X","X","")</f>
        <v/>
      </c>
      <c r="C47" s="1141" t="s">
        <v>23</v>
      </c>
      <c r="E47" s="1139">
        <v>385</v>
      </c>
      <c r="F47" s="1139">
        <v>449.1117835802815</v>
      </c>
      <c r="G47" s="1139">
        <v>4856.9570339905476</v>
      </c>
    </row>
    <row r="48" spans="1:41">
      <c r="A48" s="1079" t="str">
        <f>+IF(Parametres!$B$3=$C48,"X","")</f>
        <v/>
      </c>
      <c r="B48" s="1079" t="str">
        <f>+IF(VLOOKUP($C48,Parametres!$K$3:$N$14,4,0)="X","X","")</f>
        <v/>
      </c>
      <c r="C48" s="1142" t="s">
        <v>6</v>
      </c>
      <c r="E48" s="1143">
        <v>418</v>
      </c>
      <c r="F48" s="1143">
        <v>461.73714036619947</v>
      </c>
      <c r="G48" s="1143">
        <v>4885.0882836613782</v>
      </c>
    </row>
    <row r="52" ht="28.5" customHeight="1"/>
  </sheetData>
  <mergeCells count="7">
    <mergeCell ref="E35:F35"/>
    <mergeCell ref="C1:K1"/>
    <mergeCell ref="E4:H4"/>
    <mergeCell ref="J4:M4"/>
    <mergeCell ref="E18:H18"/>
    <mergeCell ref="J18:M18"/>
    <mergeCell ref="E33:F33"/>
  </mergeCells>
  <dataValidations disablePrompts="1" count="1">
    <dataValidation allowBlank="1" showErrorMessage="1" sqref="C37:C48"/>
  </dataValidations>
  <pageMargins left="0.7" right="0.7" top="0.75" bottom="0.75" header="0.3" footer="0.3"/>
  <pageSetup orientation="portrait"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00"/>
  <sheetViews>
    <sheetView workbookViewId="0"/>
  </sheetViews>
  <sheetFormatPr baseColWidth="10" defaultColWidth="12.58203125" defaultRowHeight="15" customHeight="1"/>
  <cols>
    <col min="1" max="1" width="3.1640625" customWidth="1"/>
    <col min="2" max="2" width="16.4140625" customWidth="1"/>
    <col min="3" max="5" width="11.08203125" customWidth="1"/>
    <col min="6" max="6" width="3.1640625" customWidth="1"/>
    <col min="7" max="7" width="16.4140625" customWidth="1"/>
    <col min="8" max="10" width="11.08203125" customWidth="1"/>
    <col min="11" max="11" width="3.1640625" customWidth="1"/>
    <col min="12" max="12" width="16.4140625" customWidth="1"/>
    <col min="13" max="15" width="11.08203125" customWidth="1"/>
    <col min="16" max="16" width="3.1640625" customWidth="1"/>
    <col min="17" max="17" width="16.4140625" customWidth="1"/>
    <col min="18" max="20" width="11.08203125" customWidth="1"/>
    <col min="21" max="26" width="11" customWidth="1"/>
  </cols>
  <sheetData>
    <row r="1" spans="1:26" ht="14.5">
      <c r="A1" s="3"/>
      <c r="B1" s="1260" t="s">
        <v>644</v>
      </c>
      <c r="C1" s="1261"/>
      <c r="D1" s="1261"/>
      <c r="E1" s="1261"/>
      <c r="F1" s="1261"/>
      <c r="G1" s="1261"/>
      <c r="H1" s="1261"/>
      <c r="I1" s="1261"/>
      <c r="J1" s="1261"/>
      <c r="K1" s="1261"/>
      <c r="L1" s="1261"/>
      <c r="M1" s="1261"/>
      <c r="N1" s="1261"/>
      <c r="O1" s="1261"/>
      <c r="P1" s="1261"/>
      <c r="Q1" s="1261"/>
      <c r="R1" s="1261"/>
      <c r="S1" s="1261"/>
      <c r="T1" s="1262"/>
      <c r="U1" s="3"/>
      <c r="V1" s="3"/>
      <c r="W1" s="3"/>
      <c r="X1" s="3"/>
      <c r="Y1" s="3"/>
      <c r="Z1" s="3"/>
    </row>
    <row r="2" spans="1:26" ht="14.5">
      <c r="A2" s="3"/>
      <c r="B2" s="3"/>
      <c r="C2" s="3"/>
      <c r="D2" s="3"/>
      <c r="E2" s="3"/>
      <c r="F2" s="3"/>
      <c r="G2" s="3"/>
      <c r="H2" s="3"/>
      <c r="I2" s="3"/>
      <c r="J2" s="3"/>
      <c r="K2" s="3"/>
      <c r="L2" s="3"/>
      <c r="M2" s="3"/>
      <c r="N2" s="3"/>
      <c r="O2" s="3"/>
      <c r="P2" s="3"/>
      <c r="Q2" s="3"/>
      <c r="R2" s="3"/>
      <c r="S2" s="3"/>
      <c r="T2" s="3"/>
      <c r="U2" s="3"/>
      <c r="V2" s="3"/>
      <c r="W2" s="3"/>
      <c r="X2" s="3"/>
      <c r="Y2" s="3"/>
      <c r="Z2" s="3"/>
    </row>
    <row r="3" spans="1:26" ht="14.5">
      <c r="A3" s="3"/>
      <c r="B3" s="556" t="s">
        <v>645</v>
      </c>
      <c r="C3" s="557" t="s">
        <v>646</v>
      </c>
      <c r="D3" s="557" t="s">
        <v>647</v>
      </c>
      <c r="E3" s="557" t="s">
        <v>648</v>
      </c>
      <c r="F3" s="3"/>
      <c r="G3" s="556" t="s">
        <v>649</v>
      </c>
      <c r="H3" s="557" t="s">
        <v>646</v>
      </c>
      <c r="I3" s="557" t="s">
        <v>647</v>
      </c>
      <c r="J3" s="557" t="s">
        <v>648</v>
      </c>
      <c r="K3" s="3"/>
      <c r="L3" s="556" t="s">
        <v>161</v>
      </c>
      <c r="M3" s="557" t="s">
        <v>650</v>
      </c>
      <c r="N3" s="557" t="s">
        <v>651</v>
      </c>
      <c r="O3" s="557" t="s">
        <v>648</v>
      </c>
      <c r="P3" s="3"/>
      <c r="Q3" s="556" t="s">
        <v>652</v>
      </c>
      <c r="R3" s="557" t="s">
        <v>646</v>
      </c>
      <c r="S3" s="557" t="s">
        <v>653</v>
      </c>
      <c r="T3" s="557" t="s">
        <v>654</v>
      </c>
      <c r="U3" s="3"/>
      <c r="V3" s="3"/>
      <c r="W3" s="3"/>
      <c r="X3" s="3"/>
      <c r="Y3" s="3"/>
      <c r="Z3" s="3"/>
    </row>
    <row r="4" spans="1:26" ht="14.5">
      <c r="A4" s="3"/>
      <c r="B4" s="558" t="s">
        <v>655</v>
      </c>
      <c r="C4" s="3"/>
      <c r="D4" s="3"/>
      <c r="E4" s="3"/>
      <c r="F4" s="3"/>
      <c r="G4" s="558" t="s">
        <v>655</v>
      </c>
      <c r="H4" s="3"/>
      <c r="I4" s="3"/>
      <c r="J4" s="3"/>
      <c r="K4" s="3"/>
      <c r="L4" s="558" t="s">
        <v>655</v>
      </c>
      <c r="M4" s="3"/>
      <c r="N4" s="3"/>
      <c r="O4" s="3"/>
      <c r="P4" s="3"/>
      <c r="Q4" s="558" t="s">
        <v>655</v>
      </c>
      <c r="R4" s="3"/>
      <c r="S4" s="3"/>
      <c r="T4" s="3"/>
      <c r="U4" s="3"/>
      <c r="V4" s="3"/>
      <c r="W4" s="3"/>
      <c r="X4" s="3"/>
      <c r="Y4" s="3"/>
      <c r="Z4" s="3"/>
    </row>
    <row r="5" spans="1:26" ht="14.5">
      <c r="A5" s="3"/>
      <c r="B5" s="231" t="s">
        <v>656</v>
      </c>
      <c r="C5" s="559">
        <f>Print_Mois!J27</f>
        <v>40</v>
      </c>
      <c r="D5" s="560">
        <f>Print_Mois!L27/Print_Mois!J27</f>
        <v>2883.7730000000001</v>
      </c>
      <c r="E5" s="561">
        <f t="shared" ref="E5:E6" si="0">+C5*D5</f>
        <v>115350.92000000001</v>
      </c>
      <c r="F5" s="3"/>
      <c r="G5" s="231" t="s">
        <v>656</v>
      </c>
      <c r="H5" s="559">
        <f>Print_Mois!J108</f>
        <v>27</v>
      </c>
      <c r="I5" s="560">
        <f>Print_Mois!L108/Print_Mois!J108</f>
        <v>1889.449629629629</v>
      </c>
      <c r="J5" s="561">
        <f t="shared" ref="J5:J6" si="1">+H5*I5</f>
        <v>51015.139999999985</v>
      </c>
      <c r="K5" s="3"/>
      <c r="L5" s="231" t="s">
        <v>656</v>
      </c>
      <c r="M5" s="560">
        <f>Print_Mois!K194</f>
        <v>256200.31999999998</v>
      </c>
      <c r="N5" s="562">
        <f t="shared" ref="N5:N6" si="2">O5/M5</f>
        <v>0.69688578062665973</v>
      </c>
      <c r="O5" s="560">
        <f>Print_Mois!L194</f>
        <v>178542.36000000002</v>
      </c>
      <c r="P5" s="3"/>
      <c r="Q5" s="231" t="s">
        <v>656</v>
      </c>
      <c r="R5" s="563">
        <f>Print_Mois!J185</f>
        <v>691</v>
      </c>
      <c r="S5" s="560">
        <f>Print_Mois!K185/Print_Mois!J185</f>
        <v>332.65697539797389</v>
      </c>
      <c r="T5" s="561">
        <f t="shared" ref="T5:T6" si="3">+R5*S5</f>
        <v>229865.96999999997</v>
      </c>
      <c r="U5" s="3"/>
      <c r="V5" s="3"/>
      <c r="W5" s="3"/>
      <c r="X5" s="3"/>
      <c r="Y5" s="3"/>
      <c r="Z5" s="3"/>
    </row>
    <row r="6" spans="1:26" ht="14.5">
      <c r="A6" s="3"/>
      <c r="B6" s="133" t="s">
        <v>286</v>
      </c>
      <c r="C6" s="564">
        <f>Print_Mois!G27</f>
        <v>0</v>
      </c>
      <c r="D6" s="565" t="e">
        <f>Print_Mois!I27/Print_Mois!G27</f>
        <v>#DIV/0!</v>
      </c>
      <c r="E6" s="566" t="e">
        <f t="shared" si="0"/>
        <v>#DIV/0!</v>
      </c>
      <c r="F6" s="3"/>
      <c r="G6" s="133" t="s">
        <v>286</v>
      </c>
      <c r="H6" s="564">
        <f>Print_Mois!G108</f>
        <v>0</v>
      </c>
      <c r="I6" s="565" t="e">
        <f>Print_Mois!I108/Print_Mois!G108</f>
        <v>#DIV/0!</v>
      </c>
      <c r="J6" s="566" t="e">
        <f t="shared" si="1"/>
        <v>#DIV/0!</v>
      </c>
      <c r="K6" s="3"/>
      <c r="L6" s="133" t="s">
        <v>286</v>
      </c>
      <c r="M6" s="565">
        <f>Print_Mois!H194</f>
        <v>0</v>
      </c>
      <c r="N6" s="567" t="e">
        <f t="shared" si="2"/>
        <v>#DIV/0!</v>
      </c>
      <c r="O6" s="565">
        <f>Print_Mois!I194</f>
        <v>0</v>
      </c>
      <c r="P6" s="3"/>
      <c r="Q6" s="133" t="s">
        <v>286</v>
      </c>
      <c r="R6" s="568">
        <f>Print_Mois!G185</f>
        <v>0</v>
      </c>
      <c r="S6" s="565" t="e">
        <f>Print_Mois!H185/Print_Mois!G185</f>
        <v>#DIV/0!</v>
      </c>
      <c r="T6" s="566" t="e">
        <f t="shared" si="3"/>
        <v>#DIV/0!</v>
      </c>
      <c r="U6" s="3"/>
      <c r="V6" s="3"/>
      <c r="W6" s="3"/>
      <c r="X6" s="3"/>
      <c r="Y6" s="3"/>
      <c r="Z6" s="3"/>
    </row>
    <row r="7" spans="1:26" ht="14.5">
      <c r="A7" s="3"/>
      <c r="B7" s="133" t="s">
        <v>655</v>
      </c>
      <c r="C7" s="569">
        <f t="shared" ref="C7:E7" si="4">+C5-C6</f>
        <v>40</v>
      </c>
      <c r="D7" s="570" t="e">
        <f t="shared" si="4"/>
        <v>#DIV/0!</v>
      </c>
      <c r="E7" s="571" t="e">
        <f t="shared" si="4"/>
        <v>#DIV/0!</v>
      </c>
      <c r="F7" s="3"/>
      <c r="G7" s="133" t="s">
        <v>655</v>
      </c>
      <c r="H7" s="569">
        <f t="shared" ref="H7:J7" si="5">+H5-H6</f>
        <v>27</v>
      </c>
      <c r="I7" s="570" t="e">
        <f t="shared" si="5"/>
        <v>#DIV/0!</v>
      </c>
      <c r="J7" s="571" t="e">
        <f t="shared" si="5"/>
        <v>#DIV/0!</v>
      </c>
      <c r="K7" s="3"/>
      <c r="L7" s="133" t="s">
        <v>655</v>
      </c>
      <c r="M7" s="570">
        <f t="shared" ref="M7:O7" si="6">+M5-M6</f>
        <v>256200.31999999998</v>
      </c>
      <c r="N7" s="572" t="e">
        <f t="shared" si="6"/>
        <v>#DIV/0!</v>
      </c>
      <c r="O7" s="571">
        <f t="shared" si="6"/>
        <v>178542.36000000002</v>
      </c>
      <c r="P7" s="3"/>
      <c r="Q7" s="133" t="s">
        <v>655</v>
      </c>
      <c r="R7" s="573">
        <f t="shared" ref="R7:T7" si="7">+R5-R6</f>
        <v>691</v>
      </c>
      <c r="S7" s="570" t="e">
        <f t="shared" si="7"/>
        <v>#DIV/0!</v>
      </c>
      <c r="T7" s="574" t="e">
        <f t="shared" si="7"/>
        <v>#DIV/0!</v>
      </c>
      <c r="U7" s="3"/>
      <c r="V7" s="3"/>
      <c r="W7" s="3"/>
      <c r="X7" s="3"/>
      <c r="Y7" s="3"/>
      <c r="Z7" s="3"/>
    </row>
    <row r="8" spans="1:26" ht="14.5">
      <c r="A8" s="3"/>
      <c r="B8" s="3"/>
      <c r="C8" s="575" t="e">
        <f t="shared" ref="C8:D8" si="8">+C7/C6</f>
        <v>#DIV/0!</v>
      </c>
      <c r="D8" s="575" t="e">
        <f t="shared" si="8"/>
        <v>#DIV/0!</v>
      </c>
      <c r="E8" s="566"/>
      <c r="F8" s="3"/>
      <c r="G8" s="3"/>
      <c r="H8" s="575" t="e">
        <f t="shared" ref="H8:I8" si="9">+H7/H6</f>
        <v>#DIV/0!</v>
      </c>
      <c r="I8" s="575" t="e">
        <f t="shared" si="9"/>
        <v>#DIV/0!</v>
      </c>
      <c r="J8" s="566"/>
      <c r="K8" s="3"/>
      <c r="L8" s="3"/>
      <c r="M8" s="575" t="e">
        <f t="shared" ref="M8:N8" si="10">+M7/M6</f>
        <v>#DIV/0!</v>
      </c>
      <c r="N8" s="575" t="e">
        <f t="shared" si="10"/>
        <v>#DIV/0!</v>
      </c>
      <c r="O8" s="566"/>
      <c r="P8" s="3"/>
      <c r="Q8" s="3"/>
      <c r="R8" s="575" t="e">
        <f t="shared" ref="R8:S8" si="11">+R7/R6</f>
        <v>#DIV/0!</v>
      </c>
      <c r="S8" s="575" t="e">
        <f t="shared" si="11"/>
        <v>#DIV/0!</v>
      </c>
      <c r="T8" s="566"/>
      <c r="U8" s="3"/>
      <c r="V8" s="3"/>
      <c r="W8" s="3"/>
      <c r="X8" s="3"/>
      <c r="Y8" s="3"/>
      <c r="Z8" s="3"/>
    </row>
    <row r="9" spans="1:26" ht="14.5">
      <c r="A9" s="3"/>
      <c r="B9" s="558" t="s">
        <v>657</v>
      </c>
      <c r="C9" s="3"/>
      <c r="D9" s="566"/>
      <c r="E9" s="566"/>
      <c r="F9" s="3"/>
      <c r="G9" s="558" t="s">
        <v>657</v>
      </c>
      <c r="H9" s="576"/>
      <c r="I9" s="566"/>
      <c r="J9" s="566"/>
      <c r="K9" s="3"/>
      <c r="L9" s="558" t="s">
        <v>657</v>
      </c>
      <c r="M9" s="566"/>
      <c r="N9" s="567"/>
      <c r="O9" s="566"/>
      <c r="P9" s="3"/>
      <c r="Q9" s="558" t="s">
        <v>658</v>
      </c>
      <c r="R9" s="3"/>
      <c r="S9" s="566"/>
      <c r="T9" s="566"/>
      <c r="U9" s="3"/>
      <c r="V9" s="3"/>
      <c r="W9" s="3"/>
      <c r="X9" s="3"/>
      <c r="Y9" s="3"/>
      <c r="Z9" s="3"/>
    </row>
    <row r="10" spans="1:26" ht="14.5">
      <c r="A10" s="3"/>
      <c r="B10" s="133" t="s">
        <v>659</v>
      </c>
      <c r="C10" s="577">
        <f t="shared" ref="C10:D10" si="12">+C5</f>
        <v>40</v>
      </c>
      <c r="D10" s="561">
        <f t="shared" si="12"/>
        <v>2883.7730000000001</v>
      </c>
      <c r="E10" s="566">
        <f>+C10*D10</f>
        <v>115350.92000000001</v>
      </c>
      <c r="F10" s="3"/>
      <c r="G10" s="133" t="s">
        <v>660</v>
      </c>
      <c r="H10" s="577">
        <f t="shared" ref="H10:I10" si="13">+H5</f>
        <v>27</v>
      </c>
      <c r="I10" s="561">
        <f t="shared" si="13"/>
        <v>1889.449629629629</v>
      </c>
      <c r="J10" s="566">
        <f>+H10*I10</f>
        <v>51015.139999999985</v>
      </c>
      <c r="K10" s="3"/>
      <c r="L10" s="133" t="s">
        <v>661</v>
      </c>
      <c r="M10" s="561">
        <f t="shared" ref="M10:N10" si="14">+M5</f>
        <v>256200.31999999998</v>
      </c>
      <c r="N10" s="562">
        <f t="shared" si="14"/>
        <v>0.69688578062665973</v>
      </c>
      <c r="O10" s="566">
        <f>+M10*N10</f>
        <v>178542.36000000002</v>
      </c>
      <c r="P10" s="3"/>
      <c r="Q10" s="133" t="s">
        <v>662</v>
      </c>
      <c r="R10" s="578">
        <f t="shared" ref="R10:S10" si="15">+R5</f>
        <v>691</v>
      </c>
      <c r="S10" s="561">
        <f t="shared" si="15"/>
        <v>332.65697539797389</v>
      </c>
      <c r="T10" s="566">
        <f>+R10*S10</f>
        <v>229865.96999999997</v>
      </c>
      <c r="U10" s="3"/>
      <c r="V10" s="3"/>
      <c r="W10" s="3"/>
      <c r="X10" s="3"/>
      <c r="Y10" s="3"/>
      <c r="Z10" s="3"/>
    </row>
    <row r="11" spans="1:26" ht="14.5">
      <c r="A11" s="3"/>
      <c r="B11" s="133" t="s">
        <v>663</v>
      </c>
      <c r="C11" s="577">
        <f>+C5</f>
        <v>40</v>
      </c>
      <c r="D11" s="566" t="e">
        <f>+D6</f>
        <v>#DIV/0!</v>
      </c>
      <c r="E11" s="566" t="e">
        <f>C11*D11</f>
        <v>#DIV/0!</v>
      </c>
      <c r="F11" s="3"/>
      <c r="G11" s="133" t="s">
        <v>663</v>
      </c>
      <c r="H11" s="577">
        <f>+H5</f>
        <v>27</v>
      </c>
      <c r="I11" s="566" t="e">
        <f>+I6</f>
        <v>#DIV/0!</v>
      </c>
      <c r="J11" s="566" t="e">
        <f>H11*I11</f>
        <v>#DIV/0!</v>
      </c>
      <c r="K11" s="3"/>
      <c r="L11" s="133" t="s">
        <v>663</v>
      </c>
      <c r="M11" s="561">
        <f>+M5</f>
        <v>256200.31999999998</v>
      </c>
      <c r="N11" s="567" t="e">
        <f>+N6</f>
        <v>#DIV/0!</v>
      </c>
      <c r="O11" s="566" t="e">
        <f>M11*N11</f>
        <v>#DIV/0!</v>
      </c>
      <c r="P11" s="3"/>
      <c r="Q11" s="133" t="s">
        <v>664</v>
      </c>
      <c r="R11" s="578">
        <f>+R5</f>
        <v>691</v>
      </c>
      <c r="S11" s="566" t="e">
        <f>+S6</f>
        <v>#DIV/0!</v>
      </c>
      <c r="T11" s="566" t="e">
        <f>R11*S11</f>
        <v>#DIV/0!</v>
      </c>
      <c r="U11" s="3"/>
      <c r="V11" s="3"/>
      <c r="W11" s="3"/>
      <c r="X11" s="3"/>
      <c r="Y11" s="3"/>
      <c r="Z11" s="3"/>
    </row>
    <row r="12" spans="1:26" ht="14.5">
      <c r="A12" s="3"/>
      <c r="B12" s="133" t="s">
        <v>657</v>
      </c>
      <c r="C12" s="569">
        <f t="shared" ref="C12:E12" si="16">+C10-C11</f>
        <v>0</v>
      </c>
      <c r="D12" s="570" t="e">
        <f t="shared" si="16"/>
        <v>#DIV/0!</v>
      </c>
      <c r="E12" s="571" t="e">
        <f t="shared" si="16"/>
        <v>#DIV/0!</v>
      </c>
      <c r="F12" s="3"/>
      <c r="G12" s="133" t="s">
        <v>657</v>
      </c>
      <c r="H12" s="569">
        <f t="shared" ref="H12:J12" si="17">+H10-H11</f>
        <v>0</v>
      </c>
      <c r="I12" s="570" t="e">
        <f t="shared" si="17"/>
        <v>#DIV/0!</v>
      </c>
      <c r="J12" s="571" t="e">
        <f t="shared" si="17"/>
        <v>#DIV/0!</v>
      </c>
      <c r="K12" s="3"/>
      <c r="L12" s="133" t="s">
        <v>657</v>
      </c>
      <c r="M12" s="570">
        <f t="shared" ref="M12:O12" si="18">+M10-M11</f>
        <v>0</v>
      </c>
      <c r="N12" s="572" t="e">
        <f t="shared" si="18"/>
        <v>#DIV/0!</v>
      </c>
      <c r="O12" s="571" t="e">
        <f t="shared" si="18"/>
        <v>#DIV/0!</v>
      </c>
      <c r="P12" s="3"/>
      <c r="Q12" s="133" t="s">
        <v>658</v>
      </c>
      <c r="R12" s="573">
        <f t="shared" ref="R12:T12" si="19">+R10-R11</f>
        <v>0</v>
      </c>
      <c r="S12" s="570" t="e">
        <f t="shared" si="19"/>
        <v>#DIV/0!</v>
      </c>
      <c r="T12" s="574" t="e">
        <f t="shared" si="19"/>
        <v>#DIV/0!</v>
      </c>
      <c r="U12" s="3"/>
      <c r="V12" s="3"/>
      <c r="W12" s="3"/>
      <c r="X12" s="3"/>
      <c r="Y12" s="3"/>
      <c r="Z12" s="3"/>
    </row>
    <row r="13" spans="1:26" ht="14.5">
      <c r="A13" s="3"/>
      <c r="B13" s="133"/>
      <c r="C13" s="576"/>
      <c r="D13" s="566"/>
      <c r="E13" s="566"/>
      <c r="F13" s="3"/>
      <c r="G13" s="133"/>
      <c r="H13" s="576"/>
      <c r="I13" s="566"/>
      <c r="J13" s="566"/>
      <c r="K13" s="3"/>
      <c r="L13" s="133"/>
      <c r="M13" s="566"/>
      <c r="N13" s="567"/>
      <c r="O13" s="566"/>
      <c r="P13" s="3"/>
      <c r="Q13" s="133"/>
      <c r="R13" s="3"/>
      <c r="S13" s="566"/>
      <c r="T13" s="566"/>
      <c r="U13" s="3"/>
      <c r="V13" s="3"/>
      <c r="W13" s="3"/>
      <c r="X13" s="3"/>
      <c r="Y13" s="3"/>
      <c r="Z13" s="3"/>
    </row>
    <row r="14" spans="1:26" ht="14.5">
      <c r="A14" s="3"/>
      <c r="B14" s="558" t="s">
        <v>665</v>
      </c>
      <c r="C14" s="576"/>
      <c r="D14" s="566"/>
      <c r="E14" s="566"/>
      <c r="F14" s="3"/>
      <c r="G14" s="558" t="s">
        <v>665</v>
      </c>
      <c r="H14" s="576"/>
      <c r="I14" s="566"/>
      <c r="J14" s="566"/>
      <c r="K14" s="3"/>
      <c r="L14" s="558" t="s">
        <v>665</v>
      </c>
      <c r="M14" s="566"/>
      <c r="N14" s="567"/>
      <c r="O14" s="566"/>
      <c r="P14" s="3"/>
      <c r="Q14" s="558" t="s">
        <v>665</v>
      </c>
      <c r="R14" s="3"/>
      <c r="S14" s="566"/>
      <c r="T14" s="566"/>
      <c r="U14" s="3"/>
      <c r="V14" s="3"/>
      <c r="W14" s="3"/>
      <c r="X14" s="3"/>
      <c r="Y14" s="3"/>
      <c r="Z14" s="3"/>
    </row>
    <row r="15" spans="1:26" ht="14.5">
      <c r="A15" s="3"/>
      <c r="B15" s="133" t="s">
        <v>666</v>
      </c>
      <c r="C15" s="577">
        <f t="shared" ref="C15:C16" si="20">+C5</f>
        <v>40</v>
      </c>
      <c r="D15" s="566" t="e">
        <f>+D6</f>
        <v>#DIV/0!</v>
      </c>
      <c r="E15" s="566" t="e">
        <f>+C15*D15</f>
        <v>#DIV/0!</v>
      </c>
      <c r="F15" s="3"/>
      <c r="G15" s="133" t="s">
        <v>667</v>
      </c>
      <c r="H15" s="577">
        <f t="shared" ref="H15:H16" si="21">+H5</f>
        <v>27</v>
      </c>
      <c r="I15" s="566" t="e">
        <f>+I6</f>
        <v>#DIV/0!</v>
      </c>
      <c r="J15" s="566" t="e">
        <f>+H15*I15</f>
        <v>#DIV/0!</v>
      </c>
      <c r="K15" s="3"/>
      <c r="L15" s="133" t="s">
        <v>668</v>
      </c>
      <c r="M15" s="561">
        <f t="shared" ref="M15:M16" si="22">+M5</f>
        <v>256200.31999999998</v>
      </c>
      <c r="N15" s="567" t="e">
        <f>+N6</f>
        <v>#DIV/0!</v>
      </c>
      <c r="O15" s="566" t="e">
        <f>+M15*N15</f>
        <v>#DIV/0!</v>
      </c>
      <c r="P15" s="3"/>
      <c r="Q15" s="133" t="s">
        <v>669</v>
      </c>
      <c r="R15" s="578">
        <f t="shared" ref="R15:R16" si="23">+R5</f>
        <v>691</v>
      </c>
      <c r="S15" s="566" t="e">
        <f>+S6</f>
        <v>#DIV/0!</v>
      </c>
      <c r="T15" s="566" t="e">
        <f>+R15*S15</f>
        <v>#DIV/0!</v>
      </c>
      <c r="U15" s="3"/>
      <c r="V15" s="3"/>
      <c r="W15" s="3"/>
      <c r="X15" s="3"/>
      <c r="Y15" s="3"/>
      <c r="Z15" s="3"/>
    </row>
    <row r="16" spans="1:26" ht="14.5">
      <c r="A16" s="3"/>
      <c r="B16" s="133" t="s">
        <v>670</v>
      </c>
      <c r="C16" s="579">
        <f t="shared" si="20"/>
        <v>0</v>
      </c>
      <c r="D16" s="566" t="e">
        <f>+D6</f>
        <v>#DIV/0!</v>
      </c>
      <c r="E16" s="566" t="e">
        <f>C16*D16</f>
        <v>#DIV/0!</v>
      </c>
      <c r="F16" s="3"/>
      <c r="G16" s="133" t="s">
        <v>670</v>
      </c>
      <c r="H16" s="579">
        <f t="shared" si="21"/>
        <v>0</v>
      </c>
      <c r="I16" s="566" t="e">
        <f>+I6</f>
        <v>#DIV/0!</v>
      </c>
      <c r="J16" s="566" t="e">
        <f>H16*I16</f>
        <v>#DIV/0!</v>
      </c>
      <c r="K16" s="3"/>
      <c r="L16" s="133" t="s">
        <v>670</v>
      </c>
      <c r="M16" s="566">
        <f t="shared" si="22"/>
        <v>0</v>
      </c>
      <c r="N16" s="567" t="e">
        <f>+N6</f>
        <v>#DIV/0!</v>
      </c>
      <c r="O16" s="566" t="e">
        <f>M16*N16</f>
        <v>#DIV/0!</v>
      </c>
      <c r="P16" s="3"/>
      <c r="Q16" s="133" t="s">
        <v>670</v>
      </c>
      <c r="R16" s="580">
        <f t="shared" si="23"/>
        <v>0</v>
      </c>
      <c r="S16" s="566" t="e">
        <f>+S6</f>
        <v>#DIV/0!</v>
      </c>
      <c r="T16" s="566" t="e">
        <f>R16*S16</f>
        <v>#DIV/0!</v>
      </c>
      <c r="U16" s="3"/>
      <c r="V16" s="3"/>
      <c r="W16" s="3"/>
      <c r="X16" s="3"/>
      <c r="Y16" s="3"/>
      <c r="Z16" s="3"/>
    </row>
    <row r="17" spans="1:26" ht="14.5">
      <c r="A17" s="3"/>
      <c r="B17" s="133" t="s">
        <v>665</v>
      </c>
      <c r="C17" s="569">
        <f t="shared" ref="C17:E17" si="24">+C15-C16</f>
        <v>40</v>
      </c>
      <c r="D17" s="570" t="e">
        <f t="shared" si="24"/>
        <v>#DIV/0!</v>
      </c>
      <c r="E17" s="571" t="e">
        <f t="shared" si="24"/>
        <v>#DIV/0!</v>
      </c>
      <c r="F17" s="3"/>
      <c r="G17" s="133" t="s">
        <v>665</v>
      </c>
      <c r="H17" s="569">
        <f t="shared" ref="H17:J17" si="25">+H15-H16</f>
        <v>27</v>
      </c>
      <c r="I17" s="570" t="e">
        <f t="shared" si="25"/>
        <v>#DIV/0!</v>
      </c>
      <c r="J17" s="571" t="e">
        <f t="shared" si="25"/>
        <v>#DIV/0!</v>
      </c>
      <c r="K17" s="3"/>
      <c r="L17" s="133" t="s">
        <v>665</v>
      </c>
      <c r="M17" s="570">
        <f t="shared" ref="M17:O17" si="26">+M15-M16</f>
        <v>256200.31999999998</v>
      </c>
      <c r="N17" s="572" t="e">
        <f t="shared" si="26"/>
        <v>#DIV/0!</v>
      </c>
      <c r="O17" s="571" t="e">
        <f t="shared" si="26"/>
        <v>#DIV/0!</v>
      </c>
      <c r="P17" s="3"/>
      <c r="Q17" s="133" t="s">
        <v>665</v>
      </c>
      <c r="R17" s="573">
        <f t="shared" ref="R17:T17" si="27">+R15-R16</f>
        <v>691</v>
      </c>
      <c r="S17" s="570" t="e">
        <f t="shared" si="27"/>
        <v>#DIV/0!</v>
      </c>
      <c r="T17" s="574" t="e">
        <f t="shared" si="27"/>
        <v>#DIV/0!</v>
      </c>
      <c r="U17" s="3"/>
      <c r="V17" s="3"/>
      <c r="W17" s="3"/>
      <c r="X17" s="3"/>
      <c r="Y17" s="3"/>
      <c r="Z17" s="3"/>
    </row>
    <row r="18" spans="1:26" ht="14.5">
      <c r="A18" s="3"/>
      <c r="B18" s="3"/>
      <c r="C18" s="576"/>
      <c r="D18" s="566"/>
      <c r="E18" s="581" t="e">
        <f>+E7-E12-E17</f>
        <v>#DIV/0!</v>
      </c>
      <c r="F18" s="3"/>
      <c r="G18" s="3"/>
      <c r="H18" s="576"/>
      <c r="I18" s="566"/>
      <c r="J18" s="581" t="e">
        <f>+J7-J12-J17</f>
        <v>#DIV/0!</v>
      </c>
      <c r="K18" s="3"/>
      <c r="L18" s="3"/>
      <c r="M18" s="566"/>
      <c r="N18" s="567"/>
      <c r="O18" s="581" t="e">
        <f>+O7-O12-O17</f>
        <v>#DIV/0!</v>
      </c>
      <c r="P18" s="3"/>
      <c r="Q18" s="3"/>
      <c r="R18" s="3"/>
      <c r="S18" s="566"/>
      <c r="T18" s="581" t="e">
        <f>+T7-T12-T17</f>
        <v>#DIV/0!</v>
      </c>
      <c r="U18" s="3"/>
      <c r="V18" s="3"/>
      <c r="W18" s="3"/>
      <c r="X18" s="3"/>
      <c r="Y18" s="3"/>
      <c r="Z18" s="3"/>
    </row>
    <row r="19" spans="1:26" ht="14.5">
      <c r="A19" s="3"/>
      <c r="B19" s="582" t="s">
        <v>671</v>
      </c>
      <c r="C19" s="576"/>
      <c r="D19" s="566"/>
      <c r="E19" s="566"/>
      <c r="F19" s="3"/>
      <c r="G19" s="582" t="s">
        <v>671</v>
      </c>
      <c r="H19" s="576"/>
      <c r="I19" s="566"/>
      <c r="J19" s="566"/>
      <c r="K19" s="3"/>
      <c r="L19" s="582" t="s">
        <v>671</v>
      </c>
      <c r="M19" s="566"/>
      <c r="N19" s="567"/>
      <c r="O19" s="566"/>
      <c r="P19" s="3"/>
      <c r="Q19" s="582" t="s">
        <v>671</v>
      </c>
      <c r="R19" s="3"/>
      <c r="S19" s="566"/>
      <c r="T19" s="566"/>
      <c r="U19" s="3"/>
      <c r="V19" s="3"/>
      <c r="W19" s="3"/>
      <c r="X19" s="3"/>
      <c r="Y19" s="3"/>
      <c r="Z19" s="3"/>
    </row>
    <row r="20" spans="1:26" ht="14.5">
      <c r="A20" s="3"/>
      <c r="B20" s="133" t="s">
        <v>672</v>
      </c>
      <c r="C20" s="579">
        <f t="shared" ref="C20:D20" si="28">MAX(C5:C6)</f>
        <v>40</v>
      </c>
      <c r="D20" s="566" t="e">
        <f t="shared" si="28"/>
        <v>#DIV/0!</v>
      </c>
      <c r="E20" s="566" t="e">
        <f>+C20*D20</f>
        <v>#DIV/0!</v>
      </c>
      <c r="F20" s="3"/>
      <c r="G20" s="133" t="s">
        <v>672</v>
      </c>
      <c r="H20" s="579">
        <f t="shared" ref="H20:I20" si="29">MAX(H5:H6)</f>
        <v>27</v>
      </c>
      <c r="I20" s="566" t="e">
        <f t="shared" si="29"/>
        <v>#DIV/0!</v>
      </c>
      <c r="J20" s="566" t="e">
        <f>+H20*I20</f>
        <v>#DIV/0!</v>
      </c>
      <c r="K20" s="3"/>
      <c r="L20" s="133" t="s">
        <v>672</v>
      </c>
      <c r="M20" s="566">
        <f t="shared" ref="M20:N20" si="30">MAX(M5:M6)</f>
        <v>256200.31999999998</v>
      </c>
      <c r="N20" s="567" t="e">
        <f t="shared" si="30"/>
        <v>#DIV/0!</v>
      </c>
      <c r="O20" s="566" t="e">
        <f>+M20*N20</f>
        <v>#DIV/0!</v>
      </c>
      <c r="P20" s="3"/>
      <c r="Q20" s="133" t="s">
        <v>672</v>
      </c>
      <c r="R20" s="580">
        <f t="shared" ref="R20:S20" si="31">MAX(R5:R6)</f>
        <v>691</v>
      </c>
      <c r="S20" s="566" t="e">
        <f t="shared" si="31"/>
        <v>#DIV/0!</v>
      </c>
      <c r="T20" s="566" t="e">
        <f>+R20*S20</f>
        <v>#DIV/0!</v>
      </c>
      <c r="U20" s="3"/>
      <c r="V20" s="3"/>
      <c r="W20" s="3"/>
      <c r="X20" s="3"/>
      <c r="Y20" s="3"/>
      <c r="Z20" s="3"/>
    </row>
    <row r="21" spans="1:26" ht="15.75" customHeight="1">
      <c r="A21" s="3"/>
      <c r="B21" s="133" t="s">
        <v>274</v>
      </c>
      <c r="C21" s="579"/>
      <c r="D21" s="566"/>
      <c r="E21" s="583" t="e">
        <f>AVERAGE(E20,E22)</f>
        <v>#DIV/0!</v>
      </c>
      <c r="F21" s="3"/>
      <c r="G21" s="133" t="s">
        <v>274</v>
      </c>
      <c r="H21" s="579"/>
      <c r="I21" s="566"/>
      <c r="J21" s="583" t="e">
        <f>AVERAGE(J20,J22)</f>
        <v>#DIV/0!</v>
      </c>
      <c r="K21" s="3"/>
      <c r="L21" s="133" t="s">
        <v>274</v>
      </c>
      <c r="M21" s="566"/>
      <c r="N21" s="567"/>
      <c r="O21" s="583" t="e">
        <f>AVERAGE(O20,O22)</f>
        <v>#DIV/0!</v>
      </c>
      <c r="P21" s="3"/>
      <c r="Q21" s="133" t="s">
        <v>274</v>
      </c>
      <c r="R21" s="580"/>
      <c r="S21" s="566"/>
      <c r="T21" s="583" t="e">
        <f>AVERAGE(T20,T22)</f>
        <v>#DIV/0!</v>
      </c>
      <c r="U21" s="3"/>
      <c r="V21" s="3"/>
      <c r="W21" s="3"/>
      <c r="X21" s="3"/>
      <c r="Y21" s="3"/>
      <c r="Z21" s="3"/>
    </row>
    <row r="22" spans="1:26" ht="15.75" customHeight="1">
      <c r="A22" s="3"/>
      <c r="B22" s="133" t="s">
        <v>673</v>
      </c>
      <c r="C22" s="579">
        <f t="shared" ref="C22:D22" si="32">MIN(C5:C6)</f>
        <v>0</v>
      </c>
      <c r="D22" s="566" t="e">
        <f t="shared" si="32"/>
        <v>#DIV/0!</v>
      </c>
      <c r="E22" s="566" t="e">
        <f>+C22*D22</f>
        <v>#DIV/0!</v>
      </c>
      <c r="F22" s="3"/>
      <c r="G22" s="133" t="s">
        <v>673</v>
      </c>
      <c r="H22" s="579">
        <f t="shared" ref="H22:I22" si="33">MIN(H5:H6)</f>
        <v>0</v>
      </c>
      <c r="I22" s="566" t="e">
        <f t="shared" si="33"/>
        <v>#DIV/0!</v>
      </c>
      <c r="J22" s="566" t="e">
        <f>+H22*I22</f>
        <v>#DIV/0!</v>
      </c>
      <c r="K22" s="3"/>
      <c r="L22" s="133" t="s">
        <v>673</v>
      </c>
      <c r="M22" s="566">
        <f t="shared" ref="M22:N22" si="34">MIN(M5:M6)</f>
        <v>0</v>
      </c>
      <c r="N22" s="567" t="e">
        <f t="shared" si="34"/>
        <v>#DIV/0!</v>
      </c>
      <c r="O22" s="566" t="e">
        <f>+M22*N22</f>
        <v>#DIV/0!</v>
      </c>
      <c r="P22" s="3"/>
      <c r="Q22" s="133" t="s">
        <v>673</v>
      </c>
      <c r="R22" s="580">
        <f t="shared" ref="R22:S22" si="35">MIN(R5:R6)</f>
        <v>0</v>
      </c>
      <c r="S22" s="566" t="e">
        <f t="shared" si="35"/>
        <v>#DIV/0!</v>
      </c>
      <c r="T22" s="566" t="e">
        <f>+R22*S22</f>
        <v>#DIV/0!</v>
      </c>
      <c r="U22" s="3"/>
      <c r="V22" s="3"/>
      <c r="W22" s="3"/>
      <c r="X22" s="3"/>
      <c r="Y22" s="3"/>
      <c r="Z22" s="3"/>
    </row>
    <row r="23" spans="1:26" ht="15.75" customHeight="1">
      <c r="A23" s="3"/>
      <c r="B23" s="133" t="s">
        <v>674</v>
      </c>
      <c r="C23" s="569">
        <f t="shared" ref="C23:E23" si="36">+C20-C22</f>
        <v>40</v>
      </c>
      <c r="D23" s="570" t="e">
        <f t="shared" si="36"/>
        <v>#DIV/0!</v>
      </c>
      <c r="E23" s="570" t="e">
        <f t="shared" si="36"/>
        <v>#DIV/0!</v>
      </c>
      <c r="F23" s="3"/>
      <c r="G23" s="133" t="s">
        <v>674</v>
      </c>
      <c r="H23" s="569">
        <f t="shared" ref="H23:J23" si="37">+H20-H22</f>
        <v>27</v>
      </c>
      <c r="I23" s="570" t="e">
        <f t="shared" si="37"/>
        <v>#DIV/0!</v>
      </c>
      <c r="J23" s="570" t="e">
        <f t="shared" si="37"/>
        <v>#DIV/0!</v>
      </c>
      <c r="K23" s="3"/>
      <c r="L23" s="133" t="s">
        <v>674</v>
      </c>
      <c r="M23" s="570">
        <f t="shared" ref="M23:O23" si="38">+M20-M22</f>
        <v>256200.31999999998</v>
      </c>
      <c r="N23" s="572" t="e">
        <f t="shared" si="38"/>
        <v>#DIV/0!</v>
      </c>
      <c r="O23" s="570" t="e">
        <f t="shared" si="38"/>
        <v>#DIV/0!</v>
      </c>
      <c r="P23" s="3"/>
      <c r="Q23" s="133" t="s">
        <v>674</v>
      </c>
      <c r="R23" s="573">
        <f t="shared" ref="R23:T23" si="39">+R20-R22</f>
        <v>691</v>
      </c>
      <c r="S23" s="570" t="e">
        <f t="shared" si="39"/>
        <v>#DIV/0!</v>
      </c>
      <c r="T23" s="570"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3" t="s">
        <v>675</v>
      </c>
      <c r="D25" s="3"/>
      <c r="E25" s="584" t="e">
        <f>+E5/E20</f>
        <v>#DIV/0!</v>
      </c>
      <c r="F25" s="3"/>
      <c r="G25" s="3"/>
      <c r="H25" s="133" t="s">
        <v>675</v>
      </c>
      <c r="I25" s="3"/>
      <c r="J25" s="584" t="e">
        <f>+J5/J20</f>
        <v>#DIV/0!</v>
      </c>
      <c r="K25" s="3"/>
      <c r="L25" s="3"/>
      <c r="M25" s="133" t="s">
        <v>675</v>
      </c>
      <c r="N25" s="3"/>
      <c r="O25" s="584" t="e">
        <f>+O5/O20</f>
        <v>#DIV/0!</v>
      </c>
      <c r="P25" s="3"/>
      <c r="Q25" s="584"/>
      <c r="R25" s="133" t="s">
        <v>675</v>
      </c>
      <c r="S25" s="3"/>
      <c r="T25" s="584" t="e">
        <f>+T5/T20</f>
        <v>#DIV/0!</v>
      </c>
      <c r="U25" s="3"/>
      <c r="V25" s="3"/>
      <c r="W25" s="3"/>
      <c r="X25" s="3"/>
      <c r="Y25" s="3"/>
      <c r="Z25" s="3"/>
    </row>
    <row r="26" spans="1:26" ht="15.75" customHeight="1">
      <c r="A26" s="3"/>
      <c r="B26" s="3"/>
      <c r="C26" s="133" t="s">
        <v>676</v>
      </c>
      <c r="D26" s="3"/>
      <c r="E26" s="567" t="e">
        <f>+E5/E21</f>
        <v>#DIV/0!</v>
      </c>
      <c r="F26" s="3"/>
      <c r="G26" s="3"/>
      <c r="H26" s="133" t="s">
        <v>676</v>
      </c>
      <c r="I26" s="3"/>
      <c r="J26" s="567" t="e">
        <f>+J5/J21</f>
        <v>#DIV/0!</v>
      </c>
      <c r="K26" s="3"/>
      <c r="L26" s="3"/>
      <c r="M26" s="133" t="s">
        <v>676</v>
      </c>
      <c r="N26" s="3"/>
      <c r="O26" s="567" t="e">
        <f>+O5/O21</f>
        <v>#DIV/0!</v>
      </c>
      <c r="P26" s="3"/>
      <c r="Q26" s="567"/>
      <c r="R26" s="133" t="s">
        <v>676</v>
      </c>
      <c r="S26" s="3"/>
      <c r="T26" s="567" t="e">
        <f>+T5/T21</f>
        <v>#DIV/0!</v>
      </c>
      <c r="U26" s="3"/>
      <c r="V26" s="3"/>
      <c r="W26" s="3"/>
      <c r="X26" s="3"/>
      <c r="Y26" s="3"/>
      <c r="Z26" s="3"/>
    </row>
    <row r="27" spans="1:26" ht="15.75" customHeight="1">
      <c r="A27" s="3"/>
      <c r="B27" s="3"/>
      <c r="C27" s="133" t="s">
        <v>677</v>
      </c>
      <c r="D27" s="3"/>
      <c r="E27" s="584" t="e">
        <f>+E5/E22</f>
        <v>#DIV/0!</v>
      </c>
      <c r="F27" s="3"/>
      <c r="G27" s="3"/>
      <c r="H27" s="133" t="s">
        <v>677</v>
      </c>
      <c r="I27" s="3"/>
      <c r="J27" s="584" t="e">
        <f>+J5/J22</f>
        <v>#DIV/0!</v>
      </c>
      <c r="K27" s="3"/>
      <c r="L27" s="3"/>
      <c r="M27" s="133" t="s">
        <v>677</v>
      </c>
      <c r="N27" s="3"/>
      <c r="O27" s="584" t="e">
        <f>+O5/O22</f>
        <v>#DIV/0!</v>
      </c>
      <c r="P27" s="3"/>
      <c r="Q27" s="584"/>
      <c r="R27" s="133" t="s">
        <v>677</v>
      </c>
      <c r="S27" s="3"/>
      <c r="T27" s="584" t="e">
        <f>+T5/T22</f>
        <v>#DIV/0!</v>
      </c>
      <c r="U27" s="3"/>
      <c r="V27" s="3"/>
      <c r="W27" s="3"/>
      <c r="X27" s="3"/>
      <c r="Y27" s="3"/>
      <c r="Z27" s="3"/>
    </row>
    <row r="28" spans="1:26" ht="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3" t="s">
        <v>678</v>
      </c>
      <c r="D29" s="3"/>
      <c r="E29" s="584" t="e">
        <f>+E27-E25</f>
        <v>#DIV/0!</v>
      </c>
      <c r="F29" s="33"/>
      <c r="G29" s="33"/>
      <c r="H29" s="133" t="s">
        <v>678</v>
      </c>
      <c r="I29" s="3"/>
      <c r="J29" s="584" t="e">
        <f>+J27-J25</f>
        <v>#DIV/0!</v>
      </c>
      <c r="K29" s="3"/>
      <c r="L29" s="3"/>
      <c r="M29" s="133" t="s">
        <v>678</v>
      </c>
      <c r="N29" s="3"/>
      <c r="O29" s="584" t="e">
        <f>+O27-O25</f>
        <v>#DIV/0!</v>
      </c>
      <c r="P29" s="3"/>
      <c r="Q29" s="33"/>
      <c r="R29" s="133" t="s">
        <v>678</v>
      </c>
      <c r="S29" s="3"/>
      <c r="T29" s="584"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585" t="s">
        <v>679</v>
      </c>
      <c r="C31" s="586"/>
      <c r="D31" s="587"/>
      <c r="E31" s="3"/>
      <c r="F31" s="3"/>
      <c r="G31" s="585" t="s">
        <v>679</v>
      </c>
      <c r="H31" s="586"/>
      <c r="I31" s="587"/>
      <c r="J31" s="3"/>
      <c r="K31" s="3"/>
      <c r="L31" s="3"/>
      <c r="M31" s="3"/>
      <c r="N31" s="3"/>
      <c r="O31" s="3"/>
      <c r="P31" s="3"/>
      <c r="Q31" s="3"/>
      <c r="R31" s="3"/>
      <c r="S31" s="3"/>
      <c r="T31" s="3"/>
      <c r="U31" s="3"/>
      <c r="V31" s="3"/>
      <c r="W31" s="3"/>
      <c r="X31" s="3"/>
      <c r="Y31" s="3"/>
      <c r="Z31" s="3"/>
    </row>
    <row r="32" spans="1:26" ht="15.75" customHeight="1">
      <c r="A32" s="3"/>
      <c r="B32" s="133" t="s">
        <v>680</v>
      </c>
      <c r="C32" s="588">
        <f>+C17</f>
        <v>40</v>
      </c>
      <c r="D32" s="566">
        <f t="shared" ref="D32:D33" si="40">+E32/C32</f>
        <v>-731.52343769961919</v>
      </c>
      <c r="E32" s="566">
        <f>+Print_Mois!N78</f>
        <v>-29260.937507984767</v>
      </c>
      <c r="F32" s="3"/>
      <c r="G32" s="3"/>
      <c r="H32" s="576"/>
      <c r="I32" s="566"/>
      <c r="J32" s="566"/>
      <c r="K32" s="3"/>
      <c r="L32" s="3"/>
      <c r="M32" s="3"/>
      <c r="N32" s="3"/>
      <c r="O32" s="3"/>
      <c r="P32" s="3"/>
      <c r="Q32" s="3"/>
      <c r="R32" s="3"/>
      <c r="S32" s="3"/>
      <c r="T32" s="3"/>
      <c r="U32" s="3"/>
      <c r="V32" s="3"/>
      <c r="W32" s="3"/>
      <c r="X32" s="3"/>
      <c r="Y32" s="3"/>
      <c r="Z32" s="3"/>
    </row>
    <row r="33" spans="1:26" ht="15.75" customHeight="1">
      <c r="A33" s="3"/>
      <c r="B33" s="133" t="s">
        <v>681</v>
      </c>
      <c r="C33" s="588">
        <f>+C17</f>
        <v>40</v>
      </c>
      <c r="D33" s="566">
        <f t="shared" si="40"/>
        <v>-253.4187499999999</v>
      </c>
      <c r="E33" s="566">
        <f>+Print_Mois!N82</f>
        <v>-10136.749999999996</v>
      </c>
      <c r="F33" s="3"/>
      <c r="G33" s="133" t="s">
        <v>681</v>
      </c>
      <c r="H33" s="588">
        <f>+H17</f>
        <v>27</v>
      </c>
      <c r="I33" s="566">
        <f>+J33/H33</f>
        <v>-46.972222222222221</v>
      </c>
      <c r="J33" s="566">
        <f>+Print_Mois!N159</f>
        <v>-1268.25</v>
      </c>
      <c r="K33" s="3"/>
      <c r="L33" s="3"/>
      <c r="M33" s="3"/>
      <c r="N33" s="3"/>
      <c r="O33" s="3"/>
      <c r="P33" s="3"/>
      <c r="Q33" s="3"/>
      <c r="R33" s="3"/>
      <c r="S33" s="3"/>
      <c r="T33" s="3"/>
      <c r="U33" s="3"/>
      <c r="V33" s="3"/>
      <c r="W33" s="3"/>
      <c r="X33" s="3"/>
      <c r="Y33" s="3"/>
      <c r="Z33" s="3"/>
    </row>
    <row r="34" spans="1:26" ht="15.75" customHeight="1">
      <c r="A34" s="3"/>
      <c r="B34" s="3"/>
      <c r="C34" s="3"/>
      <c r="D34" s="3"/>
      <c r="E34" s="570">
        <f>SUM(E32:E33)</f>
        <v>-39397.687507984767</v>
      </c>
      <c r="F34" s="3"/>
      <c r="G34" s="3"/>
      <c r="H34" s="3"/>
      <c r="I34" s="3"/>
      <c r="J34" s="570">
        <f>SUM(J32:J33)</f>
        <v>-1268.25</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576"/>
      <c r="I35" s="566"/>
      <c r="J35" s="566"/>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39370078740157483" bottom="0.47244094488188981" header="0" footer="0"/>
  <pageSetup scale="58" fitToHeight="0" orientation="landscape" r:id="rId1"/>
  <headerFooter>
    <oddFooter>&amp;L&amp;F // &amp;A</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BJ699"/>
  <sheetViews>
    <sheetView topLeftCell="V475" zoomScale="80" zoomScaleNormal="80" workbookViewId="0">
      <selection activeCell="AH506" sqref="AH506"/>
    </sheetView>
  </sheetViews>
  <sheetFormatPr baseColWidth="10" defaultColWidth="12.58203125" defaultRowHeight="15" customHeight="1"/>
  <cols>
    <col min="1" max="1" width="24.08203125" hidden="1" customWidth="1"/>
    <col min="2" max="2" width="36" hidden="1" customWidth="1"/>
    <col min="3" max="3" width="34.58203125" customWidth="1"/>
    <col min="4" max="4" width="16.4140625" customWidth="1"/>
    <col min="5" max="5" width="15.58203125" customWidth="1"/>
    <col min="6" max="6" width="16.9140625" customWidth="1"/>
    <col min="7" max="7" width="17.6640625" hidden="1" customWidth="1"/>
    <col min="8" max="8" width="15.58203125" hidden="1" customWidth="1"/>
    <col min="9" max="9" width="15.9140625" hidden="1" customWidth="1"/>
    <col min="10" max="10" width="16.6640625" customWidth="1"/>
    <col min="11" max="11" width="16.4140625" customWidth="1"/>
    <col min="12" max="12" width="15.9140625" customWidth="1"/>
    <col min="13" max="13" width="12" customWidth="1"/>
    <col min="14" max="14" width="18.58203125" customWidth="1"/>
    <col min="15" max="15" width="16.4140625" customWidth="1"/>
    <col min="16" max="16" width="15.58203125" customWidth="1"/>
    <col min="17" max="17" width="16.4140625" customWidth="1"/>
    <col min="18" max="18" width="14.5" customWidth="1"/>
    <col min="19" max="19" width="21.4140625" customWidth="1"/>
    <col min="20" max="20" width="3" customWidth="1"/>
    <col min="21" max="21" width="30.9140625" bestFit="1" customWidth="1"/>
    <col min="22" max="22" width="28.6640625" customWidth="1"/>
    <col min="23" max="24" width="12.1640625" customWidth="1"/>
    <col min="25" max="25" width="12.5" customWidth="1"/>
    <col min="26" max="26" width="17.4140625" customWidth="1"/>
    <col min="27" max="27" width="10.9140625" hidden="1" customWidth="1"/>
    <col min="28" max="28" width="10" hidden="1" customWidth="1"/>
    <col min="29" max="29" width="17.5" hidden="1" customWidth="1"/>
    <col min="30" max="30" width="13.9140625" customWidth="1"/>
    <col min="31" max="31" width="15.4140625" customWidth="1"/>
    <col min="32" max="32" width="18.9140625" customWidth="1"/>
    <col min="33" max="33" width="13.9140625" bestFit="1" customWidth="1"/>
    <col min="34" max="34" width="16.1640625" customWidth="1"/>
    <col min="35" max="35" width="15" customWidth="1"/>
    <col min="36" max="37" width="13.08203125" customWidth="1"/>
    <col min="38" max="38" width="17.5" customWidth="1"/>
    <col min="39" max="39" width="10.9140625" customWidth="1"/>
    <col min="40" max="40" width="16" customWidth="1"/>
    <col min="41" max="41" width="12.4140625" customWidth="1"/>
    <col min="42" max="42" width="11" customWidth="1"/>
    <col min="43" max="43" width="15.6640625" customWidth="1"/>
    <col min="44" max="44" width="19.9140625" customWidth="1"/>
    <col min="45" max="62" width="11" customWidth="1"/>
  </cols>
  <sheetData>
    <row r="1" spans="1:40" ht="35">
      <c r="B1" s="36"/>
      <c r="C1" s="947" t="str">
        <f>Parametres!B1</f>
        <v>Volks</v>
      </c>
      <c r="D1" s="232"/>
      <c r="E1" s="232"/>
      <c r="F1" s="232"/>
      <c r="G1" s="232"/>
      <c r="H1" s="36"/>
      <c r="I1" s="232"/>
      <c r="J1" s="36"/>
      <c r="K1" s="9" t="s">
        <v>92</v>
      </c>
      <c r="L1" s="232"/>
      <c r="M1" s="232"/>
      <c r="N1" s="234"/>
      <c r="O1" s="957"/>
      <c r="P1" s="956"/>
      <c r="Q1" s="957"/>
      <c r="R1" s="956"/>
      <c r="S1" s="959" t="str">
        <f>CONCATENATE("Réalisé AAJ,"," ",Parametres!B3," ",Parametres!B4)</f>
        <v>Réalisé AAJ, Février 2025</v>
      </c>
      <c r="T1" s="232"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5" t="s">
        <v>338</v>
      </c>
      <c r="E2" s="235" t="s">
        <v>339</v>
      </c>
      <c r="F2" s="235" t="s">
        <v>340</v>
      </c>
      <c r="G2" s="235"/>
      <c r="H2" s="235"/>
      <c r="I2" s="235"/>
      <c r="J2" s="235" t="s">
        <v>341</v>
      </c>
      <c r="K2" s="235"/>
      <c r="L2" s="235" t="s">
        <v>303</v>
      </c>
      <c r="M2" s="38"/>
      <c r="N2" s="38"/>
      <c r="O2" s="235" t="s">
        <v>338</v>
      </c>
      <c r="P2" s="235" t="s">
        <v>339</v>
      </c>
      <c r="Q2" s="235" t="s">
        <v>340</v>
      </c>
      <c r="R2" s="38"/>
      <c r="S2" s="38"/>
      <c r="T2" s="38"/>
      <c r="U2" s="38"/>
      <c r="X2" s="235" t="s">
        <v>338</v>
      </c>
      <c r="Y2" s="235" t="s">
        <v>339</v>
      </c>
      <c r="Z2" s="235" t="s">
        <v>340</v>
      </c>
      <c r="AC2" s="5"/>
      <c r="AJ2" s="235" t="s">
        <v>338</v>
      </c>
      <c r="AK2" s="235" t="s">
        <v>339</v>
      </c>
      <c r="AL2" s="235" t="s">
        <v>340</v>
      </c>
    </row>
    <row r="3" spans="1:40" ht="20">
      <c r="B3" s="41"/>
      <c r="C3" s="238"/>
      <c r="D3" s="1239" t="s">
        <v>343</v>
      </c>
      <c r="E3" s="1240"/>
      <c r="F3" s="1241"/>
      <c r="G3" s="1242"/>
      <c r="H3" s="1240"/>
      <c r="I3" s="1241"/>
      <c r="J3" s="1242" t="s">
        <v>344</v>
      </c>
      <c r="K3" s="1240"/>
      <c r="L3" s="1241"/>
      <c r="M3" s="1242" t="s">
        <v>3310</v>
      </c>
      <c r="N3" s="1241"/>
      <c r="O3" s="1239" t="s">
        <v>345</v>
      </c>
      <c r="P3" s="1240"/>
      <c r="Q3" s="1241"/>
      <c r="R3" s="1243" t="s">
        <v>3312</v>
      </c>
      <c r="S3" s="1244"/>
      <c r="T3" s="41"/>
      <c r="U3" s="41"/>
      <c r="V3" s="5" t="s">
        <v>347</v>
      </c>
      <c r="W3" s="599">
        <v>0.45</v>
      </c>
      <c r="X3" s="41"/>
      <c r="Y3" s="41"/>
      <c r="Z3" s="41"/>
      <c r="AA3" s="41"/>
      <c r="AB3" s="41"/>
      <c r="AC3" s="41"/>
      <c r="AD3" s="41"/>
      <c r="AE3" s="41"/>
      <c r="AF3" s="41"/>
      <c r="AG3" s="41"/>
      <c r="AH3" s="41"/>
      <c r="AI3" s="41"/>
      <c r="AJ3" s="41"/>
      <c r="AK3" s="41"/>
      <c r="AL3" s="41"/>
      <c r="AM3" s="41"/>
      <c r="AN3" s="41"/>
    </row>
    <row r="4" spans="1:40" ht="20">
      <c r="B4" s="41"/>
      <c r="C4" s="241"/>
      <c r="D4" s="242" t="s">
        <v>93</v>
      </c>
      <c r="E4" s="243" t="s">
        <v>348</v>
      </c>
      <c r="F4" s="244" t="s">
        <v>95</v>
      </c>
      <c r="G4" s="245"/>
      <c r="H4" s="243"/>
      <c r="I4" s="244"/>
      <c r="J4" s="245" t="s">
        <v>3318</v>
      </c>
      <c r="K4" s="243" t="s">
        <v>94</v>
      </c>
      <c r="L4" s="244" t="s">
        <v>95</v>
      </c>
      <c r="M4" s="245" t="s">
        <v>3318</v>
      </c>
      <c r="N4" s="244" t="s">
        <v>95</v>
      </c>
      <c r="O4" s="243" t="s">
        <v>93</v>
      </c>
      <c r="P4" s="243" t="s">
        <v>348</v>
      </c>
      <c r="Q4" s="244" t="s">
        <v>95</v>
      </c>
      <c r="R4" s="245" t="s">
        <v>3318</v>
      </c>
      <c r="S4" s="244" t="s">
        <v>95</v>
      </c>
      <c r="T4" s="41"/>
      <c r="U4" s="41"/>
      <c r="V4" s="5" t="s">
        <v>349</v>
      </c>
      <c r="W4" s="599">
        <v>0.1</v>
      </c>
      <c r="X4" s="41"/>
      <c r="Y4" s="41"/>
      <c r="Z4" s="41"/>
      <c r="AA4" s="41"/>
      <c r="AB4" s="41"/>
      <c r="AC4" s="41"/>
      <c r="AD4" s="41"/>
      <c r="AE4" s="41"/>
      <c r="AF4" s="41"/>
      <c r="AG4" s="41"/>
      <c r="AH4" s="41"/>
      <c r="AI4" s="41"/>
      <c r="AJ4" s="41"/>
      <c r="AK4" s="41"/>
      <c r="AL4" s="41"/>
      <c r="AM4" s="41"/>
      <c r="AN4" s="41"/>
    </row>
    <row r="5" spans="1:40" ht="20">
      <c r="A5" s="5" t="str">
        <f t="shared" ref="A5:A85" si="0">+B5&amp;C5</f>
        <v>Véhicules neufsVentes nettes</v>
      </c>
      <c r="B5" s="41" t="str">
        <f t="shared" ref="B5:B85" si="1">+$K$1</f>
        <v>Véhicules neufs</v>
      </c>
      <c r="C5" s="246" t="s">
        <v>96</v>
      </c>
      <c r="D5" s="247"/>
      <c r="E5" s="247"/>
      <c r="F5" s="248" cm="1">
        <f t="array" ref="F5">+SUMPRODUCT(('Budget original'!$A$8:$A$501=$A5)*('Budget original'!$C$3:$AO$3=F$2),'Budget original'!$C$8:$AO$501)</f>
        <v>5596222.8396214508</v>
      </c>
      <c r="G5" s="246"/>
      <c r="H5" s="247"/>
      <c r="I5" s="249"/>
      <c r="J5" s="246"/>
      <c r="K5" s="250"/>
      <c r="L5" s="248">
        <f>-SUMIFS(BV_Data_An_Cour!$P:$P,BV_Data_An_Cour!$X:$X,"Oui",BV_Data_An_Cour!$U:$U,$B5)</f>
        <v>4994106.9899999993</v>
      </c>
      <c r="M5" s="251"/>
      <c r="N5" s="252"/>
      <c r="O5" s="246"/>
      <c r="P5" s="250"/>
      <c r="Q5" s="248" cm="1">
        <f t="array" ref="Q5">+SUMPRODUCT(('Réel 2024'!$A$8:$A$501=$A5)*('Réel 2024'!$C$3:$AO$3=Q$2),'Réel 2024'!$C$8:$AO$501)</f>
        <v>5888050.2999999998</v>
      </c>
      <c r="R5" s="251"/>
      <c r="S5" s="252"/>
      <c r="T5" s="41"/>
      <c r="U5" s="41"/>
      <c r="V5" s="600" t="s">
        <v>351</v>
      </c>
      <c r="W5" s="601">
        <v>0.22500000000000001</v>
      </c>
      <c r="X5" s="41"/>
      <c r="Y5" s="41"/>
      <c r="Z5" s="41"/>
      <c r="AA5" s="41"/>
      <c r="AB5" s="41"/>
      <c r="AC5" s="41"/>
      <c r="AD5" s="41"/>
      <c r="AE5" s="41"/>
      <c r="AF5" s="41"/>
      <c r="AG5" s="41"/>
      <c r="AH5" s="41"/>
      <c r="AI5" s="41"/>
      <c r="AJ5" s="41"/>
      <c r="AK5" s="41"/>
      <c r="AL5" s="41"/>
      <c r="AM5" s="41"/>
      <c r="AN5" s="41"/>
    </row>
    <row r="6" spans="1:40" ht="20">
      <c r="A6" s="5" t="str">
        <f t="shared" si="0"/>
        <v>Véhicules neufsAutos détail</v>
      </c>
      <c r="B6" s="41" t="str">
        <f t="shared" si="1"/>
        <v>Véhicules neufs</v>
      </c>
      <c r="C6" s="253" t="s">
        <v>97</v>
      </c>
      <c r="D6" s="254" cm="1">
        <f t="array" ref="D6">+SUMPRODUCT(('Budget original'!$A$8:$A$501=$A6)*('Budget original'!$C$3:$AO$3=D$2),'Budget original'!$C$8:$AO$501)</f>
        <v>29</v>
      </c>
      <c r="E6" s="254">
        <f t="shared" ref="E6:E12" si="2">IF(D6=0,0,F6/D6)</f>
        <v>1953.6491683802797</v>
      </c>
      <c r="F6" s="254" cm="1">
        <f t="array" ref="F6">+SUMPRODUCT(('Budget original'!$A$8:$A$501=$A6)*('Budget original'!$C$3:$AO$3=F$2),'Budget original'!$C$8:$AO$501)</f>
        <v>56655.825883028112</v>
      </c>
      <c r="G6" s="255"/>
      <c r="H6" s="254"/>
      <c r="I6" s="254"/>
      <c r="J6" s="255">
        <f>-SUMIFS(BV_Data_An_Cour!$P:$P,BV_Data_An_Cour!$U:$U,$B6,BV_Data_An_Cour!$V:$V,$C6,BV_Data_An_Cour!$W:$W,J$2)</f>
        <v>12</v>
      </c>
      <c r="K6" s="254">
        <f t="shared" ref="K6:K12" si="3">IF(J6=0,0,L6/J6)</f>
        <v>1324.3099999999929</v>
      </c>
      <c r="L6" s="256">
        <f>-SUMIFS(BV_Data_An_Cour!$P:$P,BV_Data_An_Cour!$U:$U,$B6,BV_Data_An_Cour!$V:$V,$C6,BV_Data_An_Cour!$W:$W,L$2)</f>
        <v>15891.719999999914</v>
      </c>
      <c r="M6" s="255">
        <f t="shared" ref="M6:M12" si="4">J6-D6</f>
        <v>-17</v>
      </c>
      <c r="N6" s="256">
        <f t="shared" ref="N6:N12" si="5">L6-F6</f>
        <v>-40764.105883028198</v>
      </c>
      <c r="O6" s="255" cm="1">
        <f t="array" ref="O6">+SUMPRODUCT(('Réel 2024'!$A$8:$A$501=$A6)*('Réel 2024'!$C$3:$AO$3=O$2),'Réel 2024'!$C$8:$AO$501)</f>
        <v>34</v>
      </c>
      <c r="P6" s="254">
        <f t="shared" ref="P6:P12" si="6">IF(O6=0,0,Q6/O6)</f>
        <v>1953.4341176470557</v>
      </c>
      <c r="Q6" s="256" cm="1">
        <f t="array" ref="Q6">+SUMPRODUCT(('Réel 2024'!$A$8:$A$501=$A6)*('Réel 2024'!$C$3:$AO$3=Q$2),'Réel 2024'!$C$8:$AO$501)</f>
        <v>66416.759999999893</v>
      </c>
      <c r="R6" s="255">
        <f t="shared" ref="R6:R12" si="7">J6-O6</f>
        <v>-22</v>
      </c>
      <c r="S6" s="256">
        <f t="shared" ref="S6:S12" si="8">L6-Q6</f>
        <v>-50525.039999999979</v>
      </c>
      <c r="T6" s="41"/>
      <c r="U6" s="41"/>
      <c r="V6" s="600" t="s">
        <v>353</v>
      </c>
      <c r="W6" s="601">
        <v>2.5000000000000001E-2</v>
      </c>
      <c r="X6" s="41"/>
      <c r="Y6" s="41"/>
      <c r="Z6" s="41"/>
      <c r="AA6" s="41"/>
      <c r="AB6" s="41"/>
      <c r="AC6" s="41"/>
      <c r="AD6" s="41"/>
      <c r="AE6" s="41"/>
      <c r="AF6" s="41"/>
      <c r="AG6" s="41"/>
      <c r="AH6" s="41"/>
      <c r="AI6" s="41"/>
      <c r="AJ6" s="41"/>
      <c r="AK6" s="41"/>
      <c r="AL6" s="41"/>
      <c r="AM6" s="41"/>
      <c r="AN6" s="41"/>
    </row>
    <row r="7" spans="1:40" ht="20">
      <c r="A7" s="5" t="str">
        <f t="shared" si="0"/>
        <v>Véhicules neufsCamions détail</v>
      </c>
      <c r="B7" s="41" t="str">
        <f t="shared" si="1"/>
        <v>Véhicules neufs</v>
      </c>
      <c r="C7" s="253" t="s">
        <v>98</v>
      </c>
      <c r="D7" s="254" cm="1">
        <f t="array" ref="D7">+SUMPRODUCT(('Budget original'!$A$8:$A$501=$A7)*('Budget original'!$C$3:$AO$3=D$2),'Budget original'!$C$8:$AO$501)</f>
        <v>80</v>
      </c>
      <c r="E7" s="254">
        <f t="shared" si="2"/>
        <v>2435.9046775963698</v>
      </c>
      <c r="F7" s="254" cm="1">
        <f t="array" ref="F7">+SUMPRODUCT(('Budget original'!$A$8:$A$501=$A7)*('Budget original'!$C$3:$AO$3=F$2),'Budget original'!$C$8:$AO$501)</f>
        <v>194872.37420770957</v>
      </c>
      <c r="G7" s="255"/>
      <c r="H7" s="254"/>
      <c r="I7" s="254"/>
      <c r="J7" s="255">
        <f>-SUMIFS(BV_Data_An_Cour!$P:$P,BV_Data_An_Cour!$U:$U,$B7,BV_Data_An_Cour!$V:$V,$C7,BV_Data_An_Cour!$W:$W,J$2)</f>
        <v>66</v>
      </c>
      <c r="K7" s="254">
        <f t="shared" si="3"/>
        <v>2529.7634848484831</v>
      </c>
      <c r="L7" s="256">
        <f>-SUMIFS(BV_Data_An_Cour!$P:$P,BV_Data_An_Cour!$U:$U,$B7,BV_Data_An_Cour!$V:$V,$C7,BV_Data_An_Cour!$W:$W,L$2)</f>
        <v>166964.3899999999</v>
      </c>
      <c r="M7" s="255">
        <f t="shared" si="4"/>
        <v>-14</v>
      </c>
      <c r="N7" s="256">
        <f t="shared" si="5"/>
        <v>-27907.984207709669</v>
      </c>
      <c r="O7" s="255" cm="1">
        <f t="array" ref="O7">+SUMPRODUCT(('Réel 2024'!$A$8:$A$501=$A7)*('Réel 2024'!$C$3:$AO$3=O$2),'Réel 2024'!$C$8:$AO$501)</f>
        <v>81</v>
      </c>
      <c r="P7" s="254">
        <f t="shared" si="6"/>
        <v>2376.4983950617275</v>
      </c>
      <c r="Q7" s="256" cm="1">
        <f t="array" ref="Q7">+SUMPRODUCT(('Réel 2024'!$A$8:$A$501=$A7)*('Réel 2024'!$C$3:$AO$3=Q$2),'Réel 2024'!$C$8:$AO$501)</f>
        <v>192496.36999999991</v>
      </c>
      <c r="R7" s="255">
        <f t="shared" si="7"/>
        <v>-15</v>
      </c>
      <c r="S7" s="256">
        <f t="shared" si="8"/>
        <v>-25531.98000000001</v>
      </c>
      <c r="T7" s="41"/>
      <c r="U7" s="41"/>
      <c r="V7" s="5" t="s">
        <v>355</v>
      </c>
      <c r="W7" s="599">
        <v>0.2</v>
      </c>
      <c r="X7" s="41"/>
      <c r="Y7" s="41"/>
      <c r="Z7" s="41"/>
      <c r="AA7" s="41"/>
      <c r="AB7" s="41"/>
      <c r="AC7" s="41"/>
      <c r="AD7" s="41"/>
      <c r="AE7" s="41"/>
      <c r="AF7" s="41"/>
      <c r="AG7" s="41"/>
      <c r="AH7" s="41"/>
      <c r="AI7" s="41"/>
      <c r="AJ7" s="41"/>
      <c r="AK7" s="41"/>
      <c r="AL7" s="41"/>
      <c r="AM7" s="41"/>
      <c r="AN7" s="41"/>
    </row>
    <row r="8" spans="1:40" ht="20">
      <c r="A8" s="5" t="str">
        <f t="shared" si="0"/>
        <v>Véhicules neufsSprinter</v>
      </c>
      <c r="B8" s="41" t="str">
        <f t="shared" si="1"/>
        <v>Véhicules neufs</v>
      </c>
      <c r="C8" s="253" t="s">
        <v>99</v>
      </c>
      <c r="D8" s="254" cm="1">
        <f t="array" ref="D8">+SUMPRODUCT(('Budget original'!$A$8:$A$501=$A8)*('Budget original'!$C$3:$AO$3=D$2),'Budget original'!$C$8:$AO$501)</f>
        <v>0</v>
      </c>
      <c r="E8" s="254">
        <f t="shared" si="2"/>
        <v>0</v>
      </c>
      <c r="F8" s="254" cm="1">
        <f t="array" ref="F8">+SUMPRODUCT(('Budget original'!$A$8:$A$501=$A8)*('Budget original'!$C$3:$AO$3=F$2),'Budget original'!$C$8:$AO$501)</f>
        <v>0</v>
      </c>
      <c r="G8" s="255"/>
      <c r="H8" s="254"/>
      <c r="I8" s="254"/>
      <c r="J8" s="255">
        <f>-SUMIFS(BV_Data_An_Cour!$P:$P,BV_Data_An_Cour!$U:$U,$B8,BV_Data_An_Cour!$V:$V,$C8,BV_Data_An_Cour!$W:$W,J$2)</f>
        <v>0</v>
      </c>
      <c r="K8" s="254">
        <f t="shared" si="3"/>
        <v>0</v>
      </c>
      <c r="L8" s="256">
        <f>-SUMIFS(BV_Data_An_Cour!$P:$P,BV_Data_An_Cour!$U:$U,$B8,BV_Data_An_Cour!$V:$V,$C8,BV_Data_An_Cour!$W:$W,L$2)</f>
        <v>0</v>
      </c>
      <c r="M8" s="255">
        <f t="shared" si="4"/>
        <v>0</v>
      </c>
      <c r="N8" s="256">
        <f t="shared" si="5"/>
        <v>0</v>
      </c>
      <c r="O8" s="255" cm="1">
        <f t="array" ref="O8">+SUMPRODUCT(('Réel 2024'!$A$8:$A$501=$A8)*('Réel 2024'!$C$3:$AO$3=O$2),'Réel 2024'!$C$8:$AO$501)</f>
        <v>0</v>
      </c>
      <c r="P8" s="254">
        <f t="shared" si="6"/>
        <v>0</v>
      </c>
      <c r="Q8" s="256" cm="1">
        <f t="array" ref="Q8">+SUMPRODUCT(('Réel 2024'!$A$8:$A$501=$A8)*('Réel 2024'!$C$3:$AO$3=Q$2),'Réel 2024'!$C$8:$AO$501)</f>
        <v>0</v>
      </c>
      <c r="R8" s="255">
        <f t="shared" si="7"/>
        <v>0</v>
      </c>
      <c r="S8" s="256">
        <f t="shared" si="8"/>
        <v>0</v>
      </c>
      <c r="T8" s="41"/>
      <c r="U8" s="41"/>
      <c r="W8" s="599">
        <f>SUM(W3:W7)</f>
        <v>1</v>
      </c>
      <c r="X8" s="41"/>
      <c r="Y8" s="41"/>
      <c r="Z8" s="41"/>
      <c r="AA8" s="41"/>
      <c r="AB8" s="41"/>
      <c r="AC8" s="41"/>
      <c r="AD8" s="41"/>
      <c r="AE8" s="41"/>
      <c r="AF8" s="41"/>
      <c r="AG8" s="41"/>
      <c r="AH8" s="41"/>
      <c r="AI8" s="41"/>
      <c r="AJ8" s="41"/>
      <c r="AK8" s="41"/>
      <c r="AL8" s="41"/>
      <c r="AM8" s="41"/>
      <c r="AN8" s="41"/>
    </row>
    <row r="9" spans="1:40" ht="20">
      <c r="A9" s="5" t="str">
        <f t="shared" si="0"/>
        <v>Véhicules neufsMoto détail</v>
      </c>
      <c r="B9" s="41" t="str">
        <f t="shared" si="1"/>
        <v>Véhicules neufs</v>
      </c>
      <c r="C9" s="253" t="s">
        <v>100</v>
      </c>
      <c r="D9" s="254" cm="1">
        <f t="array" ref="D9">+SUMPRODUCT(('Budget original'!$A$8:$A$501=$A9)*('Budget original'!$C$3:$AO$3=D$2),'Budget original'!$C$8:$AO$501)</f>
        <v>0</v>
      </c>
      <c r="E9" s="254">
        <f t="shared" si="2"/>
        <v>0</v>
      </c>
      <c r="F9" s="254" cm="1">
        <f t="array" ref="F9">+SUMPRODUCT(('Budget original'!$A$8:$A$501=$A9)*('Budget original'!$C$3:$AO$3=F$2),'Budget original'!$C$8:$AO$501)</f>
        <v>0</v>
      </c>
      <c r="G9" s="255"/>
      <c r="H9" s="254"/>
      <c r="I9" s="254"/>
      <c r="J9" s="255">
        <f>-SUMIFS(BV_Data_An_Cour!$P:$P,BV_Data_An_Cour!$U:$U,$B9,BV_Data_An_Cour!$V:$V,$C9,BV_Data_An_Cour!$W:$W,J$2)</f>
        <v>0</v>
      </c>
      <c r="K9" s="254">
        <f t="shared" si="3"/>
        <v>0</v>
      </c>
      <c r="L9" s="256">
        <f>-SUMIFS(BV_Data_An_Cour!$P:$P,BV_Data_An_Cour!$U:$U,$B9,BV_Data_An_Cour!$V:$V,$C9,BV_Data_An_Cour!$W:$W,L$2)</f>
        <v>0</v>
      </c>
      <c r="M9" s="255">
        <f t="shared" si="4"/>
        <v>0</v>
      </c>
      <c r="N9" s="256">
        <f t="shared" si="5"/>
        <v>0</v>
      </c>
      <c r="O9" s="255" cm="1">
        <f t="array" ref="O9">+SUMPRODUCT(('Réel 2024'!$A$8:$A$501=$A9)*('Réel 2024'!$C$3:$AO$3=O$2),'Réel 2024'!$C$8:$AO$501)</f>
        <v>0</v>
      </c>
      <c r="P9" s="254">
        <f t="shared" si="6"/>
        <v>0</v>
      </c>
      <c r="Q9" s="256" cm="1">
        <f t="array" ref="Q9">+SUMPRODUCT(('Réel 2024'!$A$8:$A$501=$A9)*('Réel 2024'!$C$3:$AO$3=Q$2),'Réel 2024'!$C$8:$AO$501)</f>
        <v>0</v>
      </c>
      <c r="R9" s="255">
        <f t="shared" si="7"/>
        <v>0</v>
      </c>
      <c r="S9" s="256">
        <f t="shared" si="8"/>
        <v>0</v>
      </c>
      <c r="T9" s="41"/>
      <c r="U9" s="41"/>
      <c r="V9" s="41"/>
      <c r="W9" s="41"/>
      <c r="X9" s="41"/>
      <c r="Y9" s="41"/>
      <c r="Z9" s="41"/>
      <c r="AA9" s="41"/>
      <c r="AB9" s="41"/>
      <c r="AC9" s="41"/>
      <c r="AD9" s="41"/>
      <c r="AE9" s="41"/>
      <c r="AF9" s="41"/>
      <c r="AG9" s="41"/>
      <c r="AH9" s="41"/>
      <c r="AI9" s="41"/>
      <c r="AJ9" s="41"/>
      <c r="AK9" s="41"/>
      <c r="AL9" s="41"/>
      <c r="AM9" s="41"/>
      <c r="AN9" s="41"/>
    </row>
    <row r="10" spans="1:40" ht="20" hidden="1">
      <c r="A10" s="5" t="str">
        <f t="shared" si="0"/>
        <v>Véhicules neufs[...]</v>
      </c>
      <c r="B10" s="41" t="str">
        <f t="shared" si="1"/>
        <v>Véhicules neufs</v>
      </c>
      <c r="C10" s="253" t="s">
        <v>59</v>
      </c>
      <c r="D10" s="254" cm="1">
        <f t="array" ref="D10">+SUMPRODUCT(('Budget original'!$A$8:$A$501=$A10)*('Budget original'!$C$3:$AO$3=D$2),'Budget original'!$C$8:$AO$501)</f>
        <v>0</v>
      </c>
      <c r="E10" s="254">
        <f t="shared" si="2"/>
        <v>0</v>
      </c>
      <c r="F10" s="254" cm="1">
        <f t="array" ref="F10">+SUMPRODUCT(('Budget original'!$A$8:$A$501=$A10)*('Budget original'!$C$3:$AO$3=F$2),'Budget original'!$C$8:$AO$501)</f>
        <v>0</v>
      </c>
      <c r="G10" s="255"/>
      <c r="H10" s="254"/>
      <c r="I10" s="254"/>
      <c r="J10" s="255">
        <f>-SUMIFS(BV_Data_An_Cour!$P:$P,BV_Data_An_Cour!$U:$U,$B10,BV_Data_An_Cour!$V:$V,$C10,BV_Data_An_Cour!$W:$W,J$2)</f>
        <v>0</v>
      </c>
      <c r="K10" s="254">
        <f t="shared" si="3"/>
        <v>0</v>
      </c>
      <c r="L10" s="256">
        <f>-SUMIFS(BV_Data_An_Cour!$P:$P,BV_Data_An_Cour!$U:$U,$B10,BV_Data_An_Cour!$V:$V,$C10,BV_Data_An_Cour!$W:$W,L$2)</f>
        <v>0</v>
      </c>
      <c r="M10" s="255">
        <f t="shared" si="4"/>
        <v>0</v>
      </c>
      <c r="N10" s="256">
        <f t="shared" si="5"/>
        <v>0</v>
      </c>
      <c r="O10" s="255" cm="1">
        <f t="array" ref="O10">+SUMPRODUCT(('Réel 2024'!$A$8:$A$501=$A10)*('Réel 2024'!$C$3:$AO$3=O$2),'Réel 2024'!$C$8:$AO$501)</f>
        <v>0</v>
      </c>
      <c r="P10" s="254">
        <f t="shared" si="6"/>
        <v>0</v>
      </c>
      <c r="Q10" s="256" cm="1">
        <f t="array" ref="Q10">+SUMPRODUCT(('Réel 2024'!$A$8:$A$501=$A10)*('Réel 2024'!$C$3:$AO$3=Q$2),'Réel 2024'!$C$8:$AO$501)</f>
        <v>0</v>
      </c>
      <c r="R10" s="255">
        <f t="shared" si="7"/>
        <v>0</v>
      </c>
      <c r="S10" s="256">
        <f t="shared" si="8"/>
        <v>0</v>
      </c>
      <c r="T10" s="41"/>
      <c r="U10" s="41"/>
      <c r="V10" s="41"/>
      <c r="W10" s="41"/>
      <c r="X10" s="41"/>
      <c r="Y10" s="41"/>
      <c r="Z10" s="41"/>
      <c r="AA10" s="41"/>
      <c r="AB10" s="41"/>
      <c r="AC10" s="41"/>
      <c r="AD10" s="41"/>
      <c r="AE10" s="41"/>
      <c r="AF10" s="41"/>
      <c r="AG10" s="41"/>
      <c r="AH10" s="41"/>
      <c r="AI10" s="41"/>
      <c r="AJ10" s="41"/>
      <c r="AK10" s="41"/>
      <c r="AL10" s="41"/>
      <c r="AM10" s="41"/>
      <c r="AN10" s="41"/>
    </row>
    <row r="11" spans="1:40" ht="20" hidden="1">
      <c r="A11" s="5" t="str">
        <f t="shared" si="0"/>
        <v>Véhicules neufs[...]</v>
      </c>
      <c r="B11" s="41" t="str">
        <f t="shared" si="1"/>
        <v>Véhicules neufs</v>
      </c>
      <c r="C11" s="253" t="s">
        <v>59</v>
      </c>
      <c r="D11" s="254" cm="1">
        <f t="array" ref="D11">+SUMPRODUCT(('Budget original'!$A$8:$A$501=$A11)*('Budget original'!$C$3:$AO$3=D$2),'Budget original'!$C$8:$AO$501)</f>
        <v>0</v>
      </c>
      <c r="E11" s="254">
        <f t="shared" si="2"/>
        <v>0</v>
      </c>
      <c r="F11" s="254" cm="1">
        <f t="array" ref="F11">+SUMPRODUCT(('Budget original'!$A$8:$A$501=$A11)*('Budget original'!$C$3:$AO$3=F$2),'Budget original'!$C$8:$AO$501)</f>
        <v>0</v>
      </c>
      <c r="G11" s="255"/>
      <c r="H11" s="254"/>
      <c r="I11" s="254"/>
      <c r="J11" s="255">
        <f>-SUMIFS(BV_Data_An_Cour!$P:$P,BV_Data_An_Cour!$U:$U,$B11,BV_Data_An_Cour!$V:$V,$C11,BV_Data_An_Cour!$W:$W,J$2)</f>
        <v>0</v>
      </c>
      <c r="K11" s="254">
        <f t="shared" si="3"/>
        <v>0</v>
      </c>
      <c r="L11" s="256">
        <f>-SUMIFS(BV_Data_An_Cour!$P:$P,BV_Data_An_Cour!$U:$U,$B11,BV_Data_An_Cour!$V:$V,$C11,BV_Data_An_Cour!$W:$W,L$2)</f>
        <v>0</v>
      </c>
      <c r="M11" s="255">
        <f t="shared" si="4"/>
        <v>0</v>
      </c>
      <c r="N11" s="256">
        <f t="shared" si="5"/>
        <v>0</v>
      </c>
      <c r="O11" s="255" cm="1">
        <f t="array" ref="O11">+SUMPRODUCT(('Réel 2024'!$A$8:$A$501=$A11)*('Réel 2024'!$C$3:$AO$3=O$2),'Réel 2024'!$C$8:$AO$501)</f>
        <v>0</v>
      </c>
      <c r="P11" s="254">
        <f t="shared" si="6"/>
        <v>0</v>
      </c>
      <c r="Q11" s="256" cm="1">
        <f t="array" ref="Q11">+SUMPRODUCT(('Réel 2024'!$A$8:$A$501=$A11)*('Réel 2024'!$C$3:$AO$3=Q$2),'Réel 2024'!$C$8:$AO$501)</f>
        <v>0</v>
      </c>
      <c r="R11" s="255">
        <f t="shared" si="7"/>
        <v>0</v>
      </c>
      <c r="S11" s="256">
        <f t="shared" si="8"/>
        <v>0</v>
      </c>
      <c r="T11" s="41"/>
      <c r="U11" s="41"/>
      <c r="V11" s="41"/>
      <c r="W11" s="41"/>
      <c r="X11" s="41"/>
      <c r="Y11" s="41"/>
      <c r="Z11" s="41"/>
      <c r="AA11" s="41"/>
      <c r="AB11" s="41"/>
      <c r="AC11" s="41"/>
      <c r="AD11" s="41"/>
      <c r="AE11" s="41"/>
      <c r="AF11" s="41"/>
      <c r="AG11" s="41"/>
      <c r="AH11" s="41"/>
      <c r="AI11" s="41"/>
      <c r="AJ11" s="41"/>
      <c r="AK11" s="41"/>
      <c r="AL11" s="41"/>
      <c r="AM11" s="41"/>
      <c r="AN11" s="41"/>
    </row>
    <row r="12" spans="1:40" ht="20" hidden="1">
      <c r="A12" s="5" t="str">
        <f t="shared" si="0"/>
        <v>Véhicules neufs[...]</v>
      </c>
      <c r="B12" s="41" t="str">
        <f t="shared" si="1"/>
        <v>Véhicules neufs</v>
      </c>
      <c r="C12" s="253" t="s">
        <v>59</v>
      </c>
      <c r="D12" s="254" cm="1">
        <f t="array" ref="D12">+SUMPRODUCT(('Budget original'!$A$8:$A$501=$A12)*('Budget original'!$C$3:$AO$3=D$2),'Budget original'!$C$8:$AO$501)</f>
        <v>0</v>
      </c>
      <c r="E12" s="254">
        <f t="shared" si="2"/>
        <v>0</v>
      </c>
      <c r="F12" s="254" cm="1">
        <f t="array" ref="F12">+SUMPRODUCT(('Budget original'!$A$8:$A$501=$A12)*('Budget original'!$C$3:$AO$3=F$2),'Budget original'!$C$8:$AO$501)</f>
        <v>0</v>
      </c>
      <c r="G12" s="255"/>
      <c r="H12" s="254"/>
      <c r="I12" s="254"/>
      <c r="J12" s="255">
        <f>-SUMIFS(BV_Data_An_Cour!$P:$P,BV_Data_An_Cour!$U:$U,$B12,BV_Data_An_Cour!$V:$V,$C12,BV_Data_An_Cour!$W:$W,J$2)</f>
        <v>0</v>
      </c>
      <c r="K12" s="254">
        <f t="shared" si="3"/>
        <v>0</v>
      </c>
      <c r="L12" s="256">
        <f>-SUMIFS(BV_Data_An_Cour!$P:$P,BV_Data_An_Cour!$U:$U,$B12,BV_Data_An_Cour!$V:$V,$C12,BV_Data_An_Cour!$W:$W,L$2)</f>
        <v>0</v>
      </c>
      <c r="M12" s="255">
        <f t="shared" si="4"/>
        <v>0</v>
      </c>
      <c r="N12" s="256">
        <f t="shared" si="5"/>
        <v>0</v>
      </c>
      <c r="O12" s="255" cm="1">
        <f t="array" ref="O12">+SUMPRODUCT(('Réel 2024'!$A$8:$A$501=$A12)*('Réel 2024'!$C$3:$AO$3=O$2),'Réel 2024'!$C$8:$AO$501)</f>
        <v>0</v>
      </c>
      <c r="P12" s="254">
        <f t="shared" si="6"/>
        <v>0</v>
      </c>
      <c r="Q12" s="256" cm="1">
        <f t="array" ref="Q12">+SUMPRODUCT(('Réel 2024'!$A$8:$A$501=$A12)*('Réel 2024'!$C$3:$AO$3=Q$2),'Réel 2024'!$C$8:$AO$501)</f>
        <v>0</v>
      </c>
      <c r="R12" s="255">
        <f t="shared" si="7"/>
        <v>0</v>
      </c>
      <c r="S12" s="256">
        <f t="shared" si="8"/>
        <v>0</v>
      </c>
      <c r="T12" s="41"/>
      <c r="U12" s="41"/>
      <c r="V12" s="41"/>
      <c r="W12" s="41"/>
      <c r="X12" s="41"/>
      <c r="Y12" s="41"/>
      <c r="Z12" s="41"/>
      <c r="AA12" s="41"/>
      <c r="AB12" s="41"/>
      <c r="AC12" s="41"/>
      <c r="AD12" s="41"/>
      <c r="AE12" s="41"/>
      <c r="AF12" s="41"/>
      <c r="AG12" s="41"/>
      <c r="AH12" s="41"/>
      <c r="AI12" s="41"/>
      <c r="AJ12" s="41"/>
      <c r="AK12" s="41"/>
      <c r="AL12" s="41"/>
      <c r="AM12" s="41"/>
      <c r="AN12" s="41"/>
    </row>
    <row r="13" spans="1:40" ht="20">
      <c r="A13" s="5" t="str">
        <f t="shared" si="0"/>
        <v>Véhicules neufsTotal Neufs</v>
      </c>
      <c r="B13" s="41" t="str">
        <f t="shared" si="1"/>
        <v>Véhicules neufs</v>
      </c>
      <c r="C13" s="259" t="s">
        <v>101</v>
      </c>
      <c r="D13" s="260">
        <f>+SUM(D6:D12)</f>
        <v>109</v>
      </c>
      <c r="E13" s="260">
        <f>IF(D13&lt;=0,0,F13/D13)</f>
        <v>2307.5981659700701</v>
      </c>
      <c r="F13" s="261">
        <f t="shared" ref="F13" si="9">+SUM(F6:F12)</f>
        <v>251528.20009073766</v>
      </c>
      <c r="G13" s="262"/>
      <c r="H13" s="260"/>
      <c r="I13" s="261"/>
      <c r="J13" s="262">
        <f t="shared" ref="J13" si="10">+SUM(J6:J12)</f>
        <v>78</v>
      </c>
      <c r="K13" s="260">
        <f>IF(J13&lt;=0,0,L13/J13)</f>
        <v>2344.3091025641002</v>
      </c>
      <c r="L13" s="261">
        <f t="shared" ref="L13" si="11">+SUM(L6:L12)</f>
        <v>182856.10999999981</v>
      </c>
      <c r="M13" s="262">
        <f>+SUM(M6:M12)</f>
        <v>-31</v>
      </c>
      <c r="N13" s="261">
        <f t="shared" ref="N13" si="12">+SUM(N6:N12)</f>
        <v>-68672.090090737867</v>
      </c>
      <c r="O13" s="262">
        <f>+SUM(O6:O12)</f>
        <v>115</v>
      </c>
      <c r="P13" s="260">
        <f>IF(O13&lt;=0,0,Q13/O13)</f>
        <v>2251.4185217391287</v>
      </c>
      <c r="Q13" s="261">
        <f t="shared" ref="Q13" si="13">+SUM(Q6:Q12)</f>
        <v>258913.1299999998</v>
      </c>
      <c r="R13" s="262">
        <f t="shared" ref="R13:S13" si="14">+SUM(R6:R12)</f>
        <v>-37</v>
      </c>
      <c r="S13" s="261">
        <f t="shared" si="14"/>
        <v>-76057.01999999999</v>
      </c>
      <c r="T13" s="41"/>
      <c r="U13" s="41"/>
      <c r="V13" s="41"/>
      <c r="W13" s="41"/>
      <c r="X13" s="41"/>
      <c r="Y13" s="41"/>
      <c r="Z13" s="41"/>
      <c r="AA13" s="41"/>
      <c r="AB13" s="41"/>
      <c r="AC13" s="41"/>
      <c r="AD13" s="41"/>
      <c r="AE13" s="41"/>
      <c r="AF13" s="41"/>
      <c r="AG13" s="41"/>
      <c r="AH13" s="41"/>
      <c r="AI13" s="41"/>
      <c r="AJ13" s="41"/>
      <c r="AK13" s="41"/>
      <c r="AL13" s="41"/>
      <c r="AM13" s="41"/>
      <c r="AN13" s="41"/>
    </row>
    <row r="14" spans="1:40" ht="20">
      <c r="A14" s="5" t="str">
        <f t="shared" si="0"/>
        <v>Véhicules neufs</v>
      </c>
      <c r="B14" s="41" t="str">
        <f t="shared" si="1"/>
        <v>Véhicules neufs</v>
      </c>
      <c r="C14" s="253"/>
      <c r="D14" s="41"/>
      <c r="E14" s="254"/>
      <c r="F14" s="263"/>
      <c r="G14" s="253"/>
      <c r="H14" s="254"/>
      <c r="I14" s="263"/>
      <c r="J14" s="253"/>
      <c r="K14" s="254"/>
      <c r="L14" s="263"/>
      <c r="M14" s="264">
        <f>IF(D13=0,0,M13/D13)</f>
        <v>-0.28440366972477066</v>
      </c>
      <c r="N14" s="265">
        <f>IF(F13=0,0,N13/F13)</f>
        <v>-0.27301944698830877</v>
      </c>
      <c r="O14" s="253"/>
      <c r="P14" s="254"/>
      <c r="Q14" s="263"/>
      <c r="R14" s="264">
        <f>R13/O13</f>
        <v>-0.32173913043478258</v>
      </c>
      <c r="S14" s="265">
        <f>IF(Q13=0,0,(S13/Q13))</f>
        <v>-0.29375497488288849</v>
      </c>
      <c r="T14" s="41"/>
      <c r="U14" s="41"/>
      <c r="V14" s="41"/>
      <c r="W14" s="41"/>
      <c r="X14" s="41"/>
      <c r="Y14" s="41"/>
      <c r="Z14" s="41"/>
      <c r="AA14" s="41"/>
      <c r="AB14" s="41"/>
      <c r="AC14" s="41"/>
      <c r="AD14" s="41"/>
      <c r="AE14" s="41"/>
      <c r="AF14" s="41"/>
      <c r="AG14" s="41"/>
      <c r="AH14" s="41"/>
      <c r="AI14" s="41"/>
      <c r="AJ14" s="41"/>
      <c r="AK14" s="41"/>
      <c r="AL14" s="41"/>
      <c r="AM14" s="41"/>
      <c r="AN14" s="41"/>
    </row>
    <row r="15" spans="1:40" ht="20">
      <c r="A15" s="5" t="str">
        <f t="shared" si="0"/>
        <v>Véhicules neufsEx-Démos et courtoisies</v>
      </c>
      <c r="B15" s="41" t="str">
        <f t="shared" si="1"/>
        <v>Véhicules neufs</v>
      </c>
      <c r="C15" s="266" t="s">
        <v>102</v>
      </c>
      <c r="D15" s="250" cm="1">
        <f t="array" ref="D15">+SUMPRODUCT(('Budget original'!$A$8:$A$501=$A15)*('Budget original'!$C$3:$AO$3=D$2),'Budget original'!$C$8:$AO$501)</f>
        <v>6</v>
      </c>
      <c r="E15" s="250">
        <f>IF(D15=0,0,F15/D15)</f>
        <v>1534.7521433415677</v>
      </c>
      <c r="F15" s="248" cm="1">
        <f t="array" ref="F15">+SUMPRODUCT(('Budget original'!$A$8:$A$501=$A15)*('Budget original'!$C$3:$AO$3=F$2),'Budget original'!$C$8:$AO$501)</f>
        <v>9208.5128600494063</v>
      </c>
      <c r="G15" s="267"/>
      <c r="H15" s="250"/>
      <c r="I15" s="248"/>
      <c r="J15" s="268">
        <f>-SUMIFS(BV_Data_An_Cour!$P:$P,BV_Data_An_Cour!$U:$U,$B15,BV_Data_An_Cour!$V:$V,$C15,BV_Data_An_Cour!$W:$W,J$2)</f>
        <v>4</v>
      </c>
      <c r="K15" s="269">
        <f>IF(J15=0,0,L15/J15)</f>
        <v>1308.6725000000006</v>
      </c>
      <c r="L15" s="269">
        <f>-SUMIFS(BV_Data_An_Cour!$P:$P,BV_Data_An_Cour!$U:$U,$B15,BV_Data_An_Cour!$V:$V,$C15,BV_Data_An_Cour!$W:$W,L$2)</f>
        <v>5234.6900000000023</v>
      </c>
      <c r="M15" s="267">
        <f>J15-D15</f>
        <v>-2</v>
      </c>
      <c r="N15" s="248">
        <f>L15-F15</f>
        <v>-3973.822860049404</v>
      </c>
      <c r="O15" s="268" cm="1">
        <f t="array" ref="O15">+SUMPRODUCT(('Réel 2024'!$A$8:$A$501=$A15)*('Réel 2024'!$C$3:$AO$3=O$2),'Réel 2024'!$C$8:$AO$501)</f>
        <v>4</v>
      </c>
      <c r="P15" s="269">
        <f>IF(O15=0,0,Q15/O15)</f>
        <v>2308.6550000000002</v>
      </c>
      <c r="Q15" s="269" cm="1">
        <f t="array" ref="Q15">+SUMPRODUCT(('Réel 2024'!$A$8:$A$501=$A15)*('Réel 2024'!$C$3:$AO$3=Q$2),'Réel 2024'!$C$8:$AO$501)</f>
        <v>9234.6200000000008</v>
      </c>
      <c r="R15" s="267">
        <f>J15-O15</f>
        <v>0</v>
      </c>
      <c r="S15" s="248">
        <f>L15-Q15</f>
        <v>-3999.9299999999985</v>
      </c>
      <c r="T15" s="41"/>
      <c r="U15" s="41"/>
      <c r="V15" s="41"/>
      <c r="W15" s="41"/>
      <c r="X15" s="41"/>
      <c r="Y15" s="41"/>
      <c r="Z15" s="41"/>
      <c r="AA15" s="41"/>
      <c r="AB15" s="41"/>
      <c r="AC15" s="41"/>
      <c r="AD15" s="41"/>
      <c r="AE15" s="41"/>
      <c r="AF15" s="41"/>
      <c r="AG15" s="41"/>
      <c r="AH15" s="41"/>
      <c r="AI15" s="41"/>
      <c r="AJ15" s="41"/>
      <c r="AK15" s="41"/>
      <c r="AL15" s="41"/>
      <c r="AM15" s="41"/>
      <c r="AN15" s="41"/>
    </row>
    <row r="16" spans="1:40" ht="20">
      <c r="A16" s="5" t="str">
        <f t="shared" si="0"/>
        <v>Véhicules neufs</v>
      </c>
      <c r="B16" s="41" t="str">
        <f t="shared" si="1"/>
        <v>Véhicules neufs</v>
      </c>
      <c r="C16" s="253"/>
      <c r="D16" s="41"/>
      <c r="E16" s="254"/>
      <c r="F16" s="263"/>
      <c r="G16" s="253"/>
      <c r="H16" s="254"/>
      <c r="I16" s="263"/>
      <c r="J16" s="253"/>
      <c r="K16" s="254"/>
      <c r="L16" s="256"/>
      <c r="M16" s="264"/>
      <c r="N16" s="265"/>
      <c r="O16" s="253"/>
      <c r="P16" s="254"/>
      <c r="Q16" s="256"/>
      <c r="R16" s="264"/>
      <c r="S16" s="265"/>
      <c r="T16" s="41"/>
      <c r="U16" s="41"/>
      <c r="V16" s="41"/>
      <c r="W16" s="41"/>
      <c r="X16" s="41"/>
      <c r="Y16" s="41"/>
      <c r="Z16" s="41"/>
      <c r="AA16" s="41"/>
      <c r="AB16" s="41"/>
      <c r="AC16" s="41"/>
      <c r="AD16" s="41"/>
      <c r="AE16" s="41"/>
      <c r="AF16" s="41"/>
      <c r="AG16" s="41"/>
      <c r="AH16" s="41"/>
      <c r="AI16" s="41"/>
      <c r="AJ16" s="41"/>
      <c r="AK16" s="41"/>
      <c r="AL16" s="41"/>
      <c r="AM16" s="41"/>
      <c r="AN16" s="41"/>
    </row>
    <row r="17" spans="1:40" ht="20">
      <c r="A17" s="5" t="str">
        <f t="shared" si="0"/>
        <v>Véhicules neufsFlottes</v>
      </c>
      <c r="B17" s="41" t="str">
        <f t="shared" si="1"/>
        <v>Véhicules neufs</v>
      </c>
      <c r="C17" s="270" t="s">
        <v>103</v>
      </c>
      <c r="D17" s="254" cm="1">
        <f t="array" ref="D17">+SUMPRODUCT(('Budget original'!$A$8:$A$501=$A17)*('Budget original'!$C$3:$AO$3=D$2),'Budget original'!$C$8:$AO$501)</f>
        <v>2</v>
      </c>
      <c r="E17" s="254">
        <f>IF(D17=0,0,F17/D17)</f>
        <v>2393.8521192147828</v>
      </c>
      <c r="F17" s="254" cm="1">
        <f t="array" ref="F17">+SUMPRODUCT(('Budget original'!$A$8:$A$501=$A17)*('Budget original'!$C$3:$AO$3=F$2),'Budget original'!$C$8:$AO$501)</f>
        <v>4787.7042384295655</v>
      </c>
      <c r="G17" s="255"/>
      <c r="H17" s="254"/>
      <c r="I17" s="254"/>
      <c r="J17" s="267">
        <f>-SUMIFS(BV_Data_An_Cour!$P:$P,BV_Data_An_Cour!$U:$U,$B17,BV_Data_An_Cour!$V:$V,$C17,BV_Data_An_Cour!$W:$W,J$2)</f>
        <v>12</v>
      </c>
      <c r="K17" s="254">
        <f>IF(J17=0,0,L17/J17)</f>
        <v>1235.969166666667</v>
      </c>
      <c r="L17" s="256">
        <f>-SUMIFS(BV_Data_An_Cour!$P:$P,BV_Data_An_Cour!$U:$U,$B17,BV_Data_An_Cour!$V:$V,$C17,BV_Data_An_Cour!$W:$W,L$2)</f>
        <v>14831.630000000005</v>
      </c>
      <c r="M17" s="267">
        <f>J17-D17</f>
        <v>10</v>
      </c>
      <c r="N17" s="256">
        <f>L17-F17</f>
        <v>10043.925761570439</v>
      </c>
      <c r="O17" s="267" cm="1">
        <f t="array" ref="O17">+SUMPRODUCT(('Réel 2024'!$A$8:$A$501=$A17)*('Réel 2024'!$C$3:$AO$3=O$2),'Réel 2024'!$C$8:$AO$501)</f>
        <v>2</v>
      </c>
      <c r="P17" s="254">
        <f>IF(O17=0,0,Q17/O17)</f>
        <v>1747.279999999995</v>
      </c>
      <c r="Q17" s="256" cm="1">
        <f t="array" ref="Q17">+SUMPRODUCT(('Réel 2024'!$A$8:$A$501=$A17)*('Réel 2024'!$C$3:$AO$3=Q$2),'Réel 2024'!$C$8:$AO$501)</f>
        <v>3494.5599999999899</v>
      </c>
      <c r="R17" s="255">
        <f>J17-O17</f>
        <v>10</v>
      </c>
      <c r="S17" s="256">
        <f>L17-Q17</f>
        <v>11337.070000000014</v>
      </c>
      <c r="T17" s="41"/>
      <c r="U17" s="41"/>
      <c r="V17" s="41" t="s">
        <v>690</v>
      </c>
      <c r="W17" s="41" t="s">
        <v>286</v>
      </c>
      <c r="X17" s="41" t="s">
        <v>691</v>
      </c>
      <c r="Y17" s="41" t="s">
        <v>643</v>
      </c>
      <c r="Z17" s="41"/>
      <c r="AA17" s="41"/>
      <c r="AB17" s="41"/>
      <c r="AC17" s="41"/>
      <c r="AD17" s="41"/>
      <c r="AE17" s="41"/>
      <c r="AF17" s="41"/>
      <c r="AG17" s="41"/>
      <c r="AH17" s="41"/>
      <c r="AI17" s="41"/>
      <c r="AJ17" s="41"/>
      <c r="AK17" s="41"/>
      <c r="AL17" s="41"/>
      <c r="AM17" s="41"/>
      <c r="AN17" s="41"/>
    </row>
    <row r="18" spans="1:40" ht="20">
      <c r="A18" s="5" t="str">
        <f t="shared" si="0"/>
        <v>Véhicules neufs</v>
      </c>
      <c r="B18" s="41" t="str">
        <f t="shared" si="1"/>
        <v>Véhicules neufs</v>
      </c>
      <c r="C18" s="259"/>
      <c r="D18" s="271"/>
      <c r="E18" s="271"/>
      <c r="F18" s="272"/>
      <c r="G18" s="273"/>
      <c r="H18" s="271"/>
      <c r="I18" s="272"/>
      <c r="J18" s="255"/>
      <c r="K18" s="271"/>
      <c r="L18" s="272"/>
      <c r="M18" s="255"/>
      <c r="N18" s="272"/>
      <c r="O18" s="255"/>
      <c r="P18" s="271"/>
      <c r="Q18" s="272"/>
      <c r="R18" s="273"/>
      <c r="S18" s="272"/>
      <c r="T18" s="41"/>
      <c r="U18" s="41"/>
      <c r="V18" s="41" t="s">
        <v>692</v>
      </c>
      <c r="W18" s="459">
        <f>+I27+I108</f>
        <v>0</v>
      </c>
      <c r="X18" s="459">
        <f>+L27+L108</f>
        <v>445636.93999999983</v>
      </c>
      <c r="Y18" s="459">
        <f t="shared" ref="Y18:Y19" si="15">+X18-W18</f>
        <v>445636.93999999983</v>
      </c>
      <c r="Z18" s="41"/>
      <c r="AA18" s="41"/>
      <c r="AB18" s="41"/>
      <c r="AC18" s="41"/>
      <c r="AD18" s="41"/>
      <c r="AE18" s="41"/>
      <c r="AF18" s="41"/>
      <c r="AG18" s="41"/>
      <c r="AH18" s="41"/>
      <c r="AI18" s="41"/>
      <c r="AJ18" s="41"/>
      <c r="AK18" s="41"/>
      <c r="AL18" s="41"/>
      <c r="AM18" s="41"/>
      <c r="AN18" s="41"/>
    </row>
    <row r="19" spans="1:40" ht="20">
      <c r="A19" s="5" t="str">
        <f t="shared" si="0"/>
        <v>Véhicules neufsRachat bail</v>
      </c>
      <c r="B19" s="41" t="str">
        <f t="shared" si="1"/>
        <v>Véhicules neufs</v>
      </c>
      <c r="C19" s="266" t="s">
        <v>104</v>
      </c>
      <c r="D19" s="254" cm="1">
        <f t="array" ref="D19">+SUMPRODUCT(('Budget original'!$A$8:$A$501=$A19)*('Budget original'!$C$3:$AO$3=D$2),'Budget original'!$C$8:$AO$501)</f>
        <v>0</v>
      </c>
      <c r="E19" s="254">
        <f>IF(D19=0,0,F19/D19)</f>
        <v>0</v>
      </c>
      <c r="F19" s="254" cm="1">
        <f t="array" ref="F19">+SUMPRODUCT(('Budget original'!$A$8:$A$501=$A19)*('Budget original'!$C$3:$AO$3=F$2),'Budget original'!$C$8:$AO$501)</f>
        <v>11305</v>
      </c>
      <c r="G19" s="255"/>
      <c r="H19" s="254"/>
      <c r="I19" s="254"/>
      <c r="J19" s="267"/>
      <c r="K19" s="254"/>
      <c r="L19" s="256">
        <f>-SUMIFS(BV_Data_An_Cour!$P:$P,BV_Data_An_Cour!$U:$U,$B19,BV_Data_An_Cour!$V:$V,$C19,BV_Data_An_Cour!$W:$W,L$2)</f>
        <v>11706.450000000012</v>
      </c>
      <c r="M19" s="255"/>
      <c r="N19" s="256">
        <f>L19-F19</f>
        <v>401.45000000001164</v>
      </c>
      <c r="O19" s="267" cm="1">
        <f t="array" ref="O19">+SUMPRODUCT(('Réel 2024'!$A$8:$A$501=$A19)*('Réel 2024'!$C$3:$AO$3=O$2),'Réel 2024'!$C$8:$AO$501)</f>
        <v>0</v>
      </c>
      <c r="P19" s="254">
        <f>IF(O19=0,0,Q19/O19)</f>
        <v>0</v>
      </c>
      <c r="Q19" s="256" cm="1">
        <f t="array" ref="Q19">+SUMPRODUCT(('Réel 2024'!$A$8:$A$501=$A19)*('Réel 2024'!$C$3:$AO$3=Q$2),'Réel 2024'!$C$8:$AO$501)</f>
        <v>9000</v>
      </c>
      <c r="R19" s="255">
        <f>O19-K19</f>
        <v>0</v>
      </c>
      <c r="S19" s="256">
        <f>L19-Q19</f>
        <v>2706.4500000000116</v>
      </c>
      <c r="T19" s="41"/>
      <c r="U19" s="41"/>
      <c r="V19" s="41" t="s">
        <v>693</v>
      </c>
      <c r="W19" s="459">
        <f>+I194+I250+I314</f>
        <v>0</v>
      </c>
      <c r="X19" s="459">
        <f>+L194+L250+L314</f>
        <v>585879.49</v>
      </c>
      <c r="Y19" s="459">
        <f t="shared" si="15"/>
        <v>585879.49</v>
      </c>
      <c r="Z19" s="41"/>
      <c r="AA19" s="41"/>
      <c r="AB19" s="41"/>
      <c r="AC19" s="41"/>
      <c r="AD19" s="41"/>
      <c r="AE19" s="41"/>
      <c r="AF19" s="41"/>
      <c r="AG19" s="41"/>
      <c r="AH19" s="41"/>
      <c r="AI19" s="41"/>
      <c r="AJ19" s="41"/>
      <c r="AK19" s="41"/>
      <c r="AL19" s="41"/>
      <c r="AM19" s="41"/>
      <c r="AN19" s="41"/>
    </row>
    <row r="20" spans="1:40" ht="20">
      <c r="A20" s="5" t="str">
        <f t="shared" si="0"/>
        <v>Véhicules neufs</v>
      </c>
      <c r="B20" s="41" t="str">
        <f t="shared" si="1"/>
        <v>Véhicules neufs</v>
      </c>
      <c r="C20" s="259"/>
      <c r="D20" s="271"/>
      <c r="E20" s="271"/>
      <c r="F20" s="272"/>
      <c r="G20" s="273"/>
      <c r="H20" s="271"/>
      <c r="I20" s="272"/>
      <c r="J20" s="255"/>
      <c r="K20" s="271"/>
      <c r="L20" s="272"/>
      <c r="M20" s="273"/>
      <c r="N20" s="272"/>
      <c r="O20" s="255"/>
      <c r="P20" s="271"/>
      <c r="Q20" s="272"/>
      <c r="R20" s="273"/>
      <c r="S20" s="272"/>
      <c r="T20" s="41"/>
      <c r="U20" s="41"/>
      <c r="V20" s="41"/>
      <c r="W20" s="41"/>
      <c r="X20" s="41"/>
      <c r="Y20" s="41"/>
      <c r="Z20" s="41"/>
      <c r="AA20" s="41"/>
      <c r="AB20" s="41"/>
      <c r="AC20" s="41"/>
      <c r="AD20" s="41"/>
      <c r="AE20" s="41"/>
      <c r="AF20" s="41"/>
      <c r="AG20" s="41"/>
      <c r="AH20" s="41"/>
      <c r="AI20" s="41"/>
      <c r="AJ20" s="41"/>
      <c r="AK20" s="41"/>
      <c r="AL20" s="41"/>
      <c r="AM20" s="41"/>
      <c r="AN20" s="41"/>
    </row>
    <row r="21" spans="1:40" ht="15.75" customHeight="1">
      <c r="A21" s="5" t="str">
        <f t="shared" si="0"/>
        <v>Véhicules neufsRev. Finances</v>
      </c>
      <c r="B21" s="41" t="str">
        <f t="shared" si="1"/>
        <v>Véhicules neufs</v>
      </c>
      <c r="C21" s="253" t="s">
        <v>105</v>
      </c>
      <c r="D21" s="254"/>
      <c r="E21" s="254"/>
      <c r="F21" s="254" cm="1">
        <f t="array" ref="F21">+SUMPRODUCT(('Budget original'!$A$8:$A$501=$A21)*('Budget original'!$C$3:$AO$3=F$2),'Budget original'!$C$8:$AO$501)</f>
        <v>5750</v>
      </c>
      <c r="G21" s="253"/>
      <c r="H21" s="254"/>
      <c r="I21" s="254"/>
      <c r="J21" s="255"/>
      <c r="K21" s="254">
        <f>IF(J13=0,0,L21/(J13+J15))</f>
        <v>7.5042682926829274</v>
      </c>
      <c r="L21" s="256">
        <f>-SUMIFS(BV_Data_An_Cour!$P:$P,BV_Data_An_Cour!$U:$U,$B21,BV_Data_An_Cour!$V:$V,$C21,BV_Data_An_Cour!$W:$W,L$2)</f>
        <v>615.35</v>
      </c>
      <c r="M21" s="255"/>
      <c r="N21" s="256">
        <f>L21-F21</f>
        <v>-5134.6499999999996</v>
      </c>
      <c r="O21" s="255"/>
      <c r="P21" s="254"/>
      <c r="Q21" s="256" cm="1">
        <f t="array" ref="Q21">+SUMPRODUCT(('Réel 2024'!$A$8:$A$501=$A21)*('Réel 2024'!$C$3:$AO$3=Q$2),'Réel 2024'!$C$8:$AO$501)</f>
        <v>8728.1200000000008</v>
      </c>
      <c r="R21" s="255">
        <f t="shared" ref="R21:R23" si="16">O21-K21</f>
        <v>-7.5042682926829274</v>
      </c>
      <c r="S21" s="256">
        <f t="shared" ref="S21:S24" si="17">L21-Q21</f>
        <v>-8112.77</v>
      </c>
      <c r="T21" s="41"/>
      <c r="U21" s="41"/>
      <c r="V21" s="41"/>
      <c r="W21" s="41"/>
      <c r="X21" s="41"/>
      <c r="Y21" s="41"/>
      <c r="Z21" s="41"/>
      <c r="AA21" s="41"/>
      <c r="AB21" s="41"/>
      <c r="AC21" s="41"/>
      <c r="AD21" s="41"/>
      <c r="AE21" s="41"/>
      <c r="AF21" s="41"/>
      <c r="AG21" s="41"/>
      <c r="AH21" s="41"/>
      <c r="AI21" s="41"/>
      <c r="AJ21" s="41"/>
      <c r="AK21" s="41"/>
      <c r="AL21" s="41"/>
      <c r="AM21" s="41"/>
      <c r="AN21" s="41"/>
    </row>
    <row r="22" spans="1:40" ht="15.75" customHeight="1">
      <c r="A22" s="5" t="str">
        <f t="shared" si="0"/>
        <v>Véhicules neufsRev. Protections</v>
      </c>
      <c r="B22" s="41" t="str">
        <f t="shared" si="1"/>
        <v>Véhicules neufs</v>
      </c>
      <c r="C22" s="253" t="s">
        <v>106</v>
      </c>
      <c r="D22" s="254"/>
      <c r="E22" s="254"/>
      <c r="F22" s="254" cm="1">
        <f t="array" ref="F22">+SUMPRODUCT(('Budget original'!$A$8:$A$501=$A22)*('Budget original'!$C$3:$AO$3=F$2),'Budget original'!$C$8:$AO$501)</f>
        <v>106950</v>
      </c>
      <c r="G22" s="253"/>
      <c r="H22" s="254"/>
      <c r="I22" s="254"/>
      <c r="J22" s="255"/>
      <c r="K22" s="254">
        <f>IF(J13=0,0,L22/(J13+J15))</f>
        <v>1103.2367073170733</v>
      </c>
      <c r="L22" s="256">
        <f>-SUMIFS(BV_Data_An_Cour!$P:$P,BV_Data_An_Cour!$U:$U,$B22,BV_Data_An_Cour!$V:$V,$C22,BV_Data_An_Cour!$W:$W,L$2)</f>
        <v>90465.41</v>
      </c>
      <c r="M22" s="255"/>
      <c r="N22" s="256">
        <f>L22-F22</f>
        <v>-16484.589999999997</v>
      </c>
      <c r="O22" s="255"/>
      <c r="P22" s="254"/>
      <c r="Q22" s="256" cm="1">
        <f t="array" ref="Q22">+SUMPRODUCT(('Réel 2024'!$A$8:$A$501=$A22)*('Réel 2024'!$C$3:$AO$3=Q$2),'Réel 2024'!$C$8:$AO$501)</f>
        <v>106299.21</v>
      </c>
      <c r="R22" s="255">
        <f t="shared" si="16"/>
        <v>-1103.2367073170733</v>
      </c>
      <c r="S22" s="256">
        <f t="shared" si="17"/>
        <v>-15833.800000000003</v>
      </c>
      <c r="T22" s="41"/>
      <c r="U22" s="41"/>
      <c r="V22" s="41"/>
      <c r="W22" s="41"/>
      <c r="X22" s="41"/>
      <c r="Y22" s="41"/>
      <c r="Z22" s="41"/>
      <c r="AA22" s="41"/>
      <c r="AB22" s="41"/>
      <c r="AC22" s="41"/>
      <c r="AD22" s="41"/>
      <c r="AE22" s="41"/>
      <c r="AF22" s="41"/>
      <c r="AG22" s="41"/>
      <c r="AH22" s="41"/>
      <c r="AI22" s="41"/>
      <c r="AJ22" s="41"/>
      <c r="AK22" s="41"/>
      <c r="AL22" s="41"/>
      <c r="AM22" s="41"/>
      <c r="AN22" s="41"/>
    </row>
    <row r="23" spans="1:40" ht="15.75" customHeight="1">
      <c r="A23" s="5" t="str">
        <f t="shared" si="0"/>
        <v>Véhicules neufsRev. Autres</v>
      </c>
      <c r="B23" s="41" t="str">
        <f t="shared" si="1"/>
        <v>Véhicules neufs</v>
      </c>
      <c r="C23" s="253" t="s">
        <v>107</v>
      </c>
      <c r="D23" s="254"/>
      <c r="E23" s="254"/>
      <c r="F23" s="254" cm="1">
        <f t="array" ref="F23">+SUMPRODUCT(('Budget original'!$A$8:$A$501=$A23)*('Budget original'!$C$3:$AO$3=F$2),'Budget original'!$C$8:$AO$501)</f>
        <v>2300</v>
      </c>
      <c r="G23" s="253"/>
      <c r="H23" s="254"/>
      <c r="I23" s="254"/>
      <c r="J23" s="255"/>
      <c r="K23" s="254">
        <f>IF(J13=0,0,L23/(J13+J15))</f>
        <v>5.409756097560976</v>
      </c>
      <c r="L23" s="256">
        <f>-SUMIFS(BV_Data_An_Cour!$P:$P,BV_Data_An_Cour!$U:$U,$B23,BV_Data_An_Cour!$V:$V,$C23,BV_Data_An_Cour!$W:$W,L$2)</f>
        <v>443.6</v>
      </c>
      <c r="M23" s="267"/>
      <c r="N23" s="256">
        <f>L23-F23</f>
        <v>-1856.4</v>
      </c>
      <c r="O23" s="255"/>
      <c r="P23" s="254"/>
      <c r="Q23" s="256" cm="1">
        <f t="array" ref="Q23">+SUMPRODUCT(('Réel 2024'!$A$8:$A$501=$A23)*('Réel 2024'!$C$3:$AO$3=Q$2),'Réel 2024'!$C$8:$AO$501)</f>
        <v>0</v>
      </c>
      <c r="R23" s="255">
        <f t="shared" si="16"/>
        <v>-5.409756097560976</v>
      </c>
      <c r="S23" s="256">
        <f t="shared" si="17"/>
        <v>443.6</v>
      </c>
      <c r="T23" s="41"/>
      <c r="U23" s="41"/>
      <c r="V23" s="41"/>
      <c r="W23" s="41"/>
      <c r="X23" s="41"/>
      <c r="Y23" s="41"/>
      <c r="Z23" s="41"/>
      <c r="AA23" s="41"/>
      <c r="AB23" s="41"/>
      <c r="AC23" s="41"/>
      <c r="AD23" s="41"/>
      <c r="AE23" s="41"/>
      <c r="AF23" s="41"/>
      <c r="AG23" s="41"/>
      <c r="AH23" s="41"/>
      <c r="AI23" s="41"/>
      <c r="AJ23" s="41"/>
      <c r="AK23" s="41"/>
      <c r="AL23" s="41"/>
      <c r="AM23" s="41"/>
      <c r="AN23" s="41"/>
    </row>
    <row r="24" spans="1:40" ht="15.75" customHeight="1">
      <c r="A24" s="5" t="str">
        <f t="shared" si="0"/>
        <v>Véhicules neufsTotal F&amp;I</v>
      </c>
      <c r="B24" s="41" t="str">
        <f t="shared" si="1"/>
        <v>Véhicules neufs</v>
      </c>
      <c r="C24" s="259" t="s">
        <v>108</v>
      </c>
      <c r="D24" s="260">
        <f>+D15+D13</f>
        <v>115</v>
      </c>
      <c r="E24" s="260">
        <f>IF(D24&lt;=0,0,F24/D24)</f>
        <v>1000</v>
      </c>
      <c r="F24" s="261">
        <f>F21+F22+F23</f>
        <v>115000</v>
      </c>
      <c r="G24" s="262"/>
      <c r="H24" s="260"/>
      <c r="I24" s="261"/>
      <c r="J24" s="262">
        <f>+J15+J13</f>
        <v>82</v>
      </c>
      <c r="K24" s="260">
        <f>IF(J24&lt;=0,0,L24/J24)</f>
        <v>1116.1507317073172</v>
      </c>
      <c r="L24" s="261">
        <f>L21+L22+L23</f>
        <v>91524.360000000015</v>
      </c>
      <c r="M24" s="275">
        <f>J24-D24</f>
        <v>-33</v>
      </c>
      <c r="N24" s="261">
        <f>L24-F24</f>
        <v>-23475.639999999985</v>
      </c>
      <c r="O24" s="262">
        <f>+O15+O13</f>
        <v>119</v>
      </c>
      <c r="P24" s="260">
        <f>IF(O24&lt;=0,0,Q24/O24)</f>
        <v>966.61621848739492</v>
      </c>
      <c r="Q24" s="261">
        <f>Q21+Q22+Q23</f>
        <v>115027.33</v>
      </c>
      <c r="R24" s="273"/>
      <c r="S24" s="261">
        <f t="shared" si="17"/>
        <v>-23502.969999999987</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tr">
        <f t="shared" si="0"/>
        <v>Véhicules neufs</v>
      </c>
      <c r="B25" s="41" t="str">
        <f t="shared" si="1"/>
        <v>Véhicules neufs</v>
      </c>
      <c r="C25" s="253"/>
      <c r="D25" s="41"/>
      <c r="E25" s="41"/>
      <c r="F25" s="276"/>
      <c r="G25" s="253"/>
      <c r="H25" s="41"/>
      <c r="I25" s="276"/>
      <c r="J25" s="253"/>
      <c r="K25" s="41"/>
      <c r="L25" s="276"/>
      <c r="M25" s="264"/>
      <c r="N25" s="265">
        <f>IF(N24=0,0,N24/F24)</f>
        <v>-0.20413599999999987</v>
      </c>
      <c r="O25" s="253"/>
      <c r="P25" s="41"/>
      <c r="Q25" s="276"/>
      <c r="R25" s="277"/>
      <c r="S25" s="265">
        <f>IF(Q24=0,0,(S24/Q24))</f>
        <v>-0.20432509387116946</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tr">
        <f t="shared" si="0"/>
        <v>Véhicules neufs</v>
      </c>
      <c r="B26" s="41" t="str">
        <f t="shared" si="1"/>
        <v>Véhicules neufs</v>
      </c>
      <c r="C26" s="253"/>
      <c r="D26" s="41"/>
      <c r="E26" s="41"/>
      <c r="F26" s="263"/>
      <c r="G26" s="253"/>
      <c r="H26" s="41"/>
      <c r="I26" s="263"/>
      <c r="J26" s="253"/>
      <c r="K26" s="41"/>
      <c r="L26" s="263"/>
      <c r="M26" s="253"/>
      <c r="N26" s="263"/>
      <c r="O26" s="253"/>
      <c r="P26" s="41"/>
      <c r="Q26" s="263"/>
      <c r="R26" s="253"/>
      <c r="S26" s="263"/>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tr">
        <f t="shared" si="0"/>
        <v>Véhicules neufsTotal Dépt. Neufs</v>
      </c>
      <c r="B27" s="41" t="str">
        <f t="shared" si="1"/>
        <v>Véhicules neufs</v>
      </c>
      <c r="C27" s="278" t="s">
        <v>109</v>
      </c>
      <c r="D27" s="279">
        <f>+D13+D15+D17</f>
        <v>117</v>
      </c>
      <c r="E27" s="280">
        <f>IF(D27&lt;=0,0,F27/D27)</f>
        <v>3348.969377685612</v>
      </c>
      <c r="F27" s="281">
        <f>F13+F17+F24+F19+F15</f>
        <v>391829.41718921659</v>
      </c>
      <c r="G27" s="282"/>
      <c r="H27" s="280"/>
      <c r="I27" s="281"/>
      <c r="J27" s="282">
        <f>+J13+J15+J17</f>
        <v>94</v>
      </c>
      <c r="K27" s="280">
        <f>IF(J27&lt;=0,0,L27/J27)</f>
        <v>3256.9493617021262</v>
      </c>
      <c r="L27" s="281">
        <f>L13+L17+L24+L19+L15</f>
        <v>306153.23999999987</v>
      </c>
      <c r="M27" s="282">
        <f>J27-D27</f>
        <v>-23</v>
      </c>
      <c r="N27" s="281">
        <f>L27-F27</f>
        <v>-85676.177189216716</v>
      </c>
      <c r="O27" s="282">
        <f>+O13+O15+O17</f>
        <v>121</v>
      </c>
      <c r="P27" s="280">
        <f>IF(O27&lt;=0,0,Q27/O27)</f>
        <v>3269.9970247933866</v>
      </c>
      <c r="Q27" s="281">
        <f>Q13+Q17+Q24+Q19+Q15</f>
        <v>395669.63999999978</v>
      </c>
      <c r="R27" s="282">
        <f>J27-O27</f>
        <v>-27</v>
      </c>
      <c r="S27" s="281">
        <f>L27-Q27</f>
        <v>-89516.399999999907</v>
      </c>
      <c r="T27" s="41"/>
      <c r="U27" s="41">
        <f>+S27/R27</f>
        <v>3315.4222222222188</v>
      </c>
      <c r="V27" s="41"/>
      <c r="W27" s="41"/>
      <c r="X27" s="41"/>
      <c r="Y27" s="41"/>
      <c r="Z27" s="41"/>
      <c r="AA27" s="41"/>
      <c r="AB27" s="41"/>
      <c r="AC27" s="41"/>
      <c r="AD27" s="41"/>
      <c r="AE27" s="41"/>
      <c r="AF27" s="41"/>
      <c r="AG27" s="41"/>
      <c r="AH27" s="41"/>
      <c r="AI27" s="41"/>
      <c r="AJ27" s="41"/>
      <c r="AK27" s="41"/>
      <c r="AL27" s="41"/>
      <c r="AM27" s="41"/>
      <c r="AN27" s="41"/>
    </row>
    <row r="28" spans="1:40" ht="22.5" customHeight="1">
      <c r="A28" s="5" t="str">
        <f t="shared" si="0"/>
        <v>Véhicules neufs</v>
      </c>
      <c r="B28" s="41" t="str">
        <f t="shared" si="1"/>
        <v>Véhicules neufs</v>
      </c>
      <c r="C28" s="283"/>
      <c r="D28" s="284"/>
      <c r="E28" s="284"/>
      <c r="F28" s="285"/>
      <c r="G28" s="283"/>
      <c r="H28" s="284"/>
      <c r="I28" s="285"/>
      <c r="J28" s="602"/>
      <c r="K28" s="284"/>
      <c r="L28" s="287">
        <f>+L27/F27</f>
        <v>0.78134317274130738</v>
      </c>
      <c r="M28" s="286">
        <f>M27/D27</f>
        <v>-0.19658119658119658</v>
      </c>
      <c r="N28" s="287">
        <f>N27/F27</f>
        <v>-0.21865682725869257</v>
      </c>
      <c r="O28" s="283"/>
      <c r="P28" s="284"/>
      <c r="Q28" s="285"/>
      <c r="R28" s="286">
        <f>R27/O27</f>
        <v>-0.2231404958677686</v>
      </c>
      <c r="S28" s="287">
        <f>IF(Q27=0,0,S27/Q27)</f>
        <v>-0.22624025436978171</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tr">
        <f t="shared" si="0"/>
        <v>Véhicules neufs</v>
      </c>
      <c r="B29" s="41" t="str">
        <f t="shared" si="1"/>
        <v>Véhicules neufs</v>
      </c>
      <c r="C29" s="270"/>
      <c r="D29" s="11"/>
      <c r="E29" s="11"/>
      <c r="F29" s="288"/>
      <c r="G29" s="270"/>
      <c r="H29" s="11"/>
      <c r="I29" s="288"/>
      <c r="J29" s="270"/>
      <c r="K29" s="11"/>
      <c r="L29" s="288"/>
      <c r="M29" s="264"/>
      <c r="N29" s="265"/>
      <c r="O29" s="270"/>
      <c r="P29" s="11"/>
      <c r="Q29" s="288"/>
      <c r="R29" s="264"/>
      <c r="S29" s="265"/>
      <c r="T29" s="41"/>
      <c r="U29" s="41"/>
      <c r="V29" s="41"/>
      <c r="W29" s="41"/>
      <c r="X29" s="41"/>
      <c r="Y29" s="41"/>
      <c r="Z29" s="41"/>
      <c r="AA29" s="41"/>
      <c r="AB29" s="41"/>
      <c r="AC29" s="41"/>
      <c r="AD29" s="41"/>
      <c r="AE29" s="41"/>
      <c r="AF29" s="41"/>
      <c r="AG29" s="41"/>
      <c r="AH29" s="41"/>
      <c r="AI29" s="41"/>
      <c r="AJ29" s="41"/>
      <c r="AK29" s="41"/>
      <c r="AL29" s="41"/>
      <c r="AM29" s="41"/>
      <c r="AN29" s="41"/>
    </row>
    <row r="30" spans="1:40" ht="15.75" customHeight="1">
      <c r="A30" s="5" t="str">
        <f t="shared" si="0"/>
        <v>Véhicules neufsDEPENSES</v>
      </c>
      <c r="B30" s="41" t="str">
        <f t="shared" si="1"/>
        <v>Véhicules neufs</v>
      </c>
      <c r="C30" s="289" t="s">
        <v>110</v>
      </c>
      <c r="D30" s="41"/>
      <c r="E30" s="39"/>
      <c r="F30" s="276"/>
      <c r="G30" s="253"/>
      <c r="H30" s="39"/>
      <c r="I30" s="276"/>
      <c r="J30" s="253"/>
      <c r="K30" s="39"/>
      <c r="L30" s="263"/>
      <c r="M30" s="253"/>
      <c r="N30" s="263"/>
      <c r="O30" s="253"/>
      <c r="P30" s="39"/>
      <c r="Q30" s="263"/>
      <c r="R30" s="253"/>
      <c r="S30" s="263"/>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tr">
        <f t="shared" si="0"/>
        <v>Véhicules neufsComm. vendeurs</v>
      </c>
      <c r="B31" s="41" t="str">
        <f t="shared" si="1"/>
        <v>Véhicules neufs</v>
      </c>
      <c r="C31" s="253" t="s">
        <v>111</v>
      </c>
      <c r="D31" s="290"/>
      <c r="E31" s="291">
        <f t="shared" ref="E31:E40" si="18">F31/D$24</f>
        <v>762.7442296247026</v>
      </c>
      <c r="F31" s="254" cm="1">
        <f t="array" ref="F31">+SUMPRODUCT(('Budget original'!$A$8:$A$501=$A31)*('Budget original'!$C$3:$AO$3=F$2),'Budget original'!$C$8:$AO$501)</f>
        <v>87715.586406840797</v>
      </c>
      <c r="G31" s="298"/>
      <c r="H31" s="291"/>
      <c r="I31" s="254"/>
      <c r="J31" s="292">
        <f>L31/(L13+L15+L17)</f>
        <v>0.34898897081017644</v>
      </c>
      <c r="K31" s="291">
        <f t="shared" ref="K31:K40" si="19">IF(L31=0,0,L31/J$24)</f>
        <v>863.63036585365853</v>
      </c>
      <c r="L31" s="254">
        <f>SUMIFS(BV_Data_An_Cour!$P:$P,BV_Data_An_Cour!$U:$U,$B31,BV_Data_An_Cour!$V:$V,$C31,BV_Data_An_Cour!$W:$W,L$2)</f>
        <v>70817.69</v>
      </c>
      <c r="M31" s="253"/>
      <c r="N31" s="276">
        <f t="shared" ref="N31:N53" si="20">L31-F31</f>
        <v>-16897.896406840795</v>
      </c>
      <c r="O31" s="253"/>
      <c r="P31" s="291">
        <f t="shared" ref="P31:P40" si="21">Q31/O$24</f>
        <v>680.58369747899167</v>
      </c>
      <c r="Q31" s="256" cm="1">
        <f t="array" ref="Q31">+SUMPRODUCT(('Réel 2024'!$A$8:$A$501=$A31)*('Réel 2024'!$C$3:$AO$3=Q$2),'Réel 2024'!$C$8:$AO$501)</f>
        <v>80989.460000000006</v>
      </c>
      <c r="R31" s="253"/>
      <c r="S31" s="276">
        <f t="shared" ref="S31:S41" si="22">L31-Q31</f>
        <v>-10171.770000000004</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tr">
        <f t="shared" si="0"/>
        <v>Véhicules neufsComm. F&amp;I</v>
      </c>
      <c r="B32" s="41" t="str">
        <f t="shared" si="1"/>
        <v>Véhicules neufs</v>
      </c>
      <c r="C32" s="246" t="s">
        <v>112</v>
      </c>
      <c r="D32" s="293"/>
      <c r="E32" s="294">
        <f t="shared" si="18"/>
        <v>280</v>
      </c>
      <c r="F32" s="248" cm="1">
        <f t="array" ref="F32">+SUMPRODUCT(('Budget original'!$A$8:$A$501=$A32)*('Budget original'!$C$3:$AO$3=F$2),'Budget original'!$C$8:$AO$501)</f>
        <v>32200</v>
      </c>
      <c r="G32" s="300"/>
      <c r="H32" s="294"/>
      <c r="I32" s="248"/>
      <c r="J32" s="295">
        <f>L32/L24</f>
        <v>0.28221055028409919</v>
      </c>
      <c r="K32" s="294">
        <f t="shared" si="19"/>
        <v>314.98951219512196</v>
      </c>
      <c r="L32" s="248">
        <f>SUMIFS(BV_Data_An_Cour!$P:$P,BV_Data_An_Cour!$U:$U,$B32,BV_Data_An_Cour!$V:$V,$C32,BV_Data_An_Cour!$W:$W,L$2)</f>
        <v>25829.14</v>
      </c>
      <c r="M32" s="246"/>
      <c r="N32" s="296">
        <f t="shared" si="20"/>
        <v>-6370.8600000000006</v>
      </c>
      <c r="O32" s="246"/>
      <c r="P32" s="294">
        <f t="shared" si="21"/>
        <v>290.24882352941177</v>
      </c>
      <c r="Q32" s="248" cm="1">
        <f t="array" ref="Q32">+SUMPRODUCT(('Réel 2024'!$A$8:$A$501=$A32)*('Réel 2024'!$C$3:$AO$3=Q$2),'Réel 2024'!$C$8:$AO$501)</f>
        <v>34539.61</v>
      </c>
      <c r="R32" s="246"/>
      <c r="S32" s="296">
        <f t="shared" si="22"/>
        <v>-8710.4700000000012</v>
      </c>
      <c r="T32" s="41"/>
      <c r="U32" s="41"/>
      <c r="V32" s="41"/>
      <c r="W32" s="41"/>
      <c r="X32" s="41"/>
      <c r="Y32" s="41"/>
      <c r="Z32" s="41"/>
      <c r="AA32" s="41"/>
      <c r="AB32" s="41"/>
      <c r="AC32" s="41"/>
      <c r="AD32" s="41"/>
      <c r="AE32" s="41"/>
      <c r="AF32" s="41"/>
      <c r="AG32" s="41"/>
      <c r="AH32" s="41"/>
      <c r="AI32" s="41"/>
      <c r="AJ32" s="41"/>
      <c r="AK32" s="41"/>
      <c r="AL32" s="41"/>
      <c r="AM32" s="41"/>
      <c r="AN32" s="41"/>
    </row>
    <row r="33" spans="1:40" ht="15.75" customHeight="1">
      <c r="A33" s="5" t="str">
        <f t="shared" si="0"/>
        <v>Véhicules neufsFrais de livraison</v>
      </c>
      <c r="B33" s="41" t="str">
        <f t="shared" si="1"/>
        <v>Véhicules neufs</v>
      </c>
      <c r="C33" s="253" t="s">
        <v>113</v>
      </c>
      <c r="D33" s="297"/>
      <c r="E33" s="291">
        <f t="shared" si="18"/>
        <v>115</v>
      </c>
      <c r="F33" s="254" cm="1">
        <f t="array" ref="F33">+SUMPRODUCT(('Budget original'!$A$8:$A$501=$A33)*('Budget original'!$C$3:$AO$3=F$2),'Budget original'!$C$8:$AO$501)</f>
        <v>13225</v>
      </c>
      <c r="G33" s="298"/>
      <c r="H33" s="291"/>
      <c r="I33" s="254"/>
      <c r="J33" s="253"/>
      <c r="K33" s="291">
        <f t="shared" si="19"/>
        <v>92.425975609756108</v>
      </c>
      <c r="L33" s="254">
        <f>SUMIFS(BV_Data_An_Cour!$P:$P,BV_Data_An_Cour!$U:$U,$B33,BV_Data_An_Cour!$V:$V,$C33,BV_Data_An_Cour!$W:$W,L$2)</f>
        <v>7578.93</v>
      </c>
      <c r="M33" s="253"/>
      <c r="N33" s="276">
        <f t="shared" si="20"/>
        <v>-5646.07</v>
      </c>
      <c r="O33" s="253"/>
      <c r="P33" s="291">
        <f t="shared" si="21"/>
        <v>135.33983193277311</v>
      </c>
      <c r="Q33" s="256" cm="1">
        <f t="array" ref="Q33">+SUMPRODUCT(('Réel 2024'!$A$8:$A$501=$A33)*('Réel 2024'!$C$3:$AO$3=Q$2),'Réel 2024'!$C$8:$AO$501)</f>
        <v>16105.44</v>
      </c>
      <c r="R33" s="253"/>
      <c r="S33" s="276">
        <f t="shared" si="22"/>
        <v>-8526.51</v>
      </c>
      <c r="T33" s="41"/>
      <c r="U33" s="41"/>
      <c r="V33" s="41"/>
      <c r="W33" s="41"/>
      <c r="X33" s="41"/>
      <c r="Y33" s="41"/>
      <c r="Z33" s="41"/>
      <c r="AA33" s="41"/>
      <c r="AB33" s="41"/>
      <c r="AC33" s="41"/>
      <c r="AD33" s="41"/>
      <c r="AE33" s="41"/>
      <c r="AF33" s="41"/>
      <c r="AG33" s="41"/>
      <c r="AH33" s="41"/>
      <c r="AI33" s="41"/>
      <c r="AJ33" s="41"/>
      <c r="AK33" s="41"/>
      <c r="AL33" s="41"/>
      <c r="AM33" s="41"/>
      <c r="AN33" s="41"/>
    </row>
    <row r="34" spans="1:40" ht="15.75" customHeight="1">
      <c r="A34" s="5" t="str">
        <f t="shared" si="0"/>
        <v>Véhicules neufsService gratuit 1</v>
      </c>
      <c r="B34" s="41" t="str">
        <f t="shared" si="1"/>
        <v>Véhicules neufs</v>
      </c>
      <c r="C34" s="253" t="s">
        <v>114</v>
      </c>
      <c r="D34" s="297"/>
      <c r="E34" s="291">
        <f t="shared" si="18"/>
        <v>10</v>
      </c>
      <c r="F34" s="254" cm="1">
        <f t="array" ref="F34">+SUMPRODUCT(('Budget original'!$A$8:$A$501=$A34)*('Budget original'!$C$3:$AO$3=F$2),'Budget original'!$C$8:$AO$501)</f>
        <v>1150</v>
      </c>
      <c r="G34" s="298"/>
      <c r="H34" s="291"/>
      <c r="I34" s="254"/>
      <c r="J34" s="253"/>
      <c r="K34" s="291">
        <f t="shared" si="19"/>
        <v>13.049146341463414</v>
      </c>
      <c r="L34" s="254">
        <f>SUMIFS(BV_Data_An_Cour!$P:$P,BV_Data_An_Cour!$U:$U,$B34,BV_Data_An_Cour!$V:$V,$C34,BV_Data_An_Cour!$W:$W,L$2)</f>
        <v>1070.03</v>
      </c>
      <c r="M34" s="253"/>
      <c r="N34" s="276">
        <f t="shared" si="20"/>
        <v>-79.970000000000027</v>
      </c>
      <c r="O34" s="253"/>
      <c r="P34" s="291">
        <f t="shared" si="21"/>
        <v>14.007310924369747</v>
      </c>
      <c r="Q34" s="256" cm="1">
        <f t="array" ref="Q34">+SUMPRODUCT(('Réel 2024'!$A$8:$A$501=$A34)*('Réel 2024'!$C$3:$AO$3=Q$2),'Réel 2024'!$C$8:$AO$501)</f>
        <v>1666.87</v>
      </c>
      <c r="R34" s="253"/>
      <c r="S34" s="276">
        <f t="shared" si="22"/>
        <v>-596.83999999999992</v>
      </c>
      <c r="T34" s="41"/>
      <c r="U34" s="41"/>
      <c r="V34" s="41"/>
      <c r="W34" s="41"/>
      <c r="X34" s="41"/>
      <c r="Y34" s="41"/>
      <c r="Z34" s="41"/>
      <c r="AA34" s="41"/>
      <c r="AB34" s="41"/>
      <c r="AC34" s="41"/>
      <c r="AD34" s="41"/>
      <c r="AE34" s="41"/>
      <c r="AF34" s="41"/>
      <c r="AG34" s="41"/>
      <c r="AH34" s="41"/>
      <c r="AI34" s="41"/>
      <c r="AJ34" s="41"/>
      <c r="AK34" s="41"/>
      <c r="AL34" s="41"/>
      <c r="AM34" s="41"/>
      <c r="AN34" s="41"/>
    </row>
    <row r="35" spans="1:40" ht="15.75" customHeight="1">
      <c r="A35" s="5" t="str">
        <f t="shared" si="0"/>
        <v>Véhicules neufsEntretien stock</v>
      </c>
      <c r="B35" s="41" t="str">
        <f t="shared" si="1"/>
        <v>Véhicules neufs</v>
      </c>
      <c r="C35" s="246" t="s">
        <v>115</v>
      </c>
      <c r="D35" s="299"/>
      <c r="E35" s="294">
        <f t="shared" si="18"/>
        <v>120.75</v>
      </c>
      <c r="F35" s="248" cm="1">
        <f t="array" ref="F35">+SUMPRODUCT(('Budget original'!$A$8:$A$501=$A35)*('Budget original'!$C$3:$AO$3=F$2),'Budget original'!$C$8:$AO$501)</f>
        <v>13886.25</v>
      </c>
      <c r="G35" s="300"/>
      <c r="H35" s="294"/>
      <c r="I35" s="248"/>
      <c r="J35" s="246"/>
      <c r="K35" s="294">
        <f t="shared" si="19"/>
        <v>175.64902439024388</v>
      </c>
      <c r="L35" s="248">
        <f>SUMIFS(BV_Data_An_Cour!$P:$P,BV_Data_An_Cour!$U:$U,$B35,BV_Data_An_Cour!$V:$V,$C35,BV_Data_An_Cour!$W:$W,L$2)</f>
        <v>14403.22</v>
      </c>
      <c r="M35" s="246"/>
      <c r="N35" s="296">
        <f t="shared" si="20"/>
        <v>516.96999999999935</v>
      </c>
      <c r="O35" s="246"/>
      <c r="P35" s="294">
        <f t="shared" si="21"/>
        <v>69.242436974789925</v>
      </c>
      <c r="Q35" s="256" cm="1">
        <f t="array" ref="Q35">+SUMPRODUCT(('Réel 2024'!$A$8:$A$501=$A35)*('Réel 2024'!$C$3:$AO$3=Q$2),'Réel 2024'!$C$8:$AO$501)</f>
        <v>8239.85</v>
      </c>
      <c r="R35" s="246"/>
      <c r="S35" s="296">
        <f t="shared" si="22"/>
        <v>6163.369999999999</v>
      </c>
      <c r="T35" s="41"/>
      <c r="U35" s="41"/>
      <c r="V35" s="41"/>
      <c r="W35" s="254"/>
      <c r="X35" s="41"/>
      <c r="Y35" s="41"/>
      <c r="Z35" s="41"/>
      <c r="AA35" s="41"/>
      <c r="AB35" s="41"/>
      <c r="AC35" s="41"/>
      <c r="AD35" s="41"/>
      <c r="AE35" s="41"/>
      <c r="AF35" s="41"/>
      <c r="AG35" s="41"/>
      <c r="AH35" s="41"/>
      <c r="AI35" s="41"/>
      <c r="AJ35" s="41"/>
      <c r="AK35" s="41"/>
      <c r="AL35" s="41"/>
      <c r="AM35" s="41"/>
      <c r="AN35" s="41"/>
    </row>
    <row r="36" spans="1:40" ht="15.75" customHeight="1">
      <c r="A36" s="5" t="str">
        <f t="shared" si="0"/>
        <v>Véhicules neufsPublicité 1</v>
      </c>
      <c r="B36" s="41" t="str">
        <f t="shared" si="1"/>
        <v>Véhicules neufs</v>
      </c>
      <c r="C36" s="253" t="s">
        <v>116</v>
      </c>
      <c r="D36" s="297"/>
      <c r="E36" s="291">
        <f t="shared" si="18"/>
        <v>99.339130434782604</v>
      </c>
      <c r="F36" s="254" cm="1">
        <f t="array" ref="F36">+SUMPRODUCT(('Budget original'!$A$8:$A$501=$A36)*('Budget original'!$C$3:$AO$3=F$2),'Budget original'!$C$8:$AO$501)</f>
        <v>11424</v>
      </c>
      <c r="G36" s="298"/>
      <c r="H36" s="291"/>
      <c r="I36" s="254"/>
      <c r="J36" s="253"/>
      <c r="K36" s="291">
        <f t="shared" si="19"/>
        <v>109.31243902439023</v>
      </c>
      <c r="L36" s="301">
        <f>SUMIFS(BV_Data_An_Cour!$P:$P,BV_Data_An_Cour!$U:$U,$B36,BV_Data_An_Cour!$V:$V,$C36,BV_Data_An_Cour!$W:$W,L$2)</f>
        <v>8963.619999999999</v>
      </c>
      <c r="M36" s="41"/>
      <c r="N36" s="276">
        <f t="shared" si="20"/>
        <v>-2460.380000000001</v>
      </c>
      <c r="O36" s="253"/>
      <c r="P36" s="291">
        <f t="shared" si="21"/>
        <v>45.803529411764622</v>
      </c>
      <c r="Q36" s="272" cm="1">
        <f t="array" ref="Q36">+SUMPRODUCT(('Réel 2024'!$A$8:$A$501=$A36)*('Réel 2024'!$C$3:$AO$3=Q$2),'Réel 2024'!$C$8:$AO$501)</f>
        <v>5450.6199999999899</v>
      </c>
      <c r="R36" s="253"/>
      <c r="S36" s="276">
        <f t="shared" si="22"/>
        <v>3513.0000000000091</v>
      </c>
      <c r="T36" s="41"/>
      <c r="U36" s="41"/>
      <c r="V36" s="41"/>
      <c r="W36" s="41"/>
      <c r="X36" s="41"/>
      <c r="Y36" s="41"/>
      <c r="Z36" s="41"/>
      <c r="AA36" s="41"/>
      <c r="AB36" s="41"/>
      <c r="AC36" s="41"/>
      <c r="AD36" s="41"/>
      <c r="AE36" s="41"/>
      <c r="AF36" s="41"/>
      <c r="AG36" s="41"/>
      <c r="AH36" s="41"/>
      <c r="AI36" s="41"/>
      <c r="AJ36" s="41"/>
      <c r="AK36" s="41"/>
      <c r="AL36" s="41"/>
      <c r="AM36" s="41"/>
      <c r="AN36" s="41"/>
    </row>
    <row r="37" spans="1:40" ht="15.75" customHeight="1">
      <c r="A37" s="5" t="str">
        <f t="shared" si="0"/>
        <v>Véhicules neufsIntérêt de gros</v>
      </c>
      <c r="B37" s="41" t="str">
        <f t="shared" si="1"/>
        <v>Véhicules neufs</v>
      </c>
      <c r="C37" s="253" t="s">
        <v>117</v>
      </c>
      <c r="D37" s="297"/>
      <c r="E37" s="291">
        <f t="shared" si="18"/>
        <v>600.76432773172985</v>
      </c>
      <c r="F37" s="254" cm="1">
        <f t="array" ref="F37">+SUMPRODUCT(('Budget original'!$A$8:$A$501=$A37)*('Budget original'!$C$3:$AO$3=F$2),'Budget original'!$C$8:$AO$501)</f>
        <v>69087.897689148929</v>
      </c>
      <c r="G37" s="298"/>
      <c r="H37" s="291"/>
      <c r="I37" s="254"/>
      <c r="J37" s="253"/>
      <c r="K37" s="291">
        <f t="shared" si="19"/>
        <v>190.27499999999998</v>
      </c>
      <c r="L37" s="951">
        <f>SUMIFS(BV_Data_An_Cour!$P:$P,BV_Data_An_Cour!$U:$U,$B37,BV_Data_An_Cour!$V:$V,$C37,BV_Data_An_Cour!$W:$W,L$2)</f>
        <v>15602.55</v>
      </c>
      <c r="M37" s="986"/>
      <c r="N37" s="961">
        <f t="shared" si="20"/>
        <v>-53485.347689148926</v>
      </c>
      <c r="O37" s="253"/>
      <c r="P37" s="291">
        <f t="shared" si="21"/>
        <v>445.77865546218493</v>
      </c>
      <c r="Q37" s="256" cm="1">
        <f t="array" ref="Q37">+SUMPRODUCT(('Réel 2024'!$A$8:$A$501=$A37)*('Réel 2024'!$C$3:$AO$3=Q$2),'Réel 2024'!$C$8:$AO$501)</f>
        <v>53047.66</v>
      </c>
      <c r="R37" s="253"/>
      <c r="S37" s="276">
        <f t="shared" si="22"/>
        <v>-37445.11</v>
      </c>
      <c r="T37" s="41"/>
      <c r="U37" s="41"/>
      <c r="V37" s="41"/>
      <c r="W37" s="41"/>
      <c r="X37" s="41"/>
      <c r="Y37" s="41"/>
      <c r="Z37" s="41"/>
      <c r="AA37" s="41"/>
      <c r="AB37" s="41"/>
      <c r="AC37" s="41"/>
      <c r="AD37" s="41"/>
      <c r="AE37" s="41"/>
      <c r="AF37" s="41"/>
      <c r="AG37" s="41"/>
      <c r="AH37" s="41"/>
      <c r="AI37" s="41"/>
      <c r="AJ37" s="41"/>
      <c r="AK37" s="41"/>
      <c r="AL37" s="41"/>
      <c r="AM37" s="41"/>
      <c r="AN37" s="41"/>
    </row>
    <row r="38" spans="1:40" ht="15.75" hidden="1" customHeight="1">
      <c r="A38" s="5" t="str">
        <f t="shared" si="0"/>
        <v>Véhicules neufs[...]</v>
      </c>
      <c r="B38" s="41" t="str">
        <f t="shared" si="1"/>
        <v>Véhicules neufs</v>
      </c>
      <c r="C38" s="253" t="s">
        <v>59</v>
      </c>
      <c r="D38" s="297"/>
      <c r="E38" s="291">
        <f t="shared" si="18"/>
        <v>0</v>
      </c>
      <c r="F38" s="254" cm="1">
        <f t="array" ref="F38">+SUMPRODUCT(('Budget original'!$A$8:$A$501=$A38)*('Budget original'!$C$3:$AO$3=F$2),'Budget original'!$C$8:$AO$501)</f>
        <v>0</v>
      </c>
      <c r="G38" s="298"/>
      <c r="H38" s="291"/>
      <c r="I38" s="254"/>
      <c r="J38" s="253"/>
      <c r="K38" s="291">
        <f t="shared" si="19"/>
        <v>0</v>
      </c>
      <c r="L38" s="302">
        <f>SUMIFS(BV_Data_An_Cour!$P:$P,BV_Data_An_Cour!$U:$U,$B38,BV_Data_An_Cour!$V:$V,$C38,BV_Data_An_Cour!$W:$W,L$2)</f>
        <v>0</v>
      </c>
      <c r="M38" s="41"/>
      <c r="N38" s="276">
        <f t="shared" si="20"/>
        <v>0</v>
      </c>
      <c r="O38" s="253"/>
      <c r="P38" s="291">
        <f t="shared" si="21"/>
        <v>0</v>
      </c>
      <c r="Q38" s="256" cm="1">
        <f t="array" ref="Q38">+SUMPRODUCT(('Réel 2024'!$A$8:$A$501=$A38)*('Réel 2024'!$C$3:$AO$3=Q$2),'Réel 2024'!$C$8:$AO$501)</f>
        <v>0</v>
      </c>
      <c r="R38" s="253"/>
      <c r="S38" s="276">
        <f t="shared" si="22"/>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tr">
        <f t="shared" si="0"/>
        <v>Véhicules neufs[...]</v>
      </c>
      <c r="B39" s="41" t="str">
        <f t="shared" si="1"/>
        <v>Véhicules neufs</v>
      </c>
      <c r="C39" s="253" t="s">
        <v>59</v>
      </c>
      <c r="D39" s="297"/>
      <c r="E39" s="291">
        <f t="shared" si="18"/>
        <v>0</v>
      </c>
      <c r="F39" s="254" cm="1">
        <f t="array" ref="F39">+SUMPRODUCT(('Budget original'!$A$8:$A$501=$A39)*('Budget original'!$C$3:$AO$3=F$2),'Budget original'!$C$8:$AO$501)</f>
        <v>0</v>
      </c>
      <c r="G39" s="298"/>
      <c r="H39" s="291"/>
      <c r="I39" s="254"/>
      <c r="J39" s="253"/>
      <c r="K39" s="291">
        <f t="shared" si="19"/>
        <v>0</v>
      </c>
      <c r="L39" s="302">
        <f>SUMIFS(BV_Data_An_Cour!$P:$P,BV_Data_An_Cour!$U:$U,$B39,BV_Data_An_Cour!$V:$V,$C39,BV_Data_An_Cour!$W:$W,L$2)</f>
        <v>0</v>
      </c>
      <c r="M39" s="41"/>
      <c r="N39" s="276">
        <f t="shared" si="20"/>
        <v>0</v>
      </c>
      <c r="O39" s="253"/>
      <c r="P39" s="291">
        <f t="shared" si="21"/>
        <v>0</v>
      </c>
      <c r="Q39" s="256" cm="1">
        <f t="array" ref="Q39">+SUMPRODUCT(('Réel 2024'!$A$8:$A$501=$A39)*('Réel 2024'!$C$3:$AO$3=Q$2),'Réel 2024'!$C$8:$AO$501)</f>
        <v>0</v>
      </c>
      <c r="R39" s="253"/>
      <c r="S39" s="276">
        <f t="shared" si="22"/>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tr">
        <f t="shared" si="0"/>
        <v>Véhicules neufs[...]</v>
      </c>
      <c r="B40" s="41" t="str">
        <f t="shared" si="1"/>
        <v>Véhicules neufs</v>
      </c>
      <c r="C40" s="253" t="s">
        <v>59</v>
      </c>
      <c r="D40" s="297"/>
      <c r="E40" s="291">
        <f t="shared" si="18"/>
        <v>0</v>
      </c>
      <c r="F40" s="254" cm="1">
        <f t="array" ref="F40">+SUMPRODUCT(('Budget original'!$A$8:$A$501=$A40)*('Budget original'!$C$3:$AO$3=F$2),'Budget original'!$C$8:$AO$501)</f>
        <v>0</v>
      </c>
      <c r="G40" s="298"/>
      <c r="H40" s="291"/>
      <c r="I40" s="254"/>
      <c r="J40" s="253"/>
      <c r="K40" s="291">
        <f t="shared" si="19"/>
        <v>0</v>
      </c>
      <c r="L40" s="303">
        <f>SUMIFS(BV_Data_An_Cour!$P:$P,BV_Data_An_Cour!$U:$U,$B40,BV_Data_An_Cour!$V:$V,$C40,BV_Data_An_Cour!$W:$W,L$2)</f>
        <v>0</v>
      </c>
      <c r="M40" s="41"/>
      <c r="N40" s="276">
        <f t="shared" si="20"/>
        <v>0</v>
      </c>
      <c r="O40" s="253"/>
      <c r="P40" s="291">
        <f t="shared" si="21"/>
        <v>0</v>
      </c>
      <c r="Q40" s="256" cm="1">
        <f t="array" ref="Q40">+SUMPRODUCT(('Réel 2024'!$A$8:$A$501=$A40)*('Réel 2024'!$C$3:$AO$3=Q$2),'Réel 2024'!$C$8:$AO$501)</f>
        <v>0</v>
      </c>
      <c r="R40" s="253"/>
      <c r="S40" s="276">
        <f t="shared" si="22"/>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tr">
        <f t="shared" si="0"/>
        <v>Véhicules neufsTOTAL VARIABLES</v>
      </c>
      <c r="B41" s="41" t="str">
        <f t="shared" si="1"/>
        <v>Véhicules neufs</v>
      </c>
      <c r="C41" s="304" t="s">
        <v>118</v>
      </c>
      <c r="D41" s="305" t="s">
        <v>119</v>
      </c>
      <c r="E41" s="306">
        <f>F41/F$27</f>
        <v>0.58364360628276835</v>
      </c>
      <c r="F41" s="307">
        <f>SUM(F31:F40)</f>
        <v>228688.73409598973</v>
      </c>
      <c r="G41" s="308"/>
      <c r="H41" s="306"/>
      <c r="I41" s="307"/>
      <c r="J41" s="308" t="s">
        <v>119</v>
      </c>
      <c r="K41" s="306">
        <f>L41/L$27</f>
        <v>0.4712188575890951</v>
      </c>
      <c r="L41" s="307">
        <f>SUM(L31:L40)</f>
        <v>144265.18</v>
      </c>
      <c r="M41" s="309"/>
      <c r="N41" s="307">
        <f t="shared" si="20"/>
        <v>-84423.554095989733</v>
      </c>
      <c r="O41" s="308" t="s">
        <v>119</v>
      </c>
      <c r="P41" s="306">
        <f>Q41/Q$27</f>
        <v>0.50557204742825379</v>
      </c>
      <c r="Q41" s="310">
        <f>SUM(Q31:Q40)</f>
        <v>200039.51</v>
      </c>
      <c r="R41" s="311"/>
      <c r="S41" s="307">
        <f t="shared" si="22"/>
        <v>-55774.330000000016</v>
      </c>
      <c r="T41" s="41"/>
      <c r="U41" s="603">
        <f>H41/K41</f>
        <v>0</v>
      </c>
      <c r="V41" s="41"/>
      <c r="W41" s="41"/>
      <c r="X41" s="41"/>
      <c r="Y41" s="41"/>
      <c r="Z41" s="41"/>
      <c r="AA41" s="41"/>
      <c r="AB41" s="41"/>
      <c r="AC41" s="41"/>
      <c r="AD41" s="41"/>
      <c r="AE41" s="41"/>
      <c r="AF41" s="41"/>
      <c r="AG41" s="41"/>
      <c r="AH41" s="41"/>
      <c r="AI41" s="41"/>
      <c r="AJ41" s="41"/>
      <c r="AK41" s="41"/>
      <c r="AL41" s="41"/>
      <c r="AM41" s="41"/>
      <c r="AN41" s="41"/>
    </row>
    <row r="42" spans="1:40" ht="15.75" customHeight="1">
      <c r="A42" s="5" t="str">
        <f t="shared" si="0"/>
        <v>Véhicules neufsSalaires cadres</v>
      </c>
      <c r="B42" s="41" t="str">
        <f t="shared" si="1"/>
        <v>Véhicules neufs</v>
      </c>
      <c r="C42" s="312" t="s">
        <v>120</v>
      </c>
      <c r="D42" s="41"/>
      <c r="E42" s="41"/>
      <c r="F42" s="254" cm="1">
        <f t="array" ref="F42">+SUMPRODUCT(('Budget original'!$A$8:$A$501=$A42)*('Budget original'!$C$3:$AO$3=F$2),'Budget original'!$C$8:$AO$501)</f>
        <v>52907.047115384623</v>
      </c>
      <c r="G42" s="253"/>
      <c r="H42" s="41"/>
      <c r="I42" s="254"/>
      <c r="J42" s="253"/>
      <c r="K42" s="41"/>
      <c r="L42" s="256">
        <f>SUMIFS(BV_Data_An_Cour!$P:$P,BV_Data_An_Cour!$U:$U,$B42,BV_Data_An_Cour!$V:$V,$C42,BV_Data_An_Cour!$W:$W,L$2)</f>
        <v>38496.58</v>
      </c>
      <c r="M42" s="253"/>
      <c r="N42" s="276">
        <f t="shared" si="20"/>
        <v>-14410.467115384621</v>
      </c>
      <c r="O42" s="253"/>
      <c r="P42" s="41"/>
      <c r="Q42" s="256" cm="1">
        <f t="array" ref="Q42">+SUMPRODUCT(('Réel 2024'!$A$8:$A$501=$A42)*('Réel 2024'!$C$3:$AO$3=Q$2),'Réel 2024'!$C$8:$AO$501)</f>
        <v>33971.43</v>
      </c>
      <c r="R42" s="253"/>
      <c r="S42" s="276"/>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tr">
        <f t="shared" si="0"/>
        <v>Véhicules neufsSalaires commis</v>
      </c>
      <c r="B43" s="41" t="str">
        <f t="shared" si="1"/>
        <v>Véhicules neufs</v>
      </c>
      <c r="C43" s="313" t="s">
        <v>121</v>
      </c>
      <c r="D43" s="297"/>
      <c r="E43" s="41"/>
      <c r="F43" s="248" cm="1">
        <f t="array" ref="F43">+SUMPRODUCT(('Budget original'!$A$8:$A$501=$A43)*('Budget original'!$C$3:$AO$3=F$2),'Budget original'!$C$8:$AO$501)</f>
        <v>31071.992923076927</v>
      </c>
      <c r="G43" s="298"/>
      <c r="H43" s="41"/>
      <c r="I43" s="248"/>
      <c r="J43" s="253"/>
      <c r="K43" s="604"/>
      <c r="L43" s="256">
        <f>SUMIFS(BV_Data_An_Cour!$P:$P,BV_Data_An_Cour!$U:$U,$B43,BV_Data_An_Cour!$V:$V,$C43,BV_Data_An_Cour!$W:$W,L$2)</f>
        <v>25305.45</v>
      </c>
      <c r="M43" s="253"/>
      <c r="N43" s="276">
        <f t="shared" si="20"/>
        <v>-5766.5429230769259</v>
      </c>
      <c r="O43" s="253"/>
      <c r="P43" s="41"/>
      <c r="Q43" s="256" cm="1">
        <f t="array" ref="Q43">+SUMPRODUCT(('Réel 2024'!$A$8:$A$501=$A43)*('Réel 2024'!$C$3:$AO$3=Q$2),'Réel 2024'!$C$8:$AO$501)</f>
        <v>17876.02</v>
      </c>
      <c r="R43" s="253"/>
      <c r="S43" s="276">
        <f t="shared" ref="S43:S53" si="23">L43-Q43</f>
        <v>7429.43</v>
      </c>
      <c r="T43" s="41"/>
      <c r="U43" s="604"/>
      <c r="V43" s="41"/>
      <c r="W43" s="41"/>
      <c r="X43" s="41"/>
      <c r="Y43" s="41"/>
      <c r="Z43" s="41"/>
      <c r="AA43" s="41"/>
      <c r="AB43" s="41"/>
      <c r="AC43" s="41"/>
      <c r="AD43" s="41"/>
      <c r="AE43" s="41"/>
      <c r="AF43" s="41"/>
      <c r="AG43" s="41"/>
      <c r="AH43" s="41"/>
      <c r="AI43" s="41"/>
      <c r="AJ43" s="41"/>
      <c r="AK43" s="41"/>
      <c r="AL43" s="41"/>
      <c r="AM43" s="41"/>
      <c r="AN43" s="41"/>
    </row>
    <row r="44" spans="1:40" ht="15.75" customHeight="1">
      <c r="A44" s="5" t="str">
        <f t="shared" si="0"/>
        <v>Véhicules neufsSalaires autres</v>
      </c>
      <c r="B44" s="41" t="str">
        <f t="shared" si="1"/>
        <v>Véhicules neufs</v>
      </c>
      <c r="C44" s="312" t="s">
        <v>122</v>
      </c>
      <c r="D44" s="314"/>
      <c r="E44" s="315"/>
      <c r="F44" s="254" cm="1">
        <f t="array" ref="F44">+SUMPRODUCT(('Budget original'!$A$8:$A$501=$A44)*('Budget original'!$C$3:$AO$3=F$2),'Budget original'!$C$8:$AO$501)</f>
        <v>709.9961538461539</v>
      </c>
      <c r="G44" s="316"/>
      <c r="H44" s="315"/>
      <c r="I44" s="254"/>
      <c r="J44" s="241"/>
      <c r="K44" s="315"/>
      <c r="L44" s="272">
        <f>SUMIFS(BV_Data_An_Cour!$P:$P,BV_Data_An_Cour!$U:$U,$B44,BV_Data_An_Cour!$V:$V,$C44,BV_Data_An_Cour!$W:$W,L$2)</f>
        <v>4064</v>
      </c>
      <c r="M44" s="241"/>
      <c r="N44" s="317">
        <f t="shared" si="20"/>
        <v>3354.0038461538461</v>
      </c>
      <c r="O44" s="241"/>
      <c r="P44" s="315"/>
      <c r="Q44" s="272" cm="1">
        <f t="array" ref="Q44">+SUMPRODUCT(('Réel 2024'!$A$8:$A$501=$A44)*('Réel 2024'!$C$3:$AO$3=Q$2),'Réel 2024'!$C$8:$AO$501)</f>
        <v>6555.99</v>
      </c>
      <c r="R44" s="241"/>
      <c r="S44" s="317">
        <f t="shared" si="23"/>
        <v>-2491.9899999999998</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tr">
        <f t="shared" si="0"/>
        <v>Véhicules neufsSalaires spécialistes</v>
      </c>
      <c r="B45" s="41" t="str">
        <f t="shared" si="1"/>
        <v>Véhicules neufs</v>
      </c>
      <c r="C45" s="312" t="s">
        <v>123</v>
      </c>
      <c r="D45" s="297"/>
      <c r="E45" s="41"/>
      <c r="F45" s="254" cm="1">
        <f t="array" ref="F45">+SUMPRODUCT(('Budget original'!$A$8:$A$501=$A45)*('Budget original'!$C$3:$AO$3=F$2),'Budget original'!$C$8:$AO$501)</f>
        <v>0</v>
      </c>
      <c r="G45" s="298"/>
      <c r="H45" s="41"/>
      <c r="I45" s="254"/>
      <c r="J45" s="253"/>
      <c r="K45" s="41"/>
      <c r="L45" s="256">
        <f>SUMIFS(BV_Data_An_Cour!$P:$P,BV_Data_An_Cour!$U:$U,$B45,BV_Data_An_Cour!$V:$V,$C45,BV_Data_An_Cour!$W:$W,L$2)</f>
        <v>0</v>
      </c>
      <c r="M45" s="253"/>
      <c r="N45" s="276">
        <f t="shared" si="20"/>
        <v>0</v>
      </c>
      <c r="O45" s="253"/>
      <c r="P45" s="41"/>
      <c r="Q45" s="256" cm="1">
        <f t="array" ref="Q45">+SUMPRODUCT(('Réel 2024'!$A$8:$A$501=$A45)*('Réel 2024'!$C$3:$AO$3=Q$2),'Réel 2024'!$C$8:$AO$501)</f>
        <v>0</v>
      </c>
      <c r="R45" s="253"/>
      <c r="S45" s="276">
        <f t="shared" si="23"/>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tr">
        <f t="shared" si="0"/>
        <v>Véhicules neufs[...]</v>
      </c>
      <c r="B46" s="41" t="str">
        <f t="shared" si="1"/>
        <v>Véhicules neufs</v>
      </c>
      <c r="C46" s="312" t="s">
        <v>59</v>
      </c>
      <c r="D46" s="297"/>
      <c r="E46" s="41"/>
      <c r="F46" s="254" cm="1">
        <f t="array" ref="F46">+SUMPRODUCT(('Budget original'!$A$8:$A$501=$A46)*('Budget original'!$C$3:$AO$3=F$2),'Budget original'!$C$8:$AO$501)</f>
        <v>0</v>
      </c>
      <c r="G46" s="298"/>
      <c r="H46" s="41"/>
      <c r="I46" s="254"/>
      <c r="J46" s="253"/>
      <c r="K46" s="41"/>
      <c r="L46" s="256">
        <f>SUMIFS(BV_Data_An_Cour!$P:$P,BV_Data_An_Cour!$U:$U,$B46,BV_Data_An_Cour!$V:$V,$C46,BV_Data_An_Cour!$W:$W,L$2)</f>
        <v>0</v>
      </c>
      <c r="M46" s="253"/>
      <c r="N46" s="276">
        <f t="shared" si="20"/>
        <v>0</v>
      </c>
      <c r="O46" s="253"/>
      <c r="P46" s="41"/>
      <c r="Q46" s="256" cm="1">
        <f t="array" ref="Q46">+SUMPRODUCT(('Réel 2024'!$A$8:$A$501=$A46)*('Réel 2024'!$C$3:$AO$3=Q$2),'Réel 2024'!$C$8:$AO$501)</f>
        <v>0</v>
      </c>
      <c r="R46" s="253"/>
      <c r="S46" s="276">
        <f t="shared" si="23"/>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tr">
        <f t="shared" si="0"/>
        <v>Véhicules neufs[...]</v>
      </c>
      <c r="B47" s="41" t="str">
        <f t="shared" si="1"/>
        <v>Véhicules neufs</v>
      </c>
      <c r="C47" s="312" t="s">
        <v>59</v>
      </c>
      <c r="D47" s="297"/>
      <c r="E47" s="41"/>
      <c r="F47" s="254" cm="1">
        <f t="array" ref="F47">+SUMPRODUCT(('Budget original'!$A$8:$A$501=$A47)*('Budget original'!$C$3:$AO$3=F$2),'Budget original'!$C$8:$AO$501)</f>
        <v>0</v>
      </c>
      <c r="G47" s="298"/>
      <c r="H47" s="41"/>
      <c r="I47" s="254"/>
      <c r="J47" s="253"/>
      <c r="K47" s="41"/>
      <c r="L47" s="256">
        <f>SUMIFS(BV_Data_An_Cour!$P:$P,BV_Data_An_Cour!$U:$U,$B47,BV_Data_An_Cour!$V:$V,$C47,BV_Data_An_Cour!$W:$W,L$2)</f>
        <v>0</v>
      </c>
      <c r="M47" s="253"/>
      <c r="N47" s="276">
        <f t="shared" si="20"/>
        <v>0</v>
      </c>
      <c r="O47" s="253"/>
      <c r="P47" s="41"/>
      <c r="Q47" s="256" cm="1">
        <f t="array" ref="Q47">+SUMPRODUCT(('Réel 2024'!$A$8:$A$501=$A47)*('Réel 2024'!$C$3:$AO$3=Q$2),'Réel 2024'!$C$8:$AO$501)</f>
        <v>0</v>
      </c>
      <c r="R47" s="253"/>
      <c r="S47" s="276">
        <f t="shared" si="23"/>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tr">
        <f t="shared" si="0"/>
        <v>Véhicules neufs[...]</v>
      </c>
      <c r="B48" s="41" t="str">
        <f t="shared" si="1"/>
        <v>Véhicules neufs</v>
      </c>
      <c r="C48" s="312" t="s">
        <v>59</v>
      </c>
      <c r="D48" s="297"/>
      <c r="E48" s="41"/>
      <c r="F48" s="254" cm="1">
        <f t="array" ref="F48">+SUMPRODUCT(('Budget original'!$A$8:$A$501=$A48)*('Budget original'!$C$3:$AO$3=F$2),'Budget original'!$C$8:$AO$501)</f>
        <v>0</v>
      </c>
      <c r="G48" s="298"/>
      <c r="H48" s="41"/>
      <c r="I48" s="254"/>
      <c r="J48" s="253"/>
      <c r="K48" s="41"/>
      <c r="L48" s="256">
        <f>SUMIFS(BV_Data_An_Cour!$P:$P,BV_Data_An_Cour!$U:$U,$B48,BV_Data_An_Cour!$V:$V,$C48,BV_Data_An_Cour!$W:$W,L$2)</f>
        <v>0</v>
      </c>
      <c r="M48" s="253"/>
      <c r="N48" s="276">
        <f t="shared" si="20"/>
        <v>0</v>
      </c>
      <c r="O48" s="253"/>
      <c r="P48" s="41"/>
      <c r="Q48" s="256" cm="1">
        <f t="array" ref="Q48">+SUMPRODUCT(('Réel 2024'!$A$8:$A$501=$A48)*('Réel 2024'!$C$3:$AO$3=Q$2),'Réel 2024'!$C$8:$AO$501)</f>
        <v>0</v>
      </c>
      <c r="R48" s="253"/>
      <c r="S48" s="276">
        <f t="shared" si="23"/>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tr">
        <f t="shared" si="0"/>
        <v>Véhicules neufsSalaires en absences</v>
      </c>
      <c r="B49" s="41" t="str">
        <f t="shared" si="1"/>
        <v>Véhicules neufs</v>
      </c>
      <c r="C49" s="313" t="s">
        <v>124</v>
      </c>
      <c r="D49" s="297"/>
      <c r="E49" s="41"/>
      <c r="F49" s="248" cm="1">
        <f t="array" ref="F49">+SUMPRODUCT(('Budget original'!$A$8:$A$501=$A49)*('Budget original'!$C$3:$AO$3=F$2),'Budget original'!$C$8:$AO$501)</f>
        <v>21798.66396904883</v>
      </c>
      <c r="G49" s="298"/>
      <c r="H49" s="41"/>
      <c r="I49" s="248"/>
      <c r="J49" s="253"/>
      <c r="K49" s="41"/>
      <c r="L49" s="248">
        <f>SUMIFS(BV_Data_An_Cour!$P:$P,BV_Data_An_Cour!$U:$U,$B49,BV_Data_An_Cour!$V:$V,$C49,BV_Data_An_Cour!$W:$W,L$2)</f>
        <v>20242.23</v>
      </c>
      <c r="M49" s="253"/>
      <c r="N49" s="276">
        <f t="shared" si="20"/>
        <v>-1556.4339690488305</v>
      </c>
      <c r="O49" s="253"/>
      <c r="P49" s="41"/>
      <c r="Q49" s="248" cm="1">
        <f t="array" ref="Q49">+SUMPRODUCT(('Réel 2024'!$A$8:$A$501=$A49)*('Réel 2024'!$C$3:$AO$3=Q$2),'Réel 2024'!$C$8:$AO$501)</f>
        <v>19387.79</v>
      </c>
      <c r="R49" s="253"/>
      <c r="S49" s="276">
        <f t="shared" si="23"/>
        <v>854.43999999999869</v>
      </c>
      <c r="T49" s="41"/>
      <c r="U49" s="41"/>
      <c r="V49" s="41"/>
      <c r="W49" s="41"/>
      <c r="X49" s="41"/>
      <c r="Y49" s="41"/>
      <c r="Z49" s="41"/>
      <c r="AA49" s="41"/>
      <c r="AB49" s="41"/>
      <c r="AC49" s="41"/>
      <c r="AD49" s="41"/>
      <c r="AE49" s="41"/>
      <c r="AF49" s="41"/>
      <c r="AG49" s="41"/>
      <c r="AH49" s="41"/>
      <c r="AI49" s="41"/>
      <c r="AJ49" s="41"/>
      <c r="AK49" s="41"/>
      <c r="AL49" s="41"/>
      <c r="AM49" s="41"/>
      <c r="AN49" s="41"/>
    </row>
    <row r="50" spans="1:40" ht="15.75" customHeight="1">
      <c r="A50" s="5" t="str">
        <f t="shared" si="0"/>
        <v>Véhicules neufsDéduction à la source</v>
      </c>
      <c r="B50" s="41" t="str">
        <f t="shared" si="1"/>
        <v>Véhicules neufs</v>
      </c>
      <c r="C50" s="312" t="s">
        <v>125</v>
      </c>
      <c r="D50" s="314"/>
      <c r="E50" s="315"/>
      <c r="F50" s="254" cm="1">
        <f t="array" ref="F50">+SUMPRODUCT(('Budget original'!$A$8:$A$501=$A50)*('Budget original'!$C$3:$AO$3=F$2),'Budget original'!$C$8:$AO$501)</f>
        <v>26504.10244694924</v>
      </c>
      <c r="G50" s="316"/>
      <c r="H50" s="315"/>
      <c r="I50" s="254"/>
      <c r="J50" s="241"/>
      <c r="K50" s="315"/>
      <c r="L50" s="256">
        <f>SUMIFS(BV_Data_An_Cour!$P:$P,BV_Data_An_Cour!$U:$U,$B50,BV_Data_An_Cour!$V:$V,$C50,BV_Data_An_Cour!$W:$W,L$2)</f>
        <v>27025.08</v>
      </c>
      <c r="M50" s="241"/>
      <c r="N50" s="317">
        <f t="shared" si="20"/>
        <v>520.97755305076134</v>
      </c>
      <c r="O50" s="241"/>
      <c r="P50" s="315"/>
      <c r="Q50" s="256" cm="1">
        <f t="array" ref="Q50">+SUMPRODUCT(('Réel 2024'!$A$8:$A$501=$A50)*('Réel 2024'!$C$3:$AO$3=Q$2),'Réel 2024'!$C$8:$AO$501)</f>
        <v>31405.229999999996</v>
      </c>
      <c r="R50" s="241"/>
      <c r="S50" s="317">
        <f t="shared" si="23"/>
        <v>-4380.1499999999942</v>
      </c>
      <c r="T50" s="41"/>
      <c r="U50" s="254">
        <f>L50-Print_Mois!L50</f>
        <v>14203.830000000002</v>
      </c>
      <c r="V50" s="41"/>
      <c r="W50" s="41"/>
      <c r="X50" s="41"/>
      <c r="Y50" s="41"/>
      <c r="Z50" s="41"/>
      <c r="AA50" s="41"/>
      <c r="AB50" s="41"/>
      <c r="AC50" s="41"/>
      <c r="AD50" s="41"/>
      <c r="AE50" s="41"/>
      <c r="AF50" s="41"/>
      <c r="AG50" s="41"/>
      <c r="AH50" s="41"/>
      <c r="AI50" s="41"/>
      <c r="AJ50" s="41"/>
      <c r="AK50" s="41"/>
      <c r="AL50" s="41"/>
      <c r="AM50" s="41"/>
      <c r="AN50" s="41"/>
    </row>
    <row r="51" spans="1:40" ht="15.75" customHeight="1">
      <c r="A51" s="5" t="str">
        <f t="shared" si="0"/>
        <v>Véhicules neufsBénéfices marginaux</v>
      </c>
      <c r="B51" s="41" t="str">
        <f t="shared" si="1"/>
        <v>Véhicules neufs</v>
      </c>
      <c r="C51" s="312" t="s">
        <v>126</v>
      </c>
      <c r="D51" s="297"/>
      <c r="E51" s="41"/>
      <c r="F51" s="254" cm="1">
        <f t="array" ref="F51">+SUMPRODUCT(('Budget original'!$A$8:$A$501=$A51)*('Budget original'!$C$3:$AO$3=F$2),'Budget original'!$C$8:$AO$501)</f>
        <v>13655.374521580368</v>
      </c>
      <c r="G51" s="298"/>
      <c r="H51" s="41"/>
      <c r="I51" s="254"/>
      <c r="J51" s="253"/>
      <c r="K51" s="41"/>
      <c r="L51" s="256">
        <f>SUMIFS(BV_Data_An_Cour!$P:$P,BV_Data_An_Cour!$U:$U,$B51,BV_Data_An_Cour!$V:$V,$C51,BV_Data_An_Cour!$W:$W,L$2)</f>
        <v>12146.810000000001</v>
      </c>
      <c r="M51" s="253"/>
      <c r="N51" s="276">
        <f t="shared" si="20"/>
        <v>-1508.564521580367</v>
      </c>
      <c r="O51" s="253"/>
      <c r="P51" s="41"/>
      <c r="Q51" s="256" cm="1">
        <f t="array" ref="Q51">+SUMPRODUCT(('Réel 2024'!$A$8:$A$501=$A51)*('Réel 2024'!$C$3:$AO$3=Q$2),'Réel 2024'!$C$8:$AO$501)</f>
        <v>13461</v>
      </c>
      <c r="R51" s="253"/>
      <c r="S51" s="276">
        <f t="shared" si="23"/>
        <v>-1314.1899999999987</v>
      </c>
      <c r="T51" s="41"/>
      <c r="U51" s="254">
        <f>L51-Print_Mois!L51</f>
        <v>7181.9000000000015</v>
      </c>
      <c r="V51" s="41"/>
      <c r="W51" s="41"/>
      <c r="X51" s="41"/>
      <c r="Y51" s="41"/>
      <c r="Z51" s="41"/>
      <c r="AA51" s="41"/>
      <c r="AB51" s="41"/>
      <c r="AC51" s="41"/>
      <c r="AD51" s="41"/>
      <c r="AE51" s="41"/>
      <c r="AF51" s="41"/>
      <c r="AG51" s="41"/>
      <c r="AH51" s="41"/>
      <c r="AI51" s="41"/>
      <c r="AJ51" s="41"/>
      <c r="AK51" s="41"/>
      <c r="AL51" s="41"/>
      <c r="AM51" s="41"/>
      <c r="AN51" s="41"/>
    </row>
    <row r="52" spans="1:40" ht="15.75" customHeight="1">
      <c r="A52" s="5" t="str">
        <f t="shared" si="0"/>
        <v>Véhicules neufsCsst</v>
      </c>
      <c r="B52" s="41" t="str">
        <f t="shared" si="1"/>
        <v>Véhicules neufs</v>
      </c>
      <c r="C52" s="312" t="s">
        <v>127</v>
      </c>
      <c r="D52" s="297"/>
      <c r="E52" s="41"/>
      <c r="F52" s="254" cm="1">
        <f t="array" ref="F52">+SUMPRODUCT(('Budget original'!$A$8:$A$501=$A52)*('Budget original'!$C$3:$AO$3=F$2),'Budget original'!$C$8:$AO$501)</f>
        <v>5953.8201148943936</v>
      </c>
      <c r="G52" s="298"/>
      <c r="H52" s="41"/>
      <c r="I52" s="254"/>
      <c r="J52" s="253"/>
      <c r="K52" s="41"/>
      <c r="L52" s="256">
        <f>SUMIFS(BV_Data_An_Cour!$P:$P,BV_Data_An_Cour!$U:$U,$B52,BV_Data_An_Cour!$V:$V,$C52,BV_Data_An_Cour!$W:$W,L$2)</f>
        <v>5792.7</v>
      </c>
      <c r="M52" s="253"/>
      <c r="N52" s="276">
        <f t="shared" si="20"/>
        <v>-161.12011489439374</v>
      </c>
      <c r="O52" s="253"/>
      <c r="P52" s="41"/>
      <c r="Q52" s="256" cm="1">
        <f t="array" ref="Q52">+SUMPRODUCT(('Réel 2024'!$A$8:$A$501=$A52)*('Réel 2024'!$C$3:$AO$3=Q$2),'Réel 2024'!$C$8:$AO$501)</f>
        <v>5430.9</v>
      </c>
      <c r="R52" s="253"/>
      <c r="S52" s="276">
        <f t="shared" si="23"/>
        <v>361.80000000000018</v>
      </c>
      <c r="T52" s="41"/>
      <c r="U52" s="254">
        <f>L52-Print_Mois!L52</f>
        <v>2463.48</v>
      </c>
      <c r="V52" s="41"/>
      <c r="W52" s="41"/>
      <c r="X52" s="41"/>
      <c r="Y52" s="41"/>
      <c r="Z52" s="41"/>
      <c r="AA52" s="41"/>
      <c r="AB52" s="41"/>
      <c r="AC52" s="41"/>
      <c r="AD52" s="41"/>
      <c r="AE52" s="41"/>
      <c r="AF52" s="41"/>
      <c r="AG52" s="41"/>
      <c r="AH52" s="41"/>
      <c r="AI52" s="41"/>
      <c r="AJ52" s="41"/>
      <c r="AK52" s="41"/>
      <c r="AL52" s="41"/>
      <c r="AM52" s="41"/>
      <c r="AN52" s="41"/>
    </row>
    <row r="53" spans="1:40" ht="15.75" hidden="1" customHeight="1">
      <c r="A53" s="5" t="str">
        <f t="shared" si="0"/>
        <v>Véhicules neufs[...]</v>
      </c>
      <c r="B53" s="41" t="str">
        <f t="shared" si="1"/>
        <v>Véhicules neufs</v>
      </c>
      <c r="C53" s="253" t="s">
        <v>59</v>
      </c>
      <c r="D53" s="299"/>
      <c r="E53" s="318"/>
      <c r="F53" s="254" cm="1">
        <f t="array" ref="F53">+SUMPRODUCT(('Budget original'!$A$8:$A$501=$A53)*('Budget original'!$C$3:$AO$3=F$2),'Budget original'!$C$8:$AO$501)</f>
        <v>0</v>
      </c>
      <c r="G53" s="300"/>
      <c r="H53" s="318"/>
      <c r="I53" s="254"/>
      <c r="J53" s="246"/>
      <c r="K53" s="318"/>
      <c r="L53" s="256">
        <f>SUMIFS(BV_Data_An_Cour!$P:$P,BV_Data_An_Cour!$U:$U,$B53,BV_Data_An_Cour!$V:$V,$C53,BV_Data_An_Cour!$W:$W,L$2)</f>
        <v>0</v>
      </c>
      <c r="M53" s="246"/>
      <c r="N53" s="296">
        <f t="shared" si="20"/>
        <v>0</v>
      </c>
      <c r="O53" s="246"/>
      <c r="P53" s="318"/>
      <c r="Q53" s="256" cm="1">
        <f t="array" ref="Q53">+SUMPRODUCT(('Réel 2024'!$A$8:$A$501=$A53)*('Réel 2024'!$C$3:$AO$3=Q$2),'Réel 2024'!$C$8:$AO$501)</f>
        <v>0</v>
      </c>
      <c r="R53" s="246"/>
      <c r="S53" s="296">
        <f t="shared" si="23"/>
        <v>0</v>
      </c>
      <c r="T53" s="41"/>
      <c r="U53" s="41"/>
      <c r="V53" s="41"/>
      <c r="W53" s="41"/>
      <c r="X53" s="41"/>
      <c r="Y53" s="41"/>
      <c r="Z53" s="41"/>
      <c r="AA53" s="41"/>
      <c r="AB53" s="41"/>
      <c r="AC53" s="41"/>
      <c r="AD53" s="41"/>
      <c r="AE53" s="41"/>
      <c r="AF53" s="41"/>
      <c r="AG53" s="41"/>
      <c r="AH53" s="41"/>
      <c r="AI53" s="41"/>
      <c r="AJ53" s="41"/>
      <c r="AK53" s="41"/>
      <c r="AL53" s="41"/>
      <c r="AM53" s="41"/>
      <c r="AN53" s="41"/>
    </row>
    <row r="54" spans="1:40" ht="15.75" customHeight="1">
      <c r="A54" s="5" t="str">
        <f t="shared" si="0"/>
        <v>Véhicules neufsTOTAL PERSONNEL</v>
      </c>
      <c r="B54" s="41" t="str">
        <f t="shared" si="1"/>
        <v>Véhicules neufs</v>
      </c>
      <c r="C54" s="304" t="s">
        <v>128</v>
      </c>
      <c r="D54" s="305" t="s">
        <v>119</v>
      </c>
      <c r="E54" s="306">
        <f>F54/F$27</f>
        <v>0.38945773479556967</v>
      </c>
      <c r="F54" s="307">
        <f>+SUM(F42:F53)</f>
        <v>152600.99724478053</v>
      </c>
      <c r="G54" s="308"/>
      <c r="H54" s="306"/>
      <c r="I54" s="307"/>
      <c r="J54" s="308" t="s">
        <v>119</v>
      </c>
      <c r="K54" s="306">
        <f>L54/L$27</f>
        <v>0.43466092339901435</v>
      </c>
      <c r="L54" s="307">
        <f>+SUM(L42:L53)</f>
        <v>133072.85</v>
      </c>
      <c r="M54" s="311"/>
      <c r="N54" s="307">
        <f>+SUM(N42:N53)</f>
        <v>-19528.147244780532</v>
      </c>
      <c r="O54" s="308" t="s">
        <v>119</v>
      </c>
      <c r="P54" s="306">
        <f>Q54/Q$27</f>
        <v>0.32372552010813882</v>
      </c>
      <c r="Q54" s="307">
        <f>+SUM(Q42:Q53)</f>
        <v>128088.35999999999</v>
      </c>
      <c r="R54" s="311"/>
      <c r="S54" s="307">
        <f>+SUM(S42:S53)</f>
        <v>459.34000000000651</v>
      </c>
      <c r="T54" s="291"/>
      <c r="U54" s="41"/>
      <c r="V54" s="41"/>
      <c r="W54" s="41"/>
      <c r="X54" s="41"/>
      <c r="Y54" s="41"/>
      <c r="Z54" s="41"/>
      <c r="AA54" s="41"/>
      <c r="AB54" s="41"/>
      <c r="AC54" s="41"/>
      <c r="AD54" s="41"/>
      <c r="AE54" s="41"/>
      <c r="AF54" s="41"/>
      <c r="AG54" s="41"/>
      <c r="AH54" s="41"/>
      <c r="AI54" s="41"/>
      <c r="AJ54" s="41"/>
      <c r="AK54" s="41"/>
      <c r="AL54" s="41"/>
      <c r="AM54" s="41"/>
      <c r="AN54" s="41"/>
    </row>
    <row r="55" spans="1:40" ht="15.75" customHeight="1">
      <c r="A55" s="5" t="str">
        <f t="shared" si="0"/>
        <v>Véhicules neufsPublicité 2</v>
      </c>
      <c r="B55" s="41" t="str">
        <f t="shared" si="1"/>
        <v>Véhicules neufs</v>
      </c>
      <c r="C55" s="253" t="s">
        <v>129</v>
      </c>
      <c r="D55" s="297"/>
      <c r="E55" s="41"/>
      <c r="F55" s="254" cm="1">
        <f t="array" ref="F55">+SUMPRODUCT(('Budget original'!$A$8:$A$501=$A55)*('Budget original'!$C$3:$AO$3=F$2),'Budget original'!$C$8:$AO$501)</f>
        <v>0</v>
      </c>
      <c r="G55" s="298"/>
      <c r="H55" s="41"/>
      <c r="I55" s="254"/>
      <c r="J55" s="253"/>
      <c r="K55" s="41"/>
      <c r="L55" s="256">
        <f>SUMIFS(BV_Data_An_Cour!$P:$P,BV_Data_An_Cour!$U:$U,$B55,BV_Data_An_Cour!$V:$V,$C55,BV_Data_An_Cour!$W:$W,L$2)</f>
        <v>0</v>
      </c>
      <c r="M55" s="253"/>
      <c r="N55" s="276">
        <f t="shared" ref="N55:N71" si="24">L55-F55</f>
        <v>0</v>
      </c>
      <c r="O55" s="253"/>
      <c r="P55" s="41"/>
      <c r="Q55" s="256" cm="1">
        <f t="array" ref="Q55">+SUMPRODUCT(('Réel 2024'!$A$8:$A$501=$A55)*('Réel 2024'!$C$3:$AO$3=Q$2),'Réel 2024'!$C$8:$AO$501)</f>
        <v>0</v>
      </c>
      <c r="R55" s="253"/>
      <c r="S55" s="276">
        <f t="shared" ref="S55:S71" si="25">L55-Q55</f>
        <v>0</v>
      </c>
      <c r="T55" s="291"/>
      <c r="U55" s="41"/>
      <c r="V55" s="41"/>
      <c r="W55" s="41"/>
      <c r="X55" s="41"/>
      <c r="Y55" s="41"/>
      <c r="Z55" s="41"/>
      <c r="AA55" s="41"/>
      <c r="AB55" s="41"/>
      <c r="AC55" s="41"/>
      <c r="AD55" s="41"/>
      <c r="AE55" s="41"/>
      <c r="AF55" s="41"/>
      <c r="AG55" s="41"/>
      <c r="AH55" s="41"/>
      <c r="AI55" s="41"/>
      <c r="AJ55" s="41"/>
      <c r="AK55" s="41"/>
      <c r="AL55" s="41"/>
      <c r="AM55" s="41"/>
      <c r="AN55" s="41"/>
    </row>
    <row r="56" spans="1:40" ht="15.75" customHeight="1">
      <c r="A56" s="5" t="str">
        <f t="shared" si="0"/>
        <v>Véhicules neufsService gratuit 2</v>
      </c>
      <c r="B56" s="41" t="str">
        <f t="shared" si="1"/>
        <v>Véhicules neufs</v>
      </c>
      <c r="C56" s="253" t="s">
        <v>130</v>
      </c>
      <c r="D56" s="297"/>
      <c r="E56" s="41"/>
      <c r="F56" s="254" cm="1">
        <f t="array" ref="F56">+SUMPRODUCT(('Budget original'!$A$8:$A$501=$A56)*('Budget original'!$C$3:$AO$3=F$2),'Budget original'!$C$8:$AO$501)</f>
        <v>0</v>
      </c>
      <c r="G56" s="298"/>
      <c r="H56" s="41"/>
      <c r="I56" s="254"/>
      <c r="J56" s="253"/>
      <c r="K56" s="41"/>
      <c r="L56" s="256">
        <f>SUMIFS(BV_Data_An_Cour!$P:$P,BV_Data_An_Cour!$U:$U,$B56,BV_Data_An_Cour!$V:$V,$C56,BV_Data_An_Cour!$W:$W,L$2)</f>
        <v>0</v>
      </c>
      <c r="M56" s="253"/>
      <c r="N56" s="276">
        <f t="shared" si="24"/>
        <v>0</v>
      </c>
      <c r="O56" s="253"/>
      <c r="P56" s="41"/>
      <c r="Q56" s="256" cm="1">
        <f t="array" ref="Q56">+SUMPRODUCT(('Réel 2024'!$A$8:$A$501=$A56)*('Réel 2024'!$C$3:$AO$3=Q$2),'Réel 2024'!$C$8:$AO$501)</f>
        <v>0</v>
      </c>
      <c r="R56" s="253"/>
      <c r="S56" s="276">
        <f t="shared" si="25"/>
        <v>0</v>
      </c>
      <c r="T56" s="291"/>
      <c r="U56" s="41"/>
      <c r="V56" s="41"/>
      <c r="W56" s="41"/>
      <c r="X56" s="41"/>
      <c r="Y56" s="41"/>
      <c r="Z56" s="41"/>
      <c r="AA56" s="41"/>
      <c r="AB56" s="41"/>
      <c r="AC56" s="41"/>
      <c r="AD56" s="41"/>
      <c r="AE56" s="41"/>
      <c r="AF56" s="41"/>
      <c r="AG56" s="41"/>
      <c r="AH56" s="41"/>
      <c r="AI56" s="41"/>
      <c r="AJ56" s="41"/>
      <c r="AK56" s="41"/>
      <c r="AL56" s="41"/>
      <c r="AM56" s="41"/>
      <c r="AN56" s="41"/>
    </row>
    <row r="57" spans="1:40" ht="15.75" customHeight="1">
      <c r="A57" s="5" t="str">
        <f t="shared" si="0"/>
        <v>Véhicules neufsFrais véhicules de cie</v>
      </c>
      <c r="B57" s="41" t="str">
        <f t="shared" si="1"/>
        <v>Véhicules neufs</v>
      </c>
      <c r="C57" s="246" t="s">
        <v>131</v>
      </c>
      <c r="D57" s="299"/>
      <c r="E57" s="318"/>
      <c r="F57" s="248" cm="1">
        <f t="array" ref="F57">+SUMPRODUCT(('Budget original'!$A$8:$A$501=$A57)*('Budget original'!$C$3:$AO$3=F$2),'Budget original'!$C$8:$AO$501)</f>
        <v>17905.095866666667</v>
      </c>
      <c r="G57" s="300"/>
      <c r="H57" s="318"/>
      <c r="I57" s="248"/>
      <c r="J57" s="246"/>
      <c r="K57" s="318"/>
      <c r="L57" s="248">
        <f>SUMIFS(BV_Data_An_Cour!$P:$P,BV_Data_An_Cour!$U:$U,$B57,BV_Data_An_Cour!$V:$V,$C57,BV_Data_An_Cour!$W:$W,L$2)</f>
        <v>21482.36</v>
      </c>
      <c r="M57" s="246"/>
      <c r="N57" s="296">
        <f t="shared" si="24"/>
        <v>3577.264133333334</v>
      </c>
      <c r="O57" s="246"/>
      <c r="P57" s="318"/>
      <c r="Q57" s="248" cm="1">
        <f t="array" ref="Q57">+SUMPRODUCT(('Réel 2024'!$A$8:$A$501=$A57)*('Réel 2024'!$C$3:$AO$3=Q$2),'Réel 2024'!$C$8:$AO$501)</f>
        <v>14036.54</v>
      </c>
      <c r="R57" s="246"/>
      <c r="S57" s="296">
        <f t="shared" si="25"/>
        <v>7445.82</v>
      </c>
      <c r="T57" s="319"/>
      <c r="U57" s="41"/>
      <c r="V57" s="41"/>
      <c r="W57" s="41"/>
      <c r="X57" s="41"/>
      <c r="Y57" s="41"/>
      <c r="Z57" s="41"/>
      <c r="AA57" s="41"/>
      <c r="AB57" s="41"/>
      <c r="AC57" s="41"/>
      <c r="AD57" s="41"/>
      <c r="AE57" s="41"/>
      <c r="AF57" s="41"/>
      <c r="AG57" s="41"/>
      <c r="AH57" s="41"/>
      <c r="AI57" s="41"/>
      <c r="AJ57" s="41"/>
      <c r="AK57" s="41"/>
      <c r="AL57" s="41"/>
      <c r="AM57" s="41"/>
      <c r="AN57" s="41"/>
    </row>
    <row r="58" spans="1:40" ht="15.75" customHeight="1">
      <c r="A58" s="5" t="str">
        <f t="shared" si="0"/>
        <v>Véhicules neufsInformatique</v>
      </c>
      <c r="B58" s="41" t="str">
        <f t="shared" si="1"/>
        <v>Véhicules neufs</v>
      </c>
      <c r="C58" s="253" t="s">
        <v>132</v>
      </c>
      <c r="D58" s="297"/>
      <c r="E58" s="41"/>
      <c r="F58" s="254" cm="1">
        <f t="array" ref="F58">+SUMPRODUCT(('Budget original'!$A$8:$A$501=$A58)*('Budget original'!$C$3:$AO$3=F$2),'Budget original'!$C$8:$AO$501)</f>
        <v>15921.989517031114</v>
      </c>
      <c r="G58" s="298"/>
      <c r="H58" s="41"/>
      <c r="I58" s="254"/>
      <c r="J58" s="253"/>
      <c r="K58" s="41"/>
      <c r="L58" s="256">
        <f>SUMIFS(BV_Data_An_Cour!$P:$P,BV_Data_An_Cour!$U:$U,$B58,BV_Data_An_Cour!$V:$V,$C58,BV_Data_An_Cour!$W:$W,L$2)</f>
        <v>12521.07</v>
      </c>
      <c r="M58" s="253"/>
      <c r="N58" s="276">
        <f t="shared" si="24"/>
        <v>-3400.9195170311141</v>
      </c>
      <c r="O58" s="253"/>
      <c r="P58" s="41"/>
      <c r="Q58" s="256" cm="1">
        <f t="array" ref="Q58">+SUMPRODUCT(('Réel 2024'!$A$8:$A$501=$A58)*('Réel 2024'!$C$3:$AO$3=Q$2),'Réel 2024'!$C$8:$AO$501)</f>
        <v>13806.52</v>
      </c>
      <c r="R58" s="253"/>
      <c r="S58" s="276">
        <f t="shared" si="25"/>
        <v>-1285.4500000000007</v>
      </c>
      <c r="T58" s="291"/>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tr">
        <f t="shared" si="0"/>
        <v>Véhicules neufsFrais de déplacement</v>
      </c>
      <c r="B59" s="41" t="str">
        <f t="shared" si="1"/>
        <v>Véhicules neufs</v>
      </c>
      <c r="C59" s="253" t="s">
        <v>133</v>
      </c>
      <c r="D59" s="297"/>
      <c r="E59" s="41"/>
      <c r="F59" s="254" cm="1">
        <f t="array" ref="F59">+SUMPRODUCT(('Budget original'!$A$8:$A$501=$A59)*('Budget original'!$C$3:$AO$3=F$2),'Budget original'!$C$8:$AO$501)</f>
        <v>2533.3950017259613</v>
      </c>
      <c r="G59" s="298"/>
      <c r="H59" s="41"/>
      <c r="I59" s="254"/>
      <c r="J59" s="253"/>
      <c r="K59" s="41"/>
      <c r="L59" s="256">
        <f>SUMIFS(BV_Data_An_Cour!$P:$P,BV_Data_An_Cour!$U:$U,$B59,BV_Data_An_Cour!$V:$V,$C59,BV_Data_An_Cour!$W:$W,L$2)</f>
        <v>2807.36</v>
      </c>
      <c r="M59" s="253"/>
      <c r="N59" s="276">
        <f t="shared" si="24"/>
        <v>273.96499827403886</v>
      </c>
      <c r="O59" s="253"/>
      <c r="P59" s="41"/>
      <c r="Q59" s="256" cm="1">
        <f t="array" ref="Q59">+SUMPRODUCT(('Réel 2024'!$A$8:$A$501=$A59)*('Réel 2024'!$C$3:$AO$3=Q$2),'Réel 2024'!$C$8:$AO$501)</f>
        <v>1307.6799999999998</v>
      </c>
      <c r="R59" s="253"/>
      <c r="S59" s="276">
        <f t="shared" si="25"/>
        <v>1499.6800000000003</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tr">
        <f t="shared" si="0"/>
        <v>Véhicules neufsServices extérieurs</v>
      </c>
      <c r="B60" s="41" t="str">
        <f t="shared" si="1"/>
        <v>Véhicules neufs</v>
      </c>
      <c r="C60" s="246" t="s">
        <v>134</v>
      </c>
      <c r="D60" s="299"/>
      <c r="E60" s="318"/>
      <c r="F60" s="248" cm="1">
        <f t="array" ref="F60">+SUMPRODUCT(('Budget original'!$A$8:$A$501=$A60)*('Budget original'!$C$3:$AO$3=F$2),'Budget original'!$C$8:$AO$501)</f>
        <v>14431.48144717506</v>
      </c>
      <c r="G60" s="300"/>
      <c r="H60" s="318"/>
      <c r="I60" s="248"/>
      <c r="J60" s="246"/>
      <c r="K60" s="318"/>
      <c r="L60" s="248">
        <f>SUMIFS(BV_Data_An_Cour!$P:$P,BV_Data_An_Cour!$U:$U,$B60,BV_Data_An_Cour!$V:$V,$C60,BV_Data_An_Cour!$W:$W,L$2)</f>
        <v>15468.97</v>
      </c>
      <c r="M60" s="246"/>
      <c r="N60" s="296">
        <f t="shared" si="24"/>
        <v>1037.4885528249397</v>
      </c>
      <c r="O60" s="246"/>
      <c r="P60" s="318"/>
      <c r="Q60" s="248" cm="1">
        <f t="array" ref="Q60">+SUMPRODUCT(('Réel 2024'!$A$8:$A$501=$A60)*('Réel 2024'!$C$3:$AO$3=Q$2),'Réel 2024'!$C$8:$AO$501)</f>
        <v>14438.470000000001</v>
      </c>
      <c r="R60" s="246"/>
      <c r="S60" s="296">
        <f t="shared" si="25"/>
        <v>1030.4999999999982</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tr">
        <f t="shared" si="0"/>
        <v>Véhicules neufsFournitures autres</v>
      </c>
      <c r="B61" s="41" t="str">
        <f t="shared" si="1"/>
        <v>Véhicules neufs</v>
      </c>
      <c r="C61" s="253" t="s">
        <v>135</v>
      </c>
      <c r="D61" s="297"/>
      <c r="E61" s="41"/>
      <c r="F61" s="254" cm="1">
        <f t="array" ref="F61">+SUMPRODUCT(('Budget original'!$A$8:$A$501=$A61)*('Budget original'!$C$3:$AO$3=F$2),'Budget original'!$C$8:$AO$501)</f>
        <v>194.5146666666667</v>
      </c>
      <c r="G61" s="298"/>
      <c r="H61" s="41"/>
      <c r="I61" s="254"/>
      <c r="J61" s="253"/>
      <c r="K61" s="41"/>
      <c r="L61" s="256">
        <f>SUMIFS(BV_Data_An_Cour!$P:$P,BV_Data_An_Cour!$U:$U,$B61,BV_Data_An_Cour!$V:$V,$C61,BV_Data_An_Cour!$W:$W,L$2)</f>
        <v>165.98</v>
      </c>
      <c r="M61" s="253"/>
      <c r="N61" s="276">
        <f t="shared" si="24"/>
        <v>-28.534666666666709</v>
      </c>
      <c r="O61" s="253"/>
      <c r="P61" s="41"/>
      <c r="Q61" s="256" cm="1">
        <f t="array" ref="Q61">+SUMPRODUCT(('Réel 2024'!$A$8:$A$501=$A61)*('Réel 2024'!$C$3:$AO$3=Q$2),'Réel 2024'!$C$8:$AO$501)</f>
        <v>104.38</v>
      </c>
      <c r="R61" s="253"/>
      <c r="S61" s="276">
        <f t="shared" si="25"/>
        <v>61.599999999999994</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tr">
        <f t="shared" si="0"/>
        <v>Véhicules neufsUniformes</v>
      </c>
      <c r="B62" s="41" t="str">
        <f t="shared" si="1"/>
        <v>Véhicules neufs</v>
      </c>
      <c r="C62" s="253" t="s">
        <v>136</v>
      </c>
      <c r="D62" s="297"/>
      <c r="E62" s="41"/>
      <c r="F62" s="254" cm="1">
        <f t="array" ref="F62">+SUMPRODUCT(('Budget original'!$A$8:$A$501=$A62)*('Budget original'!$C$3:$AO$3=F$2),'Budget original'!$C$8:$AO$501)</f>
        <v>56.666666666666664</v>
      </c>
      <c r="G62" s="298"/>
      <c r="H62" s="41"/>
      <c r="I62" s="254"/>
      <c r="J62" s="253"/>
      <c r="K62" s="41"/>
      <c r="L62" s="256">
        <f>SUMIFS(BV_Data_An_Cour!$P:$P,BV_Data_An_Cour!$U:$U,$B62,BV_Data_An_Cour!$V:$V,$C62,BV_Data_An_Cour!$W:$W,L$2)</f>
        <v>623</v>
      </c>
      <c r="M62" s="253"/>
      <c r="N62" s="276">
        <f t="shared" si="24"/>
        <v>566.33333333333337</v>
      </c>
      <c r="O62" s="253"/>
      <c r="P62" s="41"/>
      <c r="Q62" s="256" cm="1">
        <f t="array" ref="Q62">+SUMPRODUCT(('Réel 2024'!$A$8:$A$501=$A62)*('Réel 2024'!$C$3:$AO$3=Q$2),'Réel 2024'!$C$8:$AO$501)</f>
        <v>0</v>
      </c>
      <c r="R62" s="253"/>
      <c r="S62" s="276">
        <f t="shared" si="25"/>
        <v>623</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tr">
        <f t="shared" si="0"/>
        <v>Véhicules neufsPapeterie</v>
      </c>
      <c r="B63" s="41" t="str">
        <f t="shared" si="1"/>
        <v>Véhicules neufs</v>
      </c>
      <c r="C63" s="253" t="s">
        <v>137</v>
      </c>
      <c r="D63" s="297"/>
      <c r="E63" s="41"/>
      <c r="F63" s="254" cm="1">
        <f t="array" ref="F63">+SUMPRODUCT(('Budget original'!$A$8:$A$501=$A63)*('Budget original'!$C$3:$AO$3=F$2),'Budget original'!$C$8:$AO$501)</f>
        <v>1482.86178933824</v>
      </c>
      <c r="G63" s="298"/>
      <c r="H63" s="41"/>
      <c r="I63" s="254"/>
      <c r="J63" s="253"/>
      <c r="K63" s="41"/>
      <c r="L63" s="256">
        <f>SUMIFS(BV_Data_An_Cour!$P:$P,BV_Data_An_Cour!$U:$U,$B63,BV_Data_An_Cour!$V:$V,$C63,BV_Data_An_Cour!$W:$W,L$2)</f>
        <v>1203.68</v>
      </c>
      <c r="M63" s="253"/>
      <c r="N63" s="276">
        <f t="shared" si="24"/>
        <v>-279.18178933823992</v>
      </c>
      <c r="O63" s="253"/>
      <c r="P63" s="41"/>
      <c r="Q63" s="256" cm="1">
        <f t="array" ref="Q63">+SUMPRODUCT(('Réel 2024'!$A$8:$A$501=$A63)*('Réel 2024'!$C$3:$AO$3=Q$2),'Réel 2024'!$C$8:$AO$501)</f>
        <v>1756.68</v>
      </c>
      <c r="R63" s="253"/>
      <c r="S63" s="276">
        <f t="shared" si="25"/>
        <v>-553</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tr">
        <f t="shared" si="0"/>
        <v>Véhicules neufsTéléphone</v>
      </c>
      <c r="B64" s="41" t="str">
        <f t="shared" si="1"/>
        <v>Véhicules neufs</v>
      </c>
      <c r="C64" s="253" t="s">
        <v>138</v>
      </c>
      <c r="D64" s="297"/>
      <c r="E64" s="41"/>
      <c r="F64" s="254" cm="1">
        <f t="array" ref="F64">+SUMPRODUCT(('Budget original'!$A$8:$A$501=$A64)*('Budget original'!$C$3:$AO$3=F$2),'Budget original'!$C$8:$AO$501)</f>
        <v>689.60396983596445</v>
      </c>
      <c r="G64" s="298"/>
      <c r="H64" s="41"/>
      <c r="I64" s="254"/>
      <c r="J64" s="253"/>
      <c r="K64" s="41"/>
      <c r="L64" s="256">
        <f>SUMIFS(BV_Data_An_Cour!$P:$P,BV_Data_An_Cour!$U:$U,$B64,BV_Data_An_Cour!$V:$V,$C64,BV_Data_An_Cour!$W:$W,L$2)</f>
        <v>909.41</v>
      </c>
      <c r="M64" s="253"/>
      <c r="N64" s="276">
        <f t="shared" si="24"/>
        <v>219.80603016403552</v>
      </c>
      <c r="O64" s="253"/>
      <c r="P64" s="41"/>
      <c r="Q64" s="256" cm="1">
        <f t="array" ref="Q64">+SUMPRODUCT(('Réel 2024'!$A$8:$A$501=$A64)*('Réel 2024'!$C$3:$AO$3=Q$2),'Réel 2024'!$C$8:$AO$501)</f>
        <v>700.27</v>
      </c>
      <c r="R64" s="253"/>
      <c r="S64" s="276">
        <f t="shared" si="25"/>
        <v>209.14</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tr">
        <f t="shared" si="0"/>
        <v>Véhicules neufsFrais postaux</v>
      </c>
      <c r="B65" s="41" t="str">
        <f t="shared" si="1"/>
        <v>Véhicules neufs</v>
      </c>
      <c r="C65" s="253" t="s">
        <v>139</v>
      </c>
      <c r="D65" s="297"/>
      <c r="E65" s="41"/>
      <c r="F65" s="254" cm="1">
        <f t="array" ref="F65">+SUMPRODUCT(('Budget original'!$A$8:$A$501=$A65)*('Budget original'!$C$3:$AO$3=F$2),'Budget original'!$C$8:$AO$501)</f>
        <v>205.64479073683552</v>
      </c>
      <c r="G65" s="298"/>
      <c r="H65" s="41"/>
      <c r="I65" s="254"/>
      <c r="J65" s="253"/>
      <c r="K65" s="41"/>
      <c r="L65" s="256">
        <f>SUMIFS(BV_Data_An_Cour!$P:$P,BV_Data_An_Cour!$U:$U,$B65,BV_Data_An_Cour!$V:$V,$C65,BV_Data_An_Cour!$W:$W,L$2)</f>
        <v>1173.7</v>
      </c>
      <c r="M65" s="253"/>
      <c r="N65" s="276">
        <f t="shared" si="24"/>
        <v>968.05520926316456</v>
      </c>
      <c r="O65" s="253"/>
      <c r="P65" s="41"/>
      <c r="Q65" s="256" cm="1">
        <f t="array" ref="Q65">+SUMPRODUCT(('Réel 2024'!$A$8:$A$501=$A65)*('Réel 2024'!$C$3:$AO$3=Q$2),'Réel 2024'!$C$8:$AO$501)</f>
        <v>381.32000000000005</v>
      </c>
      <c r="R65" s="253"/>
      <c r="S65" s="276">
        <f t="shared" si="25"/>
        <v>792.38</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tr">
        <f t="shared" si="0"/>
        <v>Véhicules neufsDivers</v>
      </c>
      <c r="B66" s="41" t="str">
        <f t="shared" si="1"/>
        <v>Véhicules neufs</v>
      </c>
      <c r="C66" s="253" t="s">
        <v>140</v>
      </c>
      <c r="D66" s="297"/>
      <c r="E66" s="41"/>
      <c r="F66" s="254" cm="1">
        <f t="array" ref="F66">+SUMPRODUCT(('Budget original'!$A$8:$A$501=$A66)*('Budget original'!$C$3:$AO$3=F$2),'Budget original'!$C$8:$AO$501)</f>
        <v>402.34077033587556</v>
      </c>
      <c r="G66" s="298"/>
      <c r="H66" s="41"/>
      <c r="I66" s="254"/>
      <c r="J66" s="253"/>
      <c r="K66" s="41"/>
      <c r="L66" s="256">
        <f>SUMIFS(BV_Data_An_Cour!$P:$P,BV_Data_An_Cour!$U:$U,$B66,BV_Data_An_Cour!$V:$V,$C66,BV_Data_An_Cour!$W:$W,L$2)</f>
        <v>160.63</v>
      </c>
      <c r="M66" s="253"/>
      <c r="N66" s="276">
        <f t="shared" si="24"/>
        <v>-241.71077033587557</v>
      </c>
      <c r="O66" s="253"/>
      <c r="P66" s="41"/>
      <c r="Q66" s="256" cm="1">
        <f t="array" ref="Q66">+SUMPRODUCT(('Réel 2024'!$A$8:$A$501=$A66)*('Réel 2024'!$C$3:$AO$3=Q$2),'Réel 2024'!$C$8:$AO$501)</f>
        <v>308.89999999999998</v>
      </c>
      <c r="R66" s="253"/>
      <c r="S66" s="276">
        <f t="shared" si="25"/>
        <v>-148.26999999999998</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tr">
        <f t="shared" si="0"/>
        <v>Véhicules neufsFormation</v>
      </c>
      <c r="B67" s="41" t="str">
        <f t="shared" si="1"/>
        <v>Véhicules neufs</v>
      </c>
      <c r="C67" s="253" t="s">
        <v>141</v>
      </c>
      <c r="D67" s="297"/>
      <c r="E67" s="41"/>
      <c r="F67" s="254" cm="1">
        <f t="array" ref="F67">+SUMPRODUCT(('Budget original'!$A$8:$A$501=$A67)*('Budget original'!$C$3:$AO$3=F$2),'Budget original'!$C$8:$AO$501)</f>
        <v>3869.412499999999</v>
      </c>
      <c r="G67" s="298"/>
      <c r="H67" s="41"/>
      <c r="I67" s="254"/>
      <c r="J67" s="253"/>
      <c r="K67" s="41"/>
      <c r="L67" s="256">
        <f>SUMIFS(BV_Data_An_Cour!$P:$P,BV_Data_An_Cour!$U:$U,$B67,BV_Data_An_Cour!$V:$V,$C67,BV_Data_An_Cour!$W:$W,L$2)</f>
        <v>2966.69</v>
      </c>
      <c r="M67" s="253"/>
      <c r="N67" s="276">
        <f t="shared" si="24"/>
        <v>-902.72249999999894</v>
      </c>
      <c r="O67" s="253"/>
      <c r="P67" s="41"/>
      <c r="Q67" s="256" cm="1">
        <f t="array" ref="Q67">+SUMPRODUCT(('Réel 2024'!$A$8:$A$501=$A67)*('Réel 2024'!$C$3:$AO$3=Q$2),'Réel 2024'!$C$8:$AO$501)</f>
        <v>2979.45</v>
      </c>
      <c r="R67" s="253"/>
      <c r="S67" s="276">
        <f t="shared" si="25"/>
        <v>-12.759999999999764</v>
      </c>
      <c r="T67" s="41"/>
      <c r="U67" s="41"/>
      <c r="V67" s="41"/>
      <c r="W67" s="41"/>
      <c r="X67" s="41"/>
      <c r="Y67" s="41"/>
      <c r="Z67" s="41"/>
      <c r="AA67" s="41"/>
      <c r="AB67" s="41"/>
      <c r="AC67" s="41"/>
      <c r="AD67" s="41"/>
      <c r="AE67" s="41"/>
      <c r="AF67" s="41"/>
      <c r="AG67" s="41"/>
      <c r="AH67" s="41"/>
      <c r="AI67" s="41"/>
      <c r="AJ67" s="41"/>
      <c r="AK67" s="41"/>
      <c r="AL67" s="41"/>
      <c r="AM67" s="41"/>
      <c r="AN67" s="41"/>
    </row>
    <row r="68" spans="1:40" ht="15.75" customHeight="1">
      <c r="A68" s="5" t="str">
        <f t="shared" si="0"/>
        <v>Véhicules neufsFrais bancaires</v>
      </c>
      <c r="B68" s="41" t="str">
        <f t="shared" si="1"/>
        <v>Véhicules neufs</v>
      </c>
      <c r="C68" s="253" t="s">
        <v>142</v>
      </c>
      <c r="D68" s="297"/>
      <c r="E68" s="41"/>
      <c r="F68" s="254" cm="1">
        <f t="array" ref="F68">+SUMPRODUCT(('Budget original'!$A$8:$A$501=$A68)*('Budget original'!$C$3:$AO$3=F$2),'Budget original'!$C$8:$AO$501)</f>
        <v>5473.6912742566456</v>
      </c>
      <c r="G68" s="298"/>
      <c r="H68" s="41"/>
      <c r="I68" s="254"/>
      <c r="J68" s="253"/>
      <c r="K68" s="41"/>
      <c r="L68" s="952">
        <f>SUMIFS(BV_Data_An_Cour!$P:$P,BV_Data_An_Cour!$U:$U,$B68,BV_Data_An_Cour!$V:$V,$C68,BV_Data_An_Cour!$W:$W,L$2)</f>
        <v>4968.16</v>
      </c>
      <c r="M68" s="987"/>
      <c r="N68" s="961">
        <f t="shared" si="24"/>
        <v>-505.5312742566457</v>
      </c>
      <c r="O68" s="253"/>
      <c r="P68" s="41"/>
      <c r="Q68" s="256" cm="1">
        <f t="array" ref="Q68">+SUMPRODUCT(('Réel 2024'!$A$8:$A$501=$A68)*('Réel 2024'!$C$3:$AO$3=Q$2),'Réel 2024'!$C$8:$AO$501)</f>
        <v>5526.01</v>
      </c>
      <c r="R68" s="253"/>
      <c r="S68" s="276">
        <f t="shared" si="25"/>
        <v>-557.85000000000036</v>
      </c>
      <c r="T68" s="41"/>
      <c r="U68" s="41"/>
      <c r="V68" s="41"/>
      <c r="W68" s="41"/>
      <c r="X68" s="41"/>
      <c r="Y68" s="41"/>
      <c r="Z68" s="41"/>
      <c r="AA68" s="41"/>
      <c r="AB68" s="41"/>
      <c r="AC68" s="41"/>
      <c r="AD68" s="41"/>
      <c r="AE68" s="41"/>
      <c r="AF68" s="41"/>
      <c r="AG68" s="41"/>
      <c r="AH68" s="41"/>
      <c r="AI68" s="41"/>
      <c r="AJ68" s="41"/>
      <c r="AK68" s="41"/>
      <c r="AL68" s="41"/>
      <c r="AM68" s="41"/>
      <c r="AN68" s="41"/>
    </row>
    <row r="69" spans="1:40" ht="15.75" hidden="1" customHeight="1">
      <c r="A69" s="5" t="str">
        <f t="shared" si="0"/>
        <v>Véhicules neufs[...]</v>
      </c>
      <c r="B69" s="41" t="str">
        <f t="shared" si="1"/>
        <v>Véhicules neufs</v>
      </c>
      <c r="C69" s="253" t="s">
        <v>59</v>
      </c>
      <c r="D69" s="297"/>
      <c r="E69" s="41"/>
      <c r="F69" s="254" cm="1">
        <f t="array" ref="F69">+SUMPRODUCT(('Budget original'!$A$8:$A$501=$A69)*('Budget original'!$C$3:$AO$3=F$2),'Budget original'!$C$8:$AO$501)</f>
        <v>0</v>
      </c>
      <c r="G69" s="298"/>
      <c r="H69" s="41"/>
      <c r="I69" s="254"/>
      <c r="J69" s="253"/>
      <c r="K69" s="41"/>
      <c r="L69" s="256"/>
      <c r="M69" s="253"/>
      <c r="N69" s="276">
        <f t="shared" si="24"/>
        <v>0</v>
      </c>
      <c r="O69" s="253"/>
      <c r="P69" s="41"/>
      <c r="Q69" s="256" cm="1">
        <f t="array" ref="Q69">+SUMPRODUCT(('Réel 2024'!$A$8:$A$501=$A69)*('Réel 2024'!$C$3:$AO$3=Q$2),'Réel 2024'!$C$8:$AO$501)</f>
        <v>0</v>
      </c>
      <c r="R69" s="253"/>
      <c r="S69" s="276">
        <f t="shared" si="25"/>
        <v>0</v>
      </c>
      <c r="T69" s="41"/>
      <c r="U69" s="41"/>
      <c r="V69" s="41"/>
      <c r="W69" s="41"/>
      <c r="X69" s="41"/>
      <c r="Y69" s="41"/>
      <c r="Z69" s="41"/>
      <c r="AA69" s="41"/>
      <c r="AB69" s="41"/>
      <c r="AC69" s="41"/>
      <c r="AD69" s="41"/>
      <c r="AE69" s="41"/>
      <c r="AF69" s="41"/>
      <c r="AG69" s="41"/>
      <c r="AH69" s="41"/>
      <c r="AI69" s="41"/>
      <c r="AJ69" s="41"/>
      <c r="AK69" s="41"/>
      <c r="AL69" s="41"/>
      <c r="AM69" s="41"/>
      <c r="AN69" s="41"/>
    </row>
    <row r="70" spans="1:40" ht="15.75" hidden="1" customHeight="1">
      <c r="A70" s="5" t="str">
        <f t="shared" si="0"/>
        <v>Véhicules neufs[...]</v>
      </c>
      <c r="B70" s="41" t="str">
        <f t="shared" si="1"/>
        <v>Véhicules neufs</v>
      </c>
      <c r="C70" s="253" t="s">
        <v>59</v>
      </c>
      <c r="D70" s="297"/>
      <c r="E70" s="41"/>
      <c r="F70" s="254" cm="1">
        <f t="array" ref="F70">+SUMPRODUCT(('Budget original'!$A$8:$A$501=$A70)*('Budget original'!$C$3:$AO$3=F$2),'Budget original'!$C$8:$AO$501)</f>
        <v>0</v>
      </c>
      <c r="G70" s="298"/>
      <c r="H70" s="41"/>
      <c r="I70" s="254"/>
      <c r="J70" s="253"/>
      <c r="K70" s="41"/>
      <c r="L70" s="256">
        <f>SUMIFS(BV_Data_An_Cour!$P:$P,BV_Data_An_Cour!$U:$U,$B70,BV_Data_An_Cour!$V:$V,$C70,BV_Data_An_Cour!$W:$W,L$2)</f>
        <v>0</v>
      </c>
      <c r="M70" s="253"/>
      <c r="N70" s="276">
        <f t="shared" si="24"/>
        <v>0</v>
      </c>
      <c r="O70" s="253"/>
      <c r="P70" s="41"/>
      <c r="Q70" s="256" cm="1">
        <f t="array" ref="Q70">+SUMPRODUCT(('Réel 2024'!$A$8:$A$501=$A70)*('Réel 2024'!$C$3:$AO$3=Q$2),'Réel 2024'!$C$8:$AO$501)</f>
        <v>0</v>
      </c>
      <c r="R70" s="253"/>
      <c r="S70" s="276">
        <f t="shared" si="25"/>
        <v>0</v>
      </c>
      <c r="T70" s="41"/>
      <c r="U70" s="41"/>
      <c r="V70" s="41"/>
      <c r="W70" s="41"/>
      <c r="X70" s="41"/>
      <c r="Y70" s="41"/>
      <c r="Z70" s="41"/>
      <c r="AA70" s="41"/>
      <c r="AB70" s="41"/>
      <c r="AC70" s="41"/>
      <c r="AD70" s="41"/>
      <c r="AE70" s="41"/>
      <c r="AF70" s="41"/>
      <c r="AG70" s="41"/>
      <c r="AH70" s="41"/>
      <c r="AI70" s="41"/>
      <c r="AJ70" s="41"/>
      <c r="AK70" s="41"/>
      <c r="AL70" s="41"/>
      <c r="AM70" s="41"/>
      <c r="AN70" s="41"/>
    </row>
    <row r="71" spans="1:40" ht="15.75" hidden="1" customHeight="1">
      <c r="A71" s="5" t="str">
        <f t="shared" si="0"/>
        <v>Véhicules neufs[...]</v>
      </c>
      <c r="B71" s="41" t="str">
        <f t="shared" si="1"/>
        <v>Véhicules neufs</v>
      </c>
      <c r="C71" s="253" t="s">
        <v>59</v>
      </c>
      <c r="D71" s="297"/>
      <c r="E71" s="41"/>
      <c r="F71" s="254" cm="1">
        <f t="array" ref="F71">+SUMPRODUCT(('Budget original'!$A$8:$A$501=$A71)*('Budget original'!$C$3:$AO$3=F$2),'Budget original'!$C$8:$AO$501)</f>
        <v>0</v>
      </c>
      <c r="G71" s="298"/>
      <c r="H71" s="41"/>
      <c r="I71" s="254"/>
      <c r="J71" s="253"/>
      <c r="K71" s="41"/>
      <c r="L71" s="256">
        <f>SUMIFS(BV_Data_An_Cour!$P:$P,BV_Data_An_Cour!$U:$U,$B71,BV_Data_An_Cour!$V:$V,$C71,BV_Data_An_Cour!$W:$W,L$2)*0.32</f>
        <v>0</v>
      </c>
      <c r="M71" s="253"/>
      <c r="N71" s="276">
        <f t="shared" si="24"/>
        <v>0</v>
      </c>
      <c r="O71" s="253"/>
      <c r="P71" s="41"/>
      <c r="Q71" s="256" cm="1">
        <f t="array" ref="Q71">+SUMPRODUCT(('Réel 2024'!$A$8:$A$501=$A71)*('Réel 2024'!$C$3:$AO$3=Q$2),'Réel 2024'!$C$8:$AO$501)</f>
        <v>0</v>
      </c>
      <c r="R71" s="253"/>
      <c r="S71" s="276">
        <f t="shared" si="25"/>
        <v>0</v>
      </c>
      <c r="T71" s="41"/>
      <c r="U71" s="41"/>
      <c r="V71" s="41"/>
      <c r="W71" s="41"/>
      <c r="X71" s="41"/>
      <c r="Y71" s="41"/>
      <c r="Z71" s="41"/>
      <c r="AA71" s="41"/>
      <c r="AB71" s="41"/>
      <c r="AC71" s="41"/>
      <c r="AD71" s="41"/>
      <c r="AE71" s="41"/>
      <c r="AF71" s="41"/>
      <c r="AG71" s="41"/>
      <c r="AH71" s="41"/>
      <c r="AI71" s="41"/>
      <c r="AJ71" s="41"/>
      <c r="AK71" s="41"/>
      <c r="AL71" s="41"/>
      <c r="AM71" s="41"/>
      <c r="AN71" s="41"/>
    </row>
    <row r="72" spans="1:40" ht="15.75" customHeight="1">
      <c r="A72" s="5" t="str">
        <f t="shared" si="0"/>
        <v>Véhicules neufsTOTAL SEMI-FIXES</v>
      </c>
      <c r="B72" s="41" t="str">
        <f t="shared" si="1"/>
        <v>Véhicules neufs</v>
      </c>
      <c r="C72" s="304" t="s">
        <v>143</v>
      </c>
      <c r="D72" s="305" t="s">
        <v>119</v>
      </c>
      <c r="E72" s="306">
        <f>F72/F$27</f>
        <v>0.16120968842401168</v>
      </c>
      <c r="F72" s="307">
        <f>+SUM(F55:F71)</f>
        <v>63166.698260435689</v>
      </c>
      <c r="G72" s="308"/>
      <c r="H72" s="306"/>
      <c r="I72" s="307"/>
      <c r="J72" s="308" t="s">
        <v>119</v>
      </c>
      <c r="K72" s="306">
        <f>L72/L$27</f>
        <v>0.21051879117790828</v>
      </c>
      <c r="L72" s="307">
        <f>+SUM(L55:L71)</f>
        <v>64451.010000000009</v>
      </c>
      <c r="M72" s="311"/>
      <c r="N72" s="307">
        <f>+SUM(N55:N71)</f>
        <v>1284.3117395643048</v>
      </c>
      <c r="O72" s="308" t="s">
        <v>119</v>
      </c>
      <c r="P72" s="306">
        <f>Q72/Q$27</f>
        <v>0.139879875544659</v>
      </c>
      <c r="Q72" s="307">
        <f>+SUM(Q55:Q71)</f>
        <v>55346.22</v>
      </c>
      <c r="R72" s="311"/>
      <c r="S72" s="307">
        <f>+SUM(S55:S71)</f>
        <v>9104.7899999999954</v>
      </c>
      <c r="T72" s="41"/>
      <c r="U72" s="41"/>
      <c r="V72" s="41"/>
      <c r="W72" s="41"/>
      <c r="X72" s="41"/>
      <c r="Y72" s="41"/>
      <c r="Z72" s="41"/>
      <c r="AA72" s="41"/>
      <c r="AB72" s="41"/>
      <c r="AC72" s="41"/>
      <c r="AD72" s="41"/>
      <c r="AE72" s="41"/>
      <c r="AF72" s="41"/>
      <c r="AG72" s="41"/>
      <c r="AH72" s="41"/>
      <c r="AI72" s="41"/>
      <c r="AJ72" s="41"/>
      <c r="AK72" s="41"/>
      <c r="AL72" s="41"/>
      <c r="AM72" s="41"/>
      <c r="AN72" s="41"/>
    </row>
    <row r="73" spans="1:40" ht="15.75" customHeight="1">
      <c r="A73" s="5" t="str">
        <f t="shared" si="0"/>
        <v>Véhicules neufs</v>
      </c>
      <c r="B73" s="41" t="str">
        <f t="shared" si="1"/>
        <v>Véhicules neufs</v>
      </c>
      <c r="C73" s="246"/>
      <c r="D73" s="299"/>
      <c r="E73" s="318"/>
      <c r="F73" s="276"/>
      <c r="G73" s="300"/>
      <c r="H73" s="318"/>
      <c r="I73" s="276"/>
      <c r="J73" s="246"/>
      <c r="K73" s="318"/>
      <c r="L73" s="296"/>
      <c r="M73" s="246"/>
      <c r="N73" s="296"/>
      <c r="O73" s="246"/>
      <c r="P73" s="318"/>
      <c r="Q73" s="296"/>
      <c r="R73" s="246"/>
      <c r="S73" s="296"/>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tr">
        <f t="shared" si="0"/>
        <v>Véhicules neufsTOTAL DES DÉPENSES</v>
      </c>
      <c r="B74" s="41" t="str">
        <f t="shared" si="1"/>
        <v>Véhicules neufs</v>
      </c>
      <c r="C74" s="304" t="s">
        <v>144</v>
      </c>
      <c r="D74" s="305" t="s">
        <v>119</v>
      </c>
      <c r="E74" s="306">
        <f>F74/F$27</f>
        <v>1.1343110295023497</v>
      </c>
      <c r="F74" s="307">
        <f>F41+F54+F72</f>
        <v>444456.42960120598</v>
      </c>
      <c r="G74" s="308"/>
      <c r="H74" s="306"/>
      <c r="I74" s="307"/>
      <c r="J74" s="308" t="s">
        <v>119</v>
      </c>
      <c r="K74" s="306">
        <f>L74/L$27</f>
        <v>1.1163985721660179</v>
      </c>
      <c r="L74" s="307">
        <f>L41+L54+L72</f>
        <v>341789.04000000004</v>
      </c>
      <c r="M74" s="311"/>
      <c r="N74" s="320">
        <f t="shared" ref="N74:N82" si="26">L74-F74</f>
        <v>-102667.38960120594</v>
      </c>
      <c r="O74" s="308" t="s">
        <v>119</v>
      </c>
      <c r="P74" s="306">
        <f>Q74/Q$27</f>
        <v>0.96917744308105158</v>
      </c>
      <c r="Q74" s="307">
        <f>Q41+Q54+Q72</f>
        <v>383474.08999999997</v>
      </c>
      <c r="R74" s="311"/>
      <c r="S74" s="320">
        <f>L74-Q74</f>
        <v>-41685.04999999993</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tr">
        <f t="shared" si="0"/>
        <v>Véhicules neufsProgramme neuf 1</v>
      </c>
      <c r="B75" s="41" t="str">
        <f t="shared" si="1"/>
        <v>Véhicules neufs</v>
      </c>
      <c r="C75" s="253" t="s">
        <v>145</v>
      </c>
      <c r="D75" s="297"/>
      <c r="E75" s="41"/>
      <c r="F75" s="254" cm="1">
        <f t="array" ref="F75">+SUMPRODUCT(('Budget original'!$A$8:$A$501=$A75)*('Budget original'!$C$3:$AO$3=F$2),'Budget original'!$C$8:$AO$501)</f>
        <v>0</v>
      </c>
      <c r="G75" s="298"/>
      <c r="H75" s="41"/>
      <c r="I75" s="254"/>
      <c r="J75" s="253"/>
      <c r="K75" s="41"/>
      <c r="L75" s="256">
        <f>-SUMIFS(BV_Data_An_Cour!$P:$P,BV_Data_An_Cour!$U:$U,$B75,BV_Data_An_Cour!$V:$V,$C75,BV_Data_An_Cour!$W:$W,L$2)</f>
        <v>0</v>
      </c>
      <c r="M75" s="253"/>
      <c r="N75" s="276">
        <f t="shared" si="26"/>
        <v>0</v>
      </c>
      <c r="O75" s="253"/>
      <c r="P75" s="41"/>
      <c r="Q75" s="256" cm="1">
        <f t="array" ref="Q75">+SUMPRODUCT(('Réel 2024'!$A$8:$A$501=$A75)*('Réel 2024'!$C$3:$AO$3=Q$2),'Réel 2024'!$C$8:$AO$501)</f>
        <v>0</v>
      </c>
      <c r="R75" s="253"/>
      <c r="S75" s="276"/>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tr">
        <f t="shared" si="0"/>
        <v>Véhicules neufsProgramme neuf 2</v>
      </c>
      <c r="B76" s="41" t="str">
        <f t="shared" si="1"/>
        <v>Véhicules neufs</v>
      </c>
      <c r="C76" s="253" t="s">
        <v>146</v>
      </c>
      <c r="D76" s="297"/>
      <c r="E76" s="41"/>
      <c r="F76" s="254" cm="1">
        <f t="array" ref="F76">+SUMPRODUCT(('Budget original'!$A$8:$A$501=$A76)*('Budget original'!$C$3:$AO$3=F$2),'Budget original'!$C$8:$AO$501)</f>
        <v>0</v>
      </c>
      <c r="G76" s="298"/>
      <c r="H76" s="41"/>
      <c r="I76" s="254"/>
      <c r="J76" s="253"/>
      <c r="K76" s="41"/>
      <c r="L76" s="256">
        <f>-SUMIFS(BV_Data_An_Cour!$P:$P,BV_Data_An_Cour!$U:$U,$B76,BV_Data_An_Cour!$V:$V,$C76,BV_Data_An_Cour!$W:$W,L$2)</f>
        <v>0</v>
      </c>
      <c r="M76" s="253"/>
      <c r="N76" s="276">
        <f t="shared" si="26"/>
        <v>0</v>
      </c>
      <c r="O76" s="253"/>
      <c r="P76" s="41"/>
      <c r="Q76" s="256" cm="1">
        <f t="array" ref="Q76">+SUMPRODUCT(('Réel 2024'!$A$8:$A$501=$A76)*('Réel 2024'!$C$3:$AO$3=Q$2),'Réel 2024'!$C$8:$AO$501)</f>
        <v>0</v>
      </c>
      <c r="R76" s="253"/>
      <c r="S76" s="276">
        <f t="shared" ref="S76:S82" si="27">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tr">
        <f t="shared" si="0"/>
        <v>Véhicules neufsProgramme neuf 3</v>
      </c>
      <c r="B77" s="41" t="str">
        <f t="shared" si="1"/>
        <v>Véhicules neufs</v>
      </c>
      <c r="C77" s="253" t="s">
        <v>147</v>
      </c>
      <c r="D77" s="297"/>
      <c r="E77" s="41"/>
      <c r="F77" s="254" cm="1">
        <f t="array" ref="F77">+SUMPRODUCT(('Budget original'!$A$8:$A$501=$A77)*('Budget original'!$C$3:$AO$3=F$2),'Budget original'!$C$8:$AO$501)</f>
        <v>0</v>
      </c>
      <c r="G77" s="298"/>
      <c r="H77" s="41"/>
      <c r="I77" s="254"/>
      <c r="J77" s="253"/>
      <c r="K77" s="41"/>
      <c r="L77" s="256">
        <f>-SUMIFS(BV_Data_An_Cour!$P:$P,BV_Data_An_Cour!$U:$U,$B77,BV_Data_An_Cour!$V:$V,$C77,BV_Data_An_Cour!$W:$W,L$2)</f>
        <v>0</v>
      </c>
      <c r="M77" s="253"/>
      <c r="N77" s="276">
        <f t="shared" si="26"/>
        <v>0</v>
      </c>
      <c r="O77" s="253"/>
      <c r="P77" s="41"/>
      <c r="Q77" s="256" cm="1">
        <f t="array" ref="Q77">+SUMPRODUCT(('Réel 2024'!$A$8:$A$501=$A77)*('Réel 2024'!$C$3:$AO$3=Q$2),'Réel 2024'!$C$8:$AO$501)</f>
        <v>0</v>
      </c>
      <c r="R77" s="253"/>
      <c r="S77" s="276">
        <f t="shared" si="27"/>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tr">
        <f t="shared" si="0"/>
        <v>Véhicules neufsHoldbacks</v>
      </c>
      <c r="B78" s="41" t="str">
        <f t="shared" si="1"/>
        <v>Véhicules neufs</v>
      </c>
      <c r="C78" s="253" t="s">
        <v>148</v>
      </c>
      <c r="D78" s="297"/>
      <c r="E78" s="41"/>
      <c r="F78" s="254" cm="1">
        <f t="array" ref="F78">+SUMPRODUCT(('Budget original'!$A$8:$A$501=$A78)*('Budget original'!$C$3:$AO$3=F$2),'Budget original'!$C$8:$AO$501)</f>
        <v>161330.69241871312</v>
      </c>
      <c r="G78" s="298"/>
      <c r="H78" s="41"/>
      <c r="I78" s="254"/>
      <c r="J78" s="253"/>
      <c r="K78" s="41"/>
      <c r="L78" s="256">
        <f>-SUMIFS(BV_Data_An_Cour!$P:$P,BV_Data_An_Cour!$U:$U,$B78,BV_Data_An_Cour!$V:$V,$C78,BV_Data_An_Cour!$W:$W,L$2)</f>
        <v>130200</v>
      </c>
      <c r="M78" s="253"/>
      <c r="N78" s="276">
        <f t="shared" si="26"/>
        <v>-31130.692418713123</v>
      </c>
      <c r="O78" s="253"/>
      <c r="P78" s="41"/>
      <c r="Q78" s="256" cm="1">
        <f t="array" ref="Q78">+SUMPRODUCT(('Réel 2024'!$A$8:$A$501=$A78)*('Réel 2024'!$C$3:$AO$3=Q$2),'Réel 2024'!$C$8:$AO$501)</f>
        <v>143394.85</v>
      </c>
      <c r="R78" s="253"/>
      <c r="S78" s="276">
        <f t="shared" si="27"/>
        <v>-13194.850000000006</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tr">
        <f t="shared" si="0"/>
        <v>Véhicules neufs[...]</v>
      </c>
      <c r="B79" s="41" t="str">
        <f t="shared" si="1"/>
        <v>Véhicules neufs</v>
      </c>
      <c r="C79" s="253" t="s">
        <v>59</v>
      </c>
      <c r="D79" s="297"/>
      <c r="E79" s="41"/>
      <c r="F79" s="254" cm="1">
        <f t="array" ref="F79">+SUMPRODUCT(('Budget original'!$A$8:$A$501=$A79)*('Budget original'!$C$3:$AO$3=F$2),'Budget original'!$C$8:$AO$501)</f>
        <v>0</v>
      </c>
      <c r="G79" s="298"/>
      <c r="H79" s="41"/>
      <c r="I79" s="254"/>
      <c r="J79" s="253"/>
      <c r="K79" s="41"/>
      <c r="L79" s="256">
        <f>-SUMIFS(BV_Data_An_Cour!$P:$P,BV_Data_An_Cour!$U:$U,$B79,BV_Data_An_Cour!$V:$V,$C79,BV_Data_An_Cour!$W:$W,L$2)</f>
        <v>0</v>
      </c>
      <c r="M79" s="253"/>
      <c r="N79" s="276">
        <f t="shared" si="26"/>
        <v>0</v>
      </c>
      <c r="O79" s="253"/>
      <c r="P79" s="41"/>
      <c r="Q79" s="256" cm="1">
        <f t="array" ref="Q79">+SUMPRODUCT(('Réel 2024'!$A$8:$A$501=$A79)*('Réel 2024'!$C$3:$AO$3=Q$2),'Réel 2024'!$C$8:$AO$501)</f>
        <v>0</v>
      </c>
      <c r="R79" s="253"/>
      <c r="S79" s="276">
        <f t="shared" si="27"/>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tr">
        <f t="shared" si="0"/>
        <v>Véhicules neufs[...]</v>
      </c>
      <c r="B80" s="41" t="str">
        <f t="shared" si="1"/>
        <v>Véhicules neufs</v>
      </c>
      <c r="C80" s="253" t="s">
        <v>59</v>
      </c>
      <c r="D80" s="297"/>
      <c r="E80" s="41"/>
      <c r="F80" s="254" cm="1">
        <f t="array" ref="F80">+SUMPRODUCT(('Budget original'!$A$8:$A$501=$A80)*('Budget original'!$C$3:$AO$3=F$2),'Budget original'!$C$8:$AO$501)</f>
        <v>0</v>
      </c>
      <c r="G80" s="298"/>
      <c r="H80" s="41"/>
      <c r="I80" s="254"/>
      <c r="J80" s="253"/>
      <c r="K80" s="41"/>
      <c r="L80" s="256">
        <f>-SUMIFS(BV_Data_An_Cour!$P:$P,BV_Data_An_Cour!$U:$U,$B80,BV_Data_An_Cour!$V:$V,$C80,BV_Data_An_Cour!$W:$W,L$2)</f>
        <v>0</v>
      </c>
      <c r="M80" s="253"/>
      <c r="N80" s="276">
        <f t="shared" si="26"/>
        <v>0</v>
      </c>
      <c r="O80" s="253"/>
      <c r="P80" s="41"/>
      <c r="Q80" s="256" cm="1">
        <f t="array" ref="Q80">+SUMPRODUCT(('Réel 2024'!$A$8:$A$501=$A80)*('Réel 2024'!$C$3:$AO$3=Q$2),'Réel 2024'!$C$8:$AO$501)</f>
        <v>0</v>
      </c>
      <c r="R80" s="253"/>
      <c r="S80" s="276">
        <f t="shared" si="27"/>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tr">
        <f t="shared" si="0"/>
        <v>Véhicules neufs[...]</v>
      </c>
      <c r="B81" s="41" t="str">
        <f t="shared" si="1"/>
        <v>Véhicules neufs</v>
      </c>
      <c r="C81" s="253" t="s">
        <v>59</v>
      </c>
      <c r="D81" s="297"/>
      <c r="E81" s="41"/>
      <c r="F81" s="254" cm="1">
        <f t="array" ref="F81">+SUMPRODUCT(('Budget original'!$A$8:$A$501=$A81)*('Budget original'!$C$3:$AO$3=F$2),'Budget original'!$C$8:$AO$501)</f>
        <v>0</v>
      </c>
      <c r="G81" s="298"/>
      <c r="H81" s="41"/>
      <c r="I81" s="254"/>
      <c r="J81" s="253"/>
      <c r="K81" s="41"/>
      <c r="L81" s="256">
        <f>-SUMIFS(BV_Data_An_Cour!$P:$P,BV_Data_An_Cour!$U:$U,$B81,BV_Data_An_Cour!$V:$V,$C81,BV_Data_An_Cour!$W:$W,L$2)</f>
        <v>0</v>
      </c>
      <c r="M81" s="253"/>
      <c r="N81" s="276">
        <f t="shared" si="26"/>
        <v>0</v>
      </c>
      <c r="O81" s="253"/>
      <c r="P81" s="41"/>
      <c r="Q81" s="256" cm="1">
        <f t="array" ref="Q81">+SUMPRODUCT(('Réel 2024'!$A$8:$A$501=$A81)*('Réel 2024'!$C$3:$AO$3=Q$2),'Réel 2024'!$C$8:$AO$501)</f>
        <v>0</v>
      </c>
      <c r="R81" s="253"/>
      <c r="S81" s="276">
        <f t="shared" si="27"/>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5" t="str">
        <f t="shared" si="0"/>
        <v>Véhicules neufsFrais administration</v>
      </c>
      <c r="B82" s="41" t="str">
        <f t="shared" si="1"/>
        <v>Véhicules neufs</v>
      </c>
      <c r="C82" s="253" t="s">
        <v>149</v>
      </c>
      <c r="D82" s="297"/>
      <c r="E82" s="41"/>
      <c r="F82" s="254" cm="1">
        <f t="array" ref="F82">+SUMPRODUCT(('Budget original'!$A$8:$A$501=$A82)*('Budget original'!$C$3:$AO$3=F$2),'Budget original'!$C$8:$AO$501)</f>
        <v>54515.749999999993</v>
      </c>
      <c r="G82" s="298"/>
      <c r="H82" s="41"/>
      <c r="I82" s="254"/>
      <c r="J82" s="253"/>
      <c r="K82" s="41"/>
      <c r="L82" s="256">
        <f>-SUMIFS(BV_Data_An_Cour!$P:$P,BV_Data_An_Cour!$U:$U,$B82,BV_Data_An_Cour!$V:$V,$C82,BV_Data_An_Cour!$W:$W,L$2)</f>
        <v>40482</v>
      </c>
      <c r="M82" s="253"/>
      <c r="N82" s="276">
        <f t="shared" si="26"/>
        <v>-14033.749999999993</v>
      </c>
      <c r="O82" s="253"/>
      <c r="P82" s="41"/>
      <c r="Q82" s="256" cm="1">
        <f t="array" ref="Q82">+SUMPRODUCT(('Réel 2024'!$A$8:$A$501=$A82)*('Réel 2024'!$C$3:$AO$3=Q$2),'Réel 2024'!$C$8:$AO$501)</f>
        <v>55285</v>
      </c>
      <c r="R82" s="253"/>
      <c r="S82" s="276">
        <f t="shared" si="27"/>
        <v>-14803</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tr">
        <f t="shared" si="0"/>
        <v>Véhicules neufsAUTRES REVENUS</v>
      </c>
      <c r="B83" s="41" t="str">
        <f t="shared" si="1"/>
        <v>Véhicules neufs</v>
      </c>
      <c r="C83" s="304" t="s">
        <v>150</v>
      </c>
      <c r="D83" s="305"/>
      <c r="E83" s="306"/>
      <c r="F83" s="307">
        <f>+SUM(F75:F82)</f>
        <v>215846.44241871312</v>
      </c>
      <c r="G83" s="308"/>
      <c r="H83" s="306"/>
      <c r="I83" s="307"/>
      <c r="J83" s="308"/>
      <c r="K83" s="306"/>
      <c r="L83" s="307">
        <f>+SUM(L75:L82)</f>
        <v>170682</v>
      </c>
      <c r="M83" s="311"/>
      <c r="N83" s="307">
        <f>+SUM(N75:N82)</f>
        <v>-45164.442418713115</v>
      </c>
      <c r="O83" s="308"/>
      <c r="P83" s="306"/>
      <c r="Q83" s="307">
        <f>+SUM(Q75:Q82)</f>
        <v>198679.85</v>
      </c>
      <c r="R83" s="311"/>
      <c r="S83" s="307">
        <f>+SUM(S75:S82)</f>
        <v>-27997.850000000006</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tr">
        <f t="shared" si="0"/>
        <v>Véhicules neufs</v>
      </c>
      <c r="B84" s="41" t="str">
        <f t="shared" si="1"/>
        <v>Véhicules neufs</v>
      </c>
      <c r="C84" s="324"/>
      <c r="D84" s="325"/>
      <c r="E84" s="326"/>
      <c r="F84" s="327"/>
      <c r="G84" s="328"/>
      <c r="H84" s="326"/>
      <c r="I84" s="327"/>
      <c r="J84" s="329"/>
      <c r="K84" s="330"/>
      <c r="L84" s="327"/>
      <c r="M84" s="329"/>
      <c r="N84" s="331"/>
      <c r="O84" s="329"/>
      <c r="P84" s="330"/>
      <c r="Q84" s="327"/>
      <c r="R84" s="329"/>
      <c r="S84" s="331"/>
      <c r="T84" s="41"/>
      <c r="U84" s="41"/>
      <c r="V84" s="41"/>
      <c r="W84" s="41"/>
      <c r="X84" s="41"/>
      <c r="Y84" s="41"/>
      <c r="Z84" s="41"/>
      <c r="AA84" s="41"/>
      <c r="AB84" s="41"/>
      <c r="AC84" s="41"/>
      <c r="AD84" s="41"/>
      <c r="AE84" s="41"/>
      <c r="AF84" s="41"/>
      <c r="AG84" s="41"/>
      <c r="AH84" s="41"/>
      <c r="AI84" s="41"/>
      <c r="AJ84" s="41"/>
      <c r="AK84" s="41"/>
      <c r="AL84" s="41"/>
      <c r="AM84" s="41"/>
      <c r="AN84" s="41"/>
    </row>
    <row r="85" spans="1:40" ht="15.75" customHeight="1">
      <c r="A85" s="5" t="str">
        <f t="shared" si="0"/>
        <v>Véhicules neufsPROFIT DÉPARTEMENTAL</v>
      </c>
      <c r="B85" s="41" t="str">
        <f t="shared" si="1"/>
        <v>Véhicules neufs</v>
      </c>
      <c r="C85" s="332" t="s">
        <v>151</v>
      </c>
      <c r="D85" s="333"/>
      <c r="E85" s="334"/>
      <c r="F85" s="335">
        <f>F27-F74+F83</f>
        <v>163219.43000672373</v>
      </c>
      <c r="G85" s="336"/>
      <c r="H85" s="334"/>
      <c r="I85" s="335"/>
      <c r="J85" s="336"/>
      <c r="K85" s="333"/>
      <c r="L85" s="335">
        <f>L27-L74+L83</f>
        <v>135046.19999999984</v>
      </c>
      <c r="M85" s="336"/>
      <c r="N85" s="335">
        <f>N27-N41-N54-N72+N83</f>
        <v>-28173.230006723872</v>
      </c>
      <c r="O85" s="336"/>
      <c r="P85" s="333"/>
      <c r="Q85" s="335">
        <f>Q27-Q74+Q83</f>
        <v>210875.39999999982</v>
      </c>
      <c r="R85" s="336"/>
      <c r="S85" s="335">
        <f>L85-Q85</f>
        <v>-75829.199999999983</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59"/>
      <c r="K86" s="59"/>
      <c r="L86" s="338"/>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40.5" customHeight="1">
      <c r="B87" s="59"/>
      <c r="C87" s="59"/>
      <c r="D87" s="59"/>
      <c r="E87" s="59"/>
      <c r="F87" s="59"/>
      <c r="G87" s="59"/>
      <c r="H87" s="59"/>
      <c r="I87" s="59"/>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6" t="str">
        <f>C1</f>
        <v>Volks</v>
      </c>
      <c r="D89" s="232"/>
      <c r="E89" s="232"/>
      <c r="F89" s="232"/>
      <c r="G89" s="232"/>
      <c r="H89" s="36"/>
      <c r="I89" s="36"/>
      <c r="J89" s="36"/>
      <c r="K89" s="9" t="s">
        <v>152</v>
      </c>
      <c r="L89" s="232"/>
      <c r="M89" s="232"/>
      <c r="N89" s="36"/>
      <c r="O89" s="36"/>
      <c r="P89" s="232"/>
      <c r="Q89" s="36"/>
      <c r="R89" s="232"/>
      <c r="S89" s="10" t="str">
        <f>$S$1</f>
        <v>Réalisé AAJ, Février 2025</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8"/>
      <c r="D91" s="1239" t="s">
        <v>343</v>
      </c>
      <c r="E91" s="1240"/>
      <c r="F91" s="1241"/>
      <c r="G91" s="1242"/>
      <c r="H91" s="1240"/>
      <c r="I91" s="1241"/>
      <c r="J91" s="1242" t="s">
        <v>344</v>
      </c>
      <c r="K91" s="1240"/>
      <c r="L91" s="1241"/>
      <c r="M91" s="1242" t="s">
        <v>3310</v>
      </c>
      <c r="N91" s="1241"/>
      <c r="O91" s="1239" t="s">
        <v>345</v>
      </c>
      <c r="P91" s="1240"/>
      <c r="Q91" s="1241"/>
      <c r="R91" s="1243" t="s">
        <v>3312</v>
      </c>
      <c r="S91" s="1244"/>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3"/>
      <c r="D92" s="242" t="s">
        <v>93</v>
      </c>
      <c r="E92" s="243" t="s">
        <v>348</v>
      </c>
      <c r="F92" s="244" t="s">
        <v>95</v>
      </c>
      <c r="G92" s="245"/>
      <c r="H92" s="243"/>
      <c r="I92" s="244"/>
      <c r="J92" s="245" t="s">
        <v>3318</v>
      </c>
      <c r="K92" s="243" t="s">
        <v>94</v>
      </c>
      <c r="L92" s="244" t="s">
        <v>95</v>
      </c>
      <c r="M92" s="245" t="s">
        <v>3318</v>
      </c>
      <c r="N92" s="244" t="s">
        <v>95</v>
      </c>
      <c r="O92" s="243" t="s">
        <v>93</v>
      </c>
      <c r="P92" s="243" t="s">
        <v>348</v>
      </c>
      <c r="Q92" s="244" t="s">
        <v>95</v>
      </c>
      <c r="R92" s="245" t="s">
        <v>3318</v>
      </c>
      <c r="S92" s="244"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tr">
        <f t="shared" ref="A93:A162" si="28">+B93&amp;C93</f>
        <v>Véhicules usagésVentes nettes</v>
      </c>
      <c r="B93" s="41" t="s">
        <v>152</v>
      </c>
      <c r="C93" s="246" t="s">
        <v>96</v>
      </c>
      <c r="D93" s="250"/>
      <c r="E93" s="250"/>
      <c r="F93" s="248" cm="1">
        <f t="array" ref="F93">+SUMPRODUCT(('Budget original'!$A$8:$A$501=$A93)*('Budget original'!$C$3:$AO$3=F$2),'Budget original'!$C$8:$AO$501)</f>
        <v>2357918.1654883004</v>
      </c>
      <c r="G93" s="267"/>
      <c r="H93" s="250"/>
      <c r="I93" s="248"/>
      <c r="J93" s="246"/>
      <c r="K93" s="250"/>
      <c r="L93" s="248">
        <f>-SUMIFS(BV_Data_An_Cour!$P:$P,BV_Data_An_Cour!$X:$X,"Oui",BV_Data_An_Cour!$U:$U,$B93)</f>
        <v>1473869.51</v>
      </c>
      <c r="M93" s="342"/>
      <c r="N93" s="343"/>
      <c r="O93" s="246"/>
      <c r="P93" s="250"/>
      <c r="Q93" s="248" cm="1">
        <f t="array" ref="Q93">+SUMPRODUCT(('Réel 2024'!$A$8:$A$501=$A93)*('Réel 2024'!$C$3:$AO$3=Q$2),'Réel 2024'!$C$8:$AO$501)</f>
        <v>2716225.65</v>
      </c>
      <c r="R93" s="342"/>
      <c r="S93" s="343"/>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tr">
        <f t="shared" si="28"/>
        <v>Véhicules usagésCertifié</v>
      </c>
      <c r="B94" s="41" t="s">
        <v>152</v>
      </c>
      <c r="C94" s="253" t="s">
        <v>153</v>
      </c>
      <c r="D94" s="254" cm="1">
        <f t="array" ref="D94">+SUMPRODUCT(('Budget original'!$A$8:$A$501=$A94)*('Budget original'!$C$3:$AO$3=D$2),'Budget original'!$C$8:$AO$501)</f>
        <v>36</v>
      </c>
      <c r="E94" s="254">
        <f t="shared" ref="E94:E100" si="29">IF(D94=0,0,F94/D94)</f>
        <v>1400</v>
      </c>
      <c r="F94" s="254" cm="1">
        <f t="array" ref="F94">+SUMPRODUCT(('Budget original'!$A$8:$A$501=$A94)*('Budget original'!$C$3:$AO$3=F$2),'Budget original'!$C$8:$AO$501)</f>
        <v>50400</v>
      </c>
      <c r="G94" s="255"/>
      <c r="H94" s="254"/>
      <c r="I94" s="254"/>
      <c r="J94" s="255">
        <f>-SUMIFS(BV_Data_An_Cour!$P:$P,BV_Data_An_Cour!$U:$U,$B94,BV_Data_An_Cour!$V:$V,$C94,BV_Data_An_Cour!$W:$W,J$2)</f>
        <v>31</v>
      </c>
      <c r="K94" s="254">
        <f t="shared" ref="K94:K95" si="30">IF(J94=0,0,L94/J94)</f>
        <v>1622.0987096774188</v>
      </c>
      <c r="L94" s="256">
        <f>-SUMIFS(BV_Data_An_Cour!$P:$P,BV_Data_An_Cour!$U:$U,$B94,BV_Data_An_Cour!$V:$V,$C94,BV_Data_An_Cour!$W:$W,$L2)</f>
        <v>50285.059999999983</v>
      </c>
      <c r="M94" s="255">
        <f>J94-D94</f>
        <v>-5</v>
      </c>
      <c r="N94" s="256">
        <f>L94-F94</f>
        <v>-114.94000000001688</v>
      </c>
      <c r="O94" s="255" cm="1">
        <f t="array" ref="O94">+SUMPRODUCT(('Réel 2024'!$A$8:$A$501=$A94)*('Réel 2024'!$C$3:$AO$3=O$2),'Réel 2024'!$C$8:$AO$501)</f>
        <v>36</v>
      </c>
      <c r="P94" s="254">
        <f t="shared" ref="P94:P100" si="31">IF(O94=0,0,Q94/O94)</f>
        <v>183.66972222222444</v>
      </c>
      <c r="Q94" s="256" cm="1">
        <f t="array" ref="Q94">+SUMPRODUCT(('Réel 2024'!$A$8:$A$501=$A94)*('Réel 2024'!$C$3:$AO$3=Q$2),'Réel 2024'!$C$8:$AO$501)</f>
        <v>6612.1100000000797</v>
      </c>
      <c r="R94" s="255">
        <f t="shared" ref="R94:R95" si="32">J94-O94</f>
        <v>-5</v>
      </c>
      <c r="S94" s="256">
        <f t="shared" ref="S94:S95" si="33">L94-Q94</f>
        <v>43672.949999999903</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tr">
        <f t="shared" si="28"/>
        <v>Véhicules usagésNon Certifié</v>
      </c>
      <c r="B95" s="41" t="s">
        <v>152</v>
      </c>
      <c r="C95" s="253" t="s">
        <v>154</v>
      </c>
      <c r="D95" s="254" cm="1">
        <f t="array" ref="D95">+SUMPRODUCT(('Budget original'!$A$8:$A$501=$A95)*('Budget original'!$C$3:$AO$3=D$2),'Budget original'!$C$8:$AO$501)</f>
        <v>4</v>
      </c>
      <c r="E95" s="1076">
        <f t="shared" si="29"/>
        <v>1800</v>
      </c>
      <c r="F95" s="254" cm="1">
        <f t="array" ref="F95">+SUMPRODUCT(('Budget original'!$A$8:$A$501=$A95)*('Budget original'!$C$3:$AO$3=F$2),'Budget original'!$C$8:$AO$501)</f>
        <v>7200</v>
      </c>
      <c r="G95" s="255"/>
      <c r="H95" s="254"/>
      <c r="I95" s="254"/>
      <c r="J95" s="255">
        <f>-SUMIFS(BV_Data_An_Cour!$P:$P,BV_Data_An_Cour!$U:$U,$B95,BV_Data_An_Cour!$V:$V,$C95,BV_Data_An_Cour!$W:$W,J$2)</f>
        <v>6</v>
      </c>
      <c r="K95" s="254">
        <f t="shared" si="30"/>
        <v>-774.19499999999914</v>
      </c>
      <c r="L95" s="256">
        <f>-SUMIFS(BV_Data_An_Cour!$P:$P,BV_Data_An_Cour!$U:$U,$B95,BV_Data_An_Cour!$V:$V,$C95,BV_Data_An_Cour!$W:$W,$L2)</f>
        <v>-4645.1699999999946</v>
      </c>
      <c r="M95" s="255">
        <f>J95-D95</f>
        <v>2</v>
      </c>
      <c r="N95" s="256">
        <f>L95-F95</f>
        <v>-11845.169999999995</v>
      </c>
      <c r="O95" s="255" cm="1">
        <f t="array" ref="O95">+SUMPRODUCT(('Réel 2024'!$A$8:$A$501=$A95)*('Réel 2024'!$C$3:$AO$3=O$2),'Réel 2024'!$C$8:$AO$501)</f>
        <v>3</v>
      </c>
      <c r="P95" s="254">
        <f t="shared" si="31"/>
        <v>-2913.4733333333297</v>
      </c>
      <c r="Q95" s="256" cm="1">
        <f t="array" ref="Q95">+SUMPRODUCT(('Réel 2024'!$A$8:$A$501=$A95)*('Réel 2024'!$C$3:$AO$3=Q$2),'Réel 2024'!$C$8:$AO$501)</f>
        <v>-8740.4199999999892</v>
      </c>
      <c r="R95" s="255">
        <f t="shared" si="32"/>
        <v>3</v>
      </c>
      <c r="S95" s="256">
        <f t="shared" si="33"/>
        <v>4095.2499999999945</v>
      </c>
      <c r="T95" s="41"/>
      <c r="U95" s="41"/>
      <c r="V95" s="344"/>
      <c r="W95" s="41"/>
      <c r="X95" s="41"/>
      <c r="Y95" s="41"/>
      <c r="Z95" s="41"/>
      <c r="AA95" s="41"/>
      <c r="AB95" s="41"/>
      <c r="AC95" s="41"/>
      <c r="AD95" s="41"/>
      <c r="AE95" s="41"/>
      <c r="AF95" s="41"/>
      <c r="AG95" s="41"/>
      <c r="AH95" s="41"/>
      <c r="AI95" s="41"/>
      <c r="AJ95" s="41"/>
      <c r="AK95" s="41"/>
      <c r="AL95" s="41"/>
      <c r="AM95" s="41"/>
      <c r="AN95" s="41"/>
    </row>
    <row r="96" spans="1:40" ht="18.75" customHeight="1">
      <c r="A96" s="5" t="str">
        <f t="shared" si="28"/>
        <v>Véhicules usagésAutres marques</v>
      </c>
      <c r="B96" s="41" t="s">
        <v>152</v>
      </c>
      <c r="C96" s="987" t="s">
        <v>3858</v>
      </c>
      <c r="D96" s="254" cm="1">
        <f t="array" ref="D96">+SUMPRODUCT(('Budget original'!$A$8:$A$501=$A96)*('Budget original'!$C$3:$AO$3=D$2),'Budget original'!$C$8:$AO$501)</f>
        <v>6</v>
      </c>
      <c r="E96" s="1078">
        <f t="shared" si="29"/>
        <v>1500</v>
      </c>
      <c r="F96" s="254" cm="1">
        <f t="array" ref="F96">+SUMPRODUCT(('Budget original'!$A$8:$A$501=$A96)*('Budget original'!$C$3:$AO$3=F$2),'Budget original'!$C$8:$AO$501)</f>
        <v>9000</v>
      </c>
      <c r="G96" s="1077"/>
      <c r="H96" s="254"/>
      <c r="I96" s="254"/>
      <c r="J96" s="1077">
        <f>-SUMIFS(BV_Data_An_Cour!$P:$P,BV_Data_An_Cour!$U:$U,$B96,BV_Data_An_Cour!$V:$V,$C96,BV_Data_An_Cour!$W:$W,J$2)</f>
        <v>4</v>
      </c>
      <c r="K96" s="254">
        <f t="shared" ref="K96" si="34">IF(J96=0,0,L96/J96)</f>
        <v>2230.0500000000011</v>
      </c>
      <c r="L96" s="952">
        <f>-SUMIFS(BV_Data_An_Cour!$P:$P,BV_Data_An_Cour!$U:$U,$B96,BV_Data_An_Cour!$V:$V,$C96,BV_Data_An_Cour!$W:$W,$L2)</f>
        <v>8920.2000000000044</v>
      </c>
      <c r="M96" s="1077">
        <f>J96-D96</f>
        <v>-2</v>
      </c>
      <c r="N96" s="952">
        <f>L96-F96</f>
        <v>-79.799999999995634</v>
      </c>
      <c r="O96" s="1077" cm="1">
        <f t="array" ref="O96">+SUMPRODUCT(('Réel 2024'!$A$8:$A$501=$A96)*('Réel 2024'!$C$3:$AO$3=O$2),'Réel 2024'!$C$8:$AO$501)</f>
        <v>0</v>
      </c>
      <c r="P96" s="254">
        <f t="shared" si="31"/>
        <v>0</v>
      </c>
      <c r="Q96" s="952" cm="1">
        <f t="array" ref="Q96">+SUMPRODUCT(('Réel 2024'!$A$8:$A$501=$A96)*('Réel 2024'!$C$3:$AO$3=Q$2),'Réel 2024'!$C$8:$AO$501)</f>
        <v>0</v>
      </c>
      <c r="R96" s="1077">
        <f>J96-O96</f>
        <v>4</v>
      </c>
      <c r="S96" s="952">
        <f t="shared" ref="S96" si="35">L96-Q96</f>
        <v>8920.2000000000044</v>
      </c>
      <c r="T96" s="41"/>
      <c r="U96" s="41"/>
      <c r="V96" s="344"/>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si="28"/>
        <v>Véhicules usagésTotal Usagés</v>
      </c>
      <c r="B97" s="41" t="s">
        <v>152</v>
      </c>
      <c r="C97" s="259" t="s">
        <v>155</v>
      </c>
      <c r="D97" s="260">
        <f>+D95+D94+D96</f>
        <v>46</v>
      </c>
      <c r="E97" s="254">
        <f t="shared" si="29"/>
        <v>1447.8260869565217</v>
      </c>
      <c r="F97" s="261">
        <f>+F94+F95+F96</f>
        <v>66600</v>
      </c>
      <c r="G97" s="262"/>
      <c r="H97" s="260"/>
      <c r="I97" s="261"/>
      <c r="J97" s="262">
        <f>+J94+J95+J96</f>
        <v>41</v>
      </c>
      <c r="K97" s="260">
        <f>IF(J97&lt;=0,0,L97/J97)</f>
        <v>1330.7339024390242</v>
      </c>
      <c r="L97" s="261">
        <f>+L94+L95+L96</f>
        <v>54560.089999999989</v>
      </c>
      <c r="M97" s="262">
        <f>J97-D97</f>
        <v>-5</v>
      </c>
      <c r="N97" s="261">
        <f>L97-F97</f>
        <v>-12039.910000000011</v>
      </c>
      <c r="O97" s="262">
        <f>+O95+O94+O96</f>
        <v>39</v>
      </c>
      <c r="P97" s="260">
        <f t="shared" si="31"/>
        <v>-54.57205128204896</v>
      </c>
      <c r="Q97" s="261">
        <f>+Q94+Q95+Q96</f>
        <v>-2128.3099999999095</v>
      </c>
      <c r="R97" s="262">
        <f>R94+R95</f>
        <v>-2</v>
      </c>
      <c r="S97" s="261">
        <f>S94+S95</f>
        <v>47768.199999999895</v>
      </c>
      <c r="T97" s="41"/>
      <c r="U97" s="41"/>
      <c r="V97" s="41"/>
      <c r="W97" s="41"/>
      <c r="X97" s="41"/>
      <c r="Y97" s="41"/>
      <c r="Z97" s="41"/>
      <c r="AA97" s="41"/>
      <c r="AB97" s="41"/>
      <c r="AC97" s="291"/>
      <c r="AD97" s="41"/>
      <c r="AE97" s="41"/>
      <c r="AF97" s="291"/>
      <c r="AG97" s="41"/>
      <c r="AH97" s="41"/>
      <c r="AI97" s="41"/>
      <c r="AJ97" s="41"/>
      <c r="AK97" s="41"/>
      <c r="AL97" s="41"/>
      <c r="AM97" s="41"/>
      <c r="AN97" s="41"/>
    </row>
    <row r="98" spans="1:40" ht="15.75" customHeight="1">
      <c r="A98" s="5" t="str">
        <f t="shared" si="28"/>
        <v>Véhicules usagés</v>
      </c>
      <c r="B98" s="41" t="s">
        <v>152</v>
      </c>
      <c r="C98" s="253"/>
      <c r="D98" s="41"/>
      <c r="E98" s="254">
        <f t="shared" si="29"/>
        <v>0</v>
      </c>
      <c r="F98" s="263"/>
      <c r="G98" s="253"/>
      <c r="H98" s="41"/>
      <c r="I98" s="263"/>
      <c r="J98" s="253"/>
      <c r="K98" s="41"/>
      <c r="L98" s="263"/>
      <c r="M98" s="264">
        <f>M97/D97</f>
        <v>-0.10869565217391304</v>
      </c>
      <c r="N98" s="265">
        <f>N97/F97</f>
        <v>-0.18077942942942959</v>
      </c>
      <c r="O98" s="253"/>
      <c r="P98" s="41">
        <f t="shared" si="31"/>
        <v>0</v>
      </c>
      <c r="Q98" s="263"/>
      <c r="R98" s="264">
        <f>R97/O97</f>
        <v>-5.128205128205128E-2</v>
      </c>
      <c r="S98" s="265">
        <f>IF(Q97=0,0,(S97/Q97))</f>
        <v>-22.444192810258809</v>
      </c>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8"/>
        <v>Véhicules usagésUS</v>
      </c>
      <c r="B99" s="41" t="s">
        <v>152</v>
      </c>
      <c r="C99" s="253" t="s">
        <v>412</v>
      </c>
      <c r="D99" s="254" cm="1">
        <f t="array" ref="D99">+SUMPRODUCT(('Budget original'!$A$8:$A$501=$A99)*('Budget original'!$C$3:$AO$3=D$2),'Budget original'!$C$8:$AO$501)</f>
        <v>0</v>
      </c>
      <c r="E99" s="254">
        <f t="shared" si="29"/>
        <v>0</v>
      </c>
      <c r="F99" s="254" cm="1">
        <f t="array" ref="F99">+SUMPRODUCT(('Budget original'!$A$8:$A$501=$A99)*('Budget original'!$C$3:$AO$3=F$2),'Budget original'!$C$8:$AO$501)</f>
        <v>0</v>
      </c>
      <c r="G99" s="253"/>
      <c r="H99" s="254"/>
      <c r="I99" s="254"/>
      <c r="J99" s="255">
        <f>-SUMIFS(BV_Data_An_Cour!$P:$P,BV_Data_An_Cour!$U:$U,$B99,BV_Data_An_Cour!$V:$V,$C99,BV_Data_An_Cour!$W:$W,J$2)</f>
        <v>0</v>
      </c>
      <c r="K99" s="254">
        <f t="shared" ref="K99:K100" si="36">IF(J99=0,0,L99/J99)</f>
        <v>0</v>
      </c>
      <c r="L99" s="256">
        <f>-SUMIFS(BV_Data_An_Cour!$P:$P,BV_Data_An_Cour!$U:$U,$B99,BV_Data_An_Cour!$V:$V,$C99,BV_Data_An_Cour!$W:$W,$L2)</f>
        <v>0</v>
      </c>
      <c r="M99" s="255"/>
      <c r="N99" s="256"/>
      <c r="O99" s="255" cm="1">
        <f t="array" ref="O99">+SUMPRODUCT(('Réel 2024'!$A$8:$A$501=$A99)*('Réel 2024'!$C$3:$AO$3=O$2),'Réel 2024'!$C$8:$AO$501)</f>
        <v>0</v>
      </c>
      <c r="P99" s="254">
        <f t="shared" si="31"/>
        <v>0</v>
      </c>
      <c r="Q99" s="256" cm="1">
        <f t="array" ref="Q99">+SUMPRODUCT(('Réel 2024'!$A$8:$A$501=$A99)*('Réel 2024'!$C$3:$AO$3=Q$2),'Réel 2024'!$C$8:$AO$501)</f>
        <v>0</v>
      </c>
      <c r="R99" s="255">
        <f t="shared" ref="R99:R100" si="37">J99-O99</f>
        <v>0</v>
      </c>
      <c r="S99" s="256">
        <f t="shared" ref="S99:S100" si="38">L99-Q99</f>
        <v>0</v>
      </c>
      <c r="T99" s="41"/>
      <c r="U99" s="41"/>
      <c r="V99" s="41"/>
      <c r="W99" s="41"/>
      <c r="X99" s="41"/>
      <c r="Y99" s="41"/>
      <c r="Z99" s="41"/>
      <c r="AA99" s="41"/>
      <c r="AB99" s="41"/>
      <c r="AC99" s="41"/>
      <c r="AD99" s="41"/>
      <c r="AE99" s="41"/>
      <c r="AF99" s="41"/>
      <c r="AG99" s="41"/>
      <c r="AH99" s="41"/>
      <c r="AI99" s="41"/>
      <c r="AJ99" s="41"/>
      <c r="AK99" s="41"/>
      <c r="AL99" s="41"/>
      <c r="AM99" s="41"/>
      <c r="AN99" s="41"/>
    </row>
    <row r="100" spans="1:40" ht="15.75" customHeight="1">
      <c r="A100" s="5" t="str">
        <f t="shared" si="28"/>
        <v>Véhicules usagésVentes au Gros</v>
      </c>
      <c r="B100" s="41" t="s">
        <v>152</v>
      </c>
      <c r="C100" s="253" t="s">
        <v>156</v>
      </c>
      <c r="D100" s="254" cm="1">
        <f t="array" ref="D100">+SUMPRODUCT(('Budget original'!$A$8:$A$501=$A100)*('Budget original'!$C$3:$AO$3=D$2),'Budget original'!$C$8:$AO$501)</f>
        <v>51</v>
      </c>
      <c r="E100" s="254">
        <f t="shared" si="29"/>
        <v>400</v>
      </c>
      <c r="F100" s="254" cm="1">
        <f t="array" ref="F100">+SUMPRODUCT(('Budget original'!$A$8:$A$501=$A100)*('Budget original'!$C$3:$AO$3=F$2),'Budget original'!$C$8:$AO$501)</f>
        <v>20400</v>
      </c>
      <c r="G100" s="254"/>
      <c r="H100" s="254"/>
      <c r="I100" s="254"/>
      <c r="J100" s="255">
        <f>-SUMIFS(BV_Data_An_Cour!$P:$P,BV_Data_An_Cour!$U:$U,$B100,BV_Data_An_Cour!$V:$V,$C100,BV_Data_An_Cour!$W:$W,J$2)</f>
        <v>29</v>
      </c>
      <c r="K100" s="254">
        <f t="shared" si="36"/>
        <v>481.72206896551734</v>
      </c>
      <c r="L100" s="256">
        <f>-SUMIFS(BV_Data_An_Cour!$P:$P,BV_Data_An_Cour!$U:$U,$B100,BV_Data_An_Cour!$V:$V,$C100,BV_Data_An_Cour!$W:$W,L$2)</f>
        <v>13969.940000000002</v>
      </c>
      <c r="M100" s="255">
        <f>J100-D100</f>
        <v>-22</v>
      </c>
      <c r="N100" s="256">
        <f>L100-F100</f>
        <v>-6430.0599999999977</v>
      </c>
      <c r="O100" s="255" cm="1">
        <f t="array" ref="O100">+SUMPRODUCT(('Réel 2024'!$A$8:$A$501=$A100)*('Réel 2024'!$C$3:$AO$3=O$2),'Réel 2024'!$C$8:$AO$501)</f>
        <v>77</v>
      </c>
      <c r="P100" s="254">
        <f t="shared" si="31"/>
        <v>-26.519480519480503</v>
      </c>
      <c r="Q100" s="256" cm="1">
        <f t="array" ref="Q100">+SUMPRODUCT(('Réel 2024'!$A$8:$A$501=$A100)*('Réel 2024'!$C$3:$AO$3=Q$2),'Réel 2024'!$C$8:$AO$501)</f>
        <v>-2041.9999999999986</v>
      </c>
      <c r="R100" s="255">
        <f t="shared" si="37"/>
        <v>-48</v>
      </c>
      <c r="S100" s="256">
        <f t="shared" si="38"/>
        <v>16011.94</v>
      </c>
      <c r="T100" s="41"/>
      <c r="U100" s="41"/>
      <c r="V100" s="41"/>
      <c r="W100" s="41"/>
      <c r="X100" s="41"/>
      <c r="Y100" s="41"/>
      <c r="Z100" s="41"/>
      <c r="AA100" s="41"/>
      <c r="AB100" s="41"/>
      <c r="AC100" s="291"/>
      <c r="AD100" s="41"/>
      <c r="AE100" s="41"/>
      <c r="AF100" s="347"/>
      <c r="AG100" s="41"/>
      <c r="AH100" s="41"/>
      <c r="AI100" s="41"/>
      <c r="AJ100" s="41"/>
      <c r="AK100" s="41"/>
      <c r="AL100" s="41"/>
      <c r="AM100" s="41"/>
      <c r="AN100" s="41"/>
    </row>
    <row r="101" spans="1:40" ht="15.75" customHeight="1">
      <c r="A101" s="5" t="str">
        <f t="shared" si="28"/>
        <v>Véhicules usagés</v>
      </c>
      <c r="B101" s="41" t="s">
        <v>152</v>
      </c>
      <c r="C101" s="246"/>
      <c r="D101" s="250"/>
      <c r="E101" s="250"/>
      <c r="F101" s="248"/>
      <c r="G101" s="267"/>
      <c r="H101" s="250"/>
      <c r="I101" s="248"/>
      <c r="J101" s="267"/>
      <c r="K101" s="250"/>
      <c r="L101" s="248"/>
      <c r="M101" s="268"/>
      <c r="N101" s="348"/>
      <c r="O101" s="267"/>
      <c r="P101" s="250"/>
      <c r="Q101" s="248"/>
      <c r="R101" s="268"/>
      <c r="S101" s="348"/>
      <c r="T101" s="41"/>
      <c r="U101" s="41"/>
      <c r="V101" s="41"/>
      <c r="W101" s="41"/>
      <c r="X101" s="41"/>
      <c r="Y101" s="41"/>
      <c r="Z101" s="41"/>
      <c r="AA101" s="41"/>
      <c r="AB101" s="41"/>
      <c r="AC101" s="41"/>
      <c r="AD101" s="41"/>
      <c r="AE101" s="41"/>
      <c r="AF101" s="347"/>
      <c r="AG101" s="41"/>
      <c r="AH101" s="41"/>
      <c r="AI101" s="41"/>
      <c r="AJ101" s="41"/>
      <c r="AK101" s="41"/>
      <c r="AL101" s="41"/>
      <c r="AM101" s="41"/>
      <c r="AN101" s="41"/>
    </row>
    <row r="102" spans="1:40" ht="15.75" customHeight="1">
      <c r="A102" s="5" t="str">
        <f t="shared" si="28"/>
        <v>Véhicules usagésRev. Finances</v>
      </c>
      <c r="B102" s="41" t="s">
        <v>152</v>
      </c>
      <c r="C102" s="253" t="s">
        <v>105</v>
      </c>
      <c r="D102" s="254" cm="1">
        <f t="array" ref="D102">+SUMPRODUCT(('Budget original'!$A$8:$A$501=$A102)*('Budget original'!$C$3:$AO$3=D$2),'Budget original'!$C$8:$AO$501)</f>
        <v>0</v>
      </c>
      <c r="E102" s="254">
        <f t="shared" ref="E102:E105" si="39">IF(D102=0,0,F102/D102)</f>
        <v>0</v>
      </c>
      <c r="F102" s="256" cm="1">
        <f t="array" ref="F102">+SUMPRODUCT(('Budget original'!$A$8:$A$501=$A102)*('Budget original'!$C$3:$AO$3=F$2),'Budget original'!$C$8:$AO$501)</f>
        <v>27600</v>
      </c>
      <c r="G102" s="255"/>
      <c r="H102" s="254"/>
      <c r="I102" s="254"/>
      <c r="J102" s="255"/>
      <c r="K102" s="254">
        <f>IF(J97=0,0,L102/J97)</f>
        <v>304.98243902439026</v>
      </c>
      <c r="L102" s="256">
        <f>-SUMIFS(BV_Data_An_Cour!$P:$P,BV_Data_An_Cour!$U:$U,$B102,BV_Data_An_Cour!$V:$V,$C102,BV_Data_An_Cour!$W:$W,$L2)</f>
        <v>12504.28</v>
      </c>
      <c r="M102" s="255"/>
      <c r="N102" s="256">
        <f>L102-F102</f>
        <v>-15095.72</v>
      </c>
      <c r="O102" s="255" cm="1">
        <f t="array" ref="O102">+SUMPRODUCT(('Réel 2024'!$A$8:$A$501=$A102)*('Réel 2024'!$C$3:$AO$3=O$2),'Réel 2024'!$C$8:$AO$501)</f>
        <v>0</v>
      </c>
      <c r="P102" s="254">
        <f t="shared" ref="P102:P105" si="40">IF(O102=0,0,Q102/O102)</f>
        <v>0</v>
      </c>
      <c r="Q102" s="256" cm="1">
        <f t="array" ref="Q102">+SUMPRODUCT(('Réel 2024'!$A$8:$A$501=$A102)*('Réel 2024'!$C$3:$AO$3=Q$2),'Réel 2024'!$C$8:$AO$501)</f>
        <v>-370.02999999999975</v>
      </c>
      <c r="R102" s="255">
        <f t="shared" ref="R102:R104" si="41">O102-K102</f>
        <v>-304.98243902439026</v>
      </c>
      <c r="S102" s="256">
        <f t="shared" ref="S102:S105" si="42">L102-Q102</f>
        <v>12874.310000000001</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tr">
        <f t="shared" si="28"/>
        <v>Véhicules usagésRev. Protections</v>
      </c>
      <c r="B103" s="41" t="s">
        <v>152</v>
      </c>
      <c r="C103" s="253" t="s">
        <v>106</v>
      </c>
      <c r="D103" s="254" cm="1">
        <f t="array" ref="D103">+SUMPRODUCT(('Budget original'!$A$8:$A$501=$A103)*('Budget original'!$C$3:$AO$3=D$2),'Budget original'!$C$8:$AO$501)</f>
        <v>0</v>
      </c>
      <c r="E103" s="254">
        <f t="shared" si="39"/>
        <v>0</v>
      </c>
      <c r="F103" s="256" cm="1">
        <f t="array" ref="F103">+SUMPRODUCT(('Budget original'!$A$8:$A$501=$A103)*('Budget original'!$C$3:$AO$3=F$2),'Budget original'!$C$8:$AO$501)</f>
        <v>57500</v>
      </c>
      <c r="G103" s="255"/>
      <c r="H103" s="254"/>
      <c r="I103" s="254"/>
      <c r="J103" s="255"/>
      <c r="K103" s="254">
        <f>IF(J97=0,0,L103/J97)</f>
        <v>1406.5024390243905</v>
      </c>
      <c r="L103" s="256">
        <f>-SUMIFS(BV_Data_An_Cour!$P:$P,BV_Data_An_Cour!$U:$U,$B103,BV_Data_An_Cour!$V:$V,$C103,BV_Data_An_Cour!$W:$W,$L2)</f>
        <v>57666.600000000006</v>
      </c>
      <c r="M103" s="255"/>
      <c r="N103" s="256">
        <f>L103-F103</f>
        <v>166.60000000000582</v>
      </c>
      <c r="O103" s="255" cm="1">
        <f t="array" ref="O103">+SUMPRODUCT(('Réel 2024'!$A$8:$A$501=$A103)*('Réel 2024'!$C$3:$AO$3=O$2),'Réel 2024'!$C$8:$AO$501)</f>
        <v>0</v>
      </c>
      <c r="P103" s="254">
        <f t="shared" si="40"/>
        <v>0</v>
      </c>
      <c r="Q103" s="256" cm="1">
        <f t="array" ref="Q103">+SUMPRODUCT(('Réel 2024'!$A$8:$A$501=$A103)*('Réel 2024'!$C$3:$AO$3=Q$2),'Réel 2024'!$C$8:$AO$501)</f>
        <v>34953.819999999905</v>
      </c>
      <c r="R103" s="255">
        <f t="shared" si="41"/>
        <v>-1406.5024390243905</v>
      </c>
      <c r="S103" s="256">
        <f t="shared" si="42"/>
        <v>22712.780000000101</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tr">
        <f t="shared" si="28"/>
        <v>Véhicules usagésRev. Autres</v>
      </c>
      <c r="B104" s="41" t="s">
        <v>152</v>
      </c>
      <c r="C104" s="253" t="s">
        <v>107</v>
      </c>
      <c r="D104" s="254" cm="1">
        <f t="array" ref="D104">+SUMPRODUCT(('Budget original'!$A$8:$A$501=$A104)*('Budget original'!$C$3:$AO$3=D$2),'Budget original'!$C$8:$AO$501)</f>
        <v>0</v>
      </c>
      <c r="E104" s="250">
        <f t="shared" si="39"/>
        <v>0</v>
      </c>
      <c r="F104" s="256" cm="1">
        <f t="array" ref="F104">+SUMPRODUCT(('Budget original'!$A$8:$A$501=$A104)*('Budget original'!$C$3:$AO$3=F$2),'Budget original'!$C$8:$AO$501)</f>
        <v>2300</v>
      </c>
      <c r="G104" s="255"/>
      <c r="H104" s="250"/>
      <c r="I104" s="254"/>
      <c r="J104" s="255"/>
      <c r="K104" s="250">
        <f>IF(J97=0,0,L104/J97)</f>
        <v>19.092439024390242</v>
      </c>
      <c r="L104" s="256">
        <f>-SUMIFS(BV_Data_An_Cour!$P:$P,BV_Data_An_Cour!$U:$U,$B104,BV_Data_An_Cour!$V:$V,$C104,BV_Data_An_Cour!$W:$W,$L$2)</f>
        <v>782.79</v>
      </c>
      <c r="M104" s="267"/>
      <c r="N104" s="256">
        <f>L104-F104</f>
        <v>-1517.21</v>
      </c>
      <c r="O104" s="255" cm="1">
        <f t="array" ref="O104">+SUMPRODUCT(('Réel 2024'!$A$8:$A$501=$A104)*('Réel 2024'!$C$3:$AO$3=O$2),'Réel 2024'!$C$8:$AO$501)</f>
        <v>0</v>
      </c>
      <c r="P104" s="250">
        <f t="shared" si="40"/>
        <v>0</v>
      </c>
      <c r="Q104" s="256" cm="1">
        <f t="array" ref="Q104">+SUMPRODUCT(('Réel 2024'!$A$8:$A$501=$A104)*('Réel 2024'!$C$3:$AO$3=Q$2),'Réel 2024'!$C$8:$AO$501)</f>
        <v>544.63</v>
      </c>
      <c r="R104" s="255">
        <f t="shared" si="41"/>
        <v>-19.092439024390242</v>
      </c>
      <c r="S104" s="256">
        <f t="shared" si="42"/>
        <v>238.15999999999997</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tr">
        <f t="shared" si="28"/>
        <v>Véhicules usagésTotal F&amp;I</v>
      </c>
      <c r="B105" s="41" t="s">
        <v>152</v>
      </c>
      <c r="C105" s="259" t="s">
        <v>108</v>
      </c>
      <c r="D105" s="260">
        <f>D97</f>
        <v>46</v>
      </c>
      <c r="E105" s="254">
        <f t="shared" si="39"/>
        <v>1900</v>
      </c>
      <c r="F105" s="261">
        <f>F102+F103+F104</f>
        <v>87400</v>
      </c>
      <c r="G105" s="262"/>
      <c r="H105" s="260"/>
      <c r="I105" s="261"/>
      <c r="J105" s="262">
        <f>J97</f>
        <v>41</v>
      </c>
      <c r="K105" s="260">
        <f>IF(J105&lt;=0,0,L105/J105)</f>
        <v>1730.5773170731707</v>
      </c>
      <c r="L105" s="261">
        <f>L102+L103+L104</f>
        <v>70953.67</v>
      </c>
      <c r="M105" s="255">
        <f>J105-D105</f>
        <v>-5</v>
      </c>
      <c r="N105" s="261">
        <f>L105-F105</f>
        <v>-16446.330000000002</v>
      </c>
      <c r="O105" s="262">
        <f>O97</f>
        <v>39</v>
      </c>
      <c r="P105" s="260">
        <f t="shared" si="40"/>
        <v>900.72871794871548</v>
      </c>
      <c r="Q105" s="261">
        <f>Q102+Q103+Q104</f>
        <v>35128.419999999904</v>
      </c>
      <c r="R105" s="273"/>
      <c r="S105" s="261">
        <f t="shared" si="42"/>
        <v>35825.250000000095</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tr">
        <f t="shared" si="28"/>
        <v>Véhicules usagés</v>
      </c>
      <c r="B106" s="41" t="s">
        <v>152</v>
      </c>
      <c r="C106" s="253"/>
      <c r="D106" s="41"/>
      <c r="E106" s="41"/>
      <c r="F106" s="276"/>
      <c r="G106" s="253"/>
      <c r="H106" s="349"/>
      <c r="I106" s="276"/>
      <c r="J106" s="253"/>
      <c r="K106" s="41"/>
      <c r="L106" s="276"/>
      <c r="M106" s="264"/>
      <c r="N106" s="265">
        <f>N105/F105</f>
        <v>-0.18817311212814647</v>
      </c>
      <c r="O106" s="253"/>
      <c r="P106" s="41"/>
      <c r="Q106" s="276"/>
      <c r="R106" s="277"/>
      <c r="S106" s="265">
        <f>IF(Q105=0,0,(S105/Q105))</f>
        <v>1.0198366450868042</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tr">
        <f t="shared" si="28"/>
        <v>Véhicules usagés</v>
      </c>
      <c r="B107" s="41" t="s">
        <v>152</v>
      </c>
      <c r="C107" s="253"/>
      <c r="D107" s="41"/>
      <c r="E107" s="41"/>
      <c r="F107" s="276"/>
      <c r="G107" s="253"/>
      <c r="H107" s="349"/>
      <c r="I107" s="276"/>
      <c r="J107" s="253"/>
      <c r="K107" s="41"/>
      <c r="L107" s="276"/>
      <c r="M107" s="264"/>
      <c r="N107" s="265"/>
      <c r="O107" s="253"/>
      <c r="P107" s="41"/>
      <c r="Q107" s="276"/>
      <c r="R107" s="277"/>
      <c r="S107" s="265"/>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5.75" customHeight="1">
      <c r="A108" s="5" t="str">
        <f t="shared" si="28"/>
        <v>Véhicules usagésTotal Dépt. Usagés</v>
      </c>
      <c r="B108" s="41" t="s">
        <v>152</v>
      </c>
      <c r="C108" s="278" t="s">
        <v>157</v>
      </c>
      <c r="D108" s="279">
        <f>D97+D100</f>
        <v>97</v>
      </c>
      <c r="E108" s="350">
        <f>IF(D108&lt;=0,0,F108/D108)</f>
        <v>1797.9381443298969</v>
      </c>
      <c r="F108" s="281">
        <f>F97+F105+F100</f>
        <v>174400</v>
      </c>
      <c r="G108" s="282"/>
      <c r="H108" s="350"/>
      <c r="I108" s="281"/>
      <c r="J108" s="282">
        <f>J97+J100</f>
        <v>70</v>
      </c>
      <c r="K108" s="350">
        <f>IF(J108&lt;=0,0,L108/J108)</f>
        <v>1992.6242857142854</v>
      </c>
      <c r="L108" s="281">
        <f>L97+L105+L100</f>
        <v>139483.69999999998</v>
      </c>
      <c r="M108" s="282">
        <f>J108-D108</f>
        <v>-27</v>
      </c>
      <c r="N108" s="281">
        <f>L108-F108</f>
        <v>-34916.300000000017</v>
      </c>
      <c r="O108" s="282">
        <f>O97+O100</f>
        <v>116</v>
      </c>
      <c r="P108" s="350">
        <f>IF(O108&lt;=0,0,Q108/O108)</f>
        <v>266.88025862068957</v>
      </c>
      <c r="Q108" s="281">
        <f>Q97+Q105+Q100</f>
        <v>30958.109999999993</v>
      </c>
      <c r="R108" s="282">
        <f>J108-O108</f>
        <v>-46</v>
      </c>
      <c r="S108" s="281">
        <f>L108-Q108</f>
        <v>108525.59</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9.5" customHeight="1">
      <c r="A109" s="5" t="str">
        <f t="shared" si="28"/>
        <v>Véhicules usagés</v>
      </c>
      <c r="B109" s="41" t="s">
        <v>152</v>
      </c>
      <c r="C109" s="283"/>
      <c r="D109" s="284"/>
      <c r="E109" s="284"/>
      <c r="F109" s="285"/>
      <c r="G109" s="283"/>
      <c r="H109" s="284"/>
      <c r="I109" s="285"/>
      <c r="J109" s="283"/>
      <c r="K109" s="284"/>
      <c r="L109" s="352">
        <f>+L108/F108</f>
        <v>0.79979185779816508</v>
      </c>
      <c r="M109" s="286">
        <f>M108/D108</f>
        <v>-0.27835051546391754</v>
      </c>
      <c r="N109" s="287">
        <f>N108/F108</f>
        <v>-0.20020814220183497</v>
      </c>
      <c r="O109" s="283"/>
      <c r="P109" s="284"/>
      <c r="Q109" s="285"/>
      <c r="R109" s="286">
        <f>O108/R108</f>
        <v>-2.5217391304347827</v>
      </c>
      <c r="S109" s="352">
        <f>IF(Q108=0,0,(S108/Q108))</f>
        <v>3.5055625165748174</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tr">
        <f t="shared" si="28"/>
        <v>Véhicules usagés</v>
      </c>
      <c r="B110" s="41" t="s">
        <v>152</v>
      </c>
      <c r="C110" s="270"/>
      <c r="D110" s="11"/>
      <c r="E110" s="11"/>
      <c r="F110" s="288"/>
      <c r="G110" s="270"/>
      <c r="H110" s="11"/>
      <c r="I110" s="288"/>
      <c r="J110" s="270"/>
      <c r="K110" s="11"/>
      <c r="L110" s="288"/>
      <c r="M110" s="264"/>
      <c r="N110" s="265"/>
      <c r="O110" s="270"/>
      <c r="P110" s="11"/>
      <c r="Q110" s="288"/>
      <c r="R110" s="264"/>
      <c r="S110" s="265"/>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tr">
        <f t="shared" si="28"/>
        <v>Véhicules usagésDEPENSES</v>
      </c>
      <c r="B111" s="41" t="s">
        <v>152</v>
      </c>
      <c r="C111" s="289" t="s">
        <v>110</v>
      </c>
      <c r="D111" s="41"/>
      <c r="E111" s="39"/>
      <c r="F111" s="276"/>
      <c r="G111" s="253"/>
      <c r="H111" s="39"/>
      <c r="I111" s="276"/>
      <c r="J111" s="253"/>
      <c r="K111" s="39"/>
      <c r="L111" s="263"/>
      <c r="M111" s="253"/>
      <c r="N111" s="263"/>
      <c r="O111" s="253"/>
      <c r="P111" s="39"/>
      <c r="Q111" s="263"/>
      <c r="R111" s="253"/>
      <c r="S111" s="263"/>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tr">
        <f t="shared" si="28"/>
        <v>Véhicules usagésComm. vendeurs</v>
      </c>
      <c r="B112" s="41" t="s">
        <v>152</v>
      </c>
      <c r="C112" s="253" t="s">
        <v>111</v>
      </c>
      <c r="D112" s="290">
        <f>F112/F97</f>
        <v>0.38121949442704162</v>
      </c>
      <c r="E112" s="291">
        <f t="shared" ref="E112:E121" si="43">F112/D$97</f>
        <v>551.93952888784725</v>
      </c>
      <c r="F112" s="254" cm="1">
        <f t="array" ref="F112">+SUMPRODUCT(('Budget original'!$A$8:$A$501=$A112)*('Budget original'!$C$3:$AO$3=F$2),'Budget original'!$C$8:$AO$501)</f>
        <v>25389.218328840972</v>
      </c>
      <c r="G112" s="298"/>
      <c r="H112" s="291"/>
      <c r="I112" s="254"/>
      <c r="J112" s="292">
        <f>+L112/L97</f>
        <v>0.42631931142342333</v>
      </c>
      <c r="K112" s="291">
        <f>IF($J$97=0,0,L112/(J$94+J$95+J96))</f>
        <v>567.31756097560981</v>
      </c>
      <c r="L112" s="256">
        <f>SUMIFS(BV_Data_An_Cour!$P:$P,BV_Data_An_Cour!$U:$U,$B112,BV_Data_An_Cour!$V:$V,$C112,BV_Data_An_Cour!$W:$W,$L$2)</f>
        <v>23260.02</v>
      </c>
      <c r="M112" s="253"/>
      <c r="N112" s="276">
        <f t="shared" ref="N112:N153" si="44">L112-F112</f>
        <v>-2129.198328840972</v>
      </c>
      <c r="O112" s="253">
        <f>Q112/Q97</f>
        <v>-9.2556253553292702</v>
      </c>
      <c r="P112" s="291">
        <f t="shared" ref="P112:P121" si="45">Q112/O$97</f>
        <v>505.09846153846155</v>
      </c>
      <c r="Q112" s="256" cm="1">
        <f t="array" ref="Q112">+SUMPRODUCT(('Réel 2024'!$A$8:$A$501=$A112)*('Réel 2024'!$C$3:$AO$3=Q$2),'Réel 2024'!$C$8:$AO$501)</f>
        <v>19698.84</v>
      </c>
      <c r="R112" s="253"/>
      <c r="S112" s="276">
        <f t="shared" ref="S112:S122" si="46">L112-Q112</f>
        <v>3561.1800000000003</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tr">
        <f t="shared" si="28"/>
        <v>Véhicules usagésComm. F&amp;I</v>
      </c>
      <c r="B113" s="41" t="s">
        <v>152</v>
      </c>
      <c r="C113" s="246" t="s">
        <v>112</v>
      </c>
      <c r="D113" s="293">
        <f>F113/(F105+F19)</f>
        <v>0.26564003849855633</v>
      </c>
      <c r="E113" s="294">
        <f t="shared" si="43"/>
        <v>570</v>
      </c>
      <c r="F113" s="248" cm="1">
        <f t="array" ref="F113">+SUMPRODUCT(('Budget original'!$A$8:$A$501=$A113)*('Budget original'!$C$3:$AO$3=F$2),'Budget original'!$C$8:$AO$501)</f>
        <v>26220</v>
      </c>
      <c r="G113" s="300"/>
      <c r="H113" s="294"/>
      <c r="I113" s="248"/>
      <c r="J113" s="295">
        <f>L113/L105</f>
        <v>0.28104240414907367</v>
      </c>
      <c r="K113" s="294">
        <f>IF($J$97=0,0,L113/(J$94+J$95+J96))</f>
        <v>486.36560975609763</v>
      </c>
      <c r="L113" s="256">
        <f>SUMIFS(BV_Data_An_Cour!$P:$P,BV_Data_An_Cour!$U:$U,$B113,BV_Data_An_Cour!$V:$V,$C113,BV_Data_An_Cour!$W:$W,$L$2)</f>
        <v>19940.990000000002</v>
      </c>
      <c r="M113" s="246"/>
      <c r="N113" s="296">
        <f t="shared" si="44"/>
        <v>-6279.0099999999984</v>
      </c>
      <c r="O113" s="246">
        <f>Q113/(Q105+Q19)</f>
        <v>0.26601564252697069</v>
      </c>
      <c r="P113" s="294">
        <f t="shared" si="45"/>
        <v>300.99615384615379</v>
      </c>
      <c r="Q113" s="256" cm="1">
        <f t="array" ref="Q113">+SUMPRODUCT(('Réel 2024'!$A$8:$A$501=$A113)*('Réel 2024'!$C$3:$AO$3=Q$2),'Réel 2024'!$C$8:$AO$501)</f>
        <v>11738.849999999999</v>
      </c>
      <c r="R113" s="246"/>
      <c r="S113" s="296">
        <f t="shared" si="46"/>
        <v>8202.1400000000031</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tr">
        <f t="shared" si="28"/>
        <v>Véhicules usagésFrais de livraison</v>
      </c>
      <c r="B114" s="41" t="s">
        <v>152</v>
      </c>
      <c r="C114" s="253" t="s">
        <v>113</v>
      </c>
      <c r="D114" s="297"/>
      <c r="E114" s="291">
        <f t="shared" si="43"/>
        <v>8</v>
      </c>
      <c r="F114" s="254" cm="1">
        <f t="array" ref="F114">+SUMPRODUCT(('Budget original'!$A$8:$A$501=$A114)*('Budget original'!$C$3:$AO$3=F$2),'Budget original'!$C$8:$AO$501)</f>
        <v>368</v>
      </c>
      <c r="G114" s="298"/>
      <c r="H114" s="291"/>
      <c r="I114" s="254"/>
      <c r="J114" s="253"/>
      <c r="K114" s="291">
        <f>IF($J$97=0,0,L114/(J$94+J$95+J96))</f>
        <v>-26.246585365853655</v>
      </c>
      <c r="L114" s="272">
        <f>SUMIFS(BV_Data_An_Cour!$P:$P,BV_Data_An_Cour!$U:$U,$B114,BV_Data_An_Cour!$V:$V,$C114,BV_Data_An_Cour!$W:$W,$L$2)</f>
        <v>-1076.1099999999999</v>
      </c>
      <c r="M114" s="253"/>
      <c r="N114" s="276">
        <f t="shared" si="44"/>
        <v>-1444.11</v>
      </c>
      <c r="O114" s="253"/>
      <c r="P114" s="291">
        <f t="shared" si="45"/>
        <v>54.693589743589747</v>
      </c>
      <c r="Q114" s="272" cm="1">
        <f t="array" ref="Q114">+SUMPRODUCT(('Réel 2024'!$A$8:$A$501=$A114)*('Réel 2024'!$C$3:$AO$3=Q$2),'Réel 2024'!$C$8:$AO$501)</f>
        <v>2133.0500000000002</v>
      </c>
      <c r="R114" s="253"/>
      <c r="S114" s="276">
        <f t="shared" si="46"/>
        <v>-3209.16</v>
      </c>
      <c r="T114" s="41"/>
      <c r="U114" s="41"/>
      <c r="V114" s="41"/>
      <c r="W114" s="41"/>
      <c r="X114" s="41"/>
      <c r="Y114" s="41"/>
      <c r="Z114" s="41"/>
      <c r="AA114" s="41"/>
      <c r="AB114" s="41"/>
      <c r="AC114" s="41"/>
      <c r="AD114" s="41"/>
      <c r="AE114" s="41"/>
      <c r="AF114" s="41"/>
      <c r="AG114" s="41"/>
      <c r="AH114" s="41"/>
      <c r="AI114" s="41"/>
      <c r="AJ114" s="41"/>
      <c r="AK114" s="41"/>
      <c r="AL114" s="41"/>
      <c r="AM114" s="41"/>
      <c r="AN114" s="41"/>
    </row>
    <row r="115" spans="1:40" ht="15.75" customHeight="1">
      <c r="A115" s="5" t="str">
        <f t="shared" si="28"/>
        <v>Véhicules usagésService gratuit 1</v>
      </c>
      <c r="B115" s="41" t="s">
        <v>152</v>
      </c>
      <c r="C115" s="253" t="s">
        <v>114</v>
      </c>
      <c r="D115" s="297"/>
      <c r="E115" s="291">
        <f t="shared" si="43"/>
        <v>45</v>
      </c>
      <c r="F115" s="254" cm="1">
        <f t="array" ref="F115">+SUMPRODUCT(('Budget original'!$A$8:$A$501=$A115)*('Budget original'!$C$3:$AO$3=F$2),'Budget original'!$C$8:$AO$501)</f>
        <v>2070</v>
      </c>
      <c r="G115" s="298"/>
      <c r="H115" s="291"/>
      <c r="I115" s="254"/>
      <c r="J115" s="253"/>
      <c r="K115" s="291">
        <f>IF($J$97=0,0,L115/(J$94+J$95+J96))</f>
        <v>33.623414634146343</v>
      </c>
      <c r="L115" s="256">
        <f>SUMIFS(BV_Data_An_Cour!$P:$P,BV_Data_An_Cour!$U:$U,$B115,BV_Data_An_Cour!$V:$V,$C115,BV_Data_An_Cour!$W:$W,$L$2)</f>
        <v>1378.56</v>
      </c>
      <c r="M115" s="253"/>
      <c r="N115" s="276">
        <f t="shared" si="44"/>
        <v>-691.44</v>
      </c>
      <c r="O115" s="253"/>
      <c r="P115" s="291">
        <f t="shared" si="45"/>
        <v>36.892051282051284</v>
      </c>
      <c r="Q115" s="256" cm="1">
        <f t="array" ref="Q115">+SUMPRODUCT(('Réel 2024'!$A$8:$A$501=$A115)*('Réel 2024'!$C$3:$AO$3=Q$2),'Réel 2024'!$C$8:$AO$501)</f>
        <v>1438.79</v>
      </c>
      <c r="R115" s="253"/>
      <c r="S115" s="276">
        <f t="shared" si="46"/>
        <v>-60.230000000000018</v>
      </c>
      <c r="T115" s="41"/>
      <c r="U115" s="41"/>
      <c r="V115" s="41"/>
      <c r="W115" s="254"/>
      <c r="X115" s="41"/>
      <c r="Y115" s="41"/>
      <c r="Z115" s="41"/>
      <c r="AA115" s="41"/>
      <c r="AB115" s="41"/>
      <c r="AC115" s="41"/>
      <c r="AD115" s="41"/>
      <c r="AE115" s="41"/>
      <c r="AF115" s="41"/>
      <c r="AG115" s="41"/>
      <c r="AH115" s="41"/>
      <c r="AI115" s="41"/>
      <c r="AJ115" s="41"/>
      <c r="AK115" s="41"/>
      <c r="AL115" s="41"/>
      <c r="AM115" s="41"/>
      <c r="AN115" s="41"/>
    </row>
    <row r="116" spans="1:40" ht="15.75" customHeight="1">
      <c r="A116" s="5" t="str">
        <f t="shared" si="28"/>
        <v>Véhicules usagésEntretien stock</v>
      </c>
      <c r="B116" s="41" t="s">
        <v>152</v>
      </c>
      <c r="C116" s="246" t="s">
        <v>115</v>
      </c>
      <c r="D116" s="299"/>
      <c r="E116" s="294">
        <f t="shared" si="43"/>
        <v>160</v>
      </c>
      <c r="F116" s="248" cm="1">
        <f t="array" ref="F116">+SUMPRODUCT(('Budget original'!$A$8:$A$501=$A116)*('Budget original'!$C$3:$AO$3=F$2),'Budget original'!$C$8:$AO$501)</f>
        <v>7360</v>
      </c>
      <c r="G116" s="300"/>
      <c r="H116" s="294"/>
      <c r="I116" s="248"/>
      <c r="J116" s="246"/>
      <c r="K116" s="294">
        <f>IF($J$97=0,0,L116/(J$94+J$95+J96))</f>
        <v>124.86975609756097</v>
      </c>
      <c r="L116" s="248">
        <f>SUMIFS(BV_Data_An_Cour!$P:$P,BV_Data_An_Cour!$U:$U,$B116,BV_Data_An_Cour!$V:$V,$C116,BV_Data_An_Cour!$W:$W,$L$2)</f>
        <v>5119.66</v>
      </c>
      <c r="M116" s="246"/>
      <c r="N116" s="296">
        <f t="shared" si="44"/>
        <v>-2240.34</v>
      </c>
      <c r="O116" s="246"/>
      <c r="P116" s="294">
        <f t="shared" si="45"/>
        <v>171.03205128205127</v>
      </c>
      <c r="Q116" s="248" cm="1">
        <f t="array" ref="Q116">+SUMPRODUCT(('Réel 2024'!$A$8:$A$501=$A116)*('Réel 2024'!$C$3:$AO$3=Q$2),'Réel 2024'!$C$8:$AO$501)</f>
        <v>6670.25</v>
      </c>
      <c r="R116" s="246"/>
      <c r="S116" s="296">
        <f t="shared" si="46"/>
        <v>-1550.5900000000001</v>
      </c>
      <c r="T116" s="41"/>
      <c r="U116" s="41"/>
      <c r="V116" s="41"/>
      <c r="W116" s="41"/>
      <c r="X116" s="41"/>
      <c r="Y116" s="41"/>
      <c r="Z116" s="41"/>
      <c r="AA116" s="41"/>
      <c r="AB116" s="41"/>
      <c r="AC116" s="41"/>
      <c r="AD116" s="41"/>
      <c r="AE116" s="41"/>
      <c r="AF116" s="41"/>
      <c r="AG116" s="41"/>
      <c r="AH116" s="41"/>
      <c r="AI116" s="41"/>
      <c r="AJ116" s="41"/>
      <c r="AK116" s="41"/>
      <c r="AL116" s="41"/>
      <c r="AM116" s="41"/>
      <c r="AN116" s="41"/>
    </row>
    <row r="117" spans="1:40" ht="15.75" customHeight="1">
      <c r="A117" s="5" t="str">
        <f t="shared" si="28"/>
        <v>Véhicules usagésPublicité 1</v>
      </c>
      <c r="B117" s="41" t="s">
        <v>152</v>
      </c>
      <c r="C117" s="253" t="s">
        <v>116</v>
      </c>
      <c r="D117" s="297"/>
      <c r="E117" s="291">
        <f t="shared" si="43"/>
        <v>564.43478260869563</v>
      </c>
      <c r="F117" s="254" cm="1">
        <f t="array" ref="F117">+SUMPRODUCT(('Budget original'!$A$8:$A$501=$A117)*('Budget original'!$C$3:$AO$3=F$2),'Budget original'!$C$8:$AO$501)</f>
        <v>25964</v>
      </c>
      <c r="G117" s="298"/>
      <c r="H117" s="291"/>
      <c r="I117" s="254"/>
      <c r="J117" s="253"/>
      <c r="K117" s="291">
        <f>IF($J$97=0,0,L117/(J$94+J$95+J96))</f>
        <v>469.56</v>
      </c>
      <c r="L117" s="256">
        <f>SUMIFS(BV_Data_An_Cour!$P:$P,BV_Data_An_Cour!$U:$U,$B117,BV_Data_An_Cour!$V:$V,$C117,BV_Data_An_Cour!$W:$W,$L$2)</f>
        <v>19251.96</v>
      </c>
      <c r="M117" s="253"/>
      <c r="N117" s="276">
        <f t="shared" si="44"/>
        <v>-6712.0400000000009</v>
      </c>
      <c r="O117" s="253"/>
      <c r="P117" s="291">
        <f t="shared" si="45"/>
        <v>626.46717948717946</v>
      </c>
      <c r="Q117" s="256" cm="1">
        <f t="array" ref="Q117">+SUMPRODUCT(('Réel 2024'!$A$8:$A$501=$A117)*('Réel 2024'!$C$3:$AO$3=Q$2),'Réel 2024'!$C$8:$AO$501)</f>
        <v>24432.22</v>
      </c>
      <c r="R117" s="253"/>
      <c r="S117" s="276">
        <f t="shared" si="46"/>
        <v>-5180.260000000002</v>
      </c>
      <c r="T117" s="41"/>
      <c r="U117" s="41"/>
      <c r="V117" s="41"/>
      <c r="W117" s="41"/>
      <c r="X117" s="41"/>
      <c r="Y117" s="41"/>
      <c r="Z117" s="41"/>
      <c r="AA117" s="41"/>
      <c r="AB117" s="41"/>
      <c r="AC117" s="41"/>
      <c r="AD117" s="41"/>
      <c r="AE117" s="41"/>
      <c r="AF117" s="41"/>
      <c r="AG117" s="41"/>
      <c r="AH117" s="41"/>
      <c r="AI117" s="41"/>
      <c r="AJ117" s="41"/>
      <c r="AK117" s="41"/>
      <c r="AL117" s="41"/>
      <c r="AM117" s="41"/>
      <c r="AN117" s="41"/>
    </row>
    <row r="118" spans="1:40" ht="15.75" customHeight="1">
      <c r="A118" s="5" t="str">
        <f t="shared" si="28"/>
        <v>Véhicules usagésIntérêt de gros</v>
      </c>
      <c r="B118" s="41" t="s">
        <v>152</v>
      </c>
      <c r="C118" s="253" t="s">
        <v>117</v>
      </c>
      <c r="D118" s="297"/>
      <c r="E118" s="291">
        <f t="shared" si="43"/>
        <v>292.62163860266401</v>
      </c>
      <c r="F118" s="254" cm="1">
        <f t="array" ref="F118">+SUMPRODUCT(('Budget original'!$A$8:$A$501=$A118)*('Budget original'!$C$3:$AO$3=F$2),'Budget original'!$C$8:$AO$501)</f>
        <v>13460.595375722543</v>
      </c>
      <c r="G118" s="298"/>
      <c r="H118" s="291"/>
      <c r="I118" s="254"/>
      <c r="J118" s="253"/>
      <c r="K118" s="291">
        <f>IF($J$97=0,0,L118/(J$94+J$95+J96))</f>
        <v>115.39243902439024</v>
      </c>
      <c r="L118" s="952">
        <f>SUMIFS(BV_Data_An_Cour!$P:$P,BV_Data_An_Cour!$U:$U,$B118,BV_Data_An_Cour!$V:$V,$C118,BV_Data_An_Cour!$W:$W,$L$2)</f>
        <v>4731.09</v>
      </c>
      <c r="M118" s="987"/>
      <c r="N118" s="961">
        <f t="shared" si="44"/>
        <v>-8729.5053757225432</v>
      </c>
      <c r="O118" s="253"/>
      <c r="P118" s="291">
        <f t="shared" si="45"/>
        <v>378.95435897435902</v>
      </c>
      <c r="Q118" s="256" cm="1">
        <f t="array" ref="Q118">+SUMPRODUCT(('Réel 2024'!$A$8:$A$501=$A118)*('Réel 2024'!$C$3:$AO$3=Q$2),'Réel 2024'!$C$8:$AO$501)</f>
        <v>14779.220000000001</v>
      </c>
      <c r="R118" s="253"/>
      <c r="S118" s="276">
        <f t="shared" si="46"/>
        <v>-10048.130000000001</v>
      </c>
      <c r="T118" s="41"/>
      <c r="U118" s="41"/>
      <c r="V118" s="41"/>
      <c r="W118" s="254"/>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tr">
        <f t="shared" si="28"/>
        <v>Véhicules usagés[...]</v>
      </c>
      <c r="B119" s="41" t="s">
        <v>152</v>
      </c>
      <c r="C119" s="253" t="s">
        <v>59</v>
      </c>
      <c r="D119" s="297"/>
      <c r="E119" s="291">
        <f t="shared" si="43"/>
        <v>0</v>
      </c>
      <c r="F119" s="254" cm="1">
        <f t="array" ref="F119">+SUMPRODUCT(('Budget original'!$A$8:$A$501=$A119)*('Budget original'!$C$3:$AO$3=F$2),'Budget original'!$C$8:$AO$501)</f>
        <v>0</v>
      </c>
      <c r="G119" s="298"/>
      <c r="H119" s="291"/>
      <c r="I119" s="254"/>
      <c r="J119" s="253"/>
      <c r="K119" s="291">
        <f t="shared" ref="K119:K121" si="47">IF($J$97=0,0,L119/(J$94+J$95))</f>
        <v>0</v>
      </c>
      <c r="L119" s="256">
        <f>SUMIFS(BV_Data_An_Cour!$P:$P,BV_Data_An_Cour!$U:$U,$B119,BV_Data_An_Cour!$V:$V,$C119,BV_Data_An_Cour!$W:$W,$L$2)</f>
        <v>0</v>
      </c>
      <c r="M119" s="253"/>
      <c r="N119" s="276">
        <f t="shared" si="44"/>
        <v>0</v>
      </c>
      <c r="O119" s="253"/>
      <c r="P119" s="291">
        <f t="shared" si="45"/>
        <v>0</v>
      </c>
      <c r="Q119" s="256" cm="1">
        <f t="array" ref="Q119">+SUMPRODUCT(('Réel 2024'!$A$8:$A$501=$A119)*('Réel 2024'!$C$3:$AO$3=Q$2),'Réel 2024'!$C$8:$AO$501)</f>
        <v>0</v>
      </c>
      <c r="R119" s="253"/>
      <c r="S119" s="276">
        <f t="shared" si="46"/>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tr">
        <f t="shared" si="28"/>
        <v>Véhicules usagés[...]</v>
      </c>
      <c r="B120" s="41" t="s">
        <v>152</v>
      </c>
      <c r="C120" s="253" t="s">
        <v>59</v>
      </c>
      <c r="D120" s="297"/>
      <c r="E120" s="291">
        <f t="shared" si="43"/>
        <v>0</v>
      </c>
      <c r="F120" s="254" cm="1">
        <f t="array" ref="F120">+SUMPRODUCT(('Budget original'!$A$8:$A$501=$A120)*('Budget original'!$C$3:$AO$3=F$2),'Budget original'!$C$8:$AO$501)</f>
        <v>0</v>
      </c>
      <c r="G120" s="298"/>
      <c r="H120" s="291"/>
      <c r="I120" s="254"/>
      <c r="J120" s="253"/>
      <c r="K120" s="291">
        <f t="shared" si="47"/>
        <v>0</v>
      </c>
      <c r="L120" s="256">
        <f>SUMIFS(BV_Data_An_Cour!$P:$P,BV_Data_An_Cour!$U:$U,$B120,BV_Data_An_Cour!$V:$V,$C120,BV_Data_An_Cour!$W:$W,$L$2)</f>
        <v>0</v>
      </c>
      <c r="M120" s="253"/>
      <c r="N120" s="276">
        <f t="shared" si="44"/>
        <v>0</v>
      </c>
      <c r="O120" s="253"/>
      <c r="P120" s="291">
        <f t="shared" si="45"/>
        <v>0</v>
      </c>
      <c r="Q120" s="256" cm="1">
        <f t="array" ref="Q120">+SUMPRODUCT(('Réel 2024'!$A$8:$A$501=$A120)*('Réel 2024'!$C$3:$AO$3=Q$2),'Réel 2024'!$C$8:$AO$501)</f>
        <v>0</v>
      </c>
      <c r="R120" s="253"/>
      <c r="S120" s="276">
        <f t="shared" si="46"/>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tr">
        <f t="shared" si="28"/>
        <v>Véhicules usagés[...]</v>
      </c>
      <c r="B121" s="41" t="s">
        <v>152</v>
      </c>
      <c r="C121" s="253" t="s">
        <v>59</v>
      </c>
      <c r="D121" s="297"/>
      <c r="E121" s="291">
        <f t="shared" si="43"/>
        <v>0</v>
      </c>
      <c r="F121" s="254" cm="1">
        <f t="array" ref="F121">+SUMPRODUCT(('Budget original'!$A$8:$A$501=$A121)*('Budget original'!$C$3:$AO$3=F$2),'Budget original'!$C$8:$AO$501)</f>
        <v>0</v>
      </c>
      <c r="G121" s="298"/>
      <c r="H121" s="291"/>
      <c r="I121" s="254"/>
      <c r="J121" s="253"/>
      <c r="K121" s="291">
        <f t="shared" si="47"/>
        <v>0</v>
      </c>
      <c r="L121" s="256">
        <f>SUMIFS(BV_Data_An_Cour!$P:$P,BV_Data_An_Cour!$U:$U,$B121,BV_Data_An_Cour!$V:$V,$C121,BV_Data_An_Cour!$W:$W,$L$2)</f>
        <v>0</v>
      </c>
      <c r="M121" s="253"/>
      <c r="N121" s="276">
        <f t="shared" si="44"/>
        <v>0</v>
      </c>
      <c r="O121" s="253"/>
      <c r="P121" s="291">
        <f t="shared" si="45"/>
        <v>0</v>
      </c>
      <c r="Q121" s="256" cm="1">
        <f t="array" ref="Q121">+SUMPRODUCT(('Réel 2024'!$A$8:$A$501=$A121)*('Réel 2024'!$C$3:$AO$3=Q$2),'Réel 2024'!$C$8:$AO$501)</f>
        <v>0</v>
      </c>
      <c r="R121" s="253"/>
      <c r="S121" s="276">
        <f t="shared" si="46"/>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tr">
        <f t="shared" si="28"/>
        <v>Véhicules usagésTOTAL VARIABLES</v>
      </c>
      <c r="B122" s="41" t="s">
        <v>152</v>
      </c>
      <c r="C122" s="304" t="s">
        <v>118</v>
      </c>
      <c r="D122" s="305" t="s">
        <v>119</v>
      </c>
      <c r="E122" s="306">
        <f>F122/F$108</f>
        <v>0.5781640694069009</v>
      </c>
      <c r="F122" s="307">
        <f>SUM(F112:F121)</f>
        <v>100831.81370456351</v>
      </c>
      <c r="G122" s="308"/>
      <c r="H122" s="306"/>
      <c r="I122" s="307"/>
      <c r="J122" s="308" t="s">
        <v>119</v>
      </c>
      <c r="K122" s="306">
        <f>L122/L$108</f>
        <v>0.52053515930535244</v>
      </c>
      <c r="L122" s="307">
        <f>SUM(L112:L121)</f>
        <v>72606.169999999984</v>
      </c>
      <c r="M122" s="311"/>
      <c r="N122" s="307">
        <f t="shared" si="44"/>
        <v>-28225.643704563525</v>
      </c>
      <c r="O122" s="308" t="s">
        <v>119</v>
      </c>
      <c r="P122" s="306">
        <f>Q122/Q$108</f>
        <v>2.6129250138332094</v>
      </c>
      <c r="Q122" s="307">
        <f>SUM(Q112:Q121)</f>
        <v>80891.22</v>
      </c>
      <c r="R122" s="311"/>
      <c r="S122" s="307">
        <f t="shared" si="46"/>
        <v>-8285.0500000000175</v>
      </c>
      <c r="T122" s="41"/>
      <c r="U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tr">
        <f t="shared" si="28"/>
        <v>Véhicules usagésSalaires cadres</v>
      </c>
      <c r="B123" s="41" t="s">
        <v>152</v>
      </c>
      <c r="C123" s="312" t="s">
        <v>120</v>
      </c>
      <c r="D123" s="41"/>
      <c r="E123" s="41"/>
      <c r="F123" s="254" cm="1">
        <f t="array" ref="F123">+SUMPRODUCT(('Budget original'!$A$8:$A$501=$A123)*('Budget original'!$C$3:$AO$3=F$2),'Budget original'!$C$8:$AO$501)</f>
        <v>19663.104487179487</v>
      </c>
      <c r="G123" s="253"/>
      <c r="H123" s="41"/>
      <c r="I123" s="254"/>
      <c r="J123" s="253"/>
      <c r="K123" s="41"/>
      <c r="L123" s="256">
        <f>SUMIFS(BV_Data_An_Cour!$P:$P,BV_Data_An_Cour!$U:$U,$B123,BV_Data_An_Cour!$V:$V,$C123,BV_Data_An_Cour!$W:$W,$L$2)</f>
        <v>17689.13</v>
      </c>
      <c r="M123" s="253"/>
      <c r="N123" s="276">
        <f t="shared" si="44"/>
        <v>-1973.9744871794865</v>
      </c>
      <c r="O123" s="253"/>
      <c r="P123" s="41"/>
      <c r="Q123" s="256" cm="1">
        <f t="array" ref="Q123">+SUMPRODUCT(('Réel 2024'!$A$8:$A$501=$A123)*('Réel 2024'!$C$3:$AO$3=Q$2),'Réel 2024'!$C$8:$AO$501)</f>
        <v>17728.96</v>
      </c>
      <c r="R123" s="253"/>
      <c r="S123" s="276"/>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tr">
        <f t="shared" si="28"/>
        <v>Véhicules usagésSalaires commis</v>
      </c>
      <c r="B124" s="41" t="s">
        <v>152</v>
      </c>
      <c r="C124" s="313" t="s">
        <v>121</v>
      </c>
      <c r="D124" s="297"/>
      <c r="E124" s="41"/>
      <c r="F124" s="248" cm="1">
        <f t="array" ref="F124">+SUMPRODUCT(('Budget original'!$A$8:$A$501=$A124)*('Budget original'!$C$3:$AO$3=F$2),'Budget original'!$C$8:$AO$501)</f>
        <v>19022.981538461536</v>
      </c>
      <c r="G124" s="298"/>
      <c r="H124" s="41"/>
      <c r="I124" s="248"/>
      <c r="J124" s="253"/>
      <c r="K124" s="41"/>
      <c r="L124" s="248">
        <f>SUMIFS(BV_Data_An_Cour!$P:$P,BV_Data_An_Cour!$U:$U,$B124,BV_Data_An_Cour!$V:$V,$C124,BV_Data_An_Cour!$W:$W,$L$2)</f>
        <v>11275.42</v>
      </c>
      <c r="M124" s="253"/>
      <c r="N124" s="276">
        <f t="shared" si="44"/>
        <v>-7747.5615384615357</v>
      </c>
      <c r="O124" s="253"/>
      <c r="P124" s="41"/>
      <c r="Q124" s="248" cm="1">
        <f t="array" ref="Q124">+SUMPRODUCT(('Réel 2024'!$A$8:$A$501=$A124)*('Réel 2024'!$C$3:$AO$3=Q$2),'Réel 2024'!$C$8:$AO$501)</f>
        <v>3446.45</v>
      </c>
      <c r="R124" s="253"/>
      <c r="S124" s="276">
        <f t="shared" ref="S124:S153" si="48">L124-Q124</f>
        <v>7828.97</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tr">
        <f t="shared" si="28"/>
        <v>Véhicules usagésSalaires autres</v>
      </c>
      <c r="B125" s="41" t="s">
        <v>152</v>
      </c>
      <c r="C125" s="312" t="s">
        <v>122</v>
      </c>
      <c r="D125" s="314"/>
      <c r="E125" s="315"/>
      <c r="F125" s="254" cm="1">
        <f t="array" ref="F125">+SUMPRODUCT(('Budget original'!$A$8:$A$501=$A125)*('Budget original'!$C$3:$AO$3=F$2),'Budget original'!$C$8:$AO$501)</f>
        <v>7526.0076923076922</v>
      </c>
      <c r="G125" s="316"/>
      <c r="H125" s="315"/>
      <c r="I125" s="254"/>
      <c r="J125" s="241"/>
      <c r="K125" s="315"/>
      <c r="L125" s="256">
        <f>SUMIFS(BV_Data_An_Cour!$P:$P,BV_Data_An_Cour!$U:$U,$B125,BV_Data_An_Cour!$V:$V,$C125,BV_Data_An_Cour!$W:$W,$L$2)</f>
        <v>11160</v>
      </c>
      <c r="M125" s="241"/>
      <c r="N125" s="317">
        <f t="shared" si="44"/>
        <v>3633.9923076923078</v>
      </c>
      <c r="O125" s="241"/>
      <c r="P125" s="315"/>
      <c r="Q125" s="256" cm="1">
        <f t="array" ref="Q125">+SUMPRODUCT(('Réel 2024'!$A$8:$A$501=$A125)*('Réel 2024'!$C$3:$AO$3=Q$2),'Réel 2024'!$C$8:$AO$501)</f>
        <v>11701.97</v>
      </c>
      <c r="R125" s="241"/>
      <c r="S125" s="317">
        <f t="shared" si="48"/>
        <v>-541.96999999999935</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tr">
        <f t="shared" si="28"/>
        <v>Véhicules usagésSalaires spécialistes</v>
      </c>
      <c r="B126" s="41" t="s">
        <v>152</v>
      </c>
      <c r="C126" s="312" t="s">
        <v>123</v>
      </c>
      <c r="D126" s="297"/>
      <c r="E126" s="41"/>
      <c r="F126" s="254" cm="1">
        <f t="array" ref="F126">+SUMPRODUCT(('Budget original'!$A$8:$A$501=$A126)*('Budget original'!$C$3:$AO$3=F$2),'Budget original'!$C$8:$AO$501)</f>
        <v>0</v>
      </c>
      <c r="G126" s="298"/>
      <c r="H126" s="41"/>
      <c r="I126" s="254"/>
      <c r="J126" s="253"/>
      <c r="K126" s="41"/>
      <c r="L126" s="256">
        <f>SUMIFS(BV_Data_An_Cour!$P:$P,BV_Data_An_Cour!$U:$U,$B126,BV_Data_An_Cour!$V:$V,$C126,BV_Data_An_Cour!$W:$W,$L$2)</f>
        <v>0</v>
      </c>
      <c r="M126" s="253"/>
      <c r="N126" s="276">
        <f t="shared" si="44"/>
        <v>0</v>
      </c>
      <c r="O126" s="253"/>
      <c r="P126" s="41"/>
      <c r="Q126" s="256" cm="1">
        <f t="array" ref="Q126">+SUMPRODUCT(('Réel 2024'!$A$8:$A$501=$A126)*('Réel 2024'!$C$3:$AO$3=Q$2),'Réel 2024'!$C$8:$AO$501)</f>
        <v>0</v>
      </c>
      <c r="R126" s="253"/>
      <c r="S126" s="276">
        <f t="shared" si="48"/>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tr">
        <f t="shared" si="28"/>
        <v>Véhicules usagés[...]</v>
      </c>
      <c r="B127" s="41" t="s">
        <v>152</v>
      </c>
      <c r="C127" s="312" t="s">
        <v>59</v>
      </c>
      <c r="D127" s="297"/>
      <c r="E127" s="41"/>
      <c r="F127" s="254" cm="1">
        <f t="array" ref="F127">+SUMPRODUCT(('Budget original'!$A$8:$A$501=$A127)*('Budget original'!$C$3:$AO$3=F$2),'Budget original'!$C$8:$AO$501)</f>
        <v>0</v>
      </c>
      <c r="G127" s="298"/>
      <c r="H127" s="41"/>
      <c r="I127" s="254"/>
      <c r="J127" s="253"/>
      <c r="K127" s="41"/>
      <c r="L127" s="256">
        <f>SUMIFS(BV_Data_An_Cour!$P:$P,BV_Data_An_Cour!$U:$U,$B127,BV_Data_An_Cour!$V:$V,$C127,BV_Data_An_Cour!$W:$W,$L$2)</f>
        <v>0</v>
      </c>
      <c r="M127" s="253"/>
      <c r="N127" s="276">
        <f t="shared" si="44"/>
        <v>0</v>
      </c>
      <c r="O127" s="253"/>
      <c r="P127" s="41"/>
      <c r="Q127" s="256" cm="1">
        <f t="array" ref="Q127">+SUMPRODUCT(('Réel 2024'!$A$8:$A$501=$A127)*('Réel 2024'!$C$3:$AO$3=Q$2),'Réel 2024'!$C$8:$AO$501)</f>
        <v>0</v>
      </c>
      <c r="R127" s="253"/>
      <c r="S127" s="276">
        <f t="shared" si="48"/>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tr">
        <f t="shared" si="28"/>
        <v>Véhicules usagés[...]</v>
      </c>
      <c r="B128" s="41" t="s">
        <v>152</v>
      </c>
      <c r="C128" s="312" t="s">
        <v>59</v>
      </c>
      <c r="D128" s="297"/>
      <c r="E128" s="41"/>
      <c r="F128" s="254" cm="1">
        <f t="array" ref="F128">+SUMPRODUCT(('Budget original'!$A$8:$A$501=$A128)*('Budget original'!$C$3:$AO$3=F$2),'Budget original'!$C$8:$AO$501)</f>
        <v>0</v>
      </c>
      <c r="G128" s="298"/>
      <c r="H128" s="41"/>
      <c r="I128" s="254"/>
      <c r="J128" s="253"/>
      <c r="K128" s="41"/>
      <c r="L128" s="256">
        <f>SUMIFS(BV_Data_An_Cour!$P:$P,BV_Data_An_Cour!$U:$U,$B128,BV_Data_An_Cour!$V:$V,$C128,BV_Data_An_Cour!$W:$W,$L$2)</f>
        <v>0</v>
      </c>
      <c r="M128" s="253"/>
      <c r="N128" s="276">
        <f t="shared" si="44"/>
        <v>0</v>
      </c>
      <c r="O128" s="253"/>
      <c r="P128" s="41"/>
      <c r="Q128" s="256" cm="1">
        <f t="array" ref="Q128">+SUMPRODUCT(('Réel 2024'!$A$8:$A$501=$A128)*('Réel 2024'!$C$3:$AO$3=Q$2),'Réel 2024'!$C$8:$AO$501)</f>
        <v>0</v>
      </c>
      <c r="R128" s="253"/>
      <c r="S128" s="276">
        <f t="shared" si="48"/>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tr">
        <f t="shared" si="28"/>
        <v>Véhicules usagés[...]</v>
      </c>
      <c r="B129" s="41" t="s">
        <v>152</v>
      </c>
      <c r="C129" s="312" t="s">
        <v>59</v>
      </c>
      <c r="D129" s="297"/>
      <c r="E129" s="41"/>
      <c r="F129" s="254" cm="1">
        <f t="array" ref="F129">+SUMPRODUCT(('Budget original'!$A$8:$A$501=$A129)*('Budget original'!$C$3:$AO$3=F$2),'Budget original'!$C$8:$AO$501)</f>
        <v>0</v>
      </c>
      <c r="G129" s="298"/>
      <c r="H129" s="41"/>
      <c r="I129" s="254"/>
      <c r="J129" s="253"/>
      <c r="K129" s="41"/>
      <c r="L129" s="256">
        <f>SUMIFS(BV_Data_An_Cour!$P:$P,BV_Data_An_Cour!$U:$U,$B129,BV_Data_An_Cour!$V:$V,$C129,BV_Data_An_Cour!$W:$W,$L$2)</f>
        <v>0</v>
      </c>
      <c r="M129" s="253"/>
      <c r="N129" s="276">
        <f t="shared" si="44"/>
        <v>0</v>
      </c>
      <c r="O129" s="253"/>
      <c r="P129" s="41"/>
      <c r="Q129" s="256" cm="1">
        <f t="array" ref="Q129">+SUMPRODUCT(('Réel 2024'!$A$8:$A$501=$A129)*('Réel 2024'!$C$3:$AO$3=Q$2),'Réel 2024'!$C$8:$AO$501)</f>
        <v>0</v>
      </c>
      <c r="R129" s="253"/>
      <c r="S129" s="276">
        <f t="shared" si="48"/>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tr">
        <f t="shared" si="28"/>
        <v>Véhicules usagésSalaires en absences</v>
      </c>
      <c r="B130" s="41" t="s">
        <v>152</v>
      </c>
      <c r="C130" s="313" t="s">
        <v>124</v>
      </c>
      <c r="D130" s="297"/>
      <c r="E130" s="41"/>
      <c r="F130" s="254" cm="1">
        <f t="array" ref="F130">+SUMPRODUCT(('Budget original'!$A$8:$A$501=$A130)*('Budget original'!$C$3:$AO$3=F$2),'Budget original'!$C$8:$AO$501)</f>
        <v>14867.877656217948</v>
      </c>
      <c r="G130" s="298"/>
      <c r="H130" s="41"/>
      <c r="I130" s="254"/>
      <c r="J130" s="253"/>
      <c r="K130" s="41"/>
      <c r="L130" s="256">
        <f>SUMIFS(BV_Data_An_Cour!$P:$P,BV_Data_An_Cour!$U:$U,$B130,BV_Data_An_Cour!$V:$V,$C130,BV_Data_An_Cour!$W:$W,$L$2)</f>
        <v>14888.58</v>
      </c>
      <c r="M130" s="253"/>
      <c r="N130" s="276">
        <f t="shared" si="44"/>
        <v>20.702343782051685</v>
      </c>
      <c r="O130" s="253"/>
      <c r="P130" s="41"/>
      <c r="Q130" s="256" cm="1">
        <f t="array" ref="Q130">+SUMPRODUCT(('Réel 2024'!$A$8:$A$501=$A130)*('Réel 2024'!$C$3:$AO$3=Q$2),'Réel 2024'!$C$8:$AO$501)</f>
        <v>14742.42</v>
      </c>
      <c r="R130" s="253"/>
      <c r="S130" s="276">
        <f t="shared" si="48"/>
        <v>146.15999999999985</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tr">
        <f t="shared" si="28"/>
        <v>Véhicules usagésDéduction à la source</v>
      </c>
      <c r="B131" s="41" t="s">
        <v>152</v>
      </c>
      <c r="C131" s="312" t="s">
        <v>125</v>
      </c>
      <c r="D131" s="314"/>
      <c r="E131" s="315"/>
      <c r="F131" s="271" cm="1">
        <f t="array" ref="F131">+SUMPRODUCT(('Budget original'!$A$8:$A$501=$A131)*('Budget original'!$C$3:$AO$3=F$2),'Budget original'!$C$8:$AO$501)</f>
        <v>18077.243317692308</v>
      </c>
      <c r="G131" s="316"/>
      <c r="H131" s="315"/>
      <c r="I131" s="271"/>
      <c r="J131" s="241"/>
      <c r="K131" s="315"/>
      <c r="L131" s="272">
        <f>SUMIFS(BV_Data_An_Cour!$P:$P,BV_Data_An_Cour!$U:$U,$B131,BV_Data_An_Cour!$V:$V,$C131,BV_Data_An_Cour!$W:$W,$L$2)</f>
        <v>16606.23</v>
      </c>
      <c r="M131" s="241"/>
      <c r="N131" s="317">
        <f t="shared" si="44"/>
        <v>-1471.0133176923082</v>
      </c>
      <c r="O131" s="241"/>
      <c r="P131" s="315"/>
      <c r="Q131" s="272" cm="1">
        <f t="array" ref="Q131">+SUMPRODUCT(('Réel 2024'!$A$8:$A$501=$A131)*('Réel 2024'!$C$3:$AO$3=Q$2),'Réel 2024'!$C$8:$AO$501)</f>
        <v>11994.09</v>
      </c>
      <c r="R131" s="241"/>
      <c r="S131" s="317">
        <f t="shared" si="48"/>
        <v>4612.1399999999994</v>
      </c>
      <c r="T131" s="41"/>
      <c r="U131" s="254">
        <f>L131-Print_Mois!L131</f>
        <v>8563.31</v>
      </c>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tr">
        <f t="shared" si="28"/>
        <v>Véhicules usagésBénéfices marginaux</v>
      </c>
      <c r="B132" s="41" t="s">
        <v>152</v>
      </c>
      <c r="C132" s="312" t="s">
        <v>126</v>
      </c>
      <c r="D132" s="297"/>
      <c r="E132" s="41"/>
      <c r="F132" s="254" cm="1">
        <f t="array" ref="F132">+SUMPRODUCT(('Budget original'!$A$8:$A$501=$A132)*('Budget original'!$C$3:$AO$3=F$2),'Budget original'!$C$8:$AO$501)</f>
        <v>9313.7101441153845</v>
      </c>
      <c r="G132" s="298"/>
      <c r="H132" s="41"/>
      <c r="I132" s="254"/>
      <c r="J132" s="253"/>
      <c r="K132" s="41"/>
      <c r="L132" s="256">
        <f>SUMIFS(BV_Data_An_Cour!$P:$P,BV_Data_An_Cour!$U:$U,$B132,BV_Data_An_Cour!$V:$V,$C132,BV_Data_An_Cour!$W:$W,$L$2)</f>
        <v>8081.6799999999994</v>
      </c>
      <c r="M132" s="253"/>
      <c r="N132" s="276">
        <f t="shared" si="44"/>
        <v>-1232.0301441153852</v>
      </c>
      <c r="O132" s="253"/>
      <c r="P132" s="41"/>
      <c r="Q132" s="256" cm="1">
        <f t="array" ref="Q132">+SUMPRODUCT(('Réel 2024'!$A$8:$A$501=$A132)*('Réel 2024'!$C$3:$AO$3=Q$2),'Réel 2024'!$C$8:$AO$501)</f>
        <v>1932.55</v>
      </c>
      <c r="R132" s="253"/>
      <c r="S132" s="276">
        <f t="shared" si="48"/>
        <v>6149.1299999999992</v>
      </c>
      <c r="T132" s="41"/>
      <c r="U132" s="254">
        <f>L132-Print_Mois!L132</f>
        <v>3861.8199999999997</v>
      </c>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tr">
        <f t="shared" si="28"/>
        <v>Véhicules usagésCsst</v>
      </c>
      <c r="B133" s="41" t="s">
        <v>152</v>
      </c>
      <c r="C133" s="312" t="s">
        <v>127</v>
      </c>
      <c r="D133" s="297"/>
      <c r="E133" s="41"/>
      <c r="F133" s="254" cm="1">
        <f t="array" ref="F133">+SUMPRODUCT(('Budget original'!$A$8:$A$501=$A133)*('Budget original'!$C$3:$AO$3=F$2),'Budget original'!$C$8:$AO$501)</f>
        <v>4060.8300206410258</v>
      </c>
      <c r="G133" s="298"/>
      <c r="H133" s="41"/>
      <c r="I133" s="254"/>
      <c r="J133" s="253"/>
      <c r="K133" s="41"/>
      <c r="L133" s="256">
        <f>SUMIFS(BV_Data_An_Cour!$P:$P,BV_Data_An_Cour!$U:$U,$B133,BV_Data_An_Cour!$V:$V,$C133,BV_Data_An_Cour!$W:$W,$L$2)</f>
        <v>3001.74</v>
      </c>
      <c r="M133" s="253"/>
      <c r="N133" s="276">
        <f t="shared" si="44"/>
        <v>-1059.0900206410261</v>
      </c>
      <c r="O133" s="253"/>
      <c r="P133" s="41"/>
      <c r="Q133" s="256" cm="1">
        <f t="array" ref="Q133">+SUMPRODUCT(('Réel 2024'!$A$8:$A$501=$A133)*('Réel 2024'!$C$3:$AO$3=Q$2),'Réel 2024'!$C$8:$AO$501)</f>
        <v>1246.24</v>
      </c>
      <c r="R133" s="253"/>
      <c r="S133" s="276">
        <f t="shared" si="48"/>
        <v>1755.4999999999998</v>
      </c>
      <c r="T133" s="41"/>
      <c r="U133" s="254">
        <f>L133-Print_Mois!L133</f>
        <v>1542.62</v>
      </c>
      <c r="V133" s="41"/>
      <c r="W133" s="41"/>
      <c r="X133" s="41"/>
      <c r="Y133" s="41"/>
      <c r="Z133" s="41"/>
      <c r="AA133" s="41"/>
      <c r="AB133" s="41"/>
      <c r="AC133" s="41"/>
      <c r="AD133" s="41"/>
      <c r="AE133" s="41"/>
      <c r="AF133" s="41"/>
      <c r="AG133" s="41"/>
      <c r="AH133" s="41"/>
      <c r="AI133" s="41"/>
      <c r="AJ133" s="41"/>
      <c r="AK133" s="41"/>
      <c r="AL133" s="41"/>
      <c r="AM133" s="41"/>
      <c r="AN133" s="41"/>
    </row>
    <row r="134" spans="1:40" ht="15.75" hidden="1" customHeight="1">
      <c r="A134" s="5" t="str">
        <f t="shared" si="28"/>
        <v>Véhicules usagés[...]</v>
      </c>
      <c r="B134" s="41" t="s">
        <v>152</v>
      </c>
      <c r="C134" s="253" t="s">
        <v>59</v>
      </c>
      <c r="D134" s="299"/>
      <c r="E134" s="318"/>
      <c r="F134" s="254" cm="1">
        <f t="array" ref="F134">+SUMPRODUCT(('Budget original'!$A$8:$A$501=$A134)*('Budget original'!$C$3:$AO$3=F$2),'Budget original'!$C$8:$AO$501)</f>
        <v>0</v>
      </c>
      <c r="G134" s="300"/>
      <c r="H134" s="318"/>
      <c r="I134" s="254"/>
      <c r="J134" s="246"/>
      <c r="K134" s="318"/>
      <c r="L134" s="256">
        <f>SUMIFS(BV_Data_An_Cour!$P:$P,BV_Data_An_Cour!$U:$U,$B134,BV_Data_An_Cour!$V:$V,$C134,BV_Data_An_Cour!$W:$W,$L$2)</f>
        <v>0</v>
      </c>
      <c r="M134" s="246"/>
      <c r="N134" s="296">
        <f t="shared" si="44"/>
        <v>0</v>
      </c>
      <c r="O134" s="246"/>
      <c r="P134" s="318"/>
      <c r="Q134" s="256" cm="1">
        <f t="array" ref="Q134">+SUMPRODUCT(('Réel 2024'!$A$8:$A$501=$A134)*('Réel 2024'!$C$3:$AO$3=Q$2),'Réel 2024'!$C$8:$AO$501)</f>
        <v>0</v>
      </c>
      <c r="R134" s="246"/>
      <c r="S134" s="296">
        <f t="shared" si="48"/>
        <v>0</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customHeight="1">
      <c r="A135" s="5" t="str">
        <f t="shared" si="28"/>
        <v>Véhicules usagésTOTAL PERSONNEL</v>
      </c>
      <c r="B135" s="41" t="s">
        <v>152</v>
      </c>
      <c r="C135" s="304" t="s">
        <v>128</v>
      </c>
      <c r="D135" s="305" t="s">
        <v>119</v>
      </c>
      <c r="E135" s="306">
        <f>F135/F$108</f>
        <v>0.53057198885673951</v>
      </c>
      <c r="F135" s="307">
        <f>+SUM(F123:F134)</f>
        <v>92531.754856615371</v>
      </c>
      <c r="G135" s="308"/>
      <c r="H135" s="306"/>
      <c r="I135" s="307"/>
      <c r="J135" s="308" t="s">
        <v>119</v>
      </c>
      <c r="K135" s="306">
        <f>L135/L$108</f>
        <v>0.59292074987973509</v>
      </c>
      <c r="L135" s="307">
        <f>SUM(L123:L134)</f>
        <v>82702.78</v>
      </c>
      <c r="M135" s="355"/>
      <c r="N135" s="320">
        <f t="shared" si="44"/>
        <v>-9828.9748566153721</v>
      </c>
      <c r="O135" s="308" t="s">
        <v>119</v>
      </c>
      <c r="P135" s="306">
        <f>Q135/Q$108</f>
        <v>2.0283111598220955</v>
      </c>
      <c r="Q135" s="307">
        <f>+SUM(Q123:Q134)</f>
        <v>62792.68</v>
      </c>
      <c r="R135" s="355"/>
      <c r="S135" s="320">
        <f t="shared" si="48"/>
        <v>19910.099999999999</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customHeight="1">
      <c r="A136" s="5" t="str">
        <f t="shared" si="28"/>
        <v>Véhicules usagésPublicité 2</v>
      </c>
      <c r="B136" s="41" t="s">
        <v>152</v>
      </c>
      <c r="C136" s="253" t="s">
        <v>129</v>
      </c>
      <c r="D136" s="297"/>
      <c r="E136" s="41"/>
      <c r="F136" s="254" cm="1">
        <f t="array" ref="F136">+SUMPRODUCT(('Budget original'!$A$8:$A$501=$A136)*('Budget original'!$C$3:$AO$3=F$2),'Budget original'!$C$8:$AO$501)</f>
        <v>0</v>
      </c>
      <c r="G136" s="298"/>
      <c r="H136" s="41"/>
      <c r="I136" s="254"/>
      <c r="J136" s="253"/>
      <c r="K136" s="41"/>
      <c r="L136" s="256">
        <f>SUMIFS(BV_Data_An_Cour!$P:$P,BV_Data_An_Cour!$U:$U,$B136,BV_Data_An_Cour!$V:$V,$C136,BV_Data_An_Cour!$W:$W,$L$2)</f>
        <v>0</v>
      </c>
      <c r="M136" s="253"/>
      <c r="N136" s="276">
        <f t="shared" si="44"/>
        <v>0</v>
      </c>
      <c r="O136" s="253"/>
      <c r="P136" s="41"/>
      <c r="Q136" s="256" cm="1">
        <f t="array" ref="Q136">+SUMPRODUCT(('Réel 2024'!$A$8:$A$501=$A136)*('Réel 2024'!$C$3:$AO$3=Q$2),'Réel 2024'!$C$8:$AO$501)</f>
        <v>0</v>
      </c>
      <c r="R136" s="253"/>
      <c r="S136" s="276">
        <f t="shared" si="48"/>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customHeight="1">
      <c r="A137" s="5" t="str">
        <f t="shared" si="28"/>
        <v>Véhicules usagésService gratuit 2</v>
      </c>
      <c r="B137" s="41" t="s">
        <v>152</v>
      </c>
      <c r="C137" s="253" t="s">
        <v>130</v>
      </c>
      <c r="D137" s="297"/>
      <c r="E137" s="41"/>
      <c r="F137" s="254" cm="1">
        <f t="array" ref="F137">+SUMPRODUCT(('Budget original'!$A$8:$A$501=$A137)*('Budget original'!$C$3:$AO$3=F$2),'Budget original'!$C$8:$AO$501)</f>
        <v>0</v>
      </c>
      <c r="G137" s="298"/>
      <c r="H137" s="41"/>
      <c r="I137" s="254"/>
      <c r="J137" s="253"/>
      <c r="K137" s="41"/>
      <c r="L137" s="256">
        <f>SUMIFS(BV_Data_An_Cour!$P:$P,BV_Data_An_Cour!$U:$U,$B137,BV_Data_An_Cour!$V:$V,$C137,BV_Data_An_Cour!$W:$W,$L$2)</f>
        <v>0</v>
      </c>
      <c r="M137" s="253"/>
      <c r="N137" s="276">
        <f t="shared" si="44"/>
        <v>0</v>
      </c>
      <c r="O137" s="253"/>
      <c r="P137" s="41"/>
      <c r="Q137" s="256" cm="1">
        <f t="array" ref="Q137">+SUMPRODUCT(('Réel 2024'!$A$8:$A$501=$A137)*('Réel 2024'!$C$3:$AO$3=Q$2),'Réel 2024'!$C$8:$AO$501)</f>
        <v>0</v>
      </c>
      <c r="R137" s="253"/>
      <c r="S137" s="276">
        <f t="shared" si="48"/>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tr">
        <f t="shared" si="28"/>
        <v>Véhicules usagésFrais véhicules de cie</v>
      </c>
      <c r="B138" s="41" t="s">
        <v>152</v>
      </c>
      <c r="C138" s="246" t="s">
        <v>131</v>
      </c>
      <c r="D138" s="299"/>
      <c r="E138" s="318"/>
      <c r="F138" s="248" cm="1">
        <f t="array" ref="F138">+SUMPRODUCT(('Budget original'!$A$8:$A$501=$A138)*('Budget original'!$C$3:$AO$3=F$2),'Budget original'!$C$8:$AO$501)</f>
        <v>2568.3065777777779</v>
      </c>
      <c r="G138" s="300"/>
      <c r="H138" s="318"/>
      <c r="I138" s="248"/>
      <c r="J138" s="246"/>
      <c r="K138" s="318"/>
      <c r="L138" s="248">
        <f>SUMIFS(BV_Data_An_Cour!$P:$P,BV_Data_An_Cour!$U:$U,$B138,BV_Data_An_Cour!$V:$V,$C138,BV_Data_An_Cour!$W:$W,$L$2)</f>
        <v>9455.16</v>
      </c>
      <c r="M138" s="246"/>
      <c r="N138" s="296">
        <f t="shared" si="44"/>
        <v>6886.8534222222224</v>
      </c>
      <c r="O138" s="246"/>
      <c r="P138" s="318"/>
      <c r="Q138" s="248" cm="1">
        <f t="array" ref="Q138">+SUMPRODUCT(('Réel 2024'!$A$8:$A$501=$A138)*('Réel 2024'!$C$3:$AO$3=Q$2),'Réel 2024'!$C$8:$AO$501)</f>
        <v>703.97</v>
      </c>
      <c r="R138" s="246"/>
      <c r="S138" s="296">
        <f t="shared" si="48"/>
        <v>8751.19</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tr">
        <f t="shared" si="28"/>
        <v>Véhicules usagésInformatique</v>
      </c>
      <c r="B139" s="41" t="s">
        <v>152</v>
      </c>
      <c r="C139" s="253" t="s">
        <v>132</v>
      </c>
      <c r="D139" s="297"/>
      <c r="E139" s="41"/>
      <c r="F139" s="254" cm="1">
        <f t="array" ref="F139">+SUMPRODUCT(('Budget original'!$A$8:$A$501=$A139)*('Budget original'!$C$3:$AO$3=F$2),'Budget original'!$C$8:$AO$501)</f>
        <v>7515.3712453866647</v>
      </c>
      <c r="G139" s="298"/>
      <c r="H139" s="41"/>
      <c r="I139" s="254"/>
      <c r="J139" s="253"/>
      <c r="K139" s="41"/>
      <c r="L139" s="256">
        <f>SUMIFS(BV_Data_An_Cour!$P:$P,BV_Data_An_Cour!$U:$U,$B139,BV_Data_An_Cour!$V:$V,$C139,BV_Data_An_Cour!$W:$W,$L$2)</f>
        <v>5681.73</v>
      </c>
      <c r="M139" s="253"/>
      <c r="N139" s="276">
        <f t="shared" si="44"/>
        <v>-1833.6412453866651</v>
      </c>
      <c r="O139" s="253"/>
      <c r="P139" s="41"/>
      <c r="Q139" s="256" cm="1">
        <f t="array" ref="Q139">+SUMPRODUCT(('Réel 2024'!$A$8:$A$501=$A139)*('Réel 2024'!$C$3:$AO$3=Q$2),'Réel 2024'!$C$8:$AO$501)</f>
        <v>6884.92</v>
      </c>
      <c r="R139" s="253"/>
      <c r="S139" s="276">
        <f t="shared" si="48"/>
        <v>-1203.1900000000005</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tr">
        <f t="shared" si="28"/>
        <v>Véhicules usagésFrais de déplacement</v>
      </c>
      <c r="B140" s="41" t="s">
        <v>152</v>
      </c>
      <c r="C140" s="253" t="s">
        <v>133</v>
      </c>
      <c r="D140" s="297"/>
      <c r="E140" s="41"/>
      <c r="F140" s="254" cm="1">
        <f t="array" ref="F140">+SUMPRODUCT(('Budget original'!$A$8:$A$501=$A140)*('Budget original'!$C$3:$AO$3=F$2),'Budget original'!$C$8:$AO$501)</f>
        <v>1111.3404875480992</v>
      </c>
      <c r="G140" s="298"/>
      <c r="H140" s="41"/>
      <c r="I140" s="254"/>
      <c r="J140" s="253"/>
      <c r="K140" s="41"/>
      <c r="L140" s="256">
        <f>SUMIFS(BV_Data_An_Cour!$P:$P,BV_Data_An_Cour!$U:$U,$B140,BV_Data_An_Cour!$V:$V,$C140,BV_Data_An_Cour!$W:$W,$L$2)</f>
        <v>1089.0999999999999</v>
      </c>
      <c r="M140" s="253"/>
      <c r="N140" s="276">
        <f t="shared" si="44"/>
        <v>-22.240487548099281</v>
      </c>
      <c r="O140" s="253"/>
      <c r="P140" s="41"/>
      <c r="Q140" s="256" cm="1">
        <f t="array" ref="Q140">+SUMPRODUCT(('Réel 2024'!$A$8:$A$501=$A140)*('Réel 2024'!$C$3:$AO$3=Q$2),'Réel 2024'!$C$8:$AO$501)</f>
        <v>826.9</v>
      </c>
      <c r="R140" s="253"/>
      <c r="S140" s="276">
        <f t="shared" si="48"/>
        <v>262.19999999999993</v>
      </c>
      <c r="T140" s="353"/>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tr">
        <f t="shared" si="28"/>
        <v>Véhicules usagésServices extérieurs</v>
      </c>
      <c r="B141" s="41" t="s">
        <v>152</v>
      </c>
      <c r="C141" s="246" t="s">
        <v>134</v>
      </c>
      <c r="D141" s="299"/>
      <c r="E141" s="318"/>
      <c r="F141" s="248" cm="1">
        <f t="array" ref="F141">+SUMPRODUCT(('Budget original'!$A$8:$A$501=$A141)*('Budget original'!$C$3:$AO$3=F$2),'Budget original'!$C$8:$AO$501)</f>
        <v>2797.6989281073152</v>
      </c>
      <c r="G141" s="300"/>
      <c r="H141" s="318"/>
      <c r="I141" s="248"/>
      <c r="J141" s="246"/>
      <c r="K141" s="318"/>
      <c r="L141" s="248">
        <f>SUMIFS(BV_Data_An_Cour!$P:$P,BV_Data_An_Cour!$U:$U,$B141,BV_Data_An_Cour!$V:$V,$C141,BV_Data_An_Cour!$W:$W,$L$2)</f>
        <v>5845.24</v>
      </c>
      <c r="M141" s="246"/>
      <c r="N141" s="296">
        <f t="shared" si="44"/>
        <v>3047.5410718926846</v>
      </c>
      <c r="O141" s="246"/>
      <c r="P141" s="318"/>
      <c r="Q141" s="248" cm="1">
        <f t="array" ref="Q141">+SUMPRODUCT(('Réel 2024'!$A$8:$A$501=$A141)*('Réel 2024'!$C$3:$AO$3=Q$2),'Réel 2024'!$C$8:$AO$501)</f>
        <v>2471.3599999999997</v>
      </c>
      <c r="R141" s="246"/>
      <c r="S141" s="296">
        <f t="shared" si="48"/>
        <v>3373.88</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tr">
        <f t="shared" si="28"/>
        <v>Véhicules usagésFournitures autres</v>
      </c>
      <c r="B142" s="41" t="s">
        <v>152</v>
      </c>
      <c r="C142" s="253" t="s">
        <v>135</v>
      </c>
      <c r="D142" s="297"/>
      <c r="E142" s="41"/>
      <c r="F142" s="254" cm="1">
        <f t="array" ref="F142">+SUMPRODUCT(('Budget original'!$A$8:$A$501=$A142)*('Budget original'!$C$3:$AO$3=F$2),'Budget original'!$C$8:$AO$501)</f>
        <v>167.77106666666666</v>
      </c>
      <c r="G142" s="298"/>
      <c r="H142" s="41"/>
      <c r="I142" s="254"/>
      <c r="J142" s="253"/>
      <c r="K142" s="41"/>
      <c r="L142" s="256">
        <f>SUMIFS(BV_Data_An_Cour!$P:$P,BV_Data_An_Cour!$U:$U,$B142,BV_Data_An_Cour!$V:$V,$C142,BV_Data_An_Cour!$W:$W,$L$2)</f>
        <v>165.98</v>
      </c>
      <c r="M142" s="253"/>
      <c r="N142" s="276">
        <f t="shared" si="44"/>
        <v>-1.7910666666666657</v>
      </c>
      <c r="O142" s="253"/>
      <c r="P142" s="41"/>
      <c r="Q142" s="256" cm="1">
        <f t="array" ref="Q142">+SUMPRODUCT(('Réel 2024'!$A$8:$A$501=$A142)*('Réel 2024'!$C$3:$AO$3=Q$2),'Réel 2024'!$C$8:$AO$501)</f>
        <v>104.39</v>
      </c>
      <c r="R142" s="253"/>
      <c r="S142" s="276">
        <f t="shared" si="48"/>
        <v>61.589999999999989</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tr">
        <f t="shared" si="28"/>
        <v>Véhicules usagésUniformes</v>
      </c>
      <c r="B143" s="41" t="s">
        <v>152</v>
      </c>
      <c r="C143" s="253" t="s">
        <v>136</v>
      </c>
      <c r="D143" s="297"/>
      <c r="E143" s="41"/>
      <c r="F143" s="254" cm="1">
        <f t="array" ref="F143">+SUMPRODUCT(('Budget original'!$A$8:$A$501=$A143)*('Budget original'!$C$3:$AO$3=F$2),'Budget original'!$C$8:$AO$501)</f>
        <v>56.666666666666664</v>
      </c>
      <c r="G143" s="298"/>
      <c r="H143" s="41"/>
      <c r="I143" s="254"/>
      <c r="J143" s="253"/>
      <c r="K143" s="41"/>
      <c r="L143" s="256">
        <f>SUMIFS(BV_Data_An_Cour!$P:$P,BV_Data_An_Cour!$U:$U,$B143,BV_Data_An_Cour!$V:$V,$C143,BV_Data_An_Cour!$W:$W,$L$2)</f>
        <v>0</v>
      </c>
      <c r="M143" s="253"/>
      <c r="N143" s="276">
        <f t="shared" si="44"/>
        <v>-56.666666666666664</v>
      </c>
      <c r="O143" s="253"/>
      <c r="P143" s="41"/>
      <c r="Q143" s="256" cm="1">
        <f t="array" ref="Q143">+SUMPRODUCT(('Réel 2024'!$A$8:$A$501=$A143)*('Réel 2024'!$C$3:$AO$3=Q$2),'Réel 2024'!$C$8:$AO$501)</f>
        <v>0</v>
      </c>
      <c r="R143" s="253"/>
      <c r="S143" s="276">
        <f t="shared" si="48"/>
        <v>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tr">
        <f t="shared" si="28"/>
        <v>Véhicules usagésPapeterie</v>
      </c>
      <c r="B144" s="41" t="s">
        <v>152</v>
      </c>
      <c r="C144" s="253" t="s">
        <v>137</v>
      </c>
      <c r="D144" s="297"/>
      <c r="E144" s="41"/>
      <c r="F144" s="254" cm="1">
        <f t="array" ref="F144">+SUMPRODUCT(('Budget original'!$A$8:$A$501=$A144)*('Budget original'!$C$3:$AO$3=F$2),'Budget original'!$C$8:$AO$501)</f>
        <v>647.23879475183992</v>
      </c>
      <c r="G144" s="298"/>
      <c r="H144" s="41"/>
      <c r="I144" s="254"/>
      <c r="J144" s="253"/>
      <c r="K144" s="41"/>
      <c r="L144" s="256">
        <f>SUMIFS(BV_Data_An_Cour!$P:$P,BV_Data_An_Cour!$U:$U,$B144,BV_Data_An_Cour!$V:$V,$C144,BV_Data_An_Cour!$W:$W,$L$2)</f>
        <v>451.4</v>
      </c>
      <c r="M144" s="253"/>
      <c r="N144" s="276">
        <f t="shared" si="44"/>
        <v>-195.83879475183994</v>
      </c>
      <c r="O144" s="253"/>
      <c r="P144" s="41"/>
      <c r="Q144" s="256" cm="1">
        <f t="array" ref="Q144">+SUMPRODUCT(('Réel 2024'!$A$8:$A$501=$A144)*('Réel 2024'!$C$3:$AO$3=Q$2),'Réel 2024'!$C$8:$AO$501)</f>
        <v>658.77</v>
      </c>
      <c r="R144" s="253"/>
      <c r="S144" s="276">
        <f t="shared" si="48"/>
        <v>-207.37</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tr">
        <f t="shared" si="28"/>
        <v>Véhicules usagésTéléphone</v>
      </c>
      <c r="B145" s="41" t="s">
        <v>152</v>
      </c>
      <c r="C145" s="253" t="s">
        <v>138</v>
      </c>
      <c r="D145" s="297"/>
      <c r="E145" s="41"/>
      <c r="F145" s="254" cm="1">
        <f t="array" ref="F145">+SUMPRODUCT(('Budget original'!$A$8:$A$501=$A145)*('Budget original'!$C$3:$AO$3=F$2),'Budget original'!$C$8:$AO$501)</f>
        <v>125.52910968848666</v>
      </c>
      <c r="G145" s="298"/>
      <c r="H145" s="41"/>
      <c r="I145" s="254"/>
      <c r="J145" s="253"/>
      <c r="K145" s="41"/>
      <c r="L145" s="256">
        <f>SUMIFS(BV_Data_An_Cour!$P:$P,BV_Data_An_Cour!$U:$U,$B145,BV_Data_An_Cour!$V:$V,$C145,BV_Data_An_Cour!$W:$W,$L$2)</f>
        <v>203.66</v>
      </c>
      <c r="M145" s="253"/>
      <c r="N145" s="276">
        <f t="shared" si="44"/>
        <v>78.13089031151334</v>
      </c>
      <c r="O145" s="253"/>
      <c r="P145" s="41"/>
      <c r="Q145" s="256" cm="1">
        <f t="array" ref="Q145">+SUMPRODUCT(('Réel 2024'!$A$8:$A$501=$A145)*('Réel 2024'!$C$3:$AO$3=Q$2),'Réel 2024'!$C$8:$AO$501)</f>
        <v>104.5</v>
      </c>
      <c r="R145" s="253"/>
      <c r="S145" s="276">
        <f t="shared" si="48"/>
        <v>99.16</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tr">
        <f t="shared" si="28"/>
        <v>Véhicules usagésFrais postaux</v>
      </c>
      <c r="B146" s="41" t="s">
        <v>152</v>
      </c>
      <c r="C146" s="253" t="s">
        <v>139</v>
      </c>
      <c r="D146" s="297"/>
      <c r="E146" s="41"/>
      <c r="F146" s="254" cm="1">
        <f t="array" ref="F146">+SUMPRODUCT(('Budget original'!$A$8:$A$501=$A146)*('Budget original'!$C$3:$AO$3=F$2),'Budget original'!$C$8:$AO$501)</f>
        <v>96.433688276313319</v>
      </c>
      <c r="G146" s="298"/>
      <c r="H146" s="41"/>
      <c r="I146" s="254"/>
      <c r="J146" s="253"/>
      <c r="K146" s="41"/>
      <c r="L146" s="256">
        <f>SUMIFS(BV_Data_An_Cour!$P:$P,BV_Data_An_Cour!$U:$U,$B146,BV_Data_An_Cour!$V:$V,$C146,BV_Data_An_Cour!$W:$W,$L$2)</f>
        <v>457.93</v>
      </c>
      <c r="M146" s="253"/>
      <c r="N146" s="276">
        <f t="shared" si="44"/>
        <v>361.49631172368669</v>
      </c>
      <c r="O146" s="253"/>
      <c r="P146" s="41"/>
      <c r="Q146" s="256" cm="1">
        <f t="array" ref="Q146">+SUMPRODUCT(('Réel 2024'!$A$8:$A$501=$A146)*('Réel 2024'!$C$3:$AO$3=Q$2),'Réel 2024'!$C$8:$AO$501)</f>
        <v>185.01</v>
      </c>
      <c r="R146" s="253"/>
      <c r="S146" s="276">
        <f t="shared" si="48"/>
        <v>272.92</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tr">
        <f t="shared" si="28"/>
        <v>Véhicules usagésDivers</v>
      </c>
      <c r="B147" s="41" t="s">
        <v>152</v>
      </c>
      <c r="C147" s="253" t="s">
        <v>140</v>
      </c>
      <c r="D147" s="297"/>
      <c r="E147" s="41"/>
      <c r="F147" s="254" cm="1">
        <f t="array" ref="F147">+SUMPRODUCT(('Budget original'!$A$8:$A$501=$A147)*('Budget original'!$C$3:$AO$3=F$2),'Budget original'!$C$8:$AO$501)</f>
        <v>214.70323487595337</v>
      </c>
      <c r="G147" s="298"/>
      <c r="H147" s="41"/>
      <c r="I147" s="254"/>
      <c r="J147" s="253"/>
      <c r="K147" s="41"/>
      <c r="L147" s="256">
        <f>SUMIFS(BV_Data_An_Cour!$P:$P,BV_Data_An_Cour!$U:$U,$B147,BV_Data_An_Cour!$V:$V,$C147,BV_Data_An_Cour!$W:$W,$L$2)</f>
        <v>60.23</v>
      </c>
      <c r="M147" s="253"/>
      <c r="N147" s="276">
        <f t="shared" si="44"/>
        <v>-154.47323487595338</v>
      </c>
      <c r="O147" s="253"/>
      <c r="P147" s="41"/>
      <c r="Q147" s="256" cm="1">
        <f t="array" ref="Q147">+SUMPRODUCT(('Réel 2024'!$A$8:$A$501=$A147)*('Réel 2024'!$C$3:$AO$3=Q$2),'Réel 2024'!$C$8:$AO$501)</f>
        <v>115.84</v>
      </c>
      <c r="R147" s="253"/>
      <c r="S147" s="276">
        <f t="shared" si="48"/>
        <v>-55.610000000000007</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tr">
        <f t="shared" si="28"/>
        <v>Véhicules usagésFormation</v>
      </c>
      <c r="B148" s="41" t="s">
        <v>152</v>
      </c>
      <c r="C148" s="253" t="s">
        <v>141</v>
      </c>
      <c r="D148" s="297"/>
      <c r="E148" s="41"/>
      <c r="F148" s="254" cm="1">
        <f t="array" ref="F148">+SUMPRODUCT(('Budget original'!$A$8:$A$501=$A148)*('Budget original'!$C$3:$AO$3=F$2),'Budget original'!$C$8:$AO$501)</f>
        <v>436.92874339396968</v>
      </c>
      <c r="G148" s="298"/>
      <c r="H148" s="41"/>
      <c r="I148" s="254"/>
      <c r="J148" s="253"/>
      <c r="K148" s="41"/>
      <c r="L148" s="256">
        <f>SUMIFS(BV_Data_An_Cour!$P:$P,BV_Data_An_Cour!$U:$U,$B148,BV_Data_An_Cour!$V:$V,$C148,BV_Data_An_Cour!$W:$W,$L$2)</f>
        <v>278.93</v>
      </c>
      <c r="M148" s="253"/>
      <c r="N148" s="276">
        <f t="shared" si="44"/>
        <v>-157.99874339396968</v>
      </c>
      <c r="O148" s="253"/>
      <c r="P148" s="41"/>
      <c r="Q148" s="256" cm="1">
        <f t="array" ref="Q148">+SUMPRODUCT(('Réel 2024'!$A$8:$A$501=$A148)*('Réel 2024'!$C$3:$AO$3=Q$2),'Réel 2024'!$C$8:$AO$501)</f>
        <v>130.56</v>
      </c>
      <c r="R148" s="253"/>
      <c r="S148" s="276">
        <f t="shared" si="48"/>
        <v>148.37</v>
      </c>
      <c r="T148" s="41"/>
      <c r="U148" s="41"/>
      <c r="V148" s="41"/>
      <c r="W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tr">
        <f t="shared" si="28"/>
        <v>Véhicules usagésFrais bancaires</v>
      </c>
      <c r="B149" s="41" t="s">
        <v>152</v>
      </c>
      <c r="C149" s="253" t="s">
        <v>142</v>
      </c>
      <c r="D149" s="297"/>
      <c r="E149" s="41"/>
      <c r="F149" s="254" cm="1">
        <f t="array" ref="F149">+SUMPRODUCT(('Budget original'!$A$8:$A$501=$A149)*('Budget original'!$C$3:$AO$3=F$2),'Budget original'!$C$8:$AO$501)</f>
        <v>1246.1694308465908</v>
      </c>
      <c r="G149" s="298"/>
      <c r="H149" s="41"/>
      <c r="I149" s="254"/>
      <c r="J149" s="253"/>
      <c r="K149" s="41"/>
      <c r="L149" s="952">
        <f>SUMIFS(BV_Data_An_Cour!$P:$P,BV_Data_An_Cour!$U:$U,$B149,BV_Data_An_Cour!$V:$V,$C149,BV_Data_An_Cour!$W:$W,L$2)</f>
        <v>1104.04</v>
      </c>
      <c r="M149" s="987"/>
      <c r="N149" s="961">
        <f t="shared" si="44"/>
        <v>-142.12943084659082</v>
      </c>
      <c r="O149" s="253"/>
      <c r="P149" s="41"/>
      <c r="Q149" s="256" cm="1">
        <f t="array" ref="Q149">+SUMPRODUCT(('Réel 2024'!$A$8:$A$501=$A149)*('Réel 2024'!$C$3:$AO$3=Q$2),'Réel 2024'!$C$8:$AO$501)</f>
        <v>1242.81</v>
      </c>
      <c r="R149" s="253"/>
      <c r="S149" s="276">
        <f t="shared" si="48"/>
        <v>-138.76999999999998</v>
      </c>
      <c r="T149" s="291"/>
      <c r="U149" s="41"/>
      <c r="V149" s="41"/>
      <c r="W149" s="4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tr">
        <f t="shared" si="28"/>
        <v>Véhicules usagés[...]</v>
      </c>
      <c r="B150" s="41" t="s">
        <v>152</v>
      </c>
      <c r="C150" s="253" t="s">
        <v>59</v>
      </c>
      <c r="D150" s="297"/>
      <c r="E150" s="41"/>
      <c r="F150" s="254" cm="1">
        <f t="array" ref="F150">+SUMPRODUCT(('Budget original'!$A$8:$A$501=$A150)*('Budget original'!$C$3:$AO$3=F$2),'Budget original'!$C$8:$AO$501)</f>
        <v>0</v>
      </c>
      <c r="G150" s="298"/>
      <c r="H150" s="41"/>
      <c r="I150" s="254"/>
      <c r="J150" s="253"/>
      <c r="K150" s="41"/>
      <c r="L150" s="256">
        <f>SUMIFS(BV_Data_An_Cour!$P:$P,BV_Data_An_Cour!$U:$U,$B150,BV_Data_An_Cour!$V:$V,$C150,BV_Data_An_Cour!$W:$W,$L$2)</f>
        <v>0</v>
      </c>
      <c r="M150" s="253"/>
      <c r="N150" s="276">
        <f t="shared" si="44"/>
        <v>0</v>
      </c>
      <c r="O150" s="253"/>
      <c r="P150" s="41"/>
      <c r="Q150" s="256" cm="1">
        <f t="array" ref="Q150">+SUMPRODUCT(('Réel 2024'!$A$8:$A$501=$A150)*('Réel 2024'!$C$3:$AO$3=Q$2),'Réel 2024'!$C$8:$AO$501)</f>
        <v>0</v>
      </c>
      <c r="R150" s="253"/>
      <c r="S150" s="276">
        <f t="shared" si="48"/>
        <v>0</v>
      </c>
      <c r="T150" s="41"/>
      <c r="U150" s="41"/>
      <c r="V150" s="41"/>
      <c r="W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tr">
        <f t="shared" si="28"/>
        <v>Véhicules usagés[...]</v>
      </c>
      <c r="B151" s="41" t="s">
        <v>152</v>
      </c>
      <c r="C151" s="253" t="s">
        <v>59</v>
      </c>
      <c r="D151" s="297"/>
      <c r="E151" s="41"/>
      <c r="F151" s="254" cm="1">
        <f t="array" ref="F151">+SUMPRODUCT(('Budget original'!$A$8:$A$501=$A151)*('Budget original'!$C$3:$AO$3=F$2),'Budget original'!$C$8:$AO$501)</f>
        <v>0</v>
      </c>
      <c r="G151" s="298"/>
      <c r="H151" s="41"/>
      <c r="I151" s="254"/>
      <c r="J151" s="253"/>
      <c r="K151" s="41"/>
      <c r="L151" s="256">
        <f>SUMIFS(BV_Data_An_Cour!$P:$P,BV_Data_An_Cour!$U:$U,$B151,BV_Data_An_Cour!$V:$V,$C151,BV_Data_An_Cour!$W:$W,$L$2)</f>
        <v>0</v>
      </c>
      <c r="M151" s="253"/>
      <c r="N151" s="276">
        <f t="shared" si="44"/>
        <v>0</v>
      </c>
      <c r="O151" s="253"/>
      <c r="P151" s="41"/>
      <c r="Q151" s="256" cm="1">
        <f t="array" ref="Q151">+SUMPRODUCT(('Réel 2024'!$A$8:$A$501=$A151)*('Réel 2024'!$C$3:$AO$3=Q$2),'Réel 2024'!$C$8:$AO$501)</f>
        <v>0</v>
      </c>
      <c r="R151" s="253"/>
      <c r="S151" s="276">
        <f t="shared" si="48"/>
        <v>0</v>
      </c>
      <c r="T151" s="41"/>
      <c r="U151" s="41"/>
      <c r="V151" s="41"/>
      <c r="W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tr">
        <f t="shared" si="28"/>
        <v>Véhicules usagés[...]</v>
      </c>
      <c r="B152" s="41" t="s">
        <v>152</v>
      </c>
      <c r="C152" s="253" t="s">
        <v>59</v>
      </c>
      <c r="D152" s="297"/>
      <c r="E152" s="41"/>
      <c r="F152" s="254" cm="1">
        <f t="array" ref="F152">+SUMPRODUCT(('Budget original'!$A$8:$A$501=$A152)*('Budget original'!$C$3:$AO$3=F$2),'Budget original'!$C$8:$AO$501)</f>
        <v>0</v>
      </c>
      <c r="G152" s="298"/>
      <c r="H152" s="41"/>
      <c r="I152" s="254"/>
      <c r="J152" s="253"/>
      <c r="K152" s="41"/>
      <c r="L152" s="256">
        <f>SUMIFS(BV_Data_An_Cour!$P:$P,BV_Data_An_Cour!$U:$U,$B152,BV_Data_An_Cour!$V:$V,$C152,BV_Data_An_Cour!$W:$W,$L$2)</f>
        <v>0</v>
      </c>
      <c r="M152" s="253"/>
      <c r="N152" s="276">
        <f t="shared" si="44"/>
        <v>0</v>
      </c>
      <c r="O152" s="253"/>
      <c r="P152" s="41"/>
      <c r="Q152" s="256" cm="1">
        <f t="array" ref="Q152">+SUMPRODUCT(('Réel 2024'!$A$8:$A$501=$A152)*('Réel 2024'!$C$3:$AO$3=Q$2),'Réel 2024'!$C$8:$AO$501)</f>
        <v>0</v>
      </c>
      <c r="R152" s="253"/>
      <c r="S152" s="276">
        <f t="shared" si="48"/>
        <v>0</v>
      </c>
      <c r="T152" s="291"/>
      <c r="U152" s="41"/>
      <c r="V152" s="41"/>
      <c r="W152" s="41"/>
      <c r="X152" s="41"/>
      <c r="Y152" s="41"/>
      <c r="Z152" s="41"/>
      <c r="AA152" s="41"/>
      <c r="AB152" s="41"/>
      <c r="AC152" s="41"/>
      <c r="AD152" s="41"/>
      <c r="AE152" s="41"/>
      <c r="AF152" s="41"/>
      <c r="AG152" s="41"/>
      <c r="AH152" s="41"/>
      <c r="AI152" s="41"/>
      <c r="AJ152" s="41"/>
      <c r="AK152" s="41"/>
      <c r="AL152" s="41"/>
      <c r="AM152" s="41"/>
      <c r="AN152" s="41"/>
    </row>
    <row r="153" spans="1:40" ht="15.75" customHeight="1">
      <c r="A153" s="5" t="str">
        <f t="shared" si="28"/>
        <v>Véhicules usagésTOTAL SEMI-FIXES</v>
      </c>
      <c r="B153" s="41" t="s">
        <v>152</v>
      </c>
      <c r="C153" s="304" t="s">
        <v>143</v>
      </c>
      <c r="D153" s="305" t="s">
        <v>119</v>
      </c>
      <c r="E153" s="306">
        <f>F153/F$108</f>
        <v>9.7386226915059299E-2</v>
      </c>
      <c r="F153" s="307">
        <f>+SUM(F136:F152)</f>
        <v>16984.157973986341</v>
      </c>
      <c r="G153" s="308"/>
      <c r="H153" s="306"/>
      <c r="I153" s="307"/>
      <c r="J153" s="308" t="s">
        <v>119</v>
      </c>
      <c r="K153" s="306">
        <f>L153/L$108</f>
        <v>0.17775123544901666</v>
      </c>
      <c r="L153" s="307">
        <f>+SUM(L136:L152)</f>
        <v>24793.4</v>
      </c>
      <c r="M153" s="311"/>
      <c r="N153" s="307">
        <f t="shared" si="44"/>
        <v>7809.2420260136605</v>
      </c>
      <c r="O153" s="308" t="s">
        <v>119</v>
      </c>
      <c r="P153" s="306">
        <f>Q153/Q$108</f>
        <v>0.43378067976371953</v>
      </c>
      <c r="Q153" s="307">
        <f>+SUM(Q136:Q152)</f>
        <v>13429.03</v>
      </c>
      <c r="R153" s="311"/>
      <c r="S153" s="307">
        <f t="shared" si="48"/>
        <v>11364.37</v>
      </c>
      <c r="T153" s="319"/>
      <c r="U153" s="41"/>
      <c r="V153" s="41"/>
      <c r="W153" s="41"/>
      <c r="X153" s="41"/>
      <c r="Y153" s="41"/>
      <c r="Z153" s="41"/>
      <c r="AA153" s="41"/>
      <c r="AB153" s="41"/>
      <c r="AC153" s="41"/>
      <c r="AD153" s="41"/>
      <c r="AE153" s="41"/>
      <c r="AF153" s="41"/>
      <c r="AG153" s="41"/>
      <c r="AH153" s="41"/>
      <c r="AI153" s="41"/>
      <c r="AJ153" s="41"/>
      <c r="AK153" s="41"/>
      <c r="AL153" s="41"/>
      <c r="AM153" s="41"/>
      <c r="AN153" s="41"/>
    </row>
    <row r="154" spans="1:40" ht="15.75" customHeight="1">
      <c r="A154" s="5" t="str">
        <f t="shared" si="28"/>
        <v>Véhicules usagés</v>
      </c>
      <c r="B154" s="41" t="s">
        <v>152</v>
      </c>
      <c r="C154" s="246"/>
      <c r="D154" s="299"/>
      <c r="E154" s="318"/>
      <c r="F154" s="276"/>
      <c r="G154" s="300"/>
      <c r="H154" s="318"/>
      <c r="I154" s="276"/>
      <c r="J154" s="246"/>
      <c r="K154" s="318"/>
      <c r="L154" s="296"/>
      <c r="M154" s="246"/>
      <c r="N154" s="296"/>
      <c r="O154" s="246"/>
      <c r="P154" s="318"/>
      <c r="Q154" s="296"/>
      <c r="R154" s="246"/>
      <c r="S154" s="296"/>
      <c r="T154" s="319"/>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tr">
        <f t="shared" si="28"/>
        <v>Véhicules usagésTOTAL DES DÉPENSES</v>
      </c>
      <c r="B155" s="41" t="s">
        <v>152</v>
      </c>
      <c r="C155" s="304" t="s">
        <v>144</v>
      </c>
      <c r="D155" s="305" t="s">
        <v>119</v>
      </c>
      <c r="E155" s="306">
        <f>F155/F$108</f>
        <v>1.2061222851786997</v>
      </c>
      <c r="F155" s="307">
        <f>F122+F135+F153</f>
        <v>210347.72653516522</v>
      </c>
      <c r="G155" s="308"/>
      <c r="H155" s="306"/>
      <c r="I155" s="307"/>
      <c r="J155" s="308" t="s">
        <v>119</v>
      </c>
      <c r="K155" s="306">
        <f>L155/L$108</f>
        <v>1.2912071446341042</v>
      </c>
      <c r="L155" s="307">
        <f>L122+L135+L153</f>
        <v>180102.34999999998</v>
      </c>
      <c r="M155" s="311"/>
      <c r="N155" s="320">
        <f t="shared" ref="N155:N162" si="49">L155-F155</f>
        <v>-30245.37653516524</v>
      </c>
      <c r="O155" s="308" t="s">
        <v>119</v>
      </c>
      <c r="P155" s="306">
        <f>Q155/Q$108</f>
        <v>5.0750168534190241</v>
      </c>
      <c r="Q155" s="307">
        <f>Q122+Q135+Q153</f>
        <v>157112.93</v>
      </c>
      <c r="R155" s="311"/>
      <c r="S155" s="320">
        <f t="shared" ref="S155:S162" si="50">L155-Q155</f>
        <v>22989.419999999984</v>
      </c>
      <c r="T155" s="319"/>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tr">
        <f t="shared" si="28"/>
        <v>Véhicules usagésProgramme used 1</v>
      </c>
      <c r="B156" s="605" t="s">
        <v>152</v>
      </c>
      <c r="C156" s="253" t="s">
        <v>158</v>
      </c>
      <c r="D156" s="356"/>
      <c r="E156" s="357"/>
      <c r="F156" s="254" cm="1">
        <f t="array" ref="F156">+SUMPRODUCT(('Budget original'!$A$8:$A$501=$A156)*('Budget original'!$C$3:$AO$3=F$2),'Budget original'!$C$8:$AO$501)</f>
        <v>0</v>
      </c>
      <c r="G156" s="358"/>
      <c r="H156" s="357"/>
      <c r="I156" s="254"/>
      <c r="J156" s="358"/>
      <c r="K156" s="357"/>
      <c r="L156" s="256">
        <v>0</v>
      </c>
      <c r="M156" s="253"/>
      <c r="N156" s="276">
        <f t="shared" si="49"/>
        <v>0</v>
      </c>
      <c r="O156" s="358"/>
      <c r="P156" s="357"/>
      <c r="Q156" s="256" cm="1">
        <f t="array" ref="Q156">+SUMPRODUCT(('Réel 2024'!$A$8:$A$501=$A156)*('Réel 2024'!$C$3:$AO$3=Q$2),'Réel 2024'!$C$8:$AO$501)</f>
        <v>0</v>
      </c>
      <c r="R156" s="253"/>
      <c r="S156" s="276">
        <f t="shared" si="50"/>
        <v>0</v>
      </c>
      <c r="T156" s="319"/>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tr">
        <f t="shared" si="28"/>
        <v>Véhicules usagésProgramme used 2</v>
      </c>
      <c r="B157" s="41" t="s">
        <v>152</v>
      </c>
      <c r="C157" s="253" t="s">
        <v>159</v>
      </c>
      <c r="D157" s="356"/>
      <c r="E157" s="357"/>
      <c r="F157" s="254" cm="1">
        <f t="array" ref="F157">+SUMPRODUCT(('Budget original'!$A$8:$A$501=$A157)*('Budget original'!$C$3:$AO$3=F$2),'Budget original'!$C$8:$AO$501)</f>
        <v>0</v>
      </c>
      <c r="G157" s="358"/>
      <c r="H157" s="357"/>
      <c r="I157" s="254"/>
      <c r="J157" s="358"/>
      <c r="K157" s="357"/>
      <c r="L157" s="256">
        <f>-SUMIFS(BV_Data_An_Cour!$P:$P,BV_Data_An_Cour!$U:$U,$B157,BV_Data_An_Cour!$V:$V,$C157,BV_Data_An_Cour!$W:$W,$L$2)</f>
        <v>0</v>
      </c>
      <c r="M157" s="253"/>
      <c r="N157" s="276">
        <f t="shared" si="49"/>
        <v>0</v>
      </c>
      <c r="O157" s="358"/>
      <c r="P157" s="357"/>
      <c r="Q157" s="256" cm="1">
        <f t="array" ref="Q157">+SUMPRODUCT(('Réel 2024'!$A$8:$A$501=$A157)*('Réel 2024'!$C$3:$AO$3=Q$2),'Réel 2024'!$C$8:$AO$501)</f>
        <v>0</v>
      </c>
      <c r="R157" s="253"/>
      <c r="S157" s="276">
        <f t="shared" si="50"/>
        <v>0</v>
      </c>
      <c r="T157" s="319"/>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tr">
        <f t="shared" si="28"/>
        <v>Véhicules usagésProgramme used 3</v>
      </c>
      <c r="B158" s="41" t="s">
        <v>152</v>
      </c>
      <c r="C158" s="253" t="s">
        <v>160</v>
      </c>
      <c r="D158" s="297"/>
      <c r="E158" s="41"/>
      <c r="F158" s="254" cm="1">
        <f t="array" ref="F158">+SUMPRODUCT(('Budget original'!$A$8:$A$501=$A158)*('Budget original'!$C$3:$AO$3=F$2),'Budget original'!$C$8:$AO$501)</f>
        <v>0</v>
      </c>
      <c r="G158" s="298"/>
      <c r="H158" s="41"/>
      <c r="I158" s="254"/>
      <c r="J158" s="253"/>
      <c r="K158" s="41"/>
      <c r="L158" s="256">
        <f>-SUMIFS(BV_Data_An_Cour!$P:$P,BV_Data_An_Cour!$U:$U,$B158,BV_Data_An_Cour!$V:$V,$C158,BV_Data_An_Cour!$W:$W,$L$2)</f>
        <v>0</v>
      </c>
      <c r="M158" s="253"/>
      <c r="N158" s="276">
        <f t="shared" si="49"/>
        <v>0</v>
      </c>
      <c r="O158" s="253"/>
      <c r="P158" s="41"/>
      <c r="Q158" s="256" cm="1">
        <f t="array" ref="Q158">+SUMPRODUCT(('Réel 2024'!$A$8:$A$501=$A158)*('Réel 2024'!$C$3:$AO$3=Q$2),'Réel 2024'!$C$8:$AO$501)</f>
        <v>0</v>
      </c>
      <c r="R158" s="253"/>
      <c r="S158" s="276">
        <f t="shared" si="50"/>
        <v>0</v>
      </c>
      <c r="T158" s="319"/>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153" t="str">
        <f t="shared" si="28"/>
        <v>Véhicules usagésFrais administration</v>
      </c>
      <c r="B159" s="321" t="s">
        <v>152</v>
      </c>
      <c r="C159" s="253" t="s">
        <v>149</v>
      </c>
      <c r="D159" s="297"/>
      <c r="E159" s="41"/>
      <c r="F159" s="254" cm="1">
        <f t="array" ref="F159">+SUMPRODUCT(('Budget original'!$A$8:$A$501=$A159)*('Budget original'!$C$3:$AO$3=F$2),'Budget original'!$C$8:$AO$501)</f>
        <v>17436.3</v>
      </c>
      <c r="G159" s="298"/>
      <c r="H159" s="41"/>
      <c r="I159" s="254"/>
      <c r="J159" s="253"/>
      <c r="K159" s="41"/>
      <c r="L159" s="256">
        <f>-SUMIFS(BV_Data_An_Cour!$P:$P,BV_Data_An_Cour!$U:$U,$B159,BV_Data_An_Cour!$V:$V,$C159,BV_Data_An_Cour!$W:$W,L$2)</f>
        <v>19395</v>
      </c>
      <c r="M159" s="253"/>
      <c r="N159" s="276">
        <f t="shared" si="49"/>
        <v>1958.7000000000007</v>
      </c>
      <c r="O159" s="253"/>
      <c r="P159" s="41"/>
      <c r="Q159" s="256" cm="1">
        <f t="array" ref="Q159">+SUMPRODUCT(('Réel 2024'!$A$8:$A$501=$A159)*('Réel 2024'!$C$3:$AO$3=Q$2),'Réel 2024'!$C$8:$AO$501)</f>
        <v>11691</v>
      </c>
      <c r="R159" s="253"/>
      <c r="S159" s="276">
        <f t="shared" si="50"/>
        <v>7704</v>
      </c>
      <c r="T159" s="319"/>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tr">
        <f t="shared" si="28"/>
        <v>Véhicules usagés[...]</v>
      </c>
      <c r="B160" s="41" t="s">
        <v>152</v>
      </c>
      <c r="C160" s="253" t="s">
        <v>59</v>
      </c>
      <c r="D160" s="297"/>
      <c r="E160" s="41"/>
      <c r="F160" s="254" cm="1">
        <f t="array" ref="F160">+SUMPRODUCT(('Budget original'!$A$8:$A$501=$A160)*('Budget original'!$C$3:$AO$3=F$2),'Budget original'!$C$8:$AO$501)</f>
        <v>0</v>
      </c>
      <c r="G160" s="298"/>
      <c r="H160" s="41"/>
      <c r="I160" s="254"/>
      <c r="J160" s="253"/>
      <c r="K160" s="41"/>
      <c r="L160" s="256">
        <f>-SUMIFS(BV_Data_An_Cour!$P:$P,BV_Data_An_Cour!$U:$U,$B160,BV_Data_An_Cour!$V:$V,$C160,BV_Data_An_Cour!$W:$W,$L$2)</f>
        <v>0</v>
      </c>
      <c r="M160" s="253"/>
      <c r="N160" s="276">
        <f t="shared" si="49"/>
        <v>0</v>
      </c>
      <c r="O160" s="253"/>
      <c r="P160" s="41"/>
      <c r="Q160" s="256" cm="1">
        <f t="array" ref="Q160">+SUMPRODUCT(('Réel 2024'!$A$8:$A$501=$A160)*('Réel 2024'!$C$3:$AO$3=Q$2),'Réel 2024'!$C$8:$AO$501)</f>
        <v>0</v>
      </c>
      <c r="R160" s="253"/>
      <c r="S160" s="276">
        <f t="shared" si="50"/>
        <v>0</v>
      </c>
      <c r="T160" s="319"/>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tr">
        <f t="shared" si="28"/>
        <v>Véhicules usagés[...]</v>
      </c>
      <c r="B161" s="41" t="s">
        <v>152</v>
      </c>
      <c r="C161" s="253" t="s">
        <v>59</v>
      </c>
      <c r="D161" s="297"/>
      <c r="E161" s="41"/>
      <c r="F161" s="254" cm="1">
        <f t="array" ref="F161">+SUMPRODUCT(('Budget original'!$A$8:$A$501=$A161)*('Budget original'!$C$3:$AO$3=F$2),'Budget original'!$C$8:$AO$501)</f>
        <v>0</v>
      </c>
      <c r="G161" s="298"/>
      <c r="H161" s="41"/>
      <c r="I161" s="254"/>
      <c r="J161" s="253"/>
      <c r="K161" s="41"/>
      <c r="L161" s="256">
        <f>-SUMIFS(BV_Data_An_Cour!$P:$P,BV_Data_An_Cour!$U:$U,$B161,BV_Data_An_Cour!$V:$V,$C161,BV_Data_An_Cour!$W:$W,$L$2)</f>
        <v>0</v>
      </c>
      <c r="M161" s="253"/>
      <c r="N161" s="276">
        <f t="shared" si="49"/>
        <v>0</v>
      </c>
      <c r="O161" s="253"/>
      <c r="P161" s="41"/>
      <c r="Q161" s="256" cm="1">
        <f t="array" ref="Q161">+SUMPRODUCT(('Réel 2024'!$A$8:$A$501=$A161)*('Réel 2024'!$C$3:$AO$3=Q$2),'Réel 2024'!$C$8:$AO$501)</f>
        <v>0</v>
      </c>
      <c r="R161" s="253"/>
      <c r="S161" s="276">
        <f t="shared" si="50"/>
        <v>0</v>
      </c>
      <c r="T161" s="319"/>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tr">
        <f t="shared" si="28"/>
        <v>Véhicules usagés[...]</v>
      </c>
      <c r="B162" s="41" t="s">
        <v>152</v>
      </c>
      <c r="C162" s="246" t="s">
        <v>59</v>
      </c>
      <c r="D162" s="299"/>
      <c r="E162" s="318"/>
      <c r="F162" s="254" cm="1">
        <f t="array" ref="F162">+SUMPRODUCT(('Budget original'!$A$8:$A$501=$A162)*('Budget original'!$C$3:$AO$3=F$2),'Budget original'!$C$8:$AO$501)</f>
        <v>0</v>
      </c>
      <c r="G162" s="298"/>
      <c r="H162" s="41"/>
      <c r="I162" s="254"/>
      <c r="J162" s="253"/>
      <c r="K162" s="41"/>
      <c r="L162" s="256">
        <f>-SUMIFS(BV_Data_An_Cour!$P:$P,BV_Data_An_Cour!$U:$U,$B162,BV_Data_An_Cour!$V:$V,$C162,BV_Data_An_Cour!$W:$W,$L$2)</f>
        <v>0</v>
      </c>
      <c r="M162" s="253"/>
      <c r="N162" s="276">
        <f t="shared" si="49"/>
        <v>0</v>
      </c>
      <c r="O162" s="253"/>
      <c r="P162" s="41"/>
      <c r="Q162" s="256" cm="1">
        <f t="array" ref="Q162">+SUMPRODUCT(('Réel 2024'!$A$8:$A$501=$A162)*('Réel 2024'!$C$3:$AO$3=Q$2),'Réel 2024'!$C$8:$AO$501)</f>
        <v>0</v>
      </c>
      <c r="R162" s="253"/>
      <c r="S162" s="276">
        <f t="shared" si="50"/>
        <v>0</v>
      </c>
      <c r="T162" s="319"/>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304" t="s">
        <v>150</v>
      </c>
      <c r="D163" s="305"/>
      <c r="E163" s="306"/>
      <c r="F163" s="307">
        <f>+SUM(F156:F162)</f>
        <v>17436.3</v>
      </c>
      <c r="G163" s="308"/>
      <c r="H163" s="306"/>
      <c r="I163" s="307"/>
      <c r="J163" s="308"/>
      <c r="K163" s="306"/>
      <c r="L163" s="307">
        <f>+SUM(L156:L162)</f>
        <v>19395</v>
      </c>
      <c r="M163" s="311"/>
      <c r="N163" s="307">
        <f>SUM(N156:N159)</f>
        <v>1958.7000000000007</v>
      </c>
      <c r="O163" s="308"/>
      <c r="P163" s="306"/>
      <c r="Q163" s="307">
        <f>+SUM(Q156:Q162)</f>
        <v>11691</v>
      </c>
      <c r="R163" s="311"/>
      <c r="S163" s="307">
        <f>+SUM(S156:S162)</f>
        <v>7704</v>
      </c>
      <c r="T163" s="319"/>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253"/>
      <c r="D164" s="297"/>
      <c r="E164" s="41"/>
      <c r="F164" s="276"/>
      <c r="G164" s="298"/>
      <c r="H164" s="41"/>
      <c r="I164" s="276"/>
      <c r="J164" s="253"/>
      <c r="K164" s="41"/>
      <c r="L164" s="276"/>
      <c r="M164" s="253"/>
      <c r="N164" s="276"/>
      <c r="O164" s="253"/>
      <c r="P164" s="41"/>
      <c r="Q164" s="276"/>
      <c r="R164" s="253"/>
      <c r="S164" s="276"/>
      <c r="T164" s="35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32" t="s">
        <v>151</v>
      </c>
      <c r="D165" s="360"/>
      <c r="E165" s="333"/>
      <c r="F165" s="335">
        <f>F108-F155+F163</f>
        <v>-18511.426535165218</v>
      </c>
      <c r="G165" s="361"/>
      <c r="H165" s="333"/>
      <c r="I165" s="335"/>
      <c r="J165" s="332"/>
      <c r="K165" s="334"/>
      <c r="L165" s="335">
        <f>L108-L155+L163</f>
        <v>-21223.649999999994</v>
      </c>
      <c r="M165" s="332"/>
      <c r="N165" s="335">
        <f>L165-F165</f>
        <v>-2712.2234648347767</v>
      </c>
      <c r="O165" s="332"/>
      <c r="P165" s="334"/>
      <c r="Q165" s="335">
        <f>Q108-Q155+Q163</f>
        <v>-114463.82</v>
      </c>
      <c r="R165" s="332"/>
      <c r="S165" s="335">
        <f>L165-Q165</f>
        <v>93240.170000000013</v>
      </c>
      <c r="T165" s="291"/>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8"/>
      <c r="D166" s="38"/>
      <c r="E166" s="38"/>
      <c r="F166" s="38"/>
      <c r="G166" s="38"/>
      <c r="H166" s="38"/>
      <c r="I166" s="38"/>
      <c r="J166" s="38"/>
      <c r="K166" s="38"/>
      <c r="L166" s="94"/>
      <c r="M166" s="38"/>
      <c r="N166" s="38"/>
      <c r="O166" s="38"/>
      <c r="P166" s="38"/>
      <c r="Q166" s="38"/>
      <c r="R166" s="38"/>
      <c r="S166" s="38"/>
      <c r="T166" s="94"/>
      <c r="U166" s="38"/>
      <c r="V166" s="41"/>
      <c r="W166" s="41"/>
      <c r="X166" s="41"/>
      <c r="Y166" s="41"/>
      <c r="Z166" s="41"/>
      <c r="AA166" s="41"/>
      <c r="AB166" s="41"/>
      <c r="AC166" s="41"/>
      <c r="AD166" s="41"/>
      <c r="AE166" s="41"/>
      <c r="AF166" s="41"/>
      <c r="AG166" s="41"/>
      <c r="AH166" s="41"/>
      <c r="AI166" s="41"/>
      <c r="AJ166" s="41"/>
      <c r="AK166" s="41"/>
      <c r="AL166" s="41"/>
      <c r="AM166" s="41"/>
      <c r="AN166" s="41"/>
    </row>
    <row r="167" spans="1:40" ht="15.75" customHeight="1">
      <c r="B167" s="41"/>
      <c r="C167" s="38"/>
      <c r="D167" s="38"/>
      <c r="E167" s="38"/>
      <c r="F167" s="38"/>
      <c r="G167" s="38"/>
      <c r="H167" s="38"/>
      <c r="I167" s="38"/>
      <c r="J167" s="38"/>
      <c r="K167" s="38"/>
      <c r="L167" s="38"/>
      <c r="M167" s="38"/>
      <c r="N167" s="38"/>
      <c r="O167" s="38"/>
      <c r="P167" s="38"/>
      <c r="Q167" s="38"/>
      <c r="R167" s="38"/>
      <c r="S167" s="38"/>
      <c r="T167" s="94"/>
      <c r="U167" s="38"/>
      <c r="V167" s="38"/>
      <c r="W167" s="38"/>
      <c r="X167" s="38"/>
      <c r="Y167" s="38"/>
      <c r="Z167" s="38"/>
      <c r="AA167" s="38"/>
      <c r="AB167" s="38"/>
      <c r="AC167" s="38"/>
      <c r="AD167" s="38"/>
      <c r="AE167" s="38"/>
      <c r="AF167" s="38"/>
      <c r="AG167" s="38"/>
      <c r="AH167" s="38"/>
      <c r="AI167" s="38"/>
      <c r="AJ167" s="38"/>
      <c r="AK167" s="38"/>
      <c r="AL167" s="38"/>
      <c r="AM167" s="38"/>
      <c r="AN167" s="38"/>
    </row>
    <row r="168" spans="1:40" ht="33.75" customHeight="1">
      <c r="B168" s="41"/>
      <c r="C168" s="36" t="str">
        <f>C1</f>
        <v>Volks</v>
      </c>
      <c r="D168" s="232"/>
      <c r="E168" s="232"/>
      <c r="F168" s="232"/>
      <c r="G168" s="232"/>
      <c r="H168" s="36"/>
      <c r="I168" s="36"/>
      <c r="J168" s="36"/>
      <c r="K168" s="9" t="s">
        <v>161</v>
      </c>
      <c r="L168" s="232"/>
      <c r="M168" s="232"/>
      <c r="N168" s="36"/>
      <c r="O168" s="36"/>
      <c r="P168" s="232"/>
      <c r="Q168" s="36"/>
      <c r="R168" s="232"/>
      <c r="S168" s="10" t="str">
        <f>$S$1</f>
        <v>Réalisé AAJ, Février 2025</v>
      </c>
      <c r="T168" s="232"/>
      <c r="U168" s="36"/>
      <c r="V168" s="38"/>
      <c r="W168" s="38"/>
      <c r="X168" s="38"/>
      <c r="Y168" s="38"/>
      <c r="Z168" s="38"/>
      <c r="AA168" s="38"/>
      <c r="AB168" s="38"/>
      <c r="AC168" s="38"/>
      <c r="AD168" s="38"/>
      <c r="AE168" s="38"/>
      <c r="AF168" s="38"/>
      <c r="AG168" s="38"/>
      <c r="AH168" s="38"/>
      <c r="AI168" s="38"/>
      <c r="AJ168" s="38"/>
      <c r="AK168" s="38"/>
      <c r="AL168" s="38"/>
      <c r="AM168" s="38"/>
      <c r="AN168" s="38"/>
    </row>
    <row r="169" spans="1:40" ht="15.75" customHeight="1">
      <c r="B169" s="41"/>
      <c r="C169" s="37"/>
      <c r="D169" s="38"/>
      <c r="E169" s="38"/>
      <c r="F169" s="38"/>
      <c r="G169" s="38"/>
      <c r="H169" s="38"/>
      <c r="I169" s="38"/>
      <c r="J169" s="38"/>
      <c r="K169" s="38"/>
      <c r="L169" s="38"/>
      <c r="M169" s="38"/>
      <c r="N169" s="38"/>
      <c r="O169" s="38"/>
      <c r="P169" s="38"/>
      <c r="Q169" s="38"/>
      <c r="R169" s="38"/>
      <c r="S169" s="38"/>
      <c r="T169" s="38"/>
      <c r="U169" s="38"/>
      <c r="V169" s="36"/>
      <c r="W169" s="36"/>
      <c r="X169" s="36"/>
      <c r="Y169" s="36"/>
      <c r="Z169" s="36"/>
      <c r="AA169" s="36"/>
      <c r="AB169" s="36"/>
      <c r="AC169" s="36"/>
      <c r="AD169" s="36"/>
      <c r="AE169" s="36"/>
      <c r="AF169" s="36"/>
      <c r="AG169" s="36"/>
      <c r="AH169" s="36"/>
      <c r="AI169" s="36"/>
      <c r="AJ169" s="36"/>
      <c r="AK169" s="36"/>
      <c r="AL169" s="36"/>
      <c r="AM169" s="36"/>
      <c r="AN169" s="36"/>
    </row>
    <row r="170" spans="1:40" ht="15.75" customHeight="1">
      <c r="B170" s="41"/>
      <c r="C170" s="238"/>
      <c r="D170" s="1239" t="s">
        <v>343</v>
      </c>
      <c r="E170" s="1240"/>
      <c r="F170" s="1241"/>
      <c r="G170" s="1242"/>
      <c r="H170" s="1240"/>
      <c r="I170" s="1241"/>
      <c r="J170" s="1242" t="s">
        <v>344</v>
      </c>
      <c r="K170" s="1240"/>
      <c r="L170" s="1241"/>
      <c r="M170" s="1242" t="s">
        <v>3310</v>
      </c>
      <c r="N170" s="1241"/>
      <c r="O170" s="1239" t="s">
        <v>345</v>
      </c>
      <c r="P170" s="1240"/>
      <c r="Q170" s="1241"/>
      <c r="R170" s="1243" t="s">
        <v>3312</v>
      </c>
      <c r="S170" s="1244"/>
      <c r="T170" s="356"/>
      <c r="U170" s="41"/>
      <c r="V170" s="38"/>
      <c r="W170" s="38"/>
      <c r="X170" s="38"/>
      <c r="Y170" s="38"/>
      <c r="Z170" s="38"/>
      <c r="AA170" s="38"/>
      <c r="AB170" s="38"/>
      <c r="AC170" s="38"/>
      <c r="AD170" s="38"/>
      <c r="AE170" s="38"/>
      <c r="AF170" s="38"/>
      <c r="AG170" s="38"/>
      <c r="AH170" s="38"/>
      <c r="AI170" s="38"/>
      <c r="AJ170" s="38"/>
      <c r="AK170" s="38"/>
      <c r="AL170" s="38"/>
      <c r="AM170" s="38"/>
      <c r="AN170" s="38"/>
    </row>
    <row r="171" spans="1:40" ht="15.75" customHeight="1">
      <c r="A171" s="5" t="str">
        <f t="shared" ref="A171:A228" si="51">+B171&amp;C171</f>
        <v>Service</v>
      </c>
      <c r="B171" s="41" t="s">
        <v>161</v>
      </c>
      <c r="C171" s="253"/>
      <c r="D171" s="39" t="s">
        <v>162</v>
      </c>
      <c r="E171" s="39" t="s">
        <v>163</v>
      </c>
      <c r="F171" s="340" t="s">
        <v>95</v>
      </c>
      <c r="G171" s="341"/>
      <c r="H171" s="39"/>
      <c r="I171" s="340"/>
      <c r="J171" s="341" t="s">
        <v>162</v>
      </c>
      <c r="K171" s="39" t="s">
        <v>163</v>
      </c>
      <c r="L171" s="340" t="s">
        <v>95</v>
      </c>
      <c r="M171" s="341" t="s">
        <v>530</v>
      </c>
      <c r="N171" s="340" t="s">
        <v>3311</v>
      </c>
      <c r="O171" s="39" t="s">
        <v>162</v>
      </c>
      <c r="P171" s="39" t="s">
        <v>163</v>
      </c>
      <c r="Q171" s="340" t="s">
        <v>95</v>
      </c>
      <c r="R171" s="341" t="s">
        <v>458</v>
      </c>
      <c r="S171" s="340" t="s">
        <v>95</v>
      </c>
      <c r="T171" s="39"/>
      <c r="U171" s="41"/>
      <c r="V171" s="41"/>
      <c r="W171" s="41"/>
      <c r="X171" s="41"/>
      <c r="Y171" s="41"/>
      <c r="Z171" s="41"/>
      <c r="AA171" s="41"/>
      <c r="AB171" s="41"/>
      <c r="AC171" s="41"/>
      <c r="AD171" s="41"/>
      <c r="AE171" s="41"/>
      <c r="AF171" s="41"/>
      <c r="AG171" s="41"/>
      <c r="AH171" s="41"/>
      <c r="AI171" s="41"/>
      <c r="AJ171" s="41"/>
      <c r="AK171" s="41"/>
      <c r="AL171" s="41"/>
      <c r="AM171" s="41"/>
      <c r="AN171" s="41"/>
    </row>
    <row r="172" spans="1:40" ht="15.75" customHeight="1">
      <c r="A172" s="5" t="str">
        <f t="shared" si="51"/>
        <v>ServiceM/O Client</v>
      </c>
      <c r="B172" s="41" t="s">
        <v>161</v>
      </c>
      <c r="C172" s="253" t="s">
        <v>164</v>
      </c>
      <c r="D172" s="359" cm="1">
        <f t="array" ref="D172">+SUMPRODUCT(('Budget original'!$A$8:$A$501=$A172)*('Budget original'!$C$3:$AO$3=D$2),'Budget original'!$C$8:$AO$501)</f>
        <v>623.58400000000006</v>
      </c>
      <c r="E172" s="291" cm="1">
        <f t="array" ref="E172">+SUMPRODUCT(('Budget original'!$A$8:$A$501=$A172)*('Budget original'!$C$3:$AO$3=E$2),'Budget original'!$C$8:$AO$501)</f>
        <v>212018.56</v>
      </c>
      <c r="F172" s="291" cm="1">
        <f t="array" ref="F172">+SUMPRODUCT(('Budget original'!$A$8:$A$501=$A172)*('Budget original'!$C$3:$AO$3=F$2),'Budget original'!$C$8:$AO$501)</f>
        <v>165374.4768</v>
      </c>
      <c r="G172" s="322"/>
      <c r="H172" s="291"/>
      <c r="I172" s="291"/>
      <c r="J172" s="277">
        <f>-SUMIFS(BV_Data_An_Cour!$P:$P,BV_Data_An_Cour!$U:$U,$B172,BV_Data_An_Cour!$V:$V,$C172,BV_Data_An_Cour!$W:$W,J$2)</f>
        <v>503</v>
      </c>
      <c r="K172" s="254">
        <f>-SUMIFS(BV_Data_An_Cour!$P:$P,BV_Data_An_Cour!$X:$X,"Oui",BV_Data_An_Cour!$U:$U,$B172,BV_Data_An_Cour!$V:$V,$C172)</f>
        <v>191437.76</v>
      </c>
      <c r="L172" s="256">
        <f>-SUMIFS(BV_Data_An_Cour!$P:$P,BV_Data_An_Cour!$U:$U,$B172,BV_Data_An_Cour!$V:$V,$C172,BV_Data_An_Cour!$W:$W,$L$2)</f>
        <v>152462.72</v>
      </c>
      <c r="M172" s="292">
        <f>(K172-E172)/E172</f>
        <v>-9.7070747013846284E-2</v>
      </c>
      <c r="N172" s="276">
        <f>L172-F172</f>
        <v>-12911.756800000003</v>
      </c>
      <c r="O172" s="277" cm="1">
        <f t="array" ref="O172">+SUMPRODUCT(('Réel 2024'!$A$8:$A$501=$A172)*('Réel 2024'!$C$3:$AO$3=O$2),'Réel 2024'!$C$8:$AO$501)</f>
        <v>540</v>
      </c>
      <c r="P172" s="254" cm="1">
        <f t="array" ref="P172">+SUMPRODUCT(('Réel 2024'!$A$8:$A$501=$A172)*('Réel 2024'!$C$3:$AO$3=P$2),'Réel 2024'!$C$8:$AO$501)</f>
        <v>176789.08999999991</v>
      </c>
      <c r="Q172" s="256" cm="1">
        <f t="array" ref="Q172">+SUMPRODUCT(('Réel 2024'!$A$8:$A$501=$A172)*('Réel 2024'!$C$3:$AO$3=Q$2),'Réel 2024'!$C$8:$AO$501)</f>
        <v>137508.11999999988</v>
      </c>
      <c r="R172" s="292">
        <f>IF(O172=0,0,J172/O172)</f>
        <v>0.93148148148148147</v>
      </c>
      <c r="S172" s="276">
        <f>L172-Q172</f>
        <v>14954.600000000122</v>
      </c>
      <c r="T172" s="291"/>
      <c r="U172" s="41"/>
      <c r="V172" s="41"/>
      <c r="W172" s="41"/>
      <c r="X172" s="41"/>
      <c r="Y172" s="41"/>
      <c r="Z172" s="41"/>
      <c r="AA172" s="41"/>
      <c r="AB172" s="41"/>
      <c r="AC172" s="41"/>
      <c r="AD172" s="41"/>
      <c r="AE172" s="41"/>
      <c r="AF172" s="41"/>
      <c r="AG172" s="41"/>
      <c r="AH172" s="41"/>
      <c r="AI172" s="41"/>
      <c r="AJ172" s="41"/>
      <c r="AK172" s="41"/>
      <c r="AL172" s="41"/>
      <c r="AM172" s="41"/>
      <c r="AN172" s="41"/>
    </row>
    <row r="173" spans="1:40" ht="15.75" customHeight="1">
      <c r="A173" s="5" t="str">
        <f t="shared" si="51"/>
        <v>Service% profit / ventes</v>
      </c>
      <c r="B173" s="41" t="s">
        <v>161</v>
      </c>
      <c r="C173" s="253" t="s">
        <v>165</v>
      </c>
      <c r="D173" s="359"/>
      <c r="E173" s="349"/>
      <c r="F173" s="362">
        <f>F172/E172</f>
        <v>0.78</v>
      </c>
      <c r="G173" s="253"/>
      <c r="H173" s="349"/>
      <c r="I173" s="362"/>
      <c r="J173" s="277"/>
      <c r="K173" s="41"/>
      <c r="L173" s="362">
        <f>IF(L172=0,0,L172/K172)</f>
        <v>0.79640881715289602</v>
      </c>
      <c r="M173" s="292"/>
      <c r="N173" s="276"/>
      <c r="O173" s="277"/>
      <c r="P173" s="41"/>
      <c r="Q173" s="362">
        <f>Q172/P172</f>
        <v>0.77780885687007018</v>
      </c>
      <c r="R173" s="277"/>
      <c r="S173" s="276"/>
      <c r="T173" s="291"/>
      <c r="U173" s="41"/>
      <c r="V173" s="41"/>
      <c r="W173" s="41"/>
      <c r="X173" s="41"/>
      <c r="Y173" s="41"/>
      <c r="Z173" s="41"/>
      <c r="AA173" s="41"/>
      <c r="AB173" s="41"/>
      <c r="AC173" s="41"/>
      <c r="AD173" s="41"/>
      <c r="AE173" s="41"/>
      <c r="AF173" s="41"/>
      <c r="AG173" s="41"/>
      <c r="AH173" s="41"/>
      <c r="AI173" s="41"/>
      <c r="AJ173" s="41"/>
      <c r="AK173" s="41"/>
      <c r="AL173" s="41"/>
      <c r="AM173" s="41"/>
      <c r="AN173" s="41"/>
    </row>
    <row r="174" spans="1:40" ht="15.75" customHeight="1">
      <c r="A174" s="5" t="str">
        <f t="shared" si="51"/>
        <v>Service</v>
      </c>
      <c r="B174" s="41" t="s">
        <v>161</v>
      </c>
      <c r="C174" s="246"/>
      <c r="D174" s="1013"/>
      <c r="E174" s="403">
        <f>IFERROR(E172/D172,0)</f>
        <v>339.99999999999994</v>
      </c>
      <c r="F174" s="364"/>
      <c r="G174" s="246"/>
      <c r="H174" s="403"/>
      <c r="I174" s="364"/>
      <c r="J174" s="365"/>
      <c r="K174" s="606">
        <f>IFERROR(K172/J172,0)</f>
        <v>380.59196819085491</v>
      </c>
      <c r="L174" s="364"/>
      <c r="M174" s="295"/>
      <c r="N174" s="296"/>
      <c r="O174" s="365"/>
      <c r="P174" s="606">
        <f>IFERROR(P172/O172,0)</f>
        <v>327.38720370370356</v>
      </c>
      <c r="Q174" s="364"/>
      <c r="R174" s="365"/>
      <c r="S174" s="296"/>
      <c r="T174" s="291"/>
      <c r="U174" s="41"/>
      <c r="V174" s="41"/>
      <c r="W174" s="41"/>
      <c r="X174" s="41"/>
      <c r="Y174" s="41"/>
      <c r="Z174" s="41"/>
      <c r="AA174" s="41"/>
      <c r="AB174" s="41"/>
      <c r="AC174" s="41"/>
      <c r="AD174" s="41"/>
      <c r="AE174" s="41"/>
      <c r="AF174" s="41"/>
      <c r="AG174" s="41"/>
      <c r="AH174" s="41"/>
      <c r="AI174" s="41"/>
      <c r="AJ174" s="41"/>
      <c r="AK174" s="41"/>
      <c r="AL174" s="41"/>
      <c r="AM174" s="41"/>
      <c r="AN174" s="41"/>
    </row>
    <row r="175" spans="1:40" ht="18" customHeight="1">
      <c r="A175" s="5" t="str">
        <f t="shared" si="51"/>
        <v>ServiceM/O Garantie</v>
      </c>
      <c r="B175" s="41" t="s">
        <v>161</v>
      </c>
      <c r="C175" s="241" t="s">
        <v>166</v>
      </c>
      <c r="D175" s="1014" cm="1">
        <f t="array" ref="D175">+SUMPRODUCT(('Budget original'!$A$8:$A$501=$A175)*('Budget original'!$C$3:$AO$3=D$2),'Budget original'!$C$8:$AO$501)</f>
        <v>189.06</v>
      </c>
      <c r="E175" s="291" cm="1">
        <f t="array" ref="E175">+SUMPRODUCT(('Budget original'!$A$8:$A$501=$A175)*('Budget original'!$C$3:$AO$3=E$2),'Budget original'!$C$8:$AO$501)</f>
        <v>51046.2</v>
      </c>
      <c r="F175" s="291" cm="1">
        <f t="array" ref="F175">+SUMPRODUCT(('Budget original'!$A$8:$A$501=$A175)*('Budget original'!$C$3:$AO$3=F$2),'Budget original'!$C$8:$AO$501)</f>
        <v>32669.567999999999</v>
      </c>
      <c r="G175" s="367"/>
      <c r="H175" s="291"/>
      <c r="I175" s="291"/>
      <c r="J175" s="367">
        <f>-SUMIFS(BV_Data_An_Cour!$P:$P,BV_Data_An_Cour!$U:$U,$B175,BV_Data_An_Cour!$V:$V,$C175,BV_Data_An_Cour!$W:$W,J$2)</f>
        <v>489</v>
      </c>
      <c r="K175" s="271">
        <f>-SUMIFS(BV_Data_An_Cour!$P:$P,BV_Data_An_Cour!$X:$X,"Oui",BV_Data_An_Cour!$U:$U,$B175,BV_Data_An_Cour!$V:$V,$C175)</f>
        <v>145670</v>
      </c>
      <c r="L175" s="256">
        <f>-SUMIFS(BV_Data_An_Cour!$P:$P,BV_Data_An_Cour!$U:$U,$B175,BV_Data_An_Cour!$V:$V,$C175,BV_Data_An_Cour!$W:$W,$L$2)</f>
        <v>99458.26999999999</v>
      </c>
      <c r="M175" s="292">
        <f>(K175-E175)/E175</f>
        <v>1.8536894029330295</v>
      </c>
      <c r="N175" s="317">
        <f>L175-F175</f>
        <v>66788.70199999999</v>
      </c>
      <c r="O175" s="367" cm="1">
        <f t="array" ref="O175">+SUMPRODUCT(('Réel 2024'!$A$8:$A$501=$A175)*('Réel 2024'!$C$3:$AO$3=O$2),'Réel 2024'!$C$8:$AO$501)</f>
        <v>204</v>
      </c>
      <c r="P175" s="271" cm="1">
        <f t="array" ref="P175">+SUMPRODUCT(('Réel 2024'!$A$8:$A$501=$A175)*('Réel 2024'!$C$3:$AO$3=P$2),'Réel 2024'!$C$8:$AO$501)</f>
        <v>42252.42</v>
      </c>
      <c r="Q175" s="256" cm="1">
        <f t="array" ref="Q175">+SUMPRODUCT(('Réel 2024'!$A$8:$A$501=$A175)*('Réel 2024'!$C$3:$AO$3=Q$2),'Réel 2024'!$C$8:$AO$501)</f>
        <v>25186.569999999898</v>
      </c>
      <c r="R175" s="292">
        <f>IF(O175=0,0,J175/O175)</f>
        <v>2.3970588235294117</v>
      </c>
      <c r="S175" s="276">
        <f>L175-Q175</f>
        <v>74271.700000000099</v>
      </c>
      <c r="T175" s="291"/>
      <c r="U175" s="41" t="s">
        <v>462</v>
      </c>
      <c r="V175" s="254">
        <f>+K175+J297</f>
        <v>320398.16000000003</v>
      </c>
      <c r="W175" s="41"/>
      <c r="X175" s="41"/>
      <c r="Y175" s="41"/>
      <c r="Z175" s="41"/>
      <c r="AA175" s="41"/>
      <c r="AB175" s="41"/>
      <c r="AC175" s="41"/>
      <c r="AD175" s="41"/>
      <c r="AE175" s="41"/>
      <c r="AF175" s="41"/>
      <c r="AG175" s="41"/>
      <c r="AH175" s="41"/>
      <c r="AI175" s="41"/>
      <c r="AJ175" s="41"/>
      <c r="AK175" s="41"/>
      <c r="AL175" s="41"/>
      <c r="AM175" s="41"/>
      <c r="AN175" s="41"/>
    </row>
    <row r="176" spans="1:40" ht="15.75" customHeight="1">
      <c r="A176" s="5" t="str">
        <f t="shared" si="51"/>
        <v>Service% profit / ventes</v>
      </c>
      <c r="B176" s="41" t="s">
        <v>161</v>
      </c>
      <c r="C176" s="253" t="s">
        <v>165</v>
      </c>
      <c r="D176" s="359"/>
      <c r="E176" s="41"/>
      <c r="F176" s="362">
        <f>F175/E175</f>
        <v>0.64</v>
      </c>
      <c r="G176" s="253"/>
      <c r="H176" s="41"/>
      <c r="I176" s="362"/>
      <c r="J176" s="253"/>
      <c r="K176" s="41"/>
      <c r="L176" s="362">
        <f>IF(L175=0,0,L175/K175)</f>
        <v>0.68276426168737547</v>
      </c>
      <c r="M176" s="264"/>
      <c r="N176" s="265"/>
      <c r="O176" s="253"/>
      <c r="P176" s="41"/>
      <c r="Q176" s="362">
        <f>Q175/P175</f>
        <v>0.59609769097249099</v>
      </c>
      <c r="R176" s="264"/>
      <c r="S176" s="265"/>
      <c r="T176" s="41"/>
      <c r="U176" s="41" t="s">
        <v>463</v>
      </c>
      <c r="V176" s="254">
        <f>+L175+L297</f>
        <v>139829.15</v>
      </c>
      <c r="W176" s="368">
        <f>+V176/V175</f>
        <v>0.43642307433975269</v>
      </c>
      <c r="X176" s="41"/>
      <c r="Y176" s="41"/>
      <c r="Z176" s="41"/>
      <c r="AA176" s="41"/>
      <c r="AB176" s="41"/>
      <c r="AC176" s="41"/>
      <c r="AD176" s="41"/>
      <c r="AE176" s="41"/>
      <c r="AF176" s="41"/>
      <c r="AG176" s="41"/>
      <c r="AH176" s="41"/>
      <c r="AI176" s="41"/>
      <c r="AJ176" s="41"/>
      <c r="AK176" s="41"/>
      <c r="AL176" s="41"/>
      <c r="AM176" s="41"/>
      <c r="AN176" s="41"/>
    </row>
    <row r="177" spans="1:40" ht="15.75" customHeight="1">
      <c r="A177" s="5" t="str">
        <f t="shared" si="51"/>
        <v>Service</v>
      </c>
      <c r="B177" s="41" t="s">
        <v>161</v>
      </c>
      <c r="C177" s="246"/>
      <c r="D177" s="1013"/>
      <c r="E177" s="318"/>
      <c r="F177" s="364"/>
      <c r="G177" s="246"/>
      <c r="H177" s="318"/>
      <c r="I177" s="364"/>
      <c r="J177" s="246"/>
      <c r="K177" s="607"/>
      <c r="L177" s="364"/>
      <c r="M177" s="369"/>
      <c r="N177" s="370"/>
      <c r="O177" s="246"/>
      <c r="P177" s="607"/>
      <c r="Q177" s="364"/>
      <c r="R177" s="369"/>
      <c r="S177" s="370"/>
      <c r="T177" s="41"/>
      <c r="U177" s="41"/>
      <c r="V177" s="41"/>
      <c r="W177" s="41"/>
      <c r="X177" s="41"/>
      <c r="Y177" s="41"/>
      <c r="Z177" s="41"/>
      <c r="AA177" s="41"/>
      <c r="AB177" s="41"/>
      <c r="AC177" s="41"/>
      <c r="AD177" s="41"/>
      <c r="AE177" s="41"/>
      <c r="AF177" s="41"/>
      <c r="AG177" s="41"/>
      <c r="AH177" s="41"/>
      <c r="AI177" s="41"/>
      <c r="AJ177" s="41"/>
      <c r="AK177" s="41"/>
      <c r="AL177" s="41"/>
      <c r="AM177" s="41"/>
      <c r="AN177" s="41"/>
    </row>
    <row r="178" spans="1:40" ht="15.75" customHeight="1">
      <c r="A178" s="5" t="str">
        <f t="shared" si="51"/>
        <v>ServiceM/O Interne</v>
      </c>
      <c r="B178" s="41" t="s">
        <v>161</v>
      </c>
      <c r="C178" s="253" t="s">
        <v>167</v>
      </c>
      <c r="D178" s="359" cm="1">
        <f t="array" ref="D178">+SUMPRODUCT(('Budget original'!$A$8:$A$501=$A178)*('Budget original'!$C$3:$AO$3=D$2),'Budget original'!$C$8:$AO$501)</f>
        <v>402.05900000000003</v>
      </c>
      <c r="E178" s="291" cm="1">
        <f t="array" ref="E178">+SUMPRODUCT(('Budget original'!$A$8:$A$501=$A178)*('Budget original'!$C$3:$AO$3=E$2),'Budget original'!$C$8:$AO$501)</f>
        <v>123440.15418</v>
      </c>
      <c r="F178" s="291" cm="1">
        <f t="array" ref="F178">+SUMPRODUCT(('Budget original'!$A$8:$A$501=$A178)*('Budget original'!$C$3:$AO$3=F$2),'Budget original'!$C$8:$AO$501)</f>
        <v>91345.714093199989</v>
      </c>
      <c r="G178" s="253"/>
      <c r="H178" s="291"/>
      <c r="I178" s="291"/>
      <c r="J178" s="277">
        <f>-SUMIFS(BV_Data_An_Cour!$P:$P,BV_Data_An_Cour!$U:$U,$B178,BV_Data_An_Cour!$V:$V,$C178,BV_Data_An_Cour!$W:$W,J$2)</f>
        <v>407</v>
      </c>
      <c r="K178" s="271">
        <f>-SUMIFS(BV_Data_An_Cour!$P:$P,BV_Data_An_Cour!$X:$X,"Oui",BV_Data_An_Cour!$U:$U,$B178,BV_Data_An_Cour!$V:$V,$C178)</f>
        <v>126918.53</v>
      </c>
      <c r="L178" s="256">
        <f>-SUMIFS(BV_Data_An_Cour!$P:$P,BV_Data_An_Cour!$U:$U,$B178,BV_Data_An_Cour!$V:$V,$C178,BV_Data_An_Cour!$W:$W,$L$2)</f>
        <v>95445.23</v>
      </c>
      <c r="M178" s="292">
        <f>(K178-E178)/E178</f>
        <v>2.8178641246087929E-2</v>
      </c>
      <c r="N178" s="276">
        <f>L178-F178</f>
        <v>4099.5159068000066</v>
      </c>
      <c r="O178" s="277" cm="1">
        <f t="array" ref="O178">+SUMPRODUCT(('Réel 2024'!$A$8:$A$501=$A178)*('Réel 2024'!$C$3:$AO$3=O$2),'Réel 2024'!$C$8:$AO$501)</f>
        <v>498</v>
      </c>
      <c r="P178" s="271" cm="1">
        <f t="array" ref="P178">+SUMPRODUCT(('Réel 2024'!$A$8:$A$501=$A178)*('Réel 2024'!$C$3:$AO$3=P$2),'Réel 2024'!$C$8:$AO$501)</f>
        <v>156554.67999999991</v>
      </c>
      <c r="Q178" s="256" cm="1">
        <f t="array" ref="Q178">+SUMPRODUCT(('Réel 2024'!$A$8:$A$501=$A178)*('Réel 2024'!$C$3:$AO$3=Q$2),'Réel 2024'!$C$8:$AO$501)</f>
        <v>114692.9199999999</v>
      </c>
      <c r="R178" s="292">
        <f>IF(O178=0,0,J178/O178)</f>
        <v>0.81726907630522083</v>
      </c>
      <c r="S178" s="276">
        <f>L178-Q178</f>
        <v>-19247.6899999999</v>
      </c>
      <c r="T178" s="291"/>
      <c r="U178" s="41"/>
      <c r="V178" s="41"/>
      <c r="W178" s="41"/>
      <c r="X178" s="41"/>
      <c r="Y178" s="41"/>
      <c r="Z178" s="41"/>
      <c r="AA178" s="41"/>
      <c r="AB178" s="41"/>
      <c r="AC178" s="41"/>
      <c r="AD178" s="41"/>
      <c r="AE178" s="41"/>
      <c r="AF178" s="41"/>
      <c r="AG178" s="41"/>
      <c r="AH178" s="41"/>
      <c r="AI178" s="41"/>
      <c r="AJ178" s="41"/>
      <c r="AK178" s="41"/>
      <c r="AL178" s="41"/>
      <c r="AM178" s="41"/>
      <c r="AN178" s="41"/>
    </row>
    <row r="179" spans="1:40" ht="15.75" customHeight="1">
      <c r="A179" s="5" t="str">
        <f t="shared" si="51"/>
        <v>Service% profit / ventes</v>
      </c>
      <c r="B179" s="41" t="s">
        <v>161</v>
      </c>
      <c r="C179" s="253" t="s">
        <v>165</v>
      </c>
      <c r="D179" s="359"/>
      <c r="E179" s="349"/>
      <c r="F179" s="362">
        <f>F178/E178</f>
        <v>0.73999999999999988</v>
      </c>
      <c r="G179" s="253"/>
      <c r="H179" s="349"/>
      <c r="I179" s="362"/>
      <c r="J179" s="277"/>
      <c r="K179" s="349"/>
      <c r="L179" s="362">
        <f>IF(L178=0,0,L178/K178)</f>
        <v>0.75201966174679136</v>
      </c>
      <c r="M179" s="292"/>
      <c r="N179" s="276">
        <f>L179-F179</f>
        <v>1.2019661746791477E-2</v>
      </c>
      <c r="O179" s="277"/>
      <c r="P179" s="349"/>
      <c r="Q179" s="362">
        <f>Q178/P178</f>
        <v>0.73260614118977452</v>
      </c>
      <c r="R179" s="277">
        <f>O179-K179</f>
        <v>0</v>
      </c>
      <c r="S179" s="276"/>
      <c r="T179" s="291"/>
      <c r="U179" s="41"/>
      <c r="V179" s="41"/>
      <c r="W179" s="41"/>
      <c r="X179" s="41"/>
      <c r="Y179" s="41"/>
      <c r="Z179" s="41"/>
      <c r="AA179" s="41"/>
      <c r="AB179" s="41"/>
      <c r="AC179" s="41"/>
      <c r="AD179" s="41"/>
      <c r="AE179" s="41"/>
      <c r="AF179" s="41"/>
      <c r="AG179" s="41"/>
      <c r="AH179" s="41"/>
      <c r="AI179" s="41"/>
      <c r="AJ179" s="41"/>
      <c r="AK179" s="41"/>
      <c r="AL179" s="41"/>
      <c r="AM179" s="41"/>
      <c r="AN179" s="41"/>
    </row>
    <row r="180" spans="1:40" ht="15.75" customHeight="1">
      <c r="A180" s="5" t="str">
        <f t="shared" si="51"/>
        <v>Service</v>
      </c>
      <c r="B180" s="41" t="s">
        <v>161</v>
      </c>
      <c r="C180" s="253"/>
      <c r="D180" s="359"/>
      <c r="E180" s="403"/>
      <c r="F180" s="364"/>
      <c r="G180" s="253"/>
      <c r="H180" s="403"/>
      <c r="I180" s="364"/>
      <c r="J180" s="277"/>
      <c r="K180" s="608"/>
      <c r="L180" s="362"/>
      <c r="M180" s="292"/>
      <c r="N180" s="276"/>
      <c r="O180" s="277"/>
      <c r="P180" s="608"/>
      <c r="Q180" s="362"/>
      <c r="R180" s="365"/>
      <c r="S180" s="276"/>
      <c r="T180" s="291"/>
      <c r="U180" s="41"/>
      <c r="V180" s="41"/>
      <c r="W180" s="41"/>
      <c r="X180" s="41"/>
      <c r="Y180" s="41"/>
      <c r="Z180" s="41"/>
      <c r="AA180" s="41"/>
      <c r="AB180" s="41"/>
      <c r="AC180" s="41"/>
      <c r="AD180" s="41"/>
      <c r="AE180" s="41"/>
      <c r="AF180" s="41"/>
      <c r="AG180" s="41"/>
      <c r="AH180" s="41"/>
      <c r="AI180" s="41"/>
      <c r="AJ180" s="41"/>
      <c r="AK180" s="41"/>
      <c r="AL180" s="41"/>
      <c r="AM180" s="41"/>
      <c r="AN180" s="41"/>
    </row>
    <row r="181" spans="1:40" ht="15.75" customHeight="1">
      <c r="A181" s="5" t="str">
        <f t="shared" si="51"/>
        <v>ServiceM/O Esthétique</v>
      </c>
      <c r="B181" s="41" t="s">
        <v>161</v>
      </c>
      <c r="C181" s="241" t="s">
        <v>168</v>
      </c>
      <c r="D181" s="1014" cm="1">
        <f t="array" ref="D181">+SUMPRODUCT(('Budget original'!$A$8:$A$501=$A181)*('Budget original'!$C$3:$AO$3=D$2),'Budget original'!$C$8:$AO$501)</f>
        <v>46.471999999999994</v>
      </c>
      <c r="E181" s="291" cm="1">
        <f t="array" ref="E181">+SUMPRODUCT(('Budget original'!$A$8:$A$501=$A181)*('Budget original'!$C$3:$AO$3=E$2),'Budget original'!$C$8:$AO$501)</f>
        <v>12547.439999999999</v>
      </c>
      <c r="F181" s="291" cm="1">
        <f t="array" ref="F181">+SUMPRODUCT(('Budget original'!$A$8:$A$501=$A181)*('Budget original'!$C$3:$AO$3=F$2),'Budget original'!$C$8:$AO$501)</f>
        <v>9410.58</v>
      </c>
      <c r="G181" s="241"/>
      <c r="H181" s="291"/>
      <c r="I181" s="291"/>
      <c r="J181" s="367">
        <f>-SUMIFS(BV_Data_An_Cour!$P:$P,BV_Data_An_Cour!$U:$U,$B181,BV_Data_An_Cour!$V:$V,$C181,BV_Data_An_Cour!$W:$W,J$2)</f>
        <v>0</v>
      </c>
      <c r="K181" s="271">
        <f>-SUMIFS(BV_Data_An_Cour!$P:$P,BV_Data_An_Cour!$X:$X,"Oui",BV_Data_An_Cour!$U:$U,$B181,BV_Data_An_Cour!$V:$V,$C181)</f>
        <v>7668.27</v>
      </c>
      <c r="L181" s="272">
        <f>-SUMIFS(BV_Data_An_Cour!$P:$P,BV_Data_An_Cour!$U:$U,$B181,BV_Data_An_Cour!$V:$V,$C181,BV_Data_An_Cour!$W:$W,$L$2)</f>
        <v>5714.4400000000005</v>
      </c>
      <c r="M181" s="371">
        <f>IF(E181=0,0,(K181-E181)/E181)</f>
        <v>-0.38885780685143734</v>
      </c>
      <c r="N181" s="317">
        <f>L181-F181</f>
        <v>-3696.1399999999994</v>
      </c>
      <c r="O181" s="367" cm="1">
        <f t="array" ref="O181">+SUMPRODUCT(('Réel 2024'!$A$8:$A$501=$A181)*('Réel 2024'!$C$3:$AO$3=O$2),'Réel 2024'!$C$8:$AO$501)</f>
        <v>0</v>
      </c>
      <c r="P181" s="271" cm="1">
        <f t="array" ref="P181">+SUMPRODUCT(('Réel 2024'!$A$8:$A$501=$A181)*('Réel 2024'!$C$3:$AO$3=P$2),'Réel 2024'!$C$8:$AO$501)</f>
        <v>11524.17</v>
      </c>
      <c r="Q181" s="272" cm="1">
        <f t="array" ref="Q181">+SUMPRODUCT(('Réel 2024'!$A$8:$A$501=$A181)*('Réel 2024'!$C$3:$AO$3=Q$2),'Réel 2024'!$C$8:$AO$501)</f>
        <v>8521.1</v>
      </c>
      <c r="R181" s="292">
        <f>IF(O181=0,0,J181/O181)</f>
        <v>0</v>
      </c>
      <c r="S181" s="317">
        <f>L181-Q181</f>
        <v>-2806.66</v>
      </c>
      <c r="T181" s="291"/>
      <c r="U181" s="41"/>
      <c r="V181" s="41"/>
      <c r="W181" s="41"/>
      <c r="X181" s="41"/>
      <c r="Y181" s="41"/>
      <c r="Z181" s="41"/>
      <c r="AA181" s="41"/>
      <c r="AB181" s="41"/>
      <c r="AC181" s="41"/>
      <c r="AD181" s="41"/>
      <c r="AE181" s="41"/>
      <c r="AF181" s="41"/>
      <c r="AG181" s="41"/>
      <c r="AH181" s="41"/>
      <c r="AI181" s="41"/>
      <c r="AJ181" s="41"/>
      <c r="AK181" s="41"/>
      <c r="AL181" s="41"/>
      <c r="AM181" s="41"/>
      <c r="AN181" s="41"/>
    </row>
    <row r="182" spans="1:40" ht="15.75" customHeight="1">
      <c r="A182" s="5" t="str">
        <f t="shared" si="51"/>
        <v>Service% profit / ventes</v>
      </c>
      <c r="B182" s="41" t="s">
        <v>161</v>
      </c>
      <c r="C182" s="253" t="s">
        <v>165</v>
      </c>
      <c r="D182" s="11"/>
      <c r="E182" s="372"/>
      <c r="F182" s="362">
        <f>IFERROR(F181/E181,0)</f>
        <v>0.75000000000000011</v>
      </c>
      <c r="G182" s="270"/>
      <c r="H182" s="372"/>
      <c r="I182" s="362"/>
      <c r="J182" s="373"/>
      <c r="K182" s="372">
        <f>IF(J182&lt;=0,0,L182/J182)</f>
        <v>0</v>
      </c>
      <c r="L182" s="362">
        <f>IF(L181=0,0,L181/K181)</f>
        <v>0.74520589389784142</v>
      </c>
      <c r="M182" s="277">
        <f>J182-D182</f>
        <v>0</v>
      </c>
      <c r="N182" s="374"/>
      <c r="O182" s="373"/>
      <c r="P182" s="372"/>
      <c r="Q182" s="362">
        <f>IFERROR(Q181/P181,0)</f>
        <v>0.73941116800602558</v>
      </c>
      <c r="R182" s="253"/>
      <c r="S182" s="374"/>
      <c r="T182" s="319"/>
      <c r="U182" s="41"/>
      <c r="V182" s="41"/>
      <c r="W182" s="41"/>
      <c r="X182" s="41"/>
      <c r="Y182" s="41"/>
      <c r="Z182" s="41"/>
      <c r="AA182" s="41"/>
      <c r="AB182" s="41"/>
      <c r="AC182" s="41"/>
      <c r="AD182" s="41"/>
      <c r="AE182" s="41"/>
      <c r="AF182" s="41"/>
      <c r="AG182" s="41"/>
      <c r="AH182" s="41"/>
      <c r="AI182" s="41"/>
      <c r="AJ182" s="41"/>
      <c r="AK182" s="41"/>
      <c r="AL182" s="41"/>
      <c r="AM182" s="41"/>
      <c r="AN182" s="41"/>
    </row>
    <row r="183" spans="1:40" ht="15.75" customHeight="1">
      <c r="A183" s="5" t="str">
        <f t="shared" si="51"/>
        <v>Service</v>
      </c>
      <c r="B183" s="41" t="s">
        <v>161</v>
      </c>
      <c r="C183" s="246"/>
      <c r="D183" s="375"/>
      <c r="E183" s="376"/>
      <c r="F183" s="364"/>
      <c r="G183" s="266"/>
      <c r="H183" s="376"/>
      <c r="I183" s="364"/>
      <c r="J183" s="377"/>
      <c r="K183" s="250"/>
      <c r="L183" s="364"/>
      <c r="M183" s="365"/>
      <c r="N183" s="378"/>
      <c r="O183" s="377"/>
      <c r="P183" s="250"/>
      <c r="Q183" s="364"/>
      <c r="R183" s="246"/>
      <c r="S183" s="378"/>
      <c r="T183" s="319"/>
      <c r="U183" s="41"/>
      <c r="V183" s="41"/>
      <c r="W183" s="41"/>
      <c r="X183" s="41"/>
      <c r="Y183" s="41"/>
      <c r="Z183" s="41"/>
      <c r="AA183" s="41"/>
      <c r="AB183" s="41"/>
      <c r="AC183" s="41"/>
      <c r="AD183" s="41"/>
      <c r="AE183" s="41"/>
      <c r="AF183" s="41"/>
      <c r="AG183" s="41"/>
      <c r="AH183" s="41"/>
      <c r="AI183" s="41"/>
      <c r="AJ183" s="41"/>
      <c r="AK183" s="41"/>
      <c r="AL183" s="41"/>
      <c r="AM183" s="41"/>
      <c r="AN183" s="41"/>
    </row>
    <row r="184" spans="1:40" ht="26.25" customHeight="1">
      <c r="A184" s="5" t="str">
        <f t="shared" si="51"/>
        <v>ServiceAjustement M/O</v>
      </c>
      <c r="B184" s="41" t="s">
        <v>161</v>
      </c>
      <c r="C184" s="253" t="s">
        <v>169</v>
      </c>
      <c r="D184" s="41"/>
      <c r="E184" s="41"/>
      <c r="F184" s="276" cm="1">
        <f t="array" ref="F184">+SUMPRODUCT(('Budget original'!$A$8:$A$501=$A184)*('Budget original'!$C$3:$AO$3=F$2),'Budget original'!$C$8:$AO$501)</f>
        <v>-4762.2136583343745</v>
      </c>
      <c r="G184" s="253"/>
      <c r="H184" s="291"/>
      <c r="I184" s="291"/>
      <c r="J184" s="277"/>
      <c r="K184" s="291"/>
      <c r="L184" s="291">
        <f>-SUMIFS(BV_Data_An_Cour!$P:$P,BV_Data_An_Cour!$U:$U,$B184,BV_Data_An_Cour!$V:$V,$C184,BV_Data_An_Cour!$W:$W,$L$2)</f>
        <v>-4748.93</v>
      </c>
      <c r="M184" s="373"/>
      <c r="N184" s="276">
        <f>L184-F184</f>
        <v>13.283658334374195</v>
      </c>
      <c r="O184" s="277"/>
      <c r="P184" s="291"/>
      <c r="Q184" s="291" cm="1">
        <f t="array" ref="Q184">+SUMPRODUCT(('Réel 2024'!$A$8:$A$501=$A184)*('Réel 2024'!$C$3:$AO$3=Q$2),'Réel 2024'!$C$8:$AO$501)</f>
        <v>-6341.46</v>
      </c>
      <c r="R184" s="379"/>
      <c r="S184" s="276">
        <f t="shared" ref="S184:S185" si="52">L184-Q184</f>
        <v>1592.5299999999997</v>
      </c>
      <c r="T184" s="41"/>
      <c r="U184" s="41"/>
      <c r="V184" s="41"/>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tr">
        <f t="shared" si="51"/>
        <v>ServiceSous-total M/O</v>
      </c>
      <c r="B185" s="41" t="s">
        <v>161</v>
      </c>
      <c r="C185" s="380" t="s">
        <v>170</v>
      </c>
      <c r="D185" s="381">
        <f t="shared" ref="D185" si="53">D172+D175+D178+D181+D184</f>
        <v>1261.175</v>
      </c>
      <c r="E185" s="381">
        <f>E172+E175+E178+E181+E184</f>
        <v>399052.35418000002</v>
      </c>
      <c r="F185" s="382">
        <f t="shared" ref="F185" si="54">F172+F175+F178+F181+F184</f>
        <v>294038.12523486558</v>
      </c>
      <c r="G185" s="383"/>
      <c r="H185" s="381"/>
      <c r="I185" s="382"/>
      <c r="J185" s="383">
        <f t="shared" ref="J185:L185" si="55">J172+J175+J178+J181+J184</f>
        <v>1399</v>
      </c>
      <c r="K185" s="381">
        <f t="shared" si="55"/>
        <v>471694.56000000006</v>
      </c>
      <c r="L185" s="382">
        <f t="shared" si="55"/>
        <v>348331.73</v>
      </c>
      <c r="M185" s="384">
        <f>(K185-E185)/E185</f>
        <v>0.18203678053540165</v>
      </c>
      <c r="N185" s="382">
        <f>L185-F185</f>
        <v>54293.604765134398</v>
      </c>
      <c r="O185" s="383">
        <f t="shared" ref="O185" si="56">O172+O175+O178+O181+O184</f>
        <v>1242</v>
      </c>
      <c r="P185" s="381">
        <f>P172+P175+P178+P181+P184</f>
        <v>387120.35999999981</v>
      </c>
      <c r="Q185" s="382">
        <f t="shared" ref="Q185" si="57">Q172+Q175+Q178+Q181+Q184</f>
        <v>279567.24999999959</v>
      </c>
      <c r="R185" s="264">
        <f>IF(O185=0,0,J185/O185)</f>
        <v>1.1264090177133654</v>
      </c>
      <c r="S185" s="382">
        <f t="shared" si="52"/>
        <v>68764.480000000389</v>
      </c>
      <c r="T185" s="319"/>
      <c r="U185" s="41"/>
      <c r="V185" s="29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tr">
        <f t="shared" si="51"/>
        <v>Service% protit / ventes</v>
      </c>
      <c r="B186" s="41" t="s">
        <v>161</v>
      </c>
      <c r="C186" s="385" t="s">
        <v>171</v>
      </c>
      <c r="D186" s="386"/>
      <c r="E186" s="386">
        <f>IF(D185=0,0,E185/D185)</f>
        <v>316.41314978492284</v>
      </c>
      <c r="F186" s="388">
        <f>F185/E185</f>
        <v>0.73684097375913282</v>
      </c>
      <c r="G186" s="389"/>
      <c r="H186" s="609"/>
      <c r="I186" s="265"/>
      <c r="J186" s="389"/>
      <c r="K186" s="609">
        <f>IF(J185=0,0,K185/J185)</f>
        <v>337.16551822730526</v>
      </c>
      <c r="L186" s="265">
        <f>IF(L185=0,0,L185/K185)</f>
        <v>0.73846883033800503</v>
      </c>
      <c r="M186" s="389"/>
      <c r="N186" s="388">
        <f>N185/F185</f>
        <v>0.18464818030575761</v>
      </c>
      <c r="O186" s="389"/>
      <c r="P186" s="609">
        <f>IF(O185=0,0,P185/O185)</f>
        <v>311.69111111111096</v>
      </c>
      <c r="Q186" s="265">
        <f>Q185/P185</f>
        <v>0.7221713939303005</v>
      </c>
      <c r="R186" s="389"/>
      <c r="S186" s="265">
        <f>IF(Q185=0,0,(S185/Q185))</f>
        <v>0.24596758025126508</v>
      </c>
      <c r="T186" s="319"/>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tr">
        <f t="shared" si="51"/>
        <v>Service</v>
      </c>
      <c r="B187" s="41" t="s">
        <v>161</v>
      </c>
      <c r="C187" s="259"/>
      <c r="D187" s="390"/>
      <c r="E187" s="391"/>
      <c r="F187" s="392"/>
      <c r="G187" s="393"/>
      <c r="H187" s="391"/>
      <c r="I187" s="392"/>
      <c r="J187" s="393"/>
      <c r="K187" s="391"/>
      <c r="L187" s="392"/>
      <c r="M187" s="393"/>
      <c r="N187" s="392"/>
      <c r="O187" s="393"/>
      <c r="P187" s="391"/>
      <c r="Q187" s="392"/>
      <c r="R187" s="393"/>
      <c r="S187" s="392"/>
      <c r="T187" s="319"/>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5.75" customHeight="1">
      <c r="A188" s="5" t="str">
        <f t="shared" si="51"/>
        <v>ServiceSous-traitement</v>
      </c>
      <c r="B188" s="41" t="s">
        <v>161</v>
      </c>
      <c r="C188" s="253" t="s">
        <v>172</v>
      </c>
      <c r="D188" s="291"/>
      <c r="E188" s="291" cm="1">
        <f t="array" ref="E188">+SUMPRODUCT(('Budget original'!$A$8:$A$501=$A188)*('Budget original'!$C$3:$AO$3=E$2),'Budget original'!$C$8:$AO$501)</f>
        <v>28215.684000000001</v>
      </c>
      <c r="F188" s="291" cm="1">
        <f t="array" ref="F188">+SUMPRODUCT(('Budget original'!$A$8:$A$501=$A188)*('Budget original'!$C$3:$AO$3=F$2),'Budget original'!$C$8:$AO$501)</f>
        <v>4965.960384</v>
      </c>
      <c r="G188" s="277"/>
      <c r="H188" s="291"/>
      <c r="I188" s="291"/>
      <c r="J188" s="277"/>
      <c r="K188" s="254">
        <f>-SUMIFS(BV_Data_An_Cour!$P:$P,BV_Data_An_Cour!$X:$X,"Oui",BV_Data_An_Cour!$U:$U,$B188,BV_Data_An_Cour!$V:$V,$C188)</f>
        <v>28354.55</v>
      </c>
      <c r="L188" s="256">
        <f>-SUMIFS(BV_Data_An_Cour!$P:$P,BV_Data_An_Cour!$U:$U,$B188,BV_Data_An_Cour!$V:$V,$C188,BV_Data_An_Cour!$W:$W,$L$2)</f>
        <v>5698.0499999999993</v>
      </c>
      <c r="M188" s="292">
        <f>IF(E188=0,0,(K188-E188)/E188)</f>
        <v>4.921588999933447E-3</v>
      </c>
      <c r="N188" s="276">
        <f>L188-F188</f>
        <v>732.0896159999993</v>
      </c>
      <c r="O188" s="277"/>
      <c r="P188" s="254" cm="1">
        <f t="array" ref="P188">+SUMPRODUCT(('Réel 2024'!$A$8:$A$501=$A188)*('Réel 2024'!$C$3:$AO$3=P$2),'Réel 2024'!$C$8:$AO$501)</f>
        <v>27168.839999999997</v>
      </c>
      <c r="Q188" s="256" cm="1">
        <f t="array" ref="Q188">+SUMPRODUCT(('Réel 2024'!$A$8:$A$501=$A188)*('Réel 2024'!$C$3:$AO$3=Q$2),'Réel 2024'!$C$8:$AO$501)</f>
        <v>1446.0699999999902</v>
      </c>
      <c r="R188" s="292">
        <f>IF(O188=0,0,J188/O188)</f>
        <v>0</v>
      </c>
      <c r="S188" s="276">
        <f>L188-Q188</f>
        <v>4251.9800000000087</v>
      </c>
      <c r="T188" s="319"/>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5.75" customHeight="1">
      <c r="A189" s="5" t="str">
        <f t="shared" si="51"/>
        <v>Service% profit / ventes</v>
      </c>
      <c r="B189" s="41" t="s">
        <v>161</v>
      </c>
      <c r="C189" s="253" t="s">
        <v>165</v>
      </c>
      <c r="D189" s="41"/>
      <c r="E189" s="349"/>
      <c r="F189" s="362">
        <f>IFERROR(F188/E188,0)</f>
        <v>0.17599999999999999</v>
      </c>
      <c r="G189" s="253"/>
      <c r="H189" s="349"/>
      <c r="I189" s="362"/>
      <c r="J189" s="373"/>
      <c r="K189" s="372"/>
      <c r="L189" s="362">
        <f>IF(L188=0,0,L188/K188)</f>
        <v>0.20095716560481472</v>
      </c>
      <c r="M189" s="373"/>
      <c r="N189" s="374"/>
      <c r="O189" s="373"/>
      <c r="P189" s="372"/>
      <c r="Q189" s="362">
        <f>IFERROR(Q188/P188,0)</f>
        <v>5.3225312527144714E-2</v>
      </c>
      <c r="R189" s="373"/>
      <c r="S189" s="374"/>
      <c r="T189" s="319"/>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tr">
        <f t="shared" si="51"/>
        <v>Service</v>
      </c>
      <c r="B190" s="41" t="s">
        <v>161</v>
      </c>
      <c r="C190" s="253"/>
      <c r="D190" s="41"/>
      <c r="E190" s="349"/>
      <c r="F190" s="362"/>
      <c r="G190" s="253"/>
      <c r="H190" s="349"/>
      <c r="I190" s="362"/>
      <c r="J190" s="373"/>
      <c r="K190" s="372"/>
      <c r="L190" s="362"/>
      <c r="M190" s="373"/>
      <c r="N190" s="374"/>
      <c r="O190" s="373"/>
      <c r="P190" s="372"/>
      <c r="Q190" s="362"/>
      <c r="R190" s="373"/>
      <c r="S190" s="374"/>
      <c r="T190" s="319"/>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tr">
        <f t="shared" si="51"/>
        <v>ServiceM.O. Recond. MCPA</v>
      </c>
      <c r="B191" s="41" t="s">
        <v>161</v>
      </c>
      <c r="C191" s="253" t="s">
        <v>173</v>
      </c>
      <c r="D191" s="41"/>
      <c r="E191" s="291" cm="1">
        <f t="array" ref="E191">+SUMPRODUCT(('Budget original'!$A$8:$A$501=$A191)*('Budget original'!$C$3:$AO$3=E$2),'Budget original'!$C$8:$AO$501)</f>
        <v>9620</v>
      </c>
      <c r="F191" s="291" cm="1">
        <f t="array" ref="F191">+SUMPRODUCT(('Budget original'!$A$8:$A$501=$A191)*('Budget original'!$C$3:$AO$3=F$2),'Budget original'!$C$8:$AO$501)</f>
        <v>6734</v>
      </c>
      <c r="G191" s="253"/>
      <c r="H191" s="291"/>
      <c r="I191" s="291"/>
      <c r="J191" s="373"/>
      <c r="K191" s="254">
        <f>-SUMIFS(BV_Data_An_Cour!$P:$P,BV_Data_An_Cour!$X:$X,"Oui",BV_Data_An_Cour!$U:$U,$B191,BV_Data_An_Cour!$V:$V,$C191)</f>
        <v>10953.85</v>
      </c>
      <c r="L191" s="256">
        <f>-SUMIFS(BV_Data_An_Cour!$P:$P,BV_Data_An_Cour!$U:$U,$B191,BV_Data_An_Cour!$V:$V,$C191,BV_Data_An_Cour!$W:$W,$L$2)</f>
        <v>8567.0499999999993</v>
      </c>
      <c r="M191" s="373"/>
      <c r="N191" s="374"/>
      <c r="O191" s="373"/>
      <c r="P191" s="254" cm="1">
        <f t="array" ref="P191">+SUMPRODUCT(('Réel 2024'!$A$8:$A$501=$A191)*('Réel 2024'!$C$3:$AO$3=P$2),'Réel 2024'!$C$8:$AO$501)</f>
        <v>11520.3</v>
      </c>
      <c r="Q191" s="254" cm="1">
        <f t="array" ref="Q191">+SUMPRODUCT(('Réel 2024'!$A$8:$A$501=$A191)*('Réel 2024'!$C$3:$AO$3=Q$2),'Réel 2024'!$C$8:$AO$501)</f>
        <v>8593.7899999999991</v>
      </c>
      <c r="R191" s="373"/>
      <c r="S191" s="374"/>
      <c r="T191" s="319"/>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tr">
        <f t="shared" si="51"/>
        <v>Service% profit / ventes</v>
      </c>
      <c r="B192" s="41" t="s">
        <v>161</v>
      </c>
      <c r="C192" s="253" t="s">
        <v>165</v>
      </c>
      <c r="D192" s="41"/>
      <c r="E192" s="349"/>
      <c r="F192" s="362">
        <f>IF(F191=0,0,F191/E191)</f>
        <v>0.7</v>
      </c>
      <c r="G192" s="253"/>
      <c r="H192" s="349"/>
      <c r="I192" s="362"/>
      <c r="J192" s="373"/>
      <c r="K192" s="372"/>
      <c r="L192" s="362">
        <f>IF(L191=0,0,L191/K191)</f>
        <v>0.7821040090926934</v>
      </c>
      <c r="M192" s="373"/>
      <c r="N192" s="374"/>
      <c r="O192" s="373"/>
      <c r="P192" s="372"/>
      <c r="Q192" s="362">
        <f>IF(Q191=0,0,Q191/P191)</f>
        <v>0.74596928899421022</v>
      </c>
      <c r="R192" s="373"/>
      <c r="S192" s="374"/>
      <c r="T192" s="319"/>
      <c r="U192" s="41"/>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tr">
        <f t="shared" si="51"/>
        <v>Service</v>
      </c>
      <c r="B193" s="41" t="s">
        <v>161</v>
      </c>
      <c r="C193" s="394"/>
      <c r="D193" s="395"/>
      <c r="E193" s="396"/>
      <c r="F193" s="397"/>
      <c r="G193" s="398"/>
      <c r="H193" s="396"/>
      <c r="I193" s="397"/>
      <c r="J193" s="398"/>
      <c r="K193" s="396"/>
      <c r="L193" s="397"/>
      <c r="M193" s="398"/>
      <c r="N193" s="397"/>
      <c r="O193" s="398"/>
      <c r="P193" s="396"/>
      <c r="Q193" s="397"/>
      <c r="R193" s="398"/>
      <c r="S193" s="397"/>
      <c r="T193" s="319"/>
      <c r="U193" s="41"/>
      <c r="V193" s="41"/>
      <c r="W193" s="41"/>
      <c r="X193" s="41"/>
      <c r="Y193" s="41"/>
      <c r="Z193" s="41"/>
      <c r="AA193" s="41"/>
      <c r="AB193" s="41"/>
      <c r="AC193" s="41"/>
      <c r="AD193" s="41"/>
      <c r="AE193" s="41"/>
      <c r="AF193" s="41"/>
      <c r="AG193" s="41"/>
      <c r="AH193" s="41"/>
      <c r="AI193" s="41"/>
      <c r="AJ193" s="41"/>
      <c r="AK193" s="41"/>
      <c r="AL193" s="41"/>
      <c r="AM193" s="41"/>
      <c r="AN193" s="41"/>
    </row>
    <row r="194" spans="1:40" ht="15.75" customHeight="1">
      <c r="A194" s="5" t="str">
        <f t="shared" si="51"/>
        <v>ServiceTotal Mécanique</v>
      </c>
      <c r="B194" s="41" t="s">
        <v>161</v>
      </c>
      <c r="C194" s="278" t="s">
        <v>174</v>
      </c>
      <c r="D194" s="279"/>
      <c r="E194" s="279">
        <f t="shared" ref="E194:F194" si="58">E185+E188+E191</f>
        <v>436888.03818000003</v>
      </c>
      <c r="F194" s="281">
        <f t="shared" si="58"/>
        <v>305738.08561886556</v>
      </c>
      <c r="G194" s="282"/>
      <c r="H194" s="279"/>
      <c r="I194" s="281"/>
      <c r="J194" s="282"/>
      <c r="K194" s="279">
        <f t="shared" ref="K194:L194" si="59">K185+K188+K191</f>
        <v>511002.96</v>
      </c>
      <c r="L194" s="281">
        <f t="shared" si="59"/>
        <v>362596.82999999996</v>
      </c>
      <c r="M194" s="399">
        <f>L195-F195</f>
        <v>9.76994586627844E-3</v>
      </c>
      <c r="N194" s="281">
        <f>L194-F194</f>
        <v>56858.744381134398</v>
      </c>
      <c r="O194" s="282"/>
      <c r="P194" s="279">
        <f t="shared" ref="P194" si="60">P185+P188+P191</f>
        <v>425809.49999999983</v>
      </c>
      <c r="Q194" s="281">
        <f>Q185+Q188+Q191</f>
        <v>289607.10999999958</v>
      </c>
      <c r="R194" s="399">
        <f>L195-Q195</f>
        <v>2.9445686579262387E-2</v>
      </c>
      <c r="S194" s="281">
        <f>L194-Q194</f>
        <v>72989.72000000038</v>
      </c>
      <c r="T194" s="319"/>
      <c r="U194" s="41"/>
      <c r="V194" s="41"/>
      <c r="W194" s="41"/>
      <c r="X194" s="41"/>
      <c r="Y194" s="41"/>
      <c r="Z194" s="41"/>
      <c r="AA194" s="41"/>
      <c r="AB194" s="41"/>
      <c r="AC194" s="41"/>
      <c r="AD194" s="41"/>
      <c r="AE194" s="41"/>
      <c r="AF194" s="41"/>
      <c r="AG194" s="41"/>
      <c r="AH194" s="41"/>
      <c r="AI194" s="41"/>
      <c r="AJ194" s="41"/>
      <c r="AK194" s="41"/>
      <c r="AL194" s="41"/>
      <c r="AM194" s="41"/>
      <c r="AN194" s="41"/>
    </row>
    <row r="195" spans="1:40" ht="15.75" customHeight="1">
      <c r="A195" s="5" t="str">
        <f t="shared" si="51"/>
        <v>Service</v>
      </c>
      <c r="B195" s="41" t="s">
        <v>161</v>
      </c>
      <c r="C195" s="283"/>
      <c r="D195" s="284"/>
      <c r="E195" s="284"/>
      <c r="F195" s="287">
        <f>F194/E194</f>
        <v>0.69980878142719938</v>
      </c>
      <c r="G195" s="283"/>
      <c r="H195" s="284"/>
      <c r="I195" s="287"/>
      <c r="J195" s="283"/>
      <c r="K195" s="284"/>
      <c r="L195" s="287">
        <f>L194/K194</f>
        <v>0.70957872729347782</v>
      </c>
      <c r="M195" s="286"/>
      <c r="N195" s="287">
        <f>N194/F194</f>
        <v>0.18597206908665856</v>
      </c>
      <c r="O195" s="283"/>
      <c r="P195" s="284"/>
      <c r="Q195" s="287">
        <f>Q194/P194</f>
        <v>0.68013304071421543</v>
      </c>
      <c r="R195" s="286"/>
      <c r="S195" s="287">
        <f>L194/S194</f>
        <v>4.967779435240991</v>
      </c>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tr">
        <f t="shared" si="51"/>
        <v>Service</v>
      </c>
      <c r="B196" s="41" t="s">
        <v>161</v>
      </c>
      <c r="C196" s="270"/>
      <c r="D196" s="11"/>
      <c r="E196" s="11"/>
      <c r="F196" s="265"/>
      <c r="G196" s="270"/>
      <c r="H196" s="11"/>
      <c r="I196" s="265"/>
      <c r="J196" s="270"/>
      <c r="K196" s="11"/>
      <c r="L196" s="265"/>
      <c r="M196" s="264"/>
      <c r="N196" s="265"/>
      <c r="O196" s="270"/>
      <c r="P196" s="11"/>
      <c r="Q196" s="265"/>
      <c r="R196" s="264"/>
      <c r="S196" s="265"/>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tr">
        <f t="shared" si="51"/>
        <v>ServiceDEPENSES</v>
      </c>
      <c r="B197" s="41" t="s">
        <v>161</v>
      </c>
      <c r="C197" s="289" t="s">
        <v>110</v>
      </c>
      <c r="D197" s="41"/>
      <c r="E197" s="41"/>
      <c r="F197" s="276"/>
      <c r="G197" s="253"/>
      <c r="H197" s="41"/>
      <c r="I197" s="276"/>
      <c r="J197" s="253"/>
      <c r="K197" s="41"/>
      <c r="L197" s="263"/>
      <c r="M197" s="253"/>
      <c r="N197" s="263"/>
      <c r="O197" s="253"/>
      <c r="P197" s="41"/>
      <c r="Q197" s="263"/>
      <c r="R197" s="253"/>
      <c r="S197" s="263"/>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tr">
        <f t="shared" si="51"/>
        <v>ServiceSalaires cadres</v>
      </c>
      <c r="B198" s="41" t="s">
        <v>161</v>
      </c>
      <c r="C198" s="312" t="s">
        <v>120</v>
      </c>
      <c r="D198" s="41"/>
      <c r="E198" s="41"/>
      <c r="F198" s="254" cm="1">
        <f t="array" ref="F198">+SUMPRODUCT(('Budget original'!$A$8:$A$501=$A198)*('Budget original'!$C$3:$AO$3=F$2),'Budget original'!$C$8:$AO$501)</f>
        <v>34317.400480769233</v>
      </c>
      <c r="G198" s="253"/>
      <c r="H198" s="41"/>
      <c r="I198" s="254"/>
      <c r="J198" s="253"/>
      <c r="K198" s="41"/>
      <c r="L198" s="256">
        <f>SUMIFS(BV_Data_An_Cour!$P:$P,BV_Data_An_Cour!$U:$U,$B198,BV_Data_An_Cour!$V:$V,$C198,BV_Data_An_Cour!$W:$W,$L$2)</f>
        <v>26874.11</v>
      </c>
      <c r="M198" s="253"/>
      <c r="N198" s="276">
        <f t="shared" ref="N198:N229" si="61">L198-F198</f>
        <v>-7443.2904807692321</v>
      </c>
      <c r="O198" s="253"/>
      <c r="P198" s="41"/>
      <c r="Q198" s="256" cm="1">
        <f t="array" ref="Q198">+SUMPRODUCT(('Réel 2024'!$A$8:$A$501=$A198)*('Réel 2024'!$C$3:$AO$3=Q$2),'Réel 2024'!$C$8:$AO$501)</f>
        <v>32692.839999999997</v>
      </c>
      <c r="R198" s="253"/>
      <c r="S198" s="256">
        <f t="shared" ref="S198:S229" si="62">L198-Q198</f>
        <v>-5818.7299999999959</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tr">
        <f t="shared" si="51"/>
        <v>ServiceSalaires commis</v>
      </c>
      <c r="B199" s="41" t="s">
        <v>161</v>
      </c>
      <c r="C199" s="313" t="s">
        <v>121</v>
      </c>
      <c r="D199" s="297"/>
      <c r="E199" s="41"/>
      <c r="F199" s="248" cm="1">
        <f t="array" ref="F199">+SUMPRODUCT(('Budget original'!$A$8:$A$501=$A199)*('Budget original'!$C$3:$AO$3=F$2),'Budget original'!$C$8:$AO$501)</f>
        <v>18776.489261538463</v>
      </c>
      <c r="G199" s="298"/>
      <c r="H199" s="41"/>
      <c r="I199" s="248"/>
      <c r="J199" s="253"/>
      <c r="K199" s="41"/>
      <c r="L199" s="256">
        <f>SUMIFS(BV_Data_An_Cour!$P:$P,BV_Data_An_Cour!$U:$U,$B199,BV_Data_An_Cour!$V:$V,$C199,BV_Data_An_Cour!$W:$W,$L$2)</f>
        <v>17573.990000000002</v>
      </c>
      <c r="M199" s="253"/>
      <c r="N199" s="276">
        <f t="shared" si="61"/>
        <v>-1202.4992615384617</v>
      </c>
      <c r="O199" s="253"/>
      <c r="P199" s="41"/>
      <c r="Q199" s="256" cm="1">
        <f t="array" ref="Q199">+SUMPRODUCT(('Réel 2024'!$A$8:$A$501=$A199)*('Réel 2024'!$C$3:$AO$3=Q$2),'Réel 2024'!$C$8:$AO$501)</f>
        <v>13780.49</v>
      </c>
      <c r="R199" s="253"/>
      <c r="S199" s="276">
        <f t="shared" si="62"/>
        <v>3793.5000000000018</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15.75" customHeight="1">
      <c r="A200" s="5" t="str">
        <f t="shared" si="51"/>
        <v>ServiceSalaires autres</v>
      </c>
      <c r="B200" s="41" t="s">
        <v>161</v>
      </c>
      <c r="C200" s="312" t="s">
        <v>122</v>
      </c>
      <c r="D200" s="314"/>
      <c r="E200" s="315"/>
      <c r="F200" s="254" cm="1">
        <f t="array" ref="F200">+SUMPRODUCT(('Budget original'!$A$8:$A$501=$A200)*('Budget original'!$C$3:$AO$3=F$2),'Budget original'!$C$8:$AO$501)</f>
        <v>35252.498076923075</v>
      </c>
      <c r="G200" s="316"/>
      <c r="H200" s="315"/>
      <c r="I200" s="254"/>
      <c r="J200" s="241"/>
      <c r="K200" s="315"/>
      <c r="L200" s="272">
        <f>SUMIFS(BV_Data_An_Cour!$P:$P,BV_Data_An_Cour!$U:$U,$B200,BV_Data_An_Cour!$V:$V,$C200,BV_Data_An_Cour!$W:$W,$L$2)</f>
        <v>30791.32</v>
      </c>
      <c r="M200" s="241"/>
      <c r="N200" s="317">
        <f t="shared" si="61"/>
        <v>-4461.1780769230754</v>
      </c>
      <c r="O200" s="241"/>
      <c r="P200" s="315"/>
      <c r="Q200" s="272" cm="1">
        <f t="array" ref="Q200">+SUMPRODUCT(('Réel 2024'!$A$8:$A$501=$A200)*('Réel 2024'!$C$3:$AO$3=Q$2),'Réel 2024'!$C$8:$AO$501)</f>
        <v>29138.67</v>
      </c>
      <c r="R200" s="241"/>
      <c r="S200" s="317">
        <f t="shared" si="62"/>
        <v>1652.6500000000015</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15.75" customHeight="1">
      <c r="A201" s="5" t="str">
        <f t="shared" si="51"/>
        <v>ServiceSalaires spécialistes</v>
      </c>
      <c r="B201" s="41" t="s">
        <v>161</v>
      </c>
      <c r="C201" s="312" t="s">
        <v>123</v>
      </c>
      <c r="D201" s="297"/>
      <c r="E201" s="41"/>
      <c r="F201" s="254" cm="1">
        <f t="array" ref="F201">+SUMPRODUCT(('Budget original'!$A$8:$A$501=$A201)*('Budget original'!$C$3:$AO$3=F$2),'Budget original'!$C$8:$AO$501)</f>
        <v>49641.869641846155</v>
      </c>
      <c r="G201" s="298"/>
      <c r="H201" s="41"/>
      <c r="I201" s="254"/>
      <c r="J201" s="253"/>
      <c r="K201" s="41"/>
      <c r="L201" s="256">
        <f>SUMIFS(BV_Data_An_Cour!$P:$P,BV_Data_An_Cour!$U:$U,$B201,BV_Data_An_Cour!$V:$V,$C201,BV_Data_An_Cour!$W:$W,$L$2)</f>
        <v>30555.47</v>
      </c>
      <c r="M201" s="253"/>
      <c r="N201" s="276">
        <f t="shared" si="61"/>
        <v>-19086.399641846154</v>
      </c>
      <c r="O201" s="253"/>
      <c r="P201" s="41"/>
      <c r="Q201" s="256" cm="1">
        <f t="array" ref="Q201">+SUMPRODUCT(('Réel 2024'!$A$8:$A$501=$A201)*('Réel 2024'!$C$3:$AO$3=Q$2),'Réel 2024'!$C$8:$AO$501)</f>
        <v>43282.520000000004</v>
      </c>
      <c r="R201" s="253"/>
      <c r="S201" s="276">
        <f t="shared" si="62"/>
        <v>-12727.050000000003</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tr">
        <f t="shared" si="51"/>
        <v>Service[...]</v>
      </c>
      <c r="B202" s="41" t="s">
        <v>161</v>
      </c>
      <c r="C202" s="253" t="s">
        <v>59</v>
      </c>
      <c r="D202" s="297"/>
      <c r="E202" s="41"/>
      <c r="F202" s="254" cm="1">
        <f t="array" ref="F202">+SUMPRODUCT(('Budget original'!$A$8:$A$501=$A202)*('Budget original'!$C$3:$AO$3=F$2),'Budget original'!$C$8:$AO$501)</f>
        <v>0</v>
      </c>
      <c r="G202" s="298"/>
      <c r="H202" s="41"/>
      <c r="I202" s="254"/>
      <c r="J202" s="253"/>
      <c r="K202" s="41"/>
      <c r="L202" s="256">
        <f>SUMIFS(BV_Data_An_Cour!$P:$P,BV_Data_An_Cour!$U:$U,$B202,BV_Data_An_Cour!$V:$V,$C202,BV_Data_An_Cour!$W:$W,$L$2)</f>
        <v>0</v>
      </c>
      <c r="M202" s="253"/>
      <c r="N202" s="276">
        <f t="shared" si="61"/>
        <v>0</v>
      </c>
      <c r="O202" s="253"/>
      <c r="P202" s="41"/>
      <c r="Q202" s="256" cm="1">
        <f t="array" ref="Q202">+SUMPRODUCT(('Réel 2024'!$A$8:$A$501=$A202)*('Réel 2024'!$C$3:$AO$3=Q$2),'Réel 2024'!$C$8:$AO$501)</f>
        <v>0</v>
      </c>
      <c r="R202" s="253"/>
      <c r="S202" s="276">
        <f t="shared" si="62"/>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tr">
        <f t="shared" si="51"/>
        <v>Service[...]</v>
      </c>
      <c r="B203" s="41" t="s">
        <v>161</v>
      </c>
      <c r="C203" s="253" t="s">
        <v>59</v>
      </c>
      <c r="D203" s="297"/>
      <c r="E203" s="41"/>
      <c r="F203" s="254" cm="1">
        <f t="array" ref="F203">+SUMPRODUCT(('Budget original'!$A$8:$A$501=$A203)*('Budget original'!$C$3:$AO$3=F$2),'Budget original'!$C$8:$AO$501)</f>
        <v>0</v>
      </c>
      <c r="G203" s="298"/>
      <c r="H203" s="41"/>
      <c r="I203" s="254"/>
      <c r="J203" s="253"/>
      <c r="K203" s="41"/>
      <c r="L203" s="256">
        <f>SUMIFS(BV_Data_An_Cour!$P:$P,BV_Data_An_Cour!$U:$U,$B203,BV_Data_An_Cour!$V:$V,$C203,BV_Data_An_Cour!$W:$W,$L$2)</f>
        <v>0</v>
      </c>
      <c r="M203" s="253"/>
      <c r="N203" s="276">
        <f t="shared" si="61"/>
        <v>0</v>
      </c>
      <c r="O203" s="253"/>
      <c r="P203" s="41"/>
      <c r="Q203" s="256" cm="1">
        <f t="array" ref="Q203">+SUMPRODUCT(('Réel 2024'!$A$8:$A$501=$A203)*('Réel 2024'!$C$3:$AO$3=Q$2),'Réel 2024'!$C$8:$AO$501)</f>
        <v>0</v>
      </c>
      <c r="R203" s="253"/>
      <c r="S203" s="276">
        <f t="shared" si="62"/>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tr">
        <f t="shared" si="51"/>
        <v>Service[...]</v>
      </c>
      <c r="B204" s="41" t="s">
        <v>161</v>
      </c>
      <c r="C204" s="253" t="s">
        <v>59</v>
      </c>
      <c r="D204" s="297"/>
      <c r="E204" s="41"/>
      <c r="F204" s="254" cm="1">
        <f t="array" ref="F204">+SUMPRODUCT(('Budget original'!$A$8:$A$501=$A204)*('Budget original'!$C$3:$AO$3=F$2),'Budget original'!$C$8:$AO$501)</f>
        <v>0</v>
      </c>
      <c r="G204" s="298"/>
      <c r="H204" s="41"/>
      <c r="I204" s="254"/>
      <c r="J204" s="253"/>
      <c r="K204" s="41"/>
      <c r="L204" s="256">
        <f>SUMIFS(BV_Data_An_Cour!$P:$P,BV_Data_An_Cour!$U:$U,$B204,BV_Data_An_Cour!$V:$V,$C204,BV_Data_An_Cour!$W:$W,$L$2)</f>
        <v>0</v>
      </c>
      <c r="M204" s="253"/>
      <c r="N204" s="276">
        <f t="shared" si="61"/>
        <v>0</v>
      </c>
      <c r="O204" s="253"/>
      <c r="P204" s="41"/>
      <c r="Q204" s="256" cm="1">
        <f t="array" ref="Q204">+SUMPRODUCT(('Réel 2024'!$A$8:$A$501=$A204)*('Réel 2024'!$C$3:$AO$3=Q$2),'Réel 2024'!$C$8:$AO$501)</f>
        <v>0</v>
      </c>
      <c r="R204" s="253"/>
      <c r="S204" s="276">
        <f t="shared" si="62"/>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customHeight="1">
      <c r="A205" s="5" t="str">
        <f t="shared" si="51"/>
        <v>ServiceSalaires en absences</v>
      </c>
      <c r="B205" s="41" t="s">
        <v>161</v>
      </c>
      <c r="C205" s="313" t="s">
        <v>124</v>
      </c>
      <c r="D205" s="297"/>
      <c r="E205" s="41"/>
      <c r="F205" s="254" cm="1">
        <f t="array" ref="F205">+SUMPRODUCT(('Budget original'!$A$8:$A$501=$A205)*('Budget original'!$C$3:$AO$3=F$2),'Budget original'!$C$8:$AO$501)</f>
        <v>28398.345625374226</v>
      </c>
      <c r="G205" s="298"/>
      <c r="H205" s="41"/>
      <c r="I205" s="254"/>
      <c r="J205" s="253"/>
      <c r="K205" s="41"/>
      <c r="L205" s="256">
        <f>SUMIFS(BV_Data_An_Cour!$P:$P,BV_Data_An_Cour!$U:$U,$B205,BV_Data_An_Cour!$V:$V,$C205,BV_Data_An_Cour!$W:$W,$L$2)</f>
        <v>28380.31</v>
      </c>
      <c r="M205" s="253"/>
      <c r="N205" s="276">
        <f t="shared" si="61"/>
        <v>-18.035625374224765</v>
      </c>
      <c r="O205" s="253"/>
      <c r="P205" s="41"/>
      <c r="Q205" s="256" cm="1">
        <f t="array" ref="Q205">+SUMPRODUCT(('Réel 2024'!$A$8:$A$501=$A205)*('Réel 2024'!$C$3:$AO$3=Q$2),'Réel 2024'!$C$8:$AO$501)</f>
        <v>25020.69</v>
      </c>
      <c r="R205" s="253"/>
      <c r="S205" s="276">
        <f t="shared" si="62"/>
        <v>3359.6200000000026</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tr">
        <f t="shared" si="51"/>
        <v>ServiceDéduction à la source</v>
      </c>
      <c r="B206" s="41" t="s">
        <v>161</v>
      </c>
      <c r="C206" s="312" t="s">
        <v>125</v>
      </c>
      <c r="D206" s="314"/>
      <c r="E206" s="315"/>
      <c r="F206" s="272" cm="1">
        <f t="array" ref="F206">+SUMPRODUCT(('Budget original'!$A$8:$A$501=$A206)*('Budget original'!$C$3:$AO$3=F$2),'Budget original'!$C$8:$AO$501)</f>
        <v>34528.384989441787</v>
      </c>
      <c r="G206" s="316"/>
      <c r="H206" s="315"/>
      <c r="I206" s="272"/>
      <c r="J206" s="241"/>
      <c r="K206" s="315"/>
      <c r="L206" s="272">
        <f>SUMIFS(BV_Data_An_Cour!$P:$P,BV_Data_An_Cour!$U:$U,$B206,BV_Data_An_Cour!$V:$V,$C206,BV_Data_An_Cour!$W:$W,$L$2)</f>
        <v>34379.269999999997</v>
      </c>
      <c r="M206" s="241"/>
      <c r="N206" s="317">
        <f t="shared" si="61"/>
        <v>-149.11498944179039</v>
      </c>
      <c r="O206" s="241"/>
      <c r="P206" s="315"/>
      <c r="Q206" s="272" cm="1">
        <f t="array" ref="Q206">+SUMPRODUCT(('Réel 2024'!$A$8:$A$501=$A206)*('Réel 2024'!$C$3:$AO$3=Q$2),'Réel 2024'!$C$8:$AO$501)</f>
        <v>42381.18</v>
      </c>
      <c r="R206" s="241"/>
      <c r="S206" s="317">
        <f t="shared" si="62"/>
        <v>-8001.9100000000035</v>
      </c>
      <c r="T206" s="41"/>
      <c r="V206" s="254">
        <f>L206-Print_Mois!L206</f>
        <v>18756.319999999996</v>
      </c>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tr">
        <f t="shared" si="51"/>
        <v>ServiceBénéfices marginaux</v>
      </c>
      <c r="B207" s="41" t="s">
        <v>161</v>
      </c>
      <c r="C207" s="312" t="s">
        <v>126</v>
      </c>
      <c r="D207" s="297"/>
      <c r="E207" s="41"/>
      <c r="F207" s="254" cm="1">
        <f t="array" ref="F207">+SUMPRODUCT(('Budget original'!$A$8:$A$501=$A207)*('Budget original'!$C$3:$AO$3=F$2),'Budget original'!$C$8:$AO$501)</f>
        <v>17789.624440212399</v>
      </c>
      <c r="G207" s="298"/>
      <c r="H207" s="41"/>
      <c r="I207" s="254"/>
      <c r="J207" s="253"/>
      <c r="K207" s="41"/>
      <c r="L207" s="256">
        <f>SUMIFS(BV_Data_An_Cour!$P:$P,BV_Data_An_Cour!$U:$U,$B207,BV_Data_An_Cour!$V:$V,$C207,BV_Data_An_Cour!$W:$W,$L$2)</f>
        <v>18233.48</v>
      </c>
      <c r="M207" s="253"/>
      <c r="N207" s="276">
        <f t="shared" si="61"/>
        <v>443.85555978760021</v>
      </c>
      <c r="O207" s="253"/>
      <c r="P207" s="41"/>
      <c r="Q207" s="256" cm="1">
        <f t="array" ref="Q207">+SUMPRODUCT(('Réel 2024'!$A$8:$A$501=$A207)*('Réel 2024'!$C$3:$AO$3=Q$2),'Réel 2024'!$C$8:$AO$501)</f>
        <v>22559.57</v>
      </c>
      <c r="R207" s="253"/>
      <c r="S207" s="276">
        <f t="shared" si="62"/>
        <v>-4326.09</v>
      </c>
      <c r="T207" s="41"/>
      <c r="V207" s="254">
        <f>L207-Print_Mois!L207</f>
        <v>9703.1299999999992</v>
      </c>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tr">
        <f t="shared" si="51"/>
        <v>ServiceCsst</v>
      </c>
      <c r="B208" s="41" t="s">
        <v>161</v>
      </c>
      <c r="C208" s="312" t="s">
        <v>127</v>
      </c>
      <c r="D208" s="297"/>
      <c r="E208" s="41"/>
      <c r="F208" s="254" cm="1">
        <f t="array" ref="F208">+SUMPRODUCT(('Budget original'!$A$8:$A$501=$A208)*('Budget original'!$C$3:$AO$3=F$2),'Budget original'!$C$8:$AO$501)</f>
        <v>7756.3763382079369</v>
      </c>
      <c r="G208" s="298"/>
      <c r="H208" s="41"/>
      <c r="I208" s="254"/>
      <c r="J208" s="253"/>
      <c r="K208" s="41"/>
      <c r="L208" s="256">
        <f>SUMIFS(BV_Data_An_Cour!$P:$P,BV_Data_An_Cour!$U:$U,$B208,BV_Data_An_Cour!$V:$V,$C208,BV_Data_An_Cour!$W:$W,$L$2)</f>
        <v>8060.07</v>
      </c>
      <c r="M208" s="253"/>
      <c r="N208" s="276">
        <f t="shared" si="61"/>
        <v>303.69366179206281</v>
      </c>
      <c r="O208" s="253"/>
      <c r="P208" s="41"/>
      <c r="Q208" s="256" cm="1">
        <f t="array" ref="Q208">+SUMPRODUCT(('Réel 2024'!$A$8:$A$501=$A208)*('Réel 2024'!$C$3:$AO$3=Q$2),'Réel 2024'!$C$8:$AO$501)</f>
        <v>7317.38</v>
      </c>
      <c r="R208" s="253"/>
      <c r="S208" s="276">
        <f t="shared" si="62"/>
        <v>742.6899999999996</v>
      </c>
      <c r="T208" s="41"/>
      <c r="V208" s="254">
        <f>L208-Print_Mois!L208</f>
        <v>4046.9599999999996</v>
      </c>
      <c r="W208" s="41"/>
      <c r="X208" s="41"/>
      <c r="Y208" s="41"/>
      <c r="Z208" s="41"/>
      <c r="AA208" s="41"/>
      <c r="AB208" s="41"/>
      <c r="AC208" s="41"/>
      <c r="AD208" s="41"/>
      <c r="AE208" s="41"/>
      <c r="AF208" s="41"/>
      <c r="AG208" s="41"/>
      <c r="AH208" s="41"/>
      <c r="AI208" s="41"/>
      <c r="AJ208" s="41"/>
      <c r="AK208" s="41"/>
      <c r="AL208" s="41"/>
      <c r="AM208" s="41"/>
      <c r="AN208" s="41"/>
    </row>
    <row r="209" spans="1:40" ht="15.75" hidden="1" customHeight="1">
      <c r="A209" s="5" t="str">
        <f t="shared" si="51"/>
        <v>Service[...]</v>
      </c>
      <c r="B209" s="41" t="s">
        <v>161</v>
      </c>
      <c r="C209" s="253" t="s">
        <v>59</v>
      </c>
      <c r="D209" s="299"/>
      <c r="E209" s="318"/>
      <c r="F209" s="254" cm="1">
        <f t="array" ref="F209">+SUMPRODUCT(('Budget original'!$A$8:$A$501=$A209)*('Budget original'!$C$3:$AO$3=F$2),'Budget original'!$C$8:$AO$501)</f>
        <v>0</v>
      </c>
      <c r="G209" s="300"/>
      <c r="H209" s="318"/>
      <c r="I209" s="254"/>
      <c r="J209" s="246"/>
      <c r="K209" s="318"/>
      <c r="L209" s="256">
        <f>SUMIFS(BV_Data_An_Cour!$P:$P,BV_Data_An_Cour!$U:$U,$B209,BV_Data_An_Cour!$V:$V,$C209,BV_Data_An_Cour!$W:$W,$L$2)</f>
        <v>0</v>
      </c>
      <c r="M209" s="246"/>
      <c r="N209" s="296">
        <f t="shared" si="61"/>
        <v>0</v>
      </c>
      <c r="O209" s="246"/>
      <c r="P209" s="318"/>
      <c r="Q209" s="256" cm="1">
        <f t="array" ref="Q209">+SUMPRODUCT(('Réel 2024'!$A$8:$A$501=$A209)*('Réel 2024'!$C$3:$AO$3=Q$2),'Réel 2024'!$C$8:$AO$501)</f>
        <v>0</v>
      </c>
      <c r="R209" s="246"/>
      <c r="S209" s="296">
        <f t="shared" si="62"/>
        <v>0</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tr">
        <f t="shared" si="51"/>
        <v>ServiceTOTAL PERSONNEL</v>
      </c>
      <c r="B210" s="41" t="s">
        <v>161</v>
      </c>
      <c r="C210" s="304" t="s">
        <v>128</v>
      </c>
      <c r="D210" s="305" t="s">
        <v>175</v>
      </c>
      <c r="E210" s="306">
        <f>F210/F$194</f>
        <v>0.74070258010518375</v>
      </c>
      <c r="F210" s="307">
        <f>+SUM(F198:F209)</f>
        <v>226460.9888543133</v>
      </c>
      <c r="G210" s="308"/>
      <c r="H210" s="306"/>
      <c r="I210" s="307"/>
      <c r="J210" s="308" t="s">
        <v>175</v>
      </c>
      <c r="K210" s="306">
        <f>L210/L$194</f>
        <v>0.53736823898874142</v>
      </c>
      <c r="L210" s="307">
        <f>+SUM(L198:L209)</f>
        <v>194848.02000000002</v>
      </c>
      <c r="M210" s="355"/>
      <c r="N210" s="320">
        <f t="shared" si="61"/>
        <v>-31612.96885431328</v>
      </c>
      <c r="O210" s="308" t="s">
        <v>175</v>
      </c>
      <c r="P210" s="306">
        <f>Q210/Q$194</f>
        <v>0.74643657747214942</v>
      </c>
      <c r="Q210" s="307">
        <f>+SUM(Q198:Q209)</f>
        <v>216173.34</v>
      </c>
      <c r="R210" s="355"/>
      <c r="S210" s="320">
        <f t="shared" si="62"/>
        <v>-21325.319999999978</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tr">
        <f t="shared" si="51"/>
        <v>ServicePublicité 2</v>
      </c>
      <c r="B211" s="41" t="s">
        <v>161</v>
      </c>
      <c r="C211" s="253" t="s">
        <v>129</v>
      </c>
      <c r="D211" s="297"/>
      <c r="E211" s="41"/>
      <c r="F211" s="254" cm="1">
        <f t="array" ref="F211">+SUMPRODUCT(('Budget original'!$A$8:$A$501=$A211)*('Budget original'!$C$3:$AO$3=F$2),'Budget original'!$C$8:$AO$501)</f>
        <v>20964.968942743777</v>
      </c>
      <c r="G211" s="298"/>
      <c r="H211" s="41"/>
      <c r="I211" s="254"/>
      <c r="J211" s="253"/>
      <c r="K211" s="41"/>
      <c r="L211" s="256">
        <f>SUMIFS(BV_Data_An_Cour!$P:$P,BV_Data_An_Cour!$U:$U,$B211,BV_Data_An_Cour!$V:$V,$C211,BV_Data_An_Cour!$W:$W,$L$2)</f>
        <v>26211.85</v>
      </c>
      <c r="M211" s="253"/>
      <c r="N211" s="276">
        <f t="shared" si="61"/>
        <v>5246.8810572562215</v>
      </c>
      <c r="O211" s="253"/>
      <c r="P211" s="41"/>
      <c r="Q211" s="256" cm="1">
        <f t="array" ref="Q211">+SUMPRODUCT(('Réel 2024'!$A$8:$A$501=$A211)*('Réel 2024'!$C$3:$AO$3=Q$2),'Réel 2024'!$C$8:$AO$501)</f>
        <v>23876.71</v>
      </c>
      <c r="R211" s="253"/>
      <c r="S211" s="276">
        <f t="shared" si="62"/>
        <v>2335.1399999999994</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tr">
        <f t="shared" si="51"/>
        <v>ServiceService gratuit 2</v>
      </c>
      <c r="B212" s="41" t="s">
        <v>161</v>
      </c>
      <c r="C212" s="253" t="s">
        <v>130</v>
      </c>
      <c r="D212" s="297"/>
      <c r="E212" s="41"/>
      <c r="F212" s="254" cm="1">
        <f t="array" ref="F212">+SUMPRODUCT(('Budget original'!$A$8:$A$501=$A212)*('Budget original'!$C$3:$AO$3=F$2),'Budget original'!$C$8:$AO$501)</f>
        <v>6844.3548066474186</v>
      </c>
      <c r="G212" s="298"/>
      <c r="H212" s="41"/>
      <c r="I212" s="254"/>
      <c r="J212" s="253"/>
      <c r="K212" s="41"/>
      <c r="L212" s="610">
        <f>SUMIFS(BV_Data_An_Cour!$P:$P,BV_Data_An_Cour!$U:$U,$B212,BV_Data_An_Cour!$V:$V,$C212,BV_Data_An_Cour!$W:$W,$L$2)</f>
        <v>5237.04</v>
      </c>
      <c r="M212" s="253"/>
      <c r="N212" s="276">
        <f t="shared" si="61"/>
        <v>-1607.3148066474187</v>
      </c>
      <c r="O212" s="253"/>
      <c r="P212" s="41"/>
      <c r="Q212" s="256" cm="1">
        <f t="array" ref="Q212">+SUMPRODUCT(('Réel 2024'!$A$8:$A$501=$A212)*('Réel 2024'!$C$3:$AO$3=Q$2),'Réel 2024'!$C$8:$AO$501)</f>
        <v>4432.17</v>
      </c>
      <c r="R212" s="253"/>
      <c r="S212" s="276">
        <f t="shared" si="62"/>
        <v>804.86999999999989</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tr">
        <f t="shared" si="51"/>
        <v>ServiceFrais véhicules de cie</v>
      </c>
      <c r="B213" s="41" t="s">
        <v>161</v>
      </c>
      <c r="C213" s="246" t="s">
        <v>131</v>
      </c>
      <c r="D213" s="299"/>
      <c r="E213" s="318"/>
      <c r="F213" s="248" cm="1">
        <f t="array" ref="F213">+SUMPRODUCT(('Budget original'!$A$8:$A$501=$A213)*('Budget original'!$C$3:$AO$3=F$2),'Budget original'!$C$8:$AO$501)</f>
        <v>22167.478711111111</v>
      </c>
      <c r="G213" s="300"/>
      <c r="H213" s="318"/>
      <c r="I213" s="248"/>
      <c r="J213" s="246"/>
      <c r="K213" s="318"/>
      <c r="L213" s="256">
        <f>SUMIFS(BV_Data_An_Cour!$P:$P,BV_Data_An_Cour!$U:$U,$B213,BV_Data_An_Cour!$V:$V,$C213,BV_Data_An_Cour!$W:$W,$L$2)</f>
        <v>15092.62</v>
      </c>
      <c r="M213" s="246"/>
      <c r="N213" s="296">
        <f t="shared" si="61"/>
        <v>-7074.8587111111101</v>
      </c>
      <c r="O213" s="246"/>
      <c r="P213" s="318"/>
      <c r="Q213" s="256" cm="1">
        <f t="array" ref="Q213">+SUMPRODUCT(('Réel 2024'!$A$8:$A$501=$A213)*('Réel 2024'!$C$3:$AO$3=Q$2),'Réel 2024'!$C$8:$AO$501)</f>
        <v>19379.169999999998</v>
      </c>
      <c r="R213" s="246"/>
      <c r="S213" s="296">
        <f t="shared" si="62"/>
        <v>-4286.5499999999975</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tr">
        <f t="shared" si="51"/>
        <v>ServiceInformatique</v>
      </c>
      <c r="B214" s="41" t="s">
        <v>161</v>
      </c>
      <c r="C214" s="253" t="s">
        <v>132</v>
      </c>
      <c r="D214" s="297"/>
      <c r="E214" s="41"/>
      <c r="F214" s="254" cm="1">
        <f t="array" ref="F214">+SUMPRODUCT(('Budget original'!$A$8:$A$501=$A214)*('Budget original'!$C$3:$AO$3=F$2),'Budget original'!$C$8:$AO$501)</f>
        <v>9566.632274773332</v>
      </c>
      <c r="G214" s="298"/>
      <c r="H214" s="41"/>
      <c r="I214" s="254"/>
      <c r="J214" s="253"/>
      <c r="K214" s="41"/>
      <c r="L214" s="272">
        <f>SUMIFS(BV_Data_An_Cour!$P:$P,BV_Data_An_Cour!$U:$U,$B214,BV_Data_An_Cour!$V:$V,$C214,BV_Data_An_Cour!$W:$W,$L$2)</f>
        <v>9662.43</v>
      </c>
      <c r="M214" s="253"/>
      <c r="N214" s="276">
        <f t="shared" si="61"/>
        <v>95.797725226668263</v>
      </c>
      <c r="O214" s="253"/>
      <c r="P214" s="41"/>
      <c r="Q214" s="272" cm="1">
        <f t="array" ref="Q214">+SUMPRODUCT(('Réel 2024'!$A$8:$A$501=$A214)*('Réel 2024'!$C$3:$AO$3=Q$2),'Réel 2024'!$C$8:$AO$501)</f>
        <v>9907.67</v>
      </c>
      <c r="R214" s="253"/>
      <c r="S214" s="276">
        <f t="shared" si="62"/>
        <v>-245.23999999999978</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tr">
        <f t="shared" si="51"/>
        <v>ServiceFrais de déplacement</v>
      </c>
      <c r="B215" s="41" t="s">
        <v>161</v>
      </c>
      <c r="C215" s="253" t="s">
        <v>133</v>
      </c>
      <c r="D215" s="297"/>
      <c r="E215" s="41"/>
      <c r="F215" s="254" cm="1">
        <f t="array" ref="F215">+SUMPRODUCT(('Budget original'!$A$8:$A$501=$A215)*('Budget original'!$C$3:$AO$3=F$2),'Budget original'!$C$8:$AO$501)</f>
        <v>2101.7503611873808</v>
      </c>
      <c r="G215" s="298"/>
      <c r="H215" s="41"/>
      <c r="I215" s="254"/>
      <c r="J215" s="253"/>
      <c r="K215" s="41"/>
      <c r="L215" s="256">
        <f>SUMIFS(BV_Data_An_Cour!$P:$P,BV_Data_An_Cour!$U:$U,$B215,BV_Data_An_Cour!$V:$V,$C215,BV_Data_An_Cour!$W:$W,$L$2)</f>
        <v>2183.83</v>
      </c>
      <c r="M215" s="253"/>
      <c r="N215" s="276">
        <f t="shared" si="61"/>
        <v>82.079638812619123</v>
      </c>
      <c r="O215" s="253"/>
      <c r="P215" s="41"/>
      <c r="Q215" s="256" cm="1">
        <f t="array" ref="Q215">+SUMPRODUCT(('Réel 2024'!$A$8:$A$501=$A215)*('Réel 2024'!$C$3:$AO$3=Q$2),'Réel 2024'!$C$8:$AO$501)</f>
        <v>1151.94</v>
      </c>
      <c r="R215" s="253"/>
      <c r="S215" s="276">
        <f t="shared" si="62"/>
        <v>1031.8899999999999</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tr">
        <f t="shared" si="51"/>
        <v>ServiceServices extérieurs</v>
      </c>
      <c r="B216" s="41" t="s">
        <v>161</v>
      </c>
      <c r="C216" s="246" t="s">
        <v>134</v>
      </c>
      <c r="D216" s="299"/>
      <c r="E216" s="318"/>
      <c r="F216" s="248" cm="1">
        <f t="array" ref="F216">+SUMPRODUCT(('Budget original'!$A$8:$A$501=$A216)*('Budget original'!$C$3:$AO$3=F$2),'Budget original'!$C$8:$AO$501)</f>
        <v>22256.463576700742</v>
      </c>
      <c r="G216" s="300"/>
      <c r="H216" s="318"/>
      <c r="I216" s="248"/>
      <c r="J216" s="246"/>
      <c r="K216" s="318"/>
      <c r="L216" s="256">
        <f>SUMIFS(BV_Data_An_Cour!$P:$P,BV_Data_An_Cour!$U:$U,$B216,BV_Data_An_Cour!$V:$V,$C216,BV_Data_An_Cour!$W:$W,$L$2)</f>
        <v>27409.46</v>
      </c>
      <c r="M216" s="246"/>
      <c r="N216" s="296">
        <f t="shared" si="61"/>
        <v>5152.996423299257</v>
      </c>
      <c r="O216" s="246"/>
      <c r="P216" s="318"/>
      <c r="Q216" s="256" cm="1">
        <f t="array" ref="Q216">+SUMPRODUCT(('Réel 2024'!$A$8:$A$501=$A216)*('Réel 2024'!$C$3:$AO$3=Q$2),'Réel 2024'!$C$8:$AO$501)</f>
        <v>23155.919999999998</v>
      </c>
      <c r="R216" s="246"/>
      <c r="S216" s="296">
        <f t="shared" si="62"/>
        <v>4253.5400000000009</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tr">
        <f t="shared" si="51"/>
        <v>ServiceFournitures d'atelier</v>
      </c>
      <c r="B217" s="41" t="s">
        <v>161</v>
      </c>
      <c r="C217" s="253" t="s">
        <v>490</v>
      </c>
      <c r="D217" s="297"/>
      <c r="E217" s="41"/>
      <c r="F217" s="254" cm="1">
        <f t="array" ref="F217">+SUMPRODUCT(('Budget original'!$A$8:$A$501=$A217)*('Budget original'!$C$3:$AO$3=F$2),'Budget original'!$C$8:$AO$501)</f>
        <v>0</v>
      </c>
      <c r="G217" s="298"/>
      <c r="H217" s="41"/>
      <c r="I217" s="254"/>
      <c r="J217" s="253"/>
      <c r="K217" s="41"/>
      <c r="L217" s="272">
        <f>SUMIFS(BV_Data_An_Cour!$P:$P,BV_Data_An_Cour!$U:$U,$B217,BV_Data_An_Cour!$V:$V,$C217,BV_Data_An_Cour!$W:$W,$L$2)</f>
        <v>0</v>
      </c>
      <c r="M217" s="253"/>
      <c r="N217" s="276">
        <f t="shared" si="61"/>
        <v>0</v>
      </c>
      <c r="O217" s="253"/>
      <c r="P217" s="41"/>
      <c r="Q217" s="272" cm="1">
        <f t="array" ref="Q217">+SUMPRODUCT(('Réel 2024'!$A$8:$A$501=$A217)*('Réel 2024'!$C$3:$AO$3=Q$2),'Réel 2024'!$C$8:$AO$501)</f>
        <v>0</v>
      </c>
      <c r="R217" s="253"/>
      <c r="S217" s="276">
        <f t="shared" si="62"/>
        <v>0</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tr">
        <f t="shared" si="51"/>
        <v>ServiceFournitures autres</v>
      </c>
      <c r="B218" s="41" t="s">
        <v>161</v>
      </c>
      <c r="C218" s="253" t="s">
        <v>135</v>
      </c>
      <c r="D218" s="297"/>
      <c r="E218" s="41"/>
      <c r="F218" s="254" cm="1">
        <f t="array" ref="F218">+SUMPRODUCT(('Budget original'!$A$8:$A$501=$A218)*('Budget original'!$C$3:$AO$3=F$2),'Budget original'!$C$8:$AO$501)</f>
        <v>9539.8408444444467</v>
      </c>
      <c r="G218" s="298"/>
      <c r="H218" s="41"/>
      <c r="I218" s="254"/>
      <c r="J218" s="253"/>
      <c r="K218" s="41"/>
      <c r="L218" s="256">
        <f>SUMIFS(BV_Data_An_Cour!$P:$P,BV_Data_An_Cour!$U:$U,$B218,BV_Data_An_Cour!$V:$V,$C218,BV_Data_An_Cour!$W:$W,$L$2)</f>
        <v>10563.21</v>
      </c>
      <c r="M218" s="253"/>
      <c r="N218" s="276">
        <f t="shared" si="61"/>
        <v>1023.3691555555524</v>
      </c>
      <c r="O218" s="253"/>
      <c r="P218" s="41"/>
      <c r="Q218" s="256" cm="1">
        <f t="array" ref="Q218">+SUMPRODUCT(('Réel 2024'!$A$8:$A$501=$A218)*('Réel 2024'!$C$3:$AO$3=Q$2),'Réel 2024'!$C$8:$AO$501)</f>
        <v>12533.369999999999</v>
      </c>
      <c r="R218" s="253"/>
      <c r="S218" s="276">
        <f t="shared" si="62"/>
        <v>-1970.1599999999999</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tr">
        <f t="shared" si="51"/>
        <v>ServiceUniformes</v>
      </c>
      <c r="B219" s="41" t="s">
        <v>161</v>
      </c>
      <c r="C219" s="253" t="s">
        <v>136</v>
      </c>
      <c r="D219" s="297"/>
      <c r="E219" s="41"/>
      <c r="F219" s="254" cm="1">
        <f t="array" ref="F219">+SUMPRODUCT(('Budget original'!$A$8:$A$501=$A219)*('Budget original'!$C$3:$AO$3=F$2),'Budget original'!$C$8:$AO$501)</f>
        <v>2440.9308135728343</v>
      </c>
      <c r="G219" s="298"/>
      <c r="H219" s="41"/>
      <c r="I219" s="254"/>
      <c r="J219" s="253"/>
      <c r="K219" s="41"/>
      <c r="L219" s="256">
        <f>SUMIFS(BV_Data_An_Cour!$P:$P,BV_Data_An_Cour!$U:$U,$B219,BV_Data_An_Cour!$V:$V,$C219,BV_Data_An_Cour!$W:$W,$L$2)</f>
        <v>1184.06</v>
      </c>
      <c r="M219" s="253"/>
      <c r="N219" s="276">
        <f t="shared" si="61"/>
        <v>-1256.8708135728343</v>
      </c>
      <c r="O219" s="253"/>
      <c r="P219" s="41"/>
      <c r="Q219" s="256" cm="1">
        <f t="array" ref="Q219">+SUMPRODUCT(('Réel 2024'!$A$8:$A$501=$A219)*('Réel 2024'!$C$3:$AO$3=Q$2),'Réel 2024'!$C$8:$AO$501)</f>
        <v>2114.31</v>
      </c>
      <c r="R219" s="253"/>
      <c r="S219" s="276">
        <f t="shared" si="62"/>
        <v>-930.25</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tr">
        <f t="shared" si="51"/>
        <v>ServicePapeterie</v>
      </c>
      <c r="B220" s="41" t="s">
        <v>161</v>
      </c>
      <c r="C220" s="253" t="s">
        <v>137</v>
      </c>
      <c r="D220" s="297"/>
      <c r="E220" s="41"/>
      <c r="F220" s="254" cm="1">
        <f t="array" ref="F220">+SUMPRODUCT(('Budget original'!$A$8:$A$501=$A220)*('Budget original'!$C$3:$AO$3=F$2),'Budget original'!$C$8:$AO$501)</f>
        <v>1666.1082995036802</v>
      </c>
      <c r="G220" s="298"/>
      <c r="H220" s="41"/>
      <c r="I220" s="254"/>
      <c r="J220" s="253"/>
      <c r="K220" s="41"/>
      <c r="L220" s="256">
        <f>SUMIFS(BV_Data_An_Cour!$P:$P,BV_Data_An_Cour!$U:$U,$B220,BV_Data_An_Cour!$V:$V,$C220,BV_Data_An_Cour!$W:$W,$L$2)</f>
        <v>902.76</v>
      </c>
      <c r="M220" s="253"/>
      <c r="N220" s="276">
        <f t="shared" si="61"/>
        <v>-763.34829950368021</v>
      </c>
      <c r="O220" s="253"/>
      <c r="P220" s="41"/>
      <c r="Q220" s="256" cm="1">
        <f t="array" ref="Q220">+SUMPRODUCT(('Réel 2024'!$A$8:$A$501=$A220)*('Réel 2024'!$C$3:$AO$3=Q$2),'Réel 2024'!$C$8:$AO$501)</f>
        <v>1364.96</v>
      </c>
      <c r="R220" s="253"/>
      <c r="S220" s="276">
        <f t="shared" si="62"/>
        <v>-462.20000000000005</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tr">
        <f t="shared" si="51"/>
        <v>ServiceTéléphone</v>
      </c>
      <c r="B221" s="41" t="s">
        <v>161</v>
      </c>
      <c r="C221" s="253" t="s">
        <v>138</v>
      </c>
      <c r="D221" s="297"/>
      <c r="E221" s="41"/>
      <c r="F221" s="254" cm="1">
        <f t="array" ref="F221">+SUMPRODUCT(('Budget original'!$A$8:$A$501=$A221)*('Budget original'!$C$3:$AO$3=F$2),'Budget original'!$C$8:$AO$501)</f>
        <v>358.40900337697343</v>
      </c>
      <c r="G221" s="298"/>
      <c r="H221" s="41"/>
      <c r="I221" s="254"/>
      <c r="J221" s="253"/>
      <c r="K221" s="41"/>
      <c r="L221" s="256">
        <f>SUMIFS(BV_Data_An_Cour!$P:$P,BV_Data_An_Cour!$U:$U,$B221,BV_Data_An_Cour!$V:$V,$C221,BV_Data_An_Cour!$W:$W,$L$2)</f>
        <v>490.41</v>
      </c>
      <c r="M221" s="253"/>
      <c r="N221" s="276">
        <f t="shared" si="61"/>
        <v>132.00099662302659</v>
      </c>
      <c r="O221" s="253"/>
      <c r="P221" s="41"/>
      <c r="Q221" s="256" cm="1">
        <f t="array" ref="Q221">+SUMPRODUCT(('Réel 2024'!$A$8:$A$501=$A221)*('Réel 2024'!$C$3:$AO$3=Q$2),'Réel 2024'!$C$8:$AO$501)</f>
        <v>236.69</v>
      </c>
      <c r="R221" s="253"/>
      <c r="S221" s="276">
        <f t="shared" si="62"/>
        <v>253.72000000000003</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tr">
        <f t="shared" si="51"/>
        <v>ServiceFrais postaux</v>
      </c>
      <c r="B222" s="41" t="s">
        <v>161</v>
      </c>
      <c r="C222" s="253" t="s">
        <v>139</v>
      </c>
      <c r="D222" s="297"/>
      <c r="E222" s="41"/>
      <c r="F222" s="254" cm="1">
        <f t="array" ref="F222">+SUMPRODUCT(('Budget original'!$A$8:$A$501=$A222)*('Budget original'!$C$3:$AO$3=F$2),'Budget original'!$C$8:$AO$501)</f>
        <v>185.58114255262663</v>
      </c>
      <c r="G222" s="298"/>
      <c r="H222" s="41"/>
      <c r="I222" s="254"/>
      <c r="J222" s="253"/>
      <c r="K222" s="41"/>
      <c r="L222" s="256">
        <f>SUMIFS(BV_Data_An_Cour!$P:$P,BV_Data_An_Cour!$U:$U,$B222,BV_Data_An_Cour!$V:$V,$C222,BV_Data_An_Cour!$W:$W,$L$2)</f>
        <v>880.25</v>
      </c>
      <c r="M222" s="253"/>
      <c r="N222" s="276">
        <f t="shared" si="61"/>
        <v>694.6688574473734</v>
      </c>
      <c r="O222" s="253"/>
      <c r="P222" s="41"/>
      <c r="Q222" s="256" cm="1">
        <f t="array" ref="Q222">+SUMPRODUCT(('Réel 2024'!$A$8:$A$501=$A222)*('Réel 2024'!$C$3:$AO$3=Q$2),'Réel 2024'!$C$8:$AO$501)</f>
        <v>366.86</v>
      </c>
      <c r="R222" s="253"/>
      <c r="S222" s="276">
        <f t="shared" si="62"/>
        <v>513.39</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tr">
        <f t="shared" si="51"/>
        <v>ServiceDivers</v>
      </c>
      <c r="B223" s="41" t="s">
        <v>161</v>
      </c>
      <c r="C223" s="253" t="s">
        <v>140</v>
      </c>
      <c r="D223" s="297"/>
      <c r="E223" s="41"/>
      <c r="F223" s="254" cm="1">
        <f t="array" ref="F223">+SUMPRODUCT(('Budget original'!$A$8:$A$501=$A223)*('Budget original'!$C$3:$AO$3=F$2),'Budget original'!$C$8:$AO$501)</f>
        <v>304.90190375190667</v>
      </c>
      <c r="G223" s="298"/>
      <c r="H223" s="41"/>
      <c r="I223" s="254"/>
      <c r="J223" s="253"/>
      <c r="K223" s="41"/>
      <c r="L223" s="256">
        <f>SUMIFS(BV_Data_An_Cour!$P:$P,BV_Data_An_Cour!$U:$U,$B223,BV_Data_An_Cour!$V:$V,$C223,BV_Data_An_Cour!$W:$W,$L$2)</f>
        <v>120.47</v>
      </c>
      <c r="M223" s="253"/>
      <c r="N223" s="276">
        <f t="shared" si="61"/>
        <v>-184.43190375190667</v>
      </c>
      <c r="O223" s="253"/>
      <c r="P223" s="41"/>
      <c r="Q223" s="256" cm="1">
        <f t="array" ref="Q223">+SUMPRODUCT(('Réel 2024'!$A$8:$A$501=$A223)*('Réel 2024'!$C$3:$AO$3=Q$2),'Réel 2024'!$C$8:$AO$501)</f>
        <v>231.68</v>
      </c>
      <c r="R223" s="253"/>
      <c r="S223" s="276">
        <f t="shared" si="62"/>
        <v>-111.21000000000001</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tr">
        <f t="shared" si="51"/>
        <v>ServiceFormation</v>
      </c>
      <c r="B224" s="41" t="s">
        <v>161</v>
      </c>
      <c r="C224" s="253" t="s">
        <v>141</v>
      </c>
      <c r="D224" s="297"/>
      <c r="E224" s="41"/>
      <c r="F224" s="254" cm="1">
        <f t="array" ref="F224">+SUMPRODUCT(('Budget original'!$A$8:$A$501=$A224)*('Budget original'!$C$3:$AO$3=F$2),'Budget original'!$C$8:$AO$501)</f>
        <v>6133.0267977049725</v>
      </c>
      <c r="G224" s="298"/>
      <c r="H224" s="41"/>
      <c r="I224" s="254"/>
      <c r="J224" s="253"/>
      <c r="K224" s="41"/>
      <c r="L224" s="256">
        <f>SUMIFS(BV_Data_An_Cour!$P:$P,BV_Data_An_Cour!$U:$U,$B224,BV_Data_An_Cour!$V:$V,$C224,BV_Data_An_Cour!$W:$W,$L$2)</f>
        <v>1314.73</v>
      </c>
      <c r="M224" s="253"/>
      <c r="N224" s="276">
        <f t="shared" si="61"/>
        <v>-4818.2967977049721</v>
      </c>
      <c r="O224" s="253"/>
      <c r="P224" s="41"/>
      <c r="Q224" s="256" cm="1">
        <f t="array" ref="Q224">+SUMPRODUCT(('Réel 2024'!$A$8:$A$501=$A224)*('Réel 2024'!$C$3:$AO$3=Q$2),'Réel 2024'!$C$8:$AO$501)</f>
        <v>7090.12</v>
      </c>
      <c r="R224" s="253"/>
      <c r="S224" s="276">
        <f t="shared" si="62"/>
        <v>-5775.3899999999994</v>
      </c>
      <c r="T224" s="41"/>
      <c r="U224" s="41"/>
      <c r="V224" s="41"/>
      <c r="W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tr">
        <f t="shared" si="51"/>
        <v>ServiceFrais bancaires</v>
      </c>
      <c r="B225" s="41" t="s">
        <v>161</v>
      </c>
      <c r="C225" s="253" t="s">
        <v>142</v>
      </c>
      <c r="D225" s="297"/>
      <c r="E225" s="41"/>
      <c r="F225" s="254" cm="1">
        <f t="array" ref="F225">+SUMPRODUCT(('Budget original'!$A$8:$A$501=$A225)*('Budget original'!$C$3:$AO$3=F$2),'Budget original'!$C$8:$AO$501)</f>
        <v>2877.0917310071945</v>
      </c>
      <c r="G225" s="298"/>
      <c r="H225" s="41"/>
      <c r="I225" s="254"/>
      <c r="J225" s="253"/>
      <c r="K225" s="41"/>
      <c r="L225" s="256">
        <f>SUMIFS(BV_Data_An_Cour!$P:$P,BV_Data_An_Cour!$U:$U,$B225,BV_Data_An_Cour!$V:$V,$C225,BV_Data_An_Cour!$W:$W,L$2)</f>
        <v>2484.09</v>
      </c>
      <c r="M225" s="253"/>
      <c r="N225" s="276">
        <f t="shared" si="61"/>
        <v>-393.00173100719439</v>
      </c>
      <c r="O225" s="253"/>
      <c r="P225" s="41"/>
      <c r="Q225" s="256" cm="1">
        <f t="array" ref="Q225">+SUMPRODUCT(('Réel 2024'!$A$8:$A$501=$A225)*('Réel 2024'!$C$3:$AO$3=Q$2),'Réel 2024'!$C$8:$AO$501)</f>
        <v>2763</v>
      </c>
      <c r="R225" s="253"/>
      <c r="S225" s="276">
        <f t="shared" si="62"/>
        <v>-278.90999999999985</v>
      </c>
      <c r="T225" s="41"/>
      <c r="U225" s="41"/>
      <c r="V225" s="41"/>
      <c r="W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tr">
        <f t="shared" si="51"/>
        <v>Service[...]</v>
      </c>
      <c r="B226" s="41" t="s">
        <v>161</v>
      </c>
      <c r="C226" s="253" t="s">
        <v>59</v>
      </c>
      <c r="D226" s="297"/>
      <c r="E226" s="41"/>
      <c r="F226" s="254" cm="1">
        <f t="array" ref="F226">+SUMPRODUCT(('Budget original'!$A$8:$A$501=$A226)*('Budget original'!$C$3:$AO$3=F$2),'Budget original'!$C$8:$AO$501)</f>
        <v>0</v>
      </c>
      <c r="G226" s="298"/>
      <c r="H226" s="41"/>
      <c r="I226" s="254"/>
      <c r="J226" s="253"/>
      <c r="K226" s="41"/>
      <c r="L226" s="256">
        <f>SUMIFS(BV_Data_An_Cour!$P:$P,BV_Data_An_Cour!$U:$U,$B226,BV_Data_An_Cour!$V:$V,$C226,BV_Data_An_Cour!$W:$W,$L$2)</f>
        <v>0</v>
      </c>
      <c r="M226" s="253"/>
      <c r="N226" s="276">
        <f t="shared" si="61"/>
        <v>0</v>
      </c>
      <c r="O226" s="253"/>
      <c r="P226" s="41"/>
      <c r="Q226" s="256" cm="1">
        <f t="array" ref="Q226">+SUMPRODUCT(('Réel 2024'!$A$8:$A$501=$A226)*('Réel 2024'!$C$3:$AO$3=Q$2),'Réel 2024'!$C$8:$AO$501)</f>
        <v>0</v>
      </c>
      <c r="R226" s="253"/>
      <c r="S226" s="276">
        <f t="shared" si="62"/>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tr">
        <f t="shared" si="51"/>
        <v>Service[...]</v>
      </c>
      <c r="B227" s="41" t="s">
        <v>161</v>
      </c>
      <c r="C227" s="253" t="s">
        <v>59</v>
      </c>
      <c r="D227" s="297"/>
      <c r="E227" s="41"/>
      <c r="F227" s="254" cm="1">
        <f t="array" ref="F227">+SUMPRODUCT(('Budget original'!$A$8:$A$501=$A227)*('Budget original'!$C$3:$AO$3=F$2),'Budget original'!$C$8:$AO$501)</f>
        <v>0</v>
      </c>
      <c r="G227" s="298"/>
      <c r="H227" s="41"/>
      <c r="I227" s="254"/>
      <c r="J227" s="253"/>
      <c r="K227" s="41"/>
      <c r="L227" s="256">
        <f>SUMIFS(BV_Data_An_Cour!$P:$P,BV_Data_An_Cour!$U:$U,$B227,BV_Data_An_Cour!$V:$V,$C227,BV_Data_An_Cour!$W:$W,$L$2)</f>
        <v>0</v>
      </c>
      <c r="M227" s="253"/>
      <c r="N227" s="276">
        <f t="shared" si="61"/>
        <v>0</v>
      </c>
      <c r="O227" s="253"/>
      <c r="P227" s="41"/>
      <c r="Q227" s="256" cm="1">
        <f t="array" ref="Q227">+SUMPRODUCT(('Réel 2024'!$A$8:$A$501=$A227)*('Réel 2024'!$C$3:$AO$3=Q$2),'Réel 2024'!$C$8:$AO$501)</f>
        <v>0</v>
      </c>
      <c r="R227" s="253"/>
      <c r="S227" s="276">
        <f t="shared" si="62"/>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tr">
        <f t="shared" si="51"/>
        <v>Service[...]</v>
      </c>
      <c r="B228" s="41" t="s">
        <v>161</v>
      </c>
      <c r="C228" s="253" t="s">
        <v>59</v>
      </c>
      <c r="D228" s="297"/>
      <c r="E228" s="41"/>
      <c r="F228" s="254" cm="1">
        <f t="array" ref="F228">+SUMPRODUCT(('Budget original'!$A$8:$A$501=$A228)*('Budget original'!$C$3:$AO$3=F$2),'Budget original'!$C$8:$AO$501)</f>
        <v>0</v>
      </c>
      <c r="G228" s="298"/>
      <c r="H228" s="41"/>
      <c r="I228" s="254"/>
      <c r="J228" s="253"/>
      <c r="K228" s="41"/>
      <c r="L228" s="256">
        <f>SUMIFS(BV_Data_An_Cour!$P:$P,BV_Data_An_Cour!$U:$U,$B228,BV_Data_An_Cour!$V:$V,$C228,BV_Data_An_Cour!$W:$W,$L$2)</f>
        <v>0</v>
      </c>
      <c r="M228" s="253"/>
      <c r="N228" s="276">
        <f t="shared" si="61"/>
        <v>0</v>
      </c>
      <c r="O228" s="253"/>
      <c r="P228" s="41"/>
      <c r="Q228" s="256" cm="1">
        <f t="array" ref="Q228">+SUMPRODUCT(('Réel 2024'!$A$8:$A$501=$A228)*('Réel 2024'!$C$3:$AO$3=Q$2),'Réel 2024'!$C$8:$AO$501)</f>
        <v>0</v>
      </c>
      <c r="R228" s="253"/>
      <c r="S228" s="276">
        <f t="shared" si="62"/>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304" t="s">
        <v>143</v>
      </c>
      <c r="D229" s="305" t="s">
        <v>175</v>
      </c>
      <c r="E229" s="306">
        <f>F229/F$194</f>
        <v>0.35130572297418361</v>
      </c>
      <c r="F229" s="307">
        <f>+SUM(F211:F228)</f>
        <v>107407.53920907842</v>
      </c>
      <c r="G229" s="308"/>
      <c r="H229" s="306"/>
      <c r="I229" s="307"/>
      <c r="J229" s="308" t="s">
        <v>175</v>
      </c>
      <c r="K229" s="306">
        <f>L229/L$194</f>
        <v>0.28609519283442164</v>
      </c>
      <c r="L229" s="307">
        <f>+SUM(L211:L228)</f>
        <v>103737.20999999999</v>
      </c>
      <c r="M229" s="311"/>
      <c r="N229" s="307">
        <f t="shared" si="61"/>
        <v>-3670.3292090784234</v>
      </c>
      <c r="O229" s="308" t="s">
        <v>175</v>
      </c>
      <c r="P229" s="306">
        <f>Q229/Q$194</f>
        <v>0.37500657356098799</v>
      </c>
      <c r="Q229" s="307">
        <f>+SUM(Q211:Q228)</f>
        <v>108604.56999999998</v>
      </c>
      <c r="R229" s="311"/>
      <c r="S229" s="307">
        <f t="shared" si="62"/>
        <v>-4867.359999999986</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246"/>
      <c r="D230" s="299"/>
      <c r="E230" s="318"/>
      <c r="F230" s="276"/>
      <c r="G230" s="300"/>
      <c r="H230" s="318"/>
      <c r="I230" s="276"/>
      <c r="J230" s="246"/>
      <c r="K230" s="318"/>
      <c r="L230" s="296"/>
      <c r="M230" s="246"/>
      <c r="N230" s="296"/>
      <c r="O230" s="246"/>
      <c r="P230" s="318"/>
      <c r="Q230" s="296"/>
      <c r="R230" s="246"/>
      <c r="S230" s="296"/>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304" t="s">
        <v>144</v>
      </c>
      <c r="D231" s="305" t="s">
        <v>119</v>
      </c>
      <c r="E231" s="306">
        <f>F231/F$194</f>
        <v>1.0920083030793672</v>
      </c>
      <c r="F231" s="307">
        <f>F210+F229</f>
        <v>333868.52806339168</v>
      </c>
      <c r="G231" s="308"/>
      <c r="H231" s="306"/>
      <c r="I231" s="307"/>
      <c r="J231" s="308" t="s">
        <v>119</v>
      </c>
      <c r="K231" s="306">
        <f>L231/L$194</f>
        <v>0.82346343182316295</v>
      </c>
      <c r="L231" s="307">
        <f>L210+L229</f>
        <v>298585.23</v>
      </c>
      <c r="M231" s="311"/>
      <c r="N231" s="320">
        <f>L231-F231</f>
        <v>-35283.298063391703</v>
      </c>
      <c r="O231" s="308" t="s">
        <v>119</v>
      </c>
      <c r="P231" s="306">
        <f>Q231/Q$194</f>
        <v>1.1214431510331375</v>
      </c>
      <c r="Q231" s="307">
        <f>Q210+Q229</f>
        <v>324777.90999999997</v>
      </c>
      <c r="R231" s="311"/>
      <c r="S231" s="320">
        <f>L231-Q231</f>
        <v>-26192.679999999993</v>
      </c>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253"/>
      <c r="D232" s="297"/>
      <c r="E232" s="41"/>
      <c r="F232" s="276"/>
      <c r="G232" s="298"/>
      <c r="H232" s="41"/>
      <c r="I232" s="276"/>
      <c r="J232" s="253"/>
      <c r="K232" s="41"/>
      <c r="L232" s="276"/>
      <c r="M232" s="253"/>
      <c r="N232" s="276">
        <f>L232-F232</f>
        <v>0</v>
      </c>
      <c r="O232" s="253"/>
      <c r="P232" s="41"/>
      <c r="Q232" s="276"/>
      <c r="R232" s="253"/>
      <c r="S232" s="276"/>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332" t="s">
        <v>151</v>
      </c>
      <c r="D233" s="360"/>
      <c r="E233" s="333"/>
      <c r="F233" s="335">
        <f>F194-F231</f>
        <v>-28130.442444526125</v>
      </c>
      <c r="G233" s="361"/>
      <c r="H233" s="333"/>
      <c r="I233" s="335"/>
      <c r="J233" s="332"/>
      <c r="K233" s="334"/>
      <c r="L233" s="335">
        <f>L194-L231</f>
        <v>64011.599999999977</v>
      </c>
      <c r="M233" s="332"/>
      <c r="N233" s="335">
        <f>L233-F233</f>
        <v>92142.042444526101</v>
      </c>
      <c r="O233" s="332"/>
      <c r="P233" s="334"/>
      <c r="Q233" s="335">
        <f>Q194-Q231</f>
        <v>-35170.800000000396</v>
      </c>
      <c r="R233" s="332"/>
      <c r="S233" s="335">
        <f>L233-Q233</f>
        <v>99182.400000000373</v>
      </c>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41"/>
      <c r="D234" s="41"/>
      <c r="E234" s="41"/>
      <c r="F234" s="41"/>
      <c r="G234" s="41"/>
      <c r="H234" s="41"/>
      <c r="I234" s="41"/>
      <c r="J234" s="41"/>
      <c r="K234" s="41"/>
      <c r="L234" s="291"/>
      <c r="M234" s="291"/>
      <c r="N234" s="41"/>
      <c r="O234" s="291"/>
      <c r="P234" s="41"/>
      <c r="Q234" s="291"/>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c r="B235" s="41"/>
      <c r="C235" s="38"/>
      <c r="D235" s="38"/>
      <c r="E235" s="38"/>
      <c r="F235" s="38"/>
      <c r="G235" s="38"/>
      <c r="H235" s="38"/>
      <c r="I235" s="38"/>
      <c r="J235" s="38"/>
      <c r="K235" s="38"/>
      <c r="L235" s="94"/>
      <c r="M235" s="94"/>
      <c r="N235" s="38"/>
      <c r="O235" s="94"/>
      <c r="P235" s="38"/>
      <c r="Q235" s="94"/>
      <c r="R235" s="38"/>
      <c r="S235" s="38"/>
      <c r="T235" s="38"/>
      <c r="U235" s="38"/>
      <c r="V235" s="41"/>
      <c r="W235" s="41"/>
      <c r="X235" s="41"/>
      <c r="Y235" s="41"/>
      <c r="Z235" s="41"/>
      <c r="AA235" s="41"/>
      <c r="AB235" s="41"/>
      <c r="AC235" s="41"/>
      <c r="AD235" s="41"/>
      <c r="AE235" s="41"/>
      <c r="AF235" s="41"/>
      <c r="AG235" s="41"/>
      <c r="AH235" s="41"/>
      <c r="AI235" s="41"/>
      <c r="AJ235" s="41"/>
      <c r="AK235" s="41"/>
      <c r="AL235" s="41"/>
      <c r="AM235" s="41"/>
      <c r="AN235" s="41"/>
    </row>
    <row r="236" spans="1:40" ht="33" customHeight="1">
      <c r="B236" s="41"/>
      <c r="C236" s="36" t="str">
        <f>C1</f>
        <v>Volks</v>
      </c>
      <c r="D236" s="232"/>
      <c r="E236" s="232"/>
      <c r="F236" s="232"/>
      <c r="G236" s="232"/>
      <c r="H236" s="36"/>
      <c r="I236" s="36"/>
      <c r="J236" s="36"/>
      <c r="K236" s="9" t="s">
        <v>176</v>
      </c>
      <c r="L236" s="232"/>
      <c r="M236" s="232"/>
      <c r="N236" s="36"/>
      <c r="O236" s="36"/>
      <c r="P236" s="232"/>
      <c r="Q236" s="36"/>
      <c r="R236" s="232"/>
      <c r="S236" s="10" t="str">
        <f>$S$1</f>
        <v>Réalisé AAJ, Février 2025</v>
      </c>
      <c r="T236" s="232"/>
      <c r="U236" s="36"/>
      <c r="V236" s="38"/>
      <c r="W236" s="38"/>
      <c r="X236" s="38"/>
      <c r="Y236" s="38"/>
      <c r="Z236" s="38"/>
      <c r="AA236" s="38"/>
      <c r="AB236" s="38"/>
      <c r="AC236" s="38"/>
      <c r="AD236" s="38"/>
      <c r="AE236" s="38"/>
      <c r="AF236" s="38"/>
      <c r="AG236" s="38"/>
      <c r="AH236" s="38"/>
      <c r="AI236" s="38"/>
      <c r="AJ236" s="38"/>
      <c r="AK236" s="38"/>
      <c r="AL236" s="38"/>
      <c r="AM236" s="38"/>
      <c r="AN236" s="38"/>
    </row>
    <row r="237" spans="1:40" ht="24" customHeight="1">
      <c r="B237" s="41"/>
      <c r="C237" s="37"/>
      <c r="D237" s="38"/>
      <c r="E237" s="38"/>
      <c r="F237" s="38"/>
      <c r="G237" s="38"/>
      <c r="H237" s="38"/>
      <c r="I237" s="38"/>
      <c r="J237" s="38"/>
      <c r="K237" s="38"/>
      <c r="L237" s="38"/>
      <c r="M237" s="38"/>
      <c r="N237" s="38"/>
      <c r="O237" s="38"/>
      <c r="P237" s="38"/>
      <c r="Q237" s="38"/>
      <c r="R237" s="38"/>
      <c r="S237" s="38"/>
      <c r="T237" s="38"/>
      <c r="U237" s="38"/>
      <c r="V237" s="36"/>
      <c r="W237" s="36"/>
      <c r="X237" s="36"/>
      <c r="Y237" s="36"/>
      <c r="Z237" s="36"/>
      <c r="AA237" s="36"/>
      <c r="AB237" s="36"/>
      <c r="AC237" s="36"/>
      <c r="AD237" s="36"/>
      <c r="AE237" s="36"/>
      <c r="AF237" s="36"/>
      <c r="AG237" s="36"/>
      <c r="AH237" s="36"/>
      <c r="AI237" s="36"/>
      <c r="AJ237" s="36"/>
      <c r="AK237" s="36"/>
      <c r="AL237" s="36"/>
      <c r="AM237" s="36"/>
      <c r="AN237" s="36"/>
    </row>
    <row r="238" spans="1:40" ht="15.75" customHeight="1">
      <c r="B238" s="41"/>
      <c r="C238" s="238"/>
      <c r="D238" s="1239" t="s">
        <v>343</v>
      </c>
      <c r="E238" s="1240"/>
      <c r="F238" s="1241"/>
      <c r="G238" s="1242"/>
      <c r="H238" s="1240"/>
      <c r="I238" s="1241"/>
      <c r="J238" s="1242" t="s">
        <v>344</v>
      </c>
      <c r="K238" s="1240"/>
      <c r="L238" s="1241"/>
      <c r="M238" s="1242" t="s">
        <v>3310</v>
      </c>
      <c r="N238" s="1241"/>
      <c r="O238" s="1239" t="s">
        <v>345</v>
      </c>
      <c r="P238" s="1240"/>
      <c r="Q238" s="1241"/>
      <c r="R238" s="1243" t="s">
        <v>3312</v>
      </c>
      <c r="S238" s="1244"/>
      <c r="T238" s="356"/>
      <c r="U238" s="41"/>
      <c r="V238" s="38"/>
      <c r="W238" s="38"/>
      <c r="X238" s="38"/>
      <c r="Y238" s="38"/>
      <c r="Z238" s="38"/>
      <c r="AA238" s="38"/>
      <c r="AB238" s="38"/>
      <c r="AC238" s="38"/>
      <c r="AD238" s="38"/>
      <c r="AE238" s="38"/>
      <c r="AF238" s="38"/>
      <c r="AG238" s="38"/>
      <c r="AH238" s="38"/>
      <c r="AI238" s="38"/>
      <c r="AJ238" s="38"/>
      <c r="AK238" s="38"/>
      <c r="AL238" s="38"/>
      <c r="AM238" s="38"/>
      <c r="AN238" s="38"/>
    </row>
    <row r="239" spans="1:40" ht="15.75" customHeight="1">
      <c r="A239" s="5" t="str">
        <f t="shared" ref="A239:A284" si="63">+B239&amp;C239</f>
        <v>Carrosserie</v>
      </c>
      <c r="B239" s="41" t="s">
        <v>176</v>
      </c>
      <c r="C239" s="253"/>
      <c r="D239" s="39" t="s">
        <v>162</v>
      </c>
      <c r="E239" s="39" t="s">
        <v>163</v>
      </c>
      <c r="F239" s="340" t="s">
        <v>95</v>
      </c>
      <c r="G239" s="341"/>
      <c r="H239" s="39"/>
      <c r="I239" s="340"/>
      <c r="J239" s="341" t="s">
        <v>162</v>
      </c>
      <c r="K239" s="39" t="s">
        <v>163</v>
      </c>
      <c r="L239" s="340" t="s">
        <v>95</v>
      </c>
      <c r="M239" s="341" t="s">
        <v>162</v>
      </c>
      <c r="N239" s="340" t="s">
        <v>3311</v>
      </c>
      <c r="O239" s="39" t="s">
        <v>162</v>
      </c>
      <c r="P239" s="39" t="s">
        <v>163</v>
      </c>
      <c r="Q239" s="340" t="s">
        <v>95</v>
      </c>
      <c r="R239" s="341" t="s">
        <v>458</v>
      </c>
      <c r="S239" s="340" t="s">
        <v>95</v>
      </c>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tr">
        <f t="shared" si="63"/>
        <v>Carrosserie</v>
      </c>
      <c r="B240" s="41" t="s">
        <v>176</v>
      </c>
      <c r="C240" s="253"/>
      <c r="D240" s="39"/>
      <c r="E240" s="39"/>
      <c r="F240" s="340"/>
      <c r="G240" s="341"/>
      <c r="H240" s="39"/>
      <c r="I240" s="340"/>
      <c r="J240" s="341"/>
      <c r="K240" s="254"/>
      <c r="L240" s="256"/>
      <c r="M240" s="341"/>
      <c r="N240" s="340"/>
      <c r="O240" s="39"/>
      <c r="P240" s="39"/>
      <c r="Q240" s="340"/>
      <c r="R240" s="341"/>
      <c r="S240" s="340"/>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tr">
        <f t="shared" si="63"/>
        <v>CarrosserieM/O Sous-traitement</v>
      </c>
      <c r="B241" s="41" t="s">
        <v>176</v>
      </c>
      <c r="C241" s="253" t="s">
        <v>177</v>
      </c>
      <c r="D241" s="39" cm="1">
        <f t="array" ref="D241">+SUMPRODUCT(('Budget original'!$A$8:$A$501=$A241)*('Budget original'!$C$3:$AO$3=D$2),'Budget original'!$C$8:$AO$501)</f>
        <v>0</v>
      </c>
      <c r="E241" s="291" cm="1">
        <f t="array" ref="E241">+SUMPRODUCT(('Budget original'!$A$8:$A$501=$A241)*('Budget original'!$C$3:$AO$3=E$2),'Budget original'!$C$8:$AO$501)</f>
        <v>66000</v>
      </c>
      <c r="F241" s="291" cm="1">
        <f t="array" ref="F241">+SUMPRODUCT(('Budget original'!$A$8:$A$501=$A241)*('Budget original'!$C$3:$AO$3=F$2),'Budget original'!$C$8:$AO$501)</f>
        <v>14520.000000000002</v>
      </c>
      <c r="G241" s="322"/>
      <c r="H241" s="291"/>
      <c r="I241" s="291"/>
      <c r="J241" s="277">
        <f>-SUMIFS(BV_Data_An_Cour!$P:$P,BV_Data_An_Cour!$U:$U,$B241,BV_Data_An_Cour!$V:$V,$C241,BV_Data_An_Cour!$W:$W,J$2)</f>
        <v>17</v>
      </c>
      <c r="K241" s="254">
        <f>-SUMIFS(BV_Data_An_Cour!$P:$P,BV_Data_An_Cour!$X:$X,"Oui",BV_Data_An_Cour!$U:$U,$B241,BV_Data_An_Cour!$V:$V,$C241)</f>
        <v>32533.25</v>
      </c>
      <c r="L241" s="256">
        <f>-SUMIFS(BV_Data_An_Cour!$P:$P,BV_Data_An_Cour!$U:$U,$B241,BV_Data_An_Cour!$V:$V,$C241,BV_Data_An_Cour!$W:$W,$L$2)</f>
        <v>7185.4699999999984</v>
      </c>
      <c r="M241" s="292">
        <f>IFERROR((K241-E241)/E241,0)</f>
        <v>-0.50707196969696966</v>
      </c>
      <c r="N241" s="276">
        <f>L241-F241</f>
        <v>-7334.5300000000034</v>
      </c>
      <c r="O241" s="277" cm="1">
        <f t="array" ref="O241">+SUMPRODUCT(('Réel 2024'!$A$8:$A$501=$A241)*('Réel 2024'!$C$3:$AO$3=O$2),'Réel 2024'!$C$8:$AO$501)</f>
        <v>79</v>
      </c>
      <c r="P241" s="254" cm="1">
        <f t="array" ref="P241">+SUMPRODUCT(('Réel 2024'!$A$8:$A$501=$A241)*('Réel 2024'!$C$3:$AO$3=P$2),'Réel 2024'!$C$8:$AO$501)</f>
        <v>172155.06</v>
      </c>
      <c r="Q241" s="256" cm="1">
        <f t="array" ref="Q241">+SUMPRODUCT(('Réel 2024'!$A$8:$A$501=$A241)*('Réel 2024'!$C$3:$AO$3=Q$2),'Réel 2024'!$C$8:$AO$501)</f>
        <v>25543.399999999998</v>
      </c>
      <c r="R241" s="292">
        <f>IF(O241=0,0,J241/O241)</f>
        <v>0.21518987341772153</v>
      </c>
      <c r="S241" s="276">
        <f>L241-Q241</f>
        <v>-18357.93</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tr">
        <f t="shared" si="63"/>
        <v>Carrosserie% profit / ventes</v>
      </c>
      <c r="B242" s="41" t="s">
        <v>176</v>
      </c>
      <c r="C242" s="253" t="s">
        <v>165</v>
      </c>
      <c r="D242" s="39"/>
      <c r="E242" s="349"/>
      <c r="F242" s="362">
        <f>IFERROR(F241/E241,0)</f>
        <v>0.22000000000000003</v>
      </c>
      <c r="G242" s="253"/>
      <c r="H242" s="349"/>
      <c r="I242" s="362"/>
      <c r="J242" s="277"/>
      <c r="K242" s="41"/>
      <c r="L242" s="362">
        <f>IFERROR(L241/K241,0)</f>
        <v>0.22086542229872511</v>
      </c>
      <c r="M242" s="292"/>
      <c r="N242" s="276">
        <f>IFERROR(N241/M241,0)</f>
        <v>14464.475337461818</v>
      </c>
      <c r="O242" s="277"/>
      <c r="P242" s="41"/>
      <c r="Q242" s="362">
        <f>IFERROR(Q241/P241,0)</f>
        <v>0.14837437830755598</v>
      </c>
      <c r="R242" s="277"/>
      <c r="S242" s="276">
        <f>IFERROR(S241/R241,0)</f>
        <v>-85310.38058823529</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tr">
        <f t="shared" si="63"/>
        <v>Carrosserie</v>
      </c>
      <c r="B243" s="41" t="s">
        <v>176</v>
      </c>
      <c r="C243" s="253"/>
      <c r="D243" s="39"/>
      <c r="E243" s="401"/>
      <c r="F243" s="343"/>
      <c r="G243" s="341"/>
      <c r="H243" s="401"/>
      <c r="I243" s="343"/>
      <c r="J243" s="341"/>
      <c r="K243" s="39"/>
      <c r="L243" s="340"/>
      <c r="M243" s="341"/>
      <c r="N243" s="340"/>
      <c r="O243" s="341"/>
      <c r="P243" s="39"/>
      <c r="Q243" s="340"/>
      <c r="R243" s="342"/>
      <c r="S243" s="340"/>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tr">
        <f t="shared" si="63"/>
        <v>CarrosserieM/O Carrosserie</v>
      </c>
      <c r="B244" s="41" t="s">
        <v>176</v>
      </c>
      <c r="C244" s="241" t="s">
        <v>178</v>
      </c>
      <c r="D244" s="315" cm="1">
        <f t="array" ref="D244">+SUMPRODUCT(('Budget original'!$A$8:$A$501=$A244)*('Budget original'!$C$3:$AO$3=D$2),'Budget original'!$C$8:$AO$501)</f>
        <v>0</v>
      </c>
      <c r="E244" s="291" cm="1">
        <f t="array" ref="E244">+SUMPRODUCT(('Budget original'!$A$8:$A$501=$A244)*('Budget original'!$C$3:$AO$3=E$2),'Budget original'!$C$8:$AO$501)</f>
        <v>0</v>
      </c>
      <c r="F244" s="291" cm="1">
        <f t="array" ref="F244">+SUMPRODUCT(('Budget original'!$A$8:$A$501=$A244)*('Budget original'!$C$3:$AO$3=F$2),'Budget original'!$C$8:$AO$501)</f>
        <v>0</v>
      </c>
      <c r="G244" s="402"/>
      <c r="H244" s="291"/>
      <c r="I244" s="291"/>
      <c r="J244" s="367">
        <f>SUMIFS(BV_Data_An_Cour!$C$1:$C$386,BV_Data_An_Cour!$V$1:$V$386,$C244,BV_Data_An_Cour!$U$1:$U$386,$K$236)</f>
        <v>0</v>
      </c>
      <c r="K244" s="271">
        <f>-SUMIFS(BV_Data_An_Cour!$P:$P,BV_Data_An_Cour!$X:$X,"Oui",BV_Data_An_Cour!$U:$U,$B244,BV_Data_An_Cour!$V:$V,$C244)</f>
        <v>0</v>
      </c>
      <c r="L244" s="272">
        <f>-SUMIFS(BV_Data_An_Cour!$P:$P,BV_Data_An_Cour!$U:$U,$B244,BV_Data_An_Cour!$V:$V,$C244,BV_Data_An_Cour!$W:$W,$L$2)</f>
        <v>0</v>
      </c>
      <c r="M244" s="371">
        <f>IFERROR((K244-E244)/E244,0)</f>
        <v>0</v>
      </c>
      <c r="N244" s="317">
        <f>L244-F244</f>
        <v>0</v>
      </c>
      <c r="O244" s="367" cm="1">
        <f t="array" ref="O244">+SUMPRODUCT(('Réel 2024'!$A$8:$A$501=$A244)*('Réel 2024'!$C$3:$AO$3=O$2),'Réel 2024'!$C$8:$AO$501)</f>
        <v>0</v>
      </c>
      <c r="P244" s="271" cm="1">
        <f t="array" ref="P244">+SUMPRODUCT(('Réel 2024'!$A$8:$A$501=$A244)*('Réel 2024'!$C$3:$AO$3=P$2),'Réel 2024'!$C$8:$AO$501)</f>
        <v>0</v>
      </c>
      <c r="Q244" s="272" cm="1">
        <f t="array" ref="Q244">+SUMPRODUCT(('Réel 2024'!$A$8:$A$501=$A244)*('Réel 2024'!$C$3:$AO$3=Q$2),'Réel 2024'!$C$8:$AO$501)</f>
        <v>0</v>
      </c>
      <c r="R244" s="292">
        <f>IF(O244=0,0,J244/O244)</f>
        <v>0</v>
      </c>
      <c r="S244" s="317">
        <f>L244-Q244</f>
        <v>0</v>
      </c>
      <c r="T244" s="353"/>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tr">
        <f t="shared" si="63"/>
        <v>Carrosserie% profit / ventes</v>
      </c>
      <c r="B245" s="41" t="s">
        <v>176</v>
      </c>
      <c r="C245" s="253" t="s">
        <v>165</v>
      </c>
      <c r="D245" s="41"/>
      <c r="E245" s="349"/>
      <c r="F245" s="362">
        <f>IFERROR(F244/E244,0)</f>
        <v>0</v>
      </c>
      <c r="G245" s="253"/>
      <c r="H245" s="349"/>
      <c r="I245" s="362"/>
      <c r="J245" s="277"/>
      <c r="K245" s="41"/>
      <c r="L245" s="362">
        <f>IFERROR(L244/K244,0)</f>
        <v>0</v>
      </c>
      <c r="M245" s="292"/>
      <c r="N245" s="276">
        <f>IFERROR(N244/F244,0)</f>
        <v>0</v>
      </c>
      <c r="O245" s="277"/>
      <c r="P245" s="41"/>
      <c r="Q245" s="362">
        <f>IFERROR(Q244/P244,0)</f>
        <v>0</v>
      </c>
      <c r="R245" s="277"/>
      <c r="S245" s="276">
        <f>IF(Q244=0,0,S244/Q244)</f>
        <v>0</v>
      </c>
      <c r="T245" s="353"/>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tr">
        <f t="shared" si="63"/>
        <v>Carrosserie</v>
      </c>
      <c r="B246" s="41" t="s">
        <v>176</v>
      </c>
      <c r="C246" s="246"/>
      <c r="D246" s="318"/>
      <c r="E246" s="403"/>
      <c r="F246" s="364"/>
      <c r="G246" s="246"/>
      <c r="H246" s="403"/>
      <c r="I246" s="364"/>
      <c r="J246" s="365"/>
      <c r="K246" s="404"/>
      <c r="L246" s="364"/>
      <c r="M246" s="295"/>
      <c r="N246" s="296"/>
      <c r="O246" s="365"/>
      <c r="P246" s="404"/>
      <c r="Q246" s="364"/>
      <c r="R246" s="365"/>
      <c r="S246" s="296"/>
      <c r="T246" s="353"/>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tr">
        <f t="shared" si="63"/>
        <v>CarrosserieM/O Esthétique Carr.</v>
      </c>
      <c r="B247" s="41" t="s">
        <v>176</v>
      </c>
      <c r="C247" s="241" t="s">
        <v>179</v>
      </c>
      <c r="D247" s="366" cm="1">
        <f t="array" ref="D247">+SUMPRODUCT(('Budget original'!$A$8:$A$501=$A247)*('Budget original'!$C$3:$AO$3=D$2),'Budget original'!$C$8:$AO$501)</f>
        <v>0</v>
      </c>
      <c r="E247" s="291" cm="1">
        <f t="array" ref="E247">+SUMPRODUCT(('Budget original'!$A$8:$A$501=$A247)*('Budget original'!$C$3:$AO$3=E$2),'Budget original'!$C$8:$AO$501)</f>
        <v>0</v>
      </c>
      <c r="F247" s="291" cm="1">
        <f t="array" ref="F247">+SUMPRODUCT(('Budget original'!$A$8:$A$501=$A247)*('Budget original'!$C$3:$AO$3=F$2),'Budget original'!$C$8:$AO$501)</f>
        <v>0</v>
      </c>
      <c r="G247" s="367"/>
      <c r="H247" s="291"/>
      <c r="I247" s="291"/>
      <c r="J247" s="367">
        <f>SUMIFS(BV_Data_An_Cour!$C$1:$C$386,BV_Data_An_Cour!$V$1:$V$386,$C247,BV_Data_An_Cour!$U$1:$U$386,$K$236)</f>
        <v>0</v>
      </c>
      <c r="K247" s="254">
        <f>-SUMIFS(BV_Data_An_Cour!$P:$P,BV_Data_An_Cour!$X:$X,"Oui",BV_Data_An_Cour!$U:$U,$B247,BV_Data_An_Cour!$V:$V,$C247)</f>
        <v>0</v>
      </c>
      <c r="L247" s="256">
        <f>-SUMIFS(BV_Data_An_Cour!$P:$P,BV_Data_An_Cour!$U:$U,$B247,BV_Data_An_Cour!$V:$V,$C247,BV_Data_An_Cour!$W:$W,$L$2)</f>
        <v>0</v>
      </c>
      <c r="M247" s="292">
        <f>IFERROR((K247-E247)/E247,0)</f>
        <v>0</v>
      </c>
      <c r="N247" s="317">
        <f>L247-F247</f>
        <v>0</v>
      </c>
      <c r="O247" s="367" cm="1">
        <f t="array" ref="O247">+SUMPRODUCT(('Réel 2024'!$A$8:$A$501=$A247)*('Réel 2024'!$C$3:$AO$3=O$2),'Réel 2024'!$C$8:$AO$501)</f>
        <v>0</v>
      </c>
      <c r="P247" s="254" cm="1">
        <f t="array" ref="P247">+SUMPRODUCT(('Réel 2024'!$A$8:$A$501=$A247)*('Réel 2024'!$C$3:$AO$3=P$2),'Réel 2024'!$C$8:$AO$501)</f>
        <v>0</v>
      </c>
      <c r="Q247" s="256" cm="1">
        <f t="array" ref="Q247">+SUMPRODUCT(('Réel 2024'!$A$8:$A$501=$A247)*('Réel 2024'!$C$3:$AO$3=Q$2),'Réel 2024'!$C$8:$AO$501)</f>
        <v>0</v>
      </c>
      <c r="R247" s="292">
        <f>IF(O247=0,0,J247/O247)</f>
        <v>0</v>
      </c>
      <c r="S247" s="276">
        <f>L247-Q247</f>
        <v>0</v>
      </c>
      <c r="T247" s="353"/>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tr">
        <f t="shared" si="63"/>
        <v>Carrosserie% profit / ventes</v>
      </c>
      <c r="B248" s="41" t="s">
        <v>176</v>
      </c>
      <c r="C248" s="253" t="s">
        <v>165</v>
      </c>
      <c r="D248" s="41"/>
      <c r="E248" s="41"/>
      <c r="F248" s="362">
        <f>IFERROR(F247/E247,0)</f>
        <v>0</v>
      </c>
      <c r="G248" s="253"/>
      <c r="H248" s="41"/>
      <c r="I248" s="362"/>
      <c r="J248" s="253"/>
      <c r="K248" s="41"/>
      <c r="L248" s="362">
        <f>IFERROR(L247/K247,0)</f>
        <v>0</v>
      </c>
      <c r="M248" s="264"/>
      <c r="N248" s="265">
        <f>IF(L247=0,0,N247/L247)</f>
        <v>0</v>
      </c>
      <c r="O248" s="253"/>
      <c r="P248" s="41"/>
      <c r="Q248" s="362">
        <f>IFERROR(Q247/P247,0)</f>
        <v>0</v>
      </c>
      <c r="R248" s="264"/>
      <c r="S248" s="265">
        <f>IF(Q247=0,0,S247/Q247)</f>
        <v>0</v>
      </c>
      <c r="T248" s="353"/>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tr">
        <f t="shared" si="63"/>
        <v>Carrosserie</v>
      </c>
      <c r="B249" s="41" t="s">
        <v>176</v>
      </c>
      <c r="C249" s="253"/>
      <c r="D249" s="41"/>
      <c r="E249" s="41"/>
      <c r="F249" s="362"/>
      <c r="G249" s="253"/>
      <c r="H249" s="41"/>
      <c r="I249" s="362"/>
      <c r="J249" s="253"/>
      <c r="K249" s="41"/>
      <c r="L249" s="362"/>
      <c r="M249" s="264"/>
      <c r="N249" s="265"/>
      <c r="O249" s="253"/>
      <c r="P249" s="41"/>
      <c r="Q249" s="362"/>
      <c r="R249" s="264"/>
      <c r="S249" s="265"/>
      <c r="T249" s="353"/>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customHeight="1">
      <c r="A250" s="5" t="str">
        <f t="shared" si="63"/>
        <v>CarrosserieTotal Mécanique</v>
      </c>
      <c r="B250" s="41" t="s">
        <v>176</v>
      </c>
      <c r="C250" s="278" t="s">
        <v>174</v>
      </c>
      <c r="D250" s="279"/>
      <c r="E250" s="279">
        <f t="shared" ref="E250:F250" si="64">E244+E247+E241</f>
        <v>66000</v>
      </c>
      <c r="F250" s="281">
        <f t="shared" si="64"/>
        <v>14520.000000000002</v>
      </c>
      <c r="G250" s="282"/>
      <c r="H250" s="279"/>
      <c r="I250" s="281"/>
      <c r="J250" s="282"/>
      <c r="K250" s="279">
        <f t="shared" ref="K250:L250" si="65">K244+K247+K241</f>
        <v>32533.25</v>
      </c>
      <c r="L250" s="281">
        <f t="shared" si="65"/>
        <v>7185.4699999999984</v>
      </c>
      <c r="M250" s="399">
        <f>L251-F251</f>
        <v>8.6542229872507703E-4</v>
      </c>
      <c r="N250" s="281">
        <f>L250-F250</f>
        <v>-7334.5300000000034</v>
      </c>
      <c r="O250" s="282"/>
      <c r="P250" s="279">
        <f t="shared" ref="P250:Q250" si="66">P244+P247+P241</f>
        <v>172155.06</v>
      </c>
      <c r="Q250" s="281">
        <f t="shared" si="66"/>
        <v>25543.399999999998</v>
      </c>
      <c r="R250" s="399">
        <f>L251-Q251</f>
        <v>7.2491043991169124E-2</v>
      </c>
      <c r="S250" s="281">
        <f>L250-Q250</f>
        <v>-18357.93</v>
      </c>
      <c r="T250" s="353"/>
      <c r="U250" s="41"/>
      <c r="V250" s="41"/>
      <c r="W250" s="41"/>
      <c r="X250" s="41"/>
      <c r="Y250" s="41"/>
      <c r="Z250" s="41"/>
      <c r="AA250" s="41"/>
      <c r="AB250" s="41"/>
      <c r="AC250" s="41"/>
      <c r="AD250" s="41"/>
      <c r="AE250" s="41"/>
      <c r="AF250" s="41"/>
      <c r="AG250" s="41"/>
      <c r="AH250" s="41"/>
      <c r="AI250" s="41"/>
      <c r="AJ250" s="41"/>
      <c r="AK250" s="41"/>
      <c r="AL250" s="41"/>
      <c r="AM250" s="41"/>
      <c r="AN250" s="41"/>
    </row>
    <row r="251" spans="1:40" ht="23.25" customHeight="1">
      <c r="A251" s="5" t="str">
        <f t="shared" si="63"/>
        <v>Carrosserie</v>
      </c>
      <c r="B251" s="41" t="s">
        <v>176</v>
      </c>
      <c r="C251" s="283"/>
      <c r="D251" s="284"/>
      <c r="E251" s="284"/>
      <c r="F251" s="287">
        <f>F250/E250</f>
        <v>0.22000000000000003</v>
      </c>
      <c r="G251" s="283"/>
      <c r="H251" s="284"/>
      <c r="I251" s="287"/>
      <c r="J251" s="283"/>
      <c r="K251" s="284"/>
      <c r="L251" s="287">
        <f>IF(K250=0,0,L250/K250)</f>
        <v>0.22086542229872511</v>
      </c>
      <c r="M251" s="286"/>
      <c r="N251" s="287">
        <f>N250/F250</f>
        <v>-0.50513292011019306</v>
      </c>
      <c r="O251" s="283"/>
      <c r="P251" s="284"/>
      <c r="Q251" s="287">
        <f>Q250/P250</f>
        <v>0.14837437830755598</v>
      </c>
      <c r="R251" s="286"/>
      <c r="S251" s="287">
        <f>IF(Q250=0,0,(S250/Q250))</f>
        <v>-0.71869563174831863</v>
      </c>
      <c r="T251" s="353"/>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tr">
        <f t="shared" si="63"/>
        <v>Carrosserie</v>
      </c>
      <c r="B252" s="41" t="s">
        <v>176</v>
      </c>
      <c r="C252" s="253"/>
      <c r="D252" s="41"/>
      <c r="E252" s="41"/>
      <c r="F252" s="276"/>
      <c r="G252" s="253"/>
      <c r="H252" s="41"/>
      <c r="I252" s="276"/>
      <c r="J252" s="253"/>
      <c r="K252" s="41"/>
      <c r="L252" s="263"/>
      <c r="M252" s="253"/>
      <c r="N252" s="263"/>
      <c r="O252" s="253"/>
      <c r="P252" s="41"/>
      <c r="Q252" s="263"/>
      <c r="R252" s="253"/>
      <c r="S252" s="263"/>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tr">
        <f t="shared" si="63"/>
        <v>CarrosserieDEPENSES</v>
      </c>
      <c r="B253" s="41" t="s">
        <v>176</v>
      </c>
      <c r="C253" s="289" t="s">
        <v>110</v>
      </c>
      <c r="D253" s="41"/>
      <c r="E253" s="41"/>
      <c r="F253" s="276"/>
      <c r="G253" s="253"/>
      <c r="H253" s="41"/>
      <c r="I253" s="276"/>
      <c r="J253" s="253"/>
      <c r="K253" s="41"/>
      <c r="L253" s="263"/>
      <c r="M253" s="253"/>
      <c r="N253" s="263"/>
      <c r="O253" s="253"/>
      <c r="P253" s="41"/>
      <c r="Q253" s="263"/>
      <c r="R253" s="253"/>
      <c r="S253" s="263"/>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tr">
        <f t="shared" si="63"/>
        <v>CarrosserieSalaires cadres</v>
      </c>
      <c r="B254" s="41" t="s">
        <v>176</v>
      </c>
      <c r="C254" s="312" t="s">
        <v>120</v>
      </c>
      <c r="D254" s="41"/>
      <c r="E254" s="41"/>
      <c r="F254" s="254" cm="1">
        <f t="array" ref="F254">+SUMPRODUCT(('Budget original'!$A$8:$A$501=$A254)*('Budget original'!$C$3:$AO$3=F$2),'Budget original'!$C$8:$AO$501)</f>
        <v>668.98125000000005</v>
      </c>
      <c r="G254" s="253"/>
      <c r="H254" s="41"/>
      <c r="I254" s="254"/>
      <c r="J254" s="253"/>
      <c r="K254" s="41"/>
      <c r="L254" s="256">
        <f>SUMIFS(BV_Data_An_Cour!$P:$P,BV_Data_An_Cour!$U:$U,$B254,BV_Data_An_Cour!$V:$V,$C254,BV_Data_An_Cour!$W:$W,$L$2)</f>
        <v>1803.76</v>
      </c>
      <c r="M254" s="253"/>
      <c r="N254" s="276">
        <f t="shared" ref="N254:N284" si="67">L254-F254</f>
        <v>1134.7787499999999</v>
      </c>
      <c r="O254" s="253"/>
      <c r="P254" s="41"/>
      <c r="Q254" s="256" cm="1">
        <f t="array" ref="Q254">+SUMPRODUCT(('Réel 2024'!$A$8:$A$501=$A254)*('Réel 2024'!$C$3:$AO$3=Q$2),'Réel 2024'!$C$8:$AO$501)</f>
        <v>1803.76</v>
      </c>
      <c r="R254" s="253"/>
      <c r="S254" s="256">
        <f t="shared" ref="S254:S285" si="68">L254-Q254</f>
        <v>0</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tr">
        <f t="shared" si="63"/>
        <v>CarrosserieSalaires commis</v>
      </c>
      <c r="B255" s="41" t="s">
        <v>176</v>
      </c>
      <c r="C255" s="313" t="s">
        <v>121</v>
      </c>
      <c r="D255" s="297"/>
      <c r="E255" s="41"/>
      <c r="F255" s="248" cm="1">
        <f t="array" ref="F255">+SUMPRODUCT(('Budget original'!$A$8:$A$501=$A255)*('Budget original'!$C$3:$AO$3=F$2),'Budget original'!$C$8:$AO$501)</f>
        <v>10775.185384615383</v>
      </c>
      <c r="G255" s="298"/>
      <c r="H255" s="41"/>
      <c r="I255" s="248"/>
      <c r="J255" s="253"/>
      <c r="K255" s="41"/>
      <c r="L255" s="256">
        <f>SUMIFS(BV_Data_An_Cour!$P:$P,BV_Data_An_Cour!$U:$U,$B255,BV_Data_An_Cour!$V:$V,$C255,BV_Data_An_Cour!$W:$W,$L$2)</f>
        <v>7029.38</v>
      </c>
      <c r="M255" s="253"/>
      <c r="N255" s="276">
        <f t="shared" si="67"/>
        <v>-3745.8053846153825</v>
      </c>
      <c r="O255" s="253"/>
      <c r="P255" s="41"/>
      <c r="Q255" s="256" cm="1">
        <f t="array" ref="Q255">+SUMPRODUCT(('Réel 2024'!$A$8:$A$501=$A255)*('Réel 2024'!$C$3:$AO$3=Q$2),'Réel 2024'!$C$8:$AO$501)</f>
        <v>9053.25</v>
      </c>
      <c r="R255" s="253"/>
      <c r="S255" s="276">
        <f t="shared" si="68"/>
        <v>-2023.87</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tr">
        <f t="shared" si="63"/>
        <v>CarrosserieSalaires autres</v>
      </c>
      <c r="B256" s="41" t="s">
        <v>176</v>
      </c>
      <c r="C256" s="312" t="s">
        <v>122</v>
      </c>
      <c r="D256" s="314"/>
      <c r="E256" s="315"/>
      <c r="F256" s="254" cm="1">
        <f t="array" ref="F256">+SUMPRODUCT(('Budget original'!$A$8:$A$501=$A256)*('Budget original'!$C$3:$AO$3=F$2),'Budget original'!$C$8:$AO$501)</f>
        <v>39.444230769230771</v>
      </c>
      <c r="G256" s="316"/>
      <c r="H256" s="315"/>
      <c r="I256" s="254"/>
      <c r="J256" s="241"/>
      <c r="K256" s="315"/>
      <c r="L256" s="272">
        <f>SUMIFS(BV_Data_An_Cour!$P:$P,BV_Data_An_Cour!$U:$U,$B256,BV_Data_An_Cour!$V:$V,$C256,BV_Data_An_Cour!$W:$W,$L$2)</f>
        <v>0.16</v>
      </c>
      <c r="M256" s="241"/>
      <c r="N256" s="317">
        <f t="shared" si="67"/>
        <v>-39.284230769230774</v>
      </c>
      <c r="O256" s="241"/>
      <c r="P256" s="315"/>
      <c r="Q256" s="272" cm="1">
        <f t="array" ref="Q256">+SUMPRODUCT(('Réel 2024'!$A$8:$A$501=$A256)*('Réel 2024'!$C$3:$AO$3=Q$2),'Réel 2024'!$C$8:$AO$501)</f>
        <v>0.16</v>
      </c>
      <c r="R256" s="241"/>
      <c r="S256" s="317">
        <f t="shared" si="68"/>
        <v>0</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customHeight="1">
      <c r="A257" s="5" t="str">
        <f t="shared" si="63"/>
        <v>CarrosserieSalaires spécialistes</v>
      </c>
      <c r="B257" s="41" t="s">
        <v>176</v>
      </c>
      <c r="C257" s="312" t="s">
        <v>123</v>
      </c>
      <c r="D257" s="297"/>
      <c r="E257" s="41"/>
      <c r="F257" s="254" cm="1">
        <f t="array" ref="F257">+SUMPRODUCT(('Budget original'!$A$8:$A$501=$A257)*('Budget original'!$C$3:$AO$3=F$2),'Budget original'!$C$8:$AO$501)</f>
        <v>0</v>
      </c>
      <c r="G257" s="298"/>
      <c r="H257" s="41"/>
      <c r="I257" s="254"/>
      <c r="J257" s="253"/>
      <c r="K257" s="41"/>
      <c r="L257" s="256">
        <f>SUMIFS(BV_Data_An_Cour!$P:$P,BV_Data_An_Cour!$U:$U,$B257,BV_Data_An_Cour!$V:$V,$C257,BV_Data_An_Cour!$W:$W,$L$2)</f>
        <v>0</v>
      </c>
      <c r="M257" s="253"/>
      <c r="N257" s="276">
        <f t="shared" si="67"/>
        <v>0</v>
      </c>
      <c r="O257" s="253"/>
      <c r="P257" s="41"/>
      <c r="Q257" s="256" cm="1">
        <f t="array" ref="Q257">+SUMPRODUCT(('Réel 2024'!$A$8:$A$501=$A257)*('Réel 2024'!$C$3:$AO$3=Q$2),'Réel 2024'!$C$8:$AO$501)</f>
        <v>0</v>
      </c>
      <c r="R257" s="253"/>
      <c r="S257" s="276">
        <f t="shared" si="68"/>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tr">
        <f t="shared" si="63"/>
        <v>Carrosserie[...]</v>
      </c>
      <c r="B258" s="41" t="s">
        <v>176</v>
      </c>
      <c r="C258" s="253" t="s">
        <v>59</v>
      </c>
      <c r="D258" s="297"/>
      <c r="E258" s="41"/>
      <c r="F258" s="254" cm="1">
        <f t="array" ref="F258">+SUMPRODUCT(('Budget original'!$A$8:$A$501=$A258)*('Budget original'!$C$3:$AO$3=F$2),'Budget original'!$C$8:$AO$501)</f>
        <v>0</v>
      </c>
      <c r="G258" s="298"/>
      <c r="H258" s="41"/>
      <c r="I258" s="254"/>
      <c r="J258" s="253"/>
      <c r="K258" s="41"/>
      <c r="L258" s="256">
        <f>SUMIFS(BV_Data_An_Cour!$P:$P,BV_Data_An_Cour!$U:$U,$B258,BV_Data_An_Cour!$V:$V,$C258,BV_Data_An_Cour!$W:$W,$L$2)</f>
        <v>0</v>
      </c>
      <c r="M258" s="253"/>
      <c r="N258" s="276">
        <f t="shared" si="67"/>
        <v>0</v>
      </c>
      <c r="O258" s="253"/>
      <c r="P258" s="41"/>
      <c r="Q258" s="256" cm="1">
        <f t="array" ref="Q258">+SUMPRODUCT(('Réel 2024'!$A$8:$A$501=$A258)*('Réel 2024'!$C$3:$AO$3=Q$2),'Réel 2024'!$C$8:$AO$501)</f>
        <v>0</v>
      </c>
      <c r="R258" s="253"/>
      <c r="S258" s="276">
        <f t="shared" si="68"/>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tr">
        <f t="shared" si="63"/>
        <v>Carrosserie[...]</v>
      </c>
      <c r="B259" s="41" t="s">
        <v>176</v>
      </c>
      <c r="C259" s="253" t="s">
        <v>59</v>
      </c>
      <c r="D259" s="297"/>
      <c r="E259" s="41"/>
      <c r="F259" s="254" cm="1">
        <f t="array" ref="F259">+SUMPRODUCT(('Budget original'!$A$8:$A$501=$A259)*('Budget original'!$C$3:$AO$3=F$2),'Budget original'!$C$8:$AO$501)</f>
        <v>0</v>
      </c>
      <c r="G259" s="298"/>
      <c r="H259" s="41"/>
      <c r="I259" s="254"/>
      <c r="J259" s="253"/>
      <c r="K259" s="41"/>
      <c r="L259" s="256">
        <f>SUMIFS(BV_Data_An_Cour!$P:$P,BV_Data_An_Cour!$U:$U,$B259,BV_Data_An_Cour!$V:$V,$C259,BV_Data_An_Cour!$W:$W,$L$2)</f>
        <v>0</v>
      </c>
      <c r="M259" s="253"/>
      <c r="N259" s="276">
        <f t="shared" si="67"/>
        <v>0</v>
      </c>
      <c r="O259" s="253"/>
      <c r="P259" s="41"/>
      <c r="Q259" s="256" cm="1">
        <f t="array" ref="Q259">+SUMPRODUCT(('Réel 2024'!$A$8:$A$501=$A259)*('Réel 2024'!$C$3:$AO$3=Q$2),'Réel 2024'!$C$8:$AO$501)</f>
        <v>0</v>
      </c>
      <c r="R259" s="253"/>
      <c r="S259" s="276">
        <f t="shared" si="68"/>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tr">
        <f t="shared" si="63"/>
        <v>Carrosserie[...]</v>
      </c>
      <c r="B260" s="41" t="s">
        <v>176</v>
      </c>
      <c r="C260" s="253" t="s">
        <v>59</v>
      </c>
      <c r="D260" s="297"/>
      <c r="E260" s="41"/>
      <c r="F260" s="254" cm="1">
        <f t="array" ref="F260">+SUMPRODUCT(('Budget original'!$A$8:$A$501=$A260)*('Budget original'!$C$3:$AO$3=F$2),'Budget original'!$C$8:$AO$501)</f>
        <v>0</v>
      </c>
      <c r="G260" s="298"/>
      <c r="H260" s="41"/>
      <c r="I260" s="254"/>
      <c r="J260" s="253"/>
      <c r="K260" s="41"/>
      <c r="L260" s="256">
        <f>SUMIFS(BV_Data_An_Cour!$P:$P,BV_Data_An_Cour!$U:$U,$B260,BV_Data_An_Cour!$V:$V,$C260,BV_Data_An_Cour!$W:$W,$L$2)</f>
        <v>0</v>
      </c>
      <c r="M260" s="253"/>
      <c r="N260" s="276">
        <f t="shared" si="67"/>
        <v>0</v>
      </c>
      <c r="O260" s="253"/>
      <c r="P260" s="41"/>
      <c r="Q260" s="256" cm="1">
        <f t="array" ref="Q260">+SUMPRODUCT(('Réel 2024'!$A$8:$A$501=$A260)*('Réel 2024'!$C$3:$AO$3=Q$2),'Réel 2024'!$C$8:$AO$501)</f>
        <v>0</v>
      </c>
      <c r="R260" s="253"/>
      <c r="S260" s="276">
        <f t="shared" si="68"/>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tr">
        <f t="shared" si="63"/>
        <v>CarrosserieSalaires en absences</v>
      </c>
      <c r="B261" s="41" t="s">
        <v>176</v>
      </c>
      <c r="C261" s="313" t="s">
        <v>124</v>
      </c>
      <c r="D261" s="297"/>
      <c r="E261" s="41"/>
      <c r="F261" s="248" cm="1">
        <f t="array" ref="F261">+SUMPRODUCT(('Budget original'!$A$8:$A$501=$A261)*('Budget original'!$C$3:$AO$3=F$2),'Budget original'!$C$8:$AO$501)</f>
        <v>1379.5603380288458</v>
      </c>
      <c r="G261" s="298"/>
      <c r="H261" s="41"/>
      <c r="I261" s="248"/>
      <c r="J261" s="253"/>
      <c r="K261" s="41"/>
      <c r="L261" s="256">
        <f>SUMIFS(BV_Data_An_Cour!$P:$P,BV_Data_An_Cour!$U:$U,$B261,BV_Data_An_Cour!$V:$V,$C261,BV_Data_An_Cour!$W:$W,$L$2)</f>
        <v>768.98</v>
      </c>
      <c r="M261" s="253"/>
      <c r="N261" s="276">
        <f t="shared" si="67"/>
        <v>-610.58033802884574</v>
      </c>
      <c r="O261" s="253"/>
      <c r="P261" s="41"/>
      <c r="Q261" s="256" cm="1">
        <f t="array" ref="Q261">+SUMPRODUCT(('Réel 2024'!$A$8:$A$501=$A261)*('Réel 2024'!$C$3:$AO$3=Q$2),'Réel 2024'!$C$8:$AO$501)</f>
        <v>1595.94</v>
      </c>
      <c r="R261" s="253"/>
      <c r="S261" s="276">
        <f t="shared" si="68"/>
        <v>-826.96</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tr">
        <f t="shared" si="63"/>
        <v>CarrosserieDéduction à la source</v>
      </c>
      <c r="B262" s="41" t="s">
        <v>176</v>
      </c>
      <c r="C262" s="312" t="s">
        <v>125</v>
      </c>
      <c r="D262" s="314"/>
      <c r="E262" s="315"/>
      <c r="F262" s="254" cm="1">
        <f t="array" ref="F262">+SUMPRODUCT(('Budget original'!$A$8:$A$501=$A262)*('Budget original'!$C$3:$AO$3=F$2),'Budget original'!$C$8:$AO$501)</f>
        <v>1677.350895576923</v>
      </c>
      <c r="G262" s="316"/>
      <c r="H262" s="315"/>
      <c r="I262" s="254"/>
      <c r="J262" s="241"/>
      <c r="K262" s="315"/>
      <c r="L262" s="272">
        <f>SUMIFS(BV_Data_An_Cour!$P:$P,BV_Data_An_Cour!$U:$U,$B262,BV_Data_An_Cour!$V:$V,$C262,BV_Data_An_Cour!$W:$W,$L$2)</f>
        <v>3029.54</v>
      </c>
      <c r="M262" s="241"/>
      <c r="N262" s="317">
        <f t="shared" si="67"/>
        <v>1352.189104423077</v>
      </c>
      <c r="O262" s="241"/>
      <c r="P262" s="315"/>
      <c r="Q262" s="272" cm="1">
        <f t="array" ref="Q262">+SUMPRODUCT(('Réel 2024'!$A$8:$A$501=$A262)*('Réel 2024'!$C$3:$AO$3=Q$2),'Réel 2024'!$C$8:$AO$501)</f>
        <v>3311.0699999999997</v>
      </c>
      <c r="R262" s="241"/>
      <c r="S262" s="317">
        <f t="shared" si="68"/>
        <v>-281.52999999999975</v>
      </c>
      <c r="T262" s="41"/>
      <c r="U262" s="254"/>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tr">
        <f t="shared" si="63"/>
        <v>CarrosserieBénéfices marginaux</v>
      </c>
      <c r="B263" s="41" t="s">
        <v>176</v>
      </c>
      <c r="C263" s="312" t="s">
        <v>126</v>
      </c>
      <c r="D263" s="297"/>
      <c r="E263" s="41"/>
      <c r="F263" s="254" cm="1">
        <f t="array" ref="F263">+SUMPRODUCT(('Budget original'!$A$8:$A$501=$A263)*('Budget original'!$C$3:$AO$3=F$2),'Budget original'!$C$8:$AO$501)</f>
        <v>864.20035272115365</v>
      </c>
      <c r="G263" s="298"/>
      <c r="H263" s="41"/>
      <c r="I263" s="254"/>
      <c r="J263" s="253"/>
      <c r="K263" s="41"/>
      <c r="L263" s="256">
        <f>SUMIFS(BV_Data_An_Cour!$P:$P,BV_Data_An_Cour!$U:$U,$B263,BV_Data_An_Cour!$V:$V,$C263,BV_Data_An_Cour!$W:$W,$L$2)</f>
        <v>893.25</v>
      </c>
      <c r="M263" s="253"/>
      <c r="N263" s="276">
        <f t="shared" si="67"/>
        <v>29.049647278846351</v>
      </c>
      <c r="O263" s="253"/>
      <c r="P263" s="41"/>
      <c r="Q263" s="256" cm="1">
        <f t="array" ref="Q263">+SUMPRODUCT(('Réel 2024'!$A$8:$A$501=$A263)*('Réel 2024'!$C$3:$AO$3=Q$2),'Réel 2024'!$C$8:$AO$501)</f>
        <v>943.35</v>
      </c>
      <c r="R263" s="253"/>
      <c r="S263" s="276">
        <f t="shared" si="68"/>
        <v>-50.100000000000023</v>
      </c>
      <c r="T263" s="41"/>
      <c r="U263" s="254"/>
      <c r="V263" s="41"/>
      <c r="W263" s="41"/>
      <c r="X263" s="41"/>
      <c r="Y263" s="41"/>
      <c r="Z263" s="41"/>
      <c r="AA263" s="41"/>
      <c r="AB263" s="41"/>
      <c r="AC263" s="41"/>
      <c r="AD263" s="41"/>
      <c r="AE263" s="41"/>
      <c r="AF263" s="41"/>
      <c r="AG263" s="41"/>
      <c r="AH263" s="41"/>
      <c r="AI263" s="41"/>
      <c r="AJ263" s="41"/>
      <c r="AK263" s="41"/>
      <c r="AL263" s="41"/>
      <c r="AM263" s="41"/>
      <c r="AN263" s="41"/>
    </row>
    <row r="264" spans="1:40" ht="15.75" customHeight="1">
      <c r="A264" s="5" t="str">
        <f t="shared" si="63"/>
        <v>CarrosserieCsst</v>
      </c>
      <c r="B264" s="41" t="s">
        <v>176</v>
      </c>
      <c r="C264" s="312" t="s">
        <v>127</v>
      </c>
      <c r="D264" s="297"/>
      <c r="E264" s="41"/>
      <c r="F264" s="254" cm="1">
        <f t="array" ref="F264">+SUMPRODUCT(('Budget original'!$A$8:$A$501=$A264)*('Budget original'!$C$3:$AO$3=F$2),'Budget original'!$C$8:$AO$501)</f>
        <v>376.79621567307686</v>
      </c>
      <c r="G264" s="298"/>
      <c r="H264" s="41"/>
      <c r="I264" s="254"/>
      <c r="J264" s="253"/>
      <c r="K264" s="41"/>
      <c r="L264" s="256">
        <f>SUMIFS(BV_Data_An_Cour!$P:$P,BV_Data_An_Cour!$U:$U,$B264,BV_Data_An_Cour!$V:$V,$C264,BV_Data_An_Cour!$W:$W,$L$2)</f>
        <v>510.84</v>
      </c>
      <c r="M264" s="253"/>
      <c r="N264" s="276">
        <f t="shared" si="67"/>
        <v>134.04378432692312</v>
      </c>
      <c r="O264" s="253"/>
      <c r="P264" s="41"/>
      <c r="Q264" s="256" cm="1">
        <f t="array" ref="Q264">+SUMPRODUCT(('Réel 2024'!$A$8:$A$501=$A264)*('Réel 2024'!$C$3:$AO$3=Q$2),'Réel 2024'!$C$8:$AO$501)</f>
        <v>374.35</v>
      </c>
      <c r="R264" s="253"/>
      <c r="S264" s="276">
        <f t="shared" si="68"/>
        <v>136.48999999999995</v>
      </c>
      <c r="T264" s="41"/>
      <c r="U264" s="254"/>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tr">
        <f t="shared" si="63"/>
        <v>Carrosserie[...]</v>
      </c>
      <c r="B265" s="41" t="s">
        <v>176</v>
      </c>
      <c r="C265" s="253" t="s">
        <v>59</v>
      </c>
      <c r="D265" s="299"/>
      <c r="E265" s="318"/>
      <c r="F265" s="254">
        <f t="array" ref="F265">+INDEX('Budget original'!$A$2:$AO$501,MATCH($A265,'Budget original'!$A$2:$A$501,0),MATCH(F$2,'Budget original'!$A$2:$AO$2,0))</f>
        <v>0</v>
      </c>
      <c r="G265" s="300"/>
      <c r="H265" s="318"/>
      <c r="I265" s="254"/>
      <c r="J265" s="246"/>
      <c r="K265" s="318"/>
      <c r="L265" s="256">
        <f>SUMIFS(BV_Data_An_Cour!$P:$P,BV_Data_An_Cour!$U:$U,$B265,BV_Data_An_Cour!$V:$V,$C265,BV_Data_An_Cour!$W:$W,$L$2)</f>
        <v>0</v>
      </c>
      <c r="M265" s="246"/>
      <c r="N265" s="296">
        <f t="shared" si="67"/>
        <v>0</v>
      </c>
      <c r="O265" s="246"/>
      <c r="P265" s="318"/>
      <c r="Q265" s="256">
        <f t="array" ref="Q265">+INDEX('Réel 2024'!$A$2:$AO$501,MATCH($A265,'Réel 2024'!$A$2:$A$501,0),MATCH(Q$2,'Réel 2024'!$A$2:$AO$2,0))</f>
        <v>0</v>
      </c>
      <c r="R265" s="246"/>
      <c r="S265" s="296">
        <f t="shared" si="68"/>
        <v>0</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tr">
        <f t="shared" si="63"/>
        <v>CarrosserieTOTAL PERSONNEL</v>
      </c>
      <c r="B266" s="41" t="s">
        <v>176</v>
      </c>
      <c r="C266" s="304" t="s">
        <v>128</v>
      </c>
      <c r="D266" s="305" t="s">
        <v>119</v>
      </c>
      <c r="E266" s="306" t="e">
        <f>F266/F$244</f>
        <v>#DIV/0!</v>
      </c>
      <c r="F266" s="307">
        <f>+SUM(F254:F265)</f>
        <v>15781.518667384616</v>
      </c>
      <c r="G266" s="308"/>
      <c r="H266" s="306"/>
      <c r="I266" s="307"/>
      <c r="J266" s="308" t="s">
        <v>119</v>
      </c>
      <c r="K266" s="306">
        <f>IF(L244=0,0,L266/L$244)</f>
        <v>0</v>
      </c>
      <c r="L266" s="307">
        <f>+SUM(L254:L265)</f>
        <v>14035.91</v>
      </c>
      <c r="M266" s="355"/>
      <c r="N266" s="320">
        <f t="shared" si="67"/>
        <v>-1745.6086673846166</v>
      </c>
      <c r="O266" s="308" t="s">
        <v>119</v>
      </c>
      <c r="P266" s="306" t="e">
        <f>Q266/Q$244</f>
        <v>#DIV/0!</v>
      </c>
      <c r="Q266" s="307">
        <f>+SUM(Q254:Q265)</f>
        <v>17081.879999999997</v>
      </c>
      <c r="R266" s="355"/>
      <c r="S266" s="320">
        <f t="shared" si="68"/>
        <v>-3045.9699999999975</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tr">
        <f t="shared" si="63"/>
        <v>CarrosseriePublicité 2</v>
      </c>
      <c r="B267" s="41" t="s">
        <v>176</v>
      </c>
      <c r="C267" s="406" t="s">
        <v>129</v>
      </c>
      <c r="D267" s="297"/>
      <c r="E267" s="41"/>
      <c r="F267" s="254" cm="1">
        <f t="array" ref="F267">+SUMPRODUCT(('Budget original'!$A$8:$A$501=$A267)*('Budget original'!$C$3:$AO$3=F$2),'Budget original'!$C$8:$AO$501)</f>
        <v>96.666666666666671</v>
      </c>
      <c r="G267" s="298"/>
      <c r="H267" s="41"/>
      <c r="I267" s="254"/>
      <c r="J267" s="253"/>
      <c r="K267" s="41"/>
      <c r="L267" s="256">
        <f>SUMIFS(BV_Data_An_Cour!$P:$P,BV_Data_An_Cour!$U:$U,$B267,BV_Data_An_Cour!$V:$V,$C267,BV_Data_An_Cour!$W:$W,$L$2)</f>
        <v>31.5</v>
      </c>
      <c r="M267" s="253"/>
      <c r="N267" s="276">
        <f t="shared" si="67"/>
        <v>-65.166666666666671</v>
      </c>
      <c r="O267" s="253"/>
      <c r="P267" s="41"/>
      <c r="Q267" s="256" cm="1">
        <f t="array" ref="Q267">+SUMPRODUCT(('Réel 2024'!$A$8:$A$501=$A267)*('Réel 2024'!$C$3:$AO$3=Q$2),'Réel 2024'!$C$8:$AO$501)</f>
        <v>70.400000000000006</v>
      </c>
      <c r="R267" s="253"/>
      <c r="S267" s="276">
        <f t="shared" si="68"/>
        <v>-38.900000000000006</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tr">
        <f t="shared" si="63"/>
        <v>CarrosserieService gratuit 2</v>
      </c>
      <c r="B268" s="41" t="s">
        <v>176</v>
      </c>
      <c r="C268" s="312" t="s">
        <v>130</v>
      </c>
      <c r="D268" s="297"/>
      <c r="E268" s="41"/>
      <c r="F268" s="254" cm="1">
        <f t="array" ref="F268">+SUMPRODUCT(('Budget original'!$A$8:$A$501=$A268)*('Budget original'!$C$3:$AO$3=F$2),'Budget original'!$C$8:$AO$501)</f>
        <v>1123.3559625611422</v>
      </c>
      <c r="G268" s="298"/>
      <c r="H268" s="41"/>
      <c r="I268" s="254"/>
      <c r="J268" s="253"/>
      <c r="K268" s="41"/>
      <c r="L268" s="256">
        <f>SUMIFS(BV_Data_An_Cour!$P:$P,BV_Data_An_Cour!$U:$U,$B268,BV_Data_An_Cour!$V:$V,$C268,BV_Data_An_Cour!$W:$W,$L$2)</f>
        <v>11717.2</v>
      </c>
      <c r="M268" s="253"/>
      <c r="N268" s="276">
        <f t="shared" si="67"/>
        <v>10593.844037438859</v>
      </c>
      <c r="O268" s="253"/>
      <c r="P268" s="41"/>
      <c r="Q268" s="256" cm="1">
        <f t="array" ref="Q268">+SUMPRODUCT(('Réel 2024'!$A$8:$A$501=$A268)*('Réel 2024'!$C$3:$AO$3=Q$2),'Réel 2024'!$C$8:$AO$501)</f>
        <v>1865.59</v>
      </c>
      <c r="R268" s="253"/>
      <c r="S268" s="276">
        <f t="shared" si="68"/>
        <v>9851.61</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tr">
        <f t="shared" si="63"/>
        <v>CarrosserieFrais véhicules de cie</v>
      </c>
      <c r="B269" s="41" t="s">
        <v>176</v>
      </c>
      <c r="C269" s="313" t="s">
        <v>131</v>
      </c>
      <c r="D269" s="299"/>
      <c r="E269" s="318"/>
      <c r="F269" s="248" cm="1">
        <f t="array" ref="F269">+SUMPRODUCT(('Budget original'!$A$8:$A$501=$A269)*('Budget original'!$C$3:$AO$3=F$2),'Budget original'!$C$8:$AO$501)</f>
        <v>249.00720000000001</v>
      </c>
      <c r="G269" s="300"/>
      <c r="H269" s="318"/>
      <c r="I269" s="248"/>
      <c r="J269" s="246"/>
      <c r="K269" s="318"/>
      <c r="L269" s="256">
        <f>SUMIFS(BV_Data_An_Cour!$P:$P,BV_Data_An_Cour!$U:$U,$B269,BV_Data_An_Cour!$V:$V,$C269,BV_Data_An_Cour!$W:$W,$L$2)</f>
        <v>335.68</v>
      </c>
      <c r="M269" s="246"/>
      <c r="N269" s="296">
        <f t="shared" si="67"/>
        <v>86.672799999999995</v>
      </c>
      <c r="O269" s="246"/>
      <c r="P269" s="318"/>
      <c r="Q269" s="256" cm="1">
        <f t="array" ref="Q269">+SUMPRODUCT(('Réel 2024'!$A$8:$A$501=$A269)*('Réel 2024'!$C$3:$AO$3=Q$2),'Réel 2024'!$C$8:$AO$501)</f>
        <v>315.54000000000002</v>
      </c>
      <c r="R269" s="246"/>
      <c r="S269" s="296">
        <f t="shared" si="68"/>
        <v>20.139999999999986</v>
      </c>
      <c r="T269" s="41"/>
      <c r="U269" s="41"/>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tr">
        <f t="shared" si="63"/>
        <v>CarrosserieInformatique</v>
      </c>
      <c r="B270" s="41" t="s">
        <v>176</v>
      </c>
      <c r="C270" s="312" t="s">
        <v>132</v>
      </c>
      <c r="D270" s="297"/>
      <c r="E270" s="41"/>
      <c r="F270" s="254" cm="1">
        <f t="array" ref="F270">+SUMPRODUCT(('Budget original'!$A$8:$A$501=$A270)*('Budget original'!$C$3:$AO$3=F$2),'Budget original'!$C$8:$AO$501)</f>
        <v>2900.8537724755552</v>
      </c>
      <c r="G270" s="298"/>
      <c r="H270" s="41"/>
      <c r="I270" s="254"/>
      <c r="J270" s="253"/>
      <c r="K270" s="41"/>
      <c r="L270" s="272">
        <f>SUMIFS(BV_Data_An_Cour!$P:$P,BV_Data_An_Cour!$U:$U,$B270,BV_Data_An_Cour!$V:$V,$C270,BV_Data_An_Cour!$W:$W,$L$2)</f>
        <v>3390.52</v>
      </c>
      <c r="M270" s="253"/>
      <c r="N270" s="276">
        <f t="shared" si="67"/>
        <v>489.66622752444482</v>
      </c>
      <c r="O270" s="253"/>
      <c r="P270" s="41"/>
      <c r="Q270" s="272" cm="1">
        <f t="array" ref="Q270">+SUMPRODUCT(('Réel 2024'!$A$8:$A$501=$A270)*('Réel 2024'!$C$3:$AO$3=Q$2),'Réel 2024'!$C$8:$AO$501)</f>
        <v>2990.7</v>
      </c>
      <c r="R270" s="253"/>
      <c r="S270" s="276">
        <f t="shared" si="68"/>
        <v>399.82000000000016</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tr">
        <f t="shared" si="63"/>
        <v>CarrosserieFrais de déplacement</v>
      </c>
      <c r="B271" s="41" t="s">
        <v>176</v>
      </c>
      <c r="C271" s="312" t="s">
        <v>133</v>
      </c>
      <c r="D271" s="297"/>
      <c r="E271" s="41"/>
      <c r="F271" s="254" cm="1">
        <f t="array" ref="F271">+SUMPRODUCT(('Budget original'!$A$8:$A$501=$A271)*('Budget original'!$C$3:$AO$3=F$2),'Budget original'!$C$8:$AO$501)</f>
        <v>428.07647675716402</v>
      </c>
      <c r="G271" s="298"/>
      <c r="H271" s="41"/>
      <c r="I271" s="254"/>
      <c r="J271" s="253"/>
      <c r="K271" s="41"/>
      <c r="L271" s="256">
        <f>SUMIFS(BV_Data_An_Cour!$P:$P,BV_Data_An_Cour!$U:$U,$B271,BV_Data_An_Cour!$V:$V,$C271,BV_Data_An_Cour!$W:$W,$L$2)</f>
        <v>496.1</v>
      </c>
      <c r="M271" s="253"/>
      <c r="N271" s="276">
        <f t="shared" si="67"/>
        <v>68.023523242836006</v>
      </c>
      <c r="O271" s="253"/>
      <c r="P271" s="41"/>
      <c r="Q271" s="256" cm="1">
        <f t="array" ref="Q271">+SUMPRODUCT(('Réel 2024'!$A$8:$A$501=$A271)*('Réel 2024'!$C$3:$AO$3=Q$2),'Réel 2024'!$C$8:$AO$501)</f>
        <v>156.62</v>
      </c>
      <c r="R271" s="253"/>
      <c r="S271" s="276">
        <f t="shared" si="68"/>
        <v>339.48</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tr">
        <f t="shared" si="63"/>
        <v>CarrosserieServices extérieurs</v>
      </c>
      <c r="B272" s="41" t="s">
        <v>176</v>
      </c>
      <c r="C272" s="312" t="s">
        <v>134</v>
      </c>
      <c r="D272" s="299"/>
      <c r="E272" s="318"/>
      <c r="F272" s="248" cm="1">
        <f t="array" ref="F272">+SUMPRODUCT(('Budget original'!$A$8:$A$501=$A272)*('Budget original'!$C$3:$AO$3=F$2),'Budget original'!$C$8:$AO$501)</f>
        <v>1374.2934887049614</v>
      </c>
      <c r="G272" s="300"/>
      <c r="H272" s="318"/>
      <c r="I272" s="248"/>
      <c r="J272" s="246"/>
      <c r="K272" s="318"/>
      <c r="L272" s="256">
        <f>SUMIFS(BV_Data_An_Cour!$P:$P,BV_Data_An_Cour!$U:$U,$B272,BV_Data_An_Cour!$V:$V,$C272,BV_Data_An_Cour!$W:$W,$L$2)</f>
        <v>1667.07</v>
      </c>
      <c r="M272" s="246"/>
      <c r="N272" s="296">
        <f t="shared" si="67"/>
        <v>292.77651129503852</v>
      </c>
      <c r="O272" s="246"/>
      <c r="P272" s="318"/>
      <c r="Q272" s="248" cm="1">
        <f t="array" ref="Q272">+SUMPRODUCT(('Réel 2024'!$A$8:$A$501=$A272)*('Réel 2024'!$C$3:$AO$3=Q$2),'Réel 2024'!$C$8:$AO$501)</f>
        <v>1479.13</v>
      </c>
      <c r="R272" s="246"/>
      <c r="S272" s="296">
        <f t="shared" si="68"/>
        <v>187.93999999999983</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tr">
        <f t="shared" si="63"/>
        <v>CarrosserieFournitures d'atelier</v>
      </c>
      <c r="B273" s="41" t="s">
        <v>176</v>
      </c>
      <c r="C273" s="406" t="s">
        <v>490</v>
      </c>
      <c r="D273" s="297"/>
      <c r="E273" s="41"/>
      <c r="F273" s="254"/>
      <c r="G273" s="298"/>
      <c r="H273" s="41"/>
      <c r="I273" s="254"/>
      <c r="J273" s="253"/>
      <c r="K273" s="41"/>
      <c r="L273" s="272">
        <f>SUMIFS(BV_Data_An_Cour!$P:$P,BV_Data_An_Cour!$U:$U,$B273,BV_Data_An_Cour!$V:$V,$C273,BV_Data_An_Cour!$W:$W,$L$2)</f>
        <v>0</v>
      </c>
      <c r="M273" s="253"/>
      <c r="N273" s="276">
        <f t="shared" si="67"/>
        <v>0</v>
      </c>
      <c r="O273" s="253"/>
      <c r="P273" s="41"/>
      <c r="Q273" s="256"/>
      <c r="R273" s="253"/>
      <c r="S273" s="276">
        <f t="shared" si="68"/>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tr">
        <f t="shared" si="63"/>
        <v>CarrosserieFournitures autres</v>
      </c>
      <c r="B274" s="41" t="s">
        <v>176</v>
      </c>
      <c r="C274" s="312" t="s">
        <v>135</v>
      </c>
      <c r="D274" s="297"/>
      <c r="E274" s="41"/>
      <c r="F274" s="254" cm="1">
        <f t="array" ref="F274">+SUMPRODUCT(('Budget original'!$A$8:$A$501=$A274)*('Budget original'!$C$3:$AO$3=F$2),'Budget original'!$C$8:$AO$501)</f>
        <v>91.903066666666675</v>
      </c>
      <c r="G274" s="298"/>
      <c r="H274" s="41"/>
      <c r="I274" s="254"/>
      <c r="J274" s="253"/>
      <c r="K274" s="41"/>
      <c r="L274" s="256">
        <f>SUMIFS(BV_Data_An_Cour!$P:$P,BV_Data_An_Cour!$U:$U,$B274,BV_Data_An_Cour!$V:$V,$C274,BV_Data_An_Cour!$W:$W,$L$2)</f>
        <v>0</v>
      </c>
      <c r="M274" s="253"/>
      <c r="N274" s="276">
        <f t="shared" si="67"/>
        <v>-91.903066666666675</v>
      </c>
      <c r="O274" s="253"/>
      <c r="P274" s="41"/>
      <c r="Q274" s="256" cm="1">
        <f t="array" ref="Q274">+SUMPRODUCT(('Réel 2024'!$A$8:$A$501=$A274)*('Réel 2024'!$C$3:$AO$3=Q$2),'Réel 2024'!$C$8:$AO$501)</f>
        <v>0</v>
      </c>
      <c r="R274" s="253"/>
      <c r="S274" s="276">
        <f t="shared" si="68"/>
        <v>0</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tr">
        <f t="shared" si="63"/>
        <v>CarrosserieUniformes</v>
      </c>
      <c r="B275" s="41" t="s">
        <v>176</v>
      </c>
      <c r="C275" s="312" t="s">
        <v>136</v>
      </c>
      <c r="D275" s="297"/>
      <c r="E275" s="41"/>
      <c r="F275" s="254" cm="1">
        <f t="array" ref="F275">+SUMPRODUCT(('Budget original'!$A$8:$A$501=$A275)*('Budget original'!$C$3:$AO$3=F$2),'Budget original'!$C$8:$AO$501)</f>
        <v>56.666666666666664</v>
      </c>
      <c r="G275" s="298"/>
      <c r="H275" s="41"/>
      <c r="I275" s="254"/>
      <c r="J275" s="253"/>
      <c r="K275" s="41"/>
      <c r="L275" s="256">
        <f>SUMIFS(BV_Data_An_Cour!$P:$P,BV_Data_An_Cour!$U:$U,$B275,BV_Data_An_Cour!$V:$V,$C275,BV_Data_An_Cour!$W:$W,$L$2)</f>
        <v>0</v>
      </c>
      <c r="M275" s="253"/>
      <c r="N275" s="276">
        <f t="shared" si="67"/>
        <v>-56.666666666666664</v>
      </c>
      <c r="O275" s="253"/>
      <c r="P275" s="41"/>
      <c r="Q275" s="256" cm="1">
        <f t="array" ref="Q275">+SUMPRODUCT(('Réel 2024'!$A$8:$A$501=$A275)*('Réel 2024'!$C$3:$AO$3=Q$2),'Réel 2024'!$C$8:$AO$501)</f>
        <v>0</v>
      </c>
      <c r="R275" s="253"/>
      <c r="S275" s="276">
        <f t="shared" si="68"/>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tr">
        <f t="shared" si="63"/>
        <v>CarrosseriePapeterie</v>
      </c>
      <c r="B276" s="41" t="s">
        <v>176</v>
      </c>
      <c r="C276" s="312" t="s">
        <v>137</v>
      </c>
      <c r="D276" s="297"/>
      <c r="E276" s="41"/>
      <c r="F276" s="254" cm="1">
        <f t="array" ref="F276">+SUMPRODUCT(('Budget original'!$A$8:$A$501=$A276)*('Budget original'!$C$3:$AO$3=F$2),'Budget original'!$C$8:$AO$501)</f>
        <v>292.4737941052399</v>
      </c>
      <c r="G276" s="298"/>
      <c r="H276" s="41"/>
      <c r="I276" s="254"/>
      <c r="J276" s="253"/>
      <c r="K276" s="41"/>
      <c r="L276" s="256">
        <f>SUMIFS(BV_Data_An_Cour!$P:$P,BV_Data_An_Cour!$U:$U,$B276,BV_Data_An_Cour!$V:$V,$C276,BV_Data_An_Cour!$W:$W,$L$2)</f>
        <v>263.32</v>
      </c>
      <c r="M276" s="253"/>
      <c r="N276" s="276">
        <f t="shared" si="67"/>
        <v>-29.153794105239911</v>
      </c>
      <c r="O276" s="253"/>
      <c r="P276" s="41"/>
      <c r="Q276" s="256" cm="1">
        <f t="array" ref="Q276">+SUMPRODUCT(('Réel 2024'!$A$8:$A$501=$A276)*('Réel 2024'!$C$3:$AO$3=Q$2),'Réel 2024'!$C$8:$AO$501)</f>
        <v>384.28999999999996</v>
      </c>
      <c r="R276" s="253"/>
      <c r="S276" s="276">
        <f t="shared" si="68"/>
        <v>-120.96999999999997</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tr">
        <f t="shared" si="63"/>
        <v>CarrosserieTéléphone</v>
      </c>
      <c r="B277" s="41" t="s">
        <v>176</v>
      </c>
      <c r="C277" s="312" t="s">
        <v>138</v>
      </c>
      <c r="D277" s="297"/>
      <c r="E277" s="41"/>
      <c r="F277" s="254" cm="1">
        <f t="array" ref="F277">+SUMPRODUCT(('Budget original'!$A$8:$A$501=$A277)*('Budget original'!$C$3:$AO$3=F$2),'Budget original'!$C$8:$AO$501)</f>
        <v>64.737950651617226</v>
      </c>
      <c r="G277" s="298"/>
      <c r="H277" s="41"/>
      <c r="I277" s="254"/>
      <c r="J277" s="253"/>
      <c r="K277" s="41"/>
      <c r="L277" s="256">
        <f>SUMIFS(BV_Data_An_Cour!$P:$P,BV_Data_An_Cour!$U:$U,$B277,BV_Data_An_Cour!$V:$V,$C277,BV_Data_An_Cour!$W:$W,$L$2)</f>
        <v>70.349999999999994</v>
      </c>
      <c r="M277" s="253"/>
      <c r="N277" s="276">
        <f t="shared" si="67"/>
        <v>5.6120493483827687</v>
      </c>
      <c r="O277" s="253"/>
      <c r="P277" s="41"/>
      <c r="Q277" s="256" cm="1">
        <f t="array" ref="Q277">+SUMPRODUCT(('Réel 2024'!$A$8:$A$501=$A277)*('Réel 2024'!$C$3:$AO$3=Q$2),'Réel 2024'!$C$8:$AO$501)</f>
        <v>60.98</v>
      </c>
      <c r="R277" s="253"/>
      <c r="S277" s="276">
        <f t="shared" si="68"/>
        <v>9.3699999999999974</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tr">
        <f t="shared" si="63"/>
        <v>CarrosserieFrais postaux</v>
      </c>
      <c r="B278" s="41" t="s">
        <v>176</v>
      </c>
      <c r="C278" s="312" t="s">
        <v>139</v>
      </c>
      <c r="D278" s="297"/>
      <c r="E278" s="41"/>
      <c r="F278" s="254" cm="1">
        <f t="array" ref="F278">+SUMPRODUCT(('Budget original'!$A$8:$A$501=$A278)*('Budget original'!$C$3:$AO$3=F$2),'Budget original'!$C$8:$AO$501)</f>
        <v>44.984197661182783</v>
      </c>
      <c r="G278" s="298"/>
      <c r="H278" s="41"/>
      <c r="I278" s="254"/>
      <c r="J278" s="253"/>
      <c r="K278" s="41"/>
      <c r="L278" s="256">
        <f>SUMIFS(BV_Data_An_Cour!$P:$P,BV_Data_An_Cour!$U:$U,$B278,BV_Data_An_Cour!$V:$V,$C278,BV_Data_An_Cour!$W:$W,$L$2)</f>
        <v>256.74</v>
      </c>
      <c r="M278" s="253"/>
      <c r="N278" s="276">
        <f t="shared" si="67"/>
        <v>211.75580233881723</v>
      </c>
      <c r="O278" s="253"/>
      <c r="P278" s="41"/>
      <c r="Q278" s="256" cm="1">
        <f t="array" ref="Q278">+SUMPRODUCT(('Réel 2024'!$A$8:$A$501=$A278)*('Réel 2024'!$C$3:$AO$3=Q$2),'Réel 2024'!$C$8:$AO$501)</f>
        <v>83.41</v>
      </c>
      <c r="R278" s="253"/>
      <c r="S278" s="276">
        <f t="shared" si="68"/>
        <v>173.33</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tr">
        <f t="shared" si="63"/>
        <v>CarrosserieDivers</v>
      </c>
      <c r="B279" s="41" t="s">
        <v>176</v>
      </c>
      <c r="C279" s="312" t="s">
        <v>140</v>
      </c>
      <c r="D279" s="297"/>
      <c r="E279" s="41"/>
      <c r="F279" s="254" cm="1">
        <f t="array" ref="F279">+SUMPRODUCT(('Budget original'!$A$8:$A$501=$A279)*('Budget original'!$C$3:$AO$3=F$2),'Budget original'!$C$8:$AO$501)</f>
        <v>205.81013501097277</v>
      </c>
      <c r="G279" s="298"/>
      <c r="H279" s="41"/>
      <c r="I279" s="254"/>
      <c r="J279" s="253"/>
      <c r="K279" s="41"/>
      <c r="L279" s="256">
        <f>SUMIFS(BV_Data_An_Cour!$P:$P,BV_Data_An_Cour!$U:$U,$B279,BV_Data_An_Cour!$V:$V,$C279,BV_Data_An_Cour!$W:$W,$L$2)</f>
        <v>35.15</v>
      </c>
      <c r="M279" s="253"/>
      <c r="N279" s="276">
        <f t="shared" si="67"/>
        <v>-170.66013501097277</v>
      </c>
      <c r="O279" s="253"/>
      <c r="P279" s="41"/>
      <c r="Q279" s="256" cm="1">
        <f t="array" ref="Q279">+SUMPRODUCT(('Réel 2024'!$A$8:$A$501=$A279)*('Réel 2024'!$C$3:$AO$3=Q$2),'Réel 2024'!$C$8:$AO$501)</f>
        <v>67.569999999999993</v>
      </c>
      <c r="R279" s="253"/>
      <c r="S279" s="276">
        <f t="shared" si="68"/>
        <v>-32.419999999999995</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tr">
        <f t="shared" si="63"/>
        <v>CarrosserieFormation</v>
      </c>
      <c r="B280" s="41" t="s">
        <v>176</v>
      </c>
      <c r="C280" s="312" t="s">
        <v>141</v>
      </c>
      <c r="D280" s="297"/>
      <c r="E280" s="41"/>
      <c r="F280" s="254" cm="1">
        <f t="array" ref="F280">+SUMPRODUCT(('Budget original'!$A$8:$A$501=$A280)*('Budget original'!$C$3:$AO$3=F$2),'Budget original'!$C$8:$AO$501)</f>
        <v>350.99740357396513</v>
      </c>
      <c r="G280" s="298"/>
      <c r="H280" s="41"/>
      <c r="I280" s="254"/>
      <c r="J280" s="253"/>
      <c r="K280" s="41"/>
      <c r="L280" s="256">
        <f>SUMIFS(BV_Data_An_Cour!$P:$P,BV_Data_An_Cour!$U:$U,$B280,BV_Data_An_Cour!$V:$V,$C280,BV_Data_An_Cour!$W:$W,$L$2)</f>
        <v>88.91</v>
      </c>
      <c r="M280" s="253"/>
      <c r="N280" s="276">
        <f t="shared" si="67"/>
        <v>-262.08740357396516</v>
      </c>
      <c r="O280" s="253"/>
      <c r="P280" s="41"/>
      <c r="Q280" s="256" cm="1">
        <f t="array" ref="Q280">+SUMPRODUCT(('Réel 2024'!$A$8:$A$501=$A280)*('Réel 2024'!$C$3:$AO$3=Q$2),'Réel 2024'!$C$8:$AO$501)</f>
        <v>76.16</v>
      </c>
      <c r="R280" s="253"/>
      <c r="S280" s="276">
        <f t="shared" si="68"/>
        <v>12.75</v>
      </c>
      <c r="T280" s="41"/>
      <c r="U280" s="41"/>
      <c r="V280" s="41"/>
      <c r="W280" s="41"/>
      <c r="X280" s="41"/>
      <c r="Y280" s="41"/>
      <c r="Z280" s="41"/>
      <c r="AA280" s="41"/>
      <c r="AB280" s="41"/>
      <c r="AC280" s="41"/>
      <c r="AD280" s="41"/>
      <c r="AE280" s="41"/>
      <c r="AF280" s="41"/>
      <c r="AG280" s="41"/>
      <c r="AH280" s="41"/>
      <c r="AI280" s="41"/>
      <c r="AJ280" s="41"/>
      <c r="AK280" s="41"/>
      <c r="AL280" s="41"/>
      <c r="AM280" s="41"/>
      <c r="AN280" s="41"/>
    </row>
    <row r="281" spans="1:40" ht="15.75" customHeight="1">
      <c r="A281" s="5" t="str">
        <f t="shared" si="63"/>
        <v>CarrosserieFrais bancaires</v>
      </c>
      <c r="B281" s="41" t="s">
        <v>176</v>
      </c>
      <c r="C281" s="312" t="s">
        <v>142</v>
      </c>
      <c r="D281" s="297"/>
      <c r="E281" s="41"/>
      <c r="F281" s="254" cm="1">
        <f t="array" ref="F281">+SUMPRODUCT(('Budget original'!$A$8:$A$501=$A281)*('Budget original'!$C$3:$AO$3=F$2),'Budget original'!$C$8:$AO$501)</f>
        <v>313.73701106794277</v>
      </c>
      <c r="G281" s="298"/>
      <c r="H281" s="41"/>
      <c r="I281" s="254"/>
      <c r="J281" s="253"/>
      <c r="K281" s="41"/>
      <c r="L281" s="256">
        <f>SUMIFS(BV_Data_An_Cour!$P:$P,BV_Data_An_Cour!$U:$U,$B281,BV_Data_An_Cour!$V:$V,$C281,BV_Data_An_Cour!$W:$W,L$2)</f>
        <v>276.01</v>
      </c>
      <c r="M281" s="253"/>
      <c r="N281" s="276">
        <f t="shared" si="67"/>
        <v>-37.727011067942783</v>
      </c>
      <c r="O281" s="253"/>
      <c r="P281" s="41"/>
      <c r="Q281" s="256" cm="1">
        <f t="array" ref="Q281">+SUMPRODUCT(('Réel 2024'!$A$8:$A$501=$A281)*('Réel 2024'!$C$3:$AO$3=Q$2),'Réel 2024'!$C$8:$AO$501)</f>
        <v>307.01</v>
      </c>
      <c r="R281" s="253"/>
      <c r="S281" s="276">
        <f t="shared" si="68"/>
        <v>-31</v>
      </c>
      <c r="T281" s="41"/>
      <c r="U281" s="41"/>
      <c r="V281" s="41"/>
      <c r="W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tr">
        <f t="shared" si="63"/>
        <v>Carrosserie[...]</v>
      </c>
      <c r="B282" s="41" t="s">
        <v>176</v>
      </c>
      <c r="C282" s="312" t="s">
        <v>59</v>
      </c>
      <c r="D282" s="297"/>
      <c r="E282" s="41"/>
      <c r="F282" s="254" cm="1">
        <f t="array" ref="F282">+SUMPRODUCT(('Budget original'!$A$8:$A$501=$A282)*('Budget original'!$C$3:$AO$3=F$2),'Budget original'!$C$8:$AO$501)</f>
        <v>0</v>
      </c>
      <c r="G282" s="298"/>
      <c r="H282" s="41"/>
      <c r="I282" s="254"/>
      <c r="J282" s="253"/>
      <c r="K282" s="41"/>
      <c r="L282" s="256">
        <f>SUMIFS(BV_Data_An_Cour!$P:$P,BV_Data_An_Cour!$U:$U,$B282,BV_Data_An_Cour!$V:$V,$C282,BV_Data_An_Cour!$W:$W,$L$2)</f>
        <v>0</v>
      </c>
      <c r="M282" s="253"/>
      <c r="N282" s="276">
        <f t="shared" si="67"/>
        <v>0</v>
      </c>
      <c r="O282" s="253"/>
      <c r="P282" s="41"/>
      <c r="Q282" s="256" cm="1">
        <f t="array" ref="Q282">+SUMPRODUCT(('Réel 2024'!$A$8:$A$501=$A282)*('Réel 2024'!$C$3:$AO$3=Q$2),'Réel 2024'!$C$8:$AO$501)</f>
        <v>0</v>
      </c>
      <c r="R282" s="253"/>
      <c r="S282" s="276">
        <f t="shared" si="68"/>
        <v>0</v>
      </c>
      <c r="T282" s="41"/>
      <c r="U282" s="41"/>
      <c r="V282" s="41"/>
      <c r="W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tr">
        <f t="shared" si="63"/>
        <v>Carrosserie[...]</v>
      </c>
      <c r="B283" s="41" t="s">
        <v>176</v>
      </c>
      <c r="C283" s="312" t="s">
        <v>59</v>
      </c>
      <c r="D283" s="297"/>
      <c r="E283" s="41"/>
      <c r="F283" s="254" cm="1">
        <f t="array" ref="F283">+SUMPRODUCT(('Budget original'!$A$8:$A$501=$A283)*('Budget original'!$C$3:$AO$3=F$2),'Budget original'!$C$8:$AO$501)</f>
        <v>0</v>
      </c>
      <c r="G283" s="298"/>
      <c r="H283" s="41"/>
      <c r="I283" s="254"/>
      <c r="J283" s="253"/>
      <c r="K283" s="41"/>
      <c r="L283" s="256">
        <f>SUMIFS(BV_Data_An_Cour!$P:$P,BV_Data_An_Cour!$U:$U,$B283,BV_Data_An_Cour!$V:$V,$C283,BV_Data_An_Cour!$W:$W,$L$2)</f>
        <v>0</v>
      </c>
      <c r="M283" s="253"/>
      <c r="N283" s="276">
        <f t="shared" si="67"/>
        <v>0</v>
      </c>
      <c r="O283" s="253"/>
      <c r="P283" s="41"/>
      <c r="Q283" s="256" cm="1">
        <f t="array" ref="Q283">+SUMPRODUCT(('Réel 2024'!$A$8:$A$501=$A283)*('Réel 2024'!$C$3:$AO$3=Q$2),'Réel 2024'!$C$8:$AO$501)</f>
        <v>0</v>
      </c>
      <c r="R283" s="253"/>
      <c r="S283" s="276">
        <f t="shared" si="68"/>
        <v>0</v>
      </c>
      <c r="T283" s="41"/>
      <c r="U283" s="41"/>
      <c r="V283" s="41"/>
      <c r="W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tr">
        <f t="shared" si="63"/>
        <v>Carrosserie[...]</v>
      </c>
      <c r="B284" s="41" t="s">
        <v>176</v>
      </c>
      <c r="C284" s="312" t="s">
        <v>59</v>
      </c>
      <c r="D284" s="297"/>
      <c r="E284" s="41"/>
      <c r="F284" s="254" cm="1">
        <f t="array" ref="F284">+SUMPRODUCT(('Budget original'!$A$8:$A$501=$A284)*('Budget original'!$C$3:$AO$3=F$2),'Budget original'!$C$8:$AO$501)</f>
        <v>0</v>
      </c>
      <c r="G284" s="298"/>
      <c r="H284" s="41"/>
      <c r="I284" s="254"/>
      <c r="J284" s="253"/>
      <c r="K284" s="41"/>
      <c r="L284" s="256">
        <f>SUMIFS(BV_Data_An_Cour!$P:$P,BV_Data_An_Cour!$U:$U,$B284,BV_Data_An_Cour!$V:$V,$C284,BV_Data_An_Cour!$W:$W,$L$2)</f>
        <v>0</v>
      </c>
      <c r="M284" s="253"/>
      <c r="N284" s="276">
        <f t="shared" si="67"/>
        <v>0</v>
      </c>
      <c r="O284" s="253"/>
      <c r="P284" s="41"/>
      <c r="Q284" s="256" cm="1">
        <f t="array" ref="Q284">+SUMPRODUCT(('Réel 2024'!$A$8:$A$501=$A284)*('Réel 2024'!$C$3:$AO$3=Q$2),'Réel 2024'!$C$8:$AO$501)</f>
        <v>0</v>
      </c>
      <c r="R284" s="253"/>
      <c r="S284" s="276">
        <f t="shared" si="68"/>
        <v>0</v>
      </c>
      <c r="T284" s="41"/>
      <c r="U284" s="41"/>
      <c r="V284" s="41"/>
      <c r="W284" s="4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304" t="s">
        <v>143</v>
      </c>
      <c r="D285" s="305" t="s">
        <v>119</v>
      </c>
      <c r="E285" s="306">
        <f>IF(F250=0,0,F285/F$250)</f>
        <v>0.52297271298689685</v>
      </c>
      <c r="F285" s="307">
        <f>+SUM(F267:F284)</f>
        <v>7593.5637925697438</v>
      </c>
      <c r="G285" s="308"/>
      <c r="H285" s="306"/>
      <c r="I285" s="307"/>
      <c r="J285" s="308" t="s">
        <v>119</v>
      </c>
      <c r="K285" s="306">
        <f>IF(L262=0,0,L285/L$241)</f>
        <v>2.5925304816525583</v>
      </c>
      <c r="L285" s="307">
        <f>+SUM(L267:L284)</f>
        <v>18628.550000000003</v>
      </c>
      <c r="M285" s="311"/>
      <c r="N285" s="307">
        <f>+SUM(N267:N284)</f>
        <v>11034.986207430264</v>
      </c>
      <c r="O285" s="308" t="s">
        <v>119</v>
      </c>
      <c r="P285" s="306">
        <f>IF(Q250=0,0,Q285/Q$250)</f>
        <v>0.30760979352787804</v>
      </c>
      <c r="Q285" s="307">
        <f>+SUM(Q267:Q284)</f>
        <v>7857.3999999999987</v>
      </c>
      <c r="R285" s="311"/>
      <c r="S285" s="307">
        <f t="shared" si="68"/>
        <v>10771.150000000005</v>
      </c>
      <c r="T285" s="11"/>
      <c r="U285" s="41"/>
      <c r="V285" s="41"/>
      <c r="W285" s="4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246"/>
      <c r="D286" s="299"/>
      <c r="E286" s="318"/>
      <c r="F286" s="276"/>
      <c r="G286" s="300"/>
      <c r="H286" s="318"/>
      <c r="I286" s="276"/>
      <c r="J286" s="246"/>
      <c r="K286" s="318"/>
      <c r="L286" s="296"/>
      <c r="M286" s="246"/>
      <c r="N286" s="296"/>
      <c r="O286" s="246"/>
      <c r="P286" s="318"/>
      <c r="Q286" s="296"/>
      <c r="R286" s="246"/>
      <c r="S286" s="296"/>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304" t="s">
        <v>144</v>
      </c>
      <c r="D287" s="305" t="s">
        <v>119</v>
      </c>
      <c r="E287" s="306">
        <f>IF(F250=0,0,F287/F$250)</f>
        <v>1.6098541639087023</v>
      </c>
      <c r="F287" s="307">
        <f>F266+F285</f>
        <v>23375.082459954359</v>
      </c>
      <c r="G287" s="308"/>
      <c r="H287" s="306"/>
      <c r="I287" s="307"/>
      <c r="J287" s="308" t="s">
        <v>119</v>
      </c>
      <c r="K287" s="306" t="e">
        <f>IF(L264=0,0,L287/L$244)</f>
        <v>#DIV/0!</v>
      </c>
      <c r="L287" s="307">
        <f>L266+L285</f>
        <v>32664.460000000003</v>
      </c>
      <c r="M287" s="311"/>
      <c r="N287" s="320">
        <f>L287-F287</f>
        <v>9289.3775400456434</v>
      </c>
      <c r="O287" s="308" t="s">
        <v>119</v>
      </c>
      <c r="P287" s="306">
        <f>IF(Q250=0,0,Q287/Q$250)</f>
        <v>0.97634927221904666</v>
      </c>
      <c r="Q287" s="307">
        <f>Q266+Q285</f>
        <v>24939.279999999995</v>
      </c>
      <c r="R287" s="311"/>
      <c r="S287" s="320">
        <f>L287-Q287</f>
        <v>7725.1800000000076</v>
      </c>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253"/>
      <c r="D288" s="297"/>
      <c r="E288" s="41"/>
      <c r="F288" s="276"/>
      <c r="G288" s="298"/>
      <c r="H288" s="41"/>
      <c r="I288" s="276"/>
      <c r="J288" s="253"/>
      <c r="K288" s="41"/>
      <c r="L288" s="276"/>
      <c r="M288" s="253"/>
      <c r="N288" s="276">
        <f>L288-F288</f>
        <v>0</v>
      </c>
      <c r="O288" s="253"/>
      <c r="P288" s="41"/>
      <c r="Q288" s="276"/>
      <c r="R288" s="253"/>
      <c r="S288" s="276"/>
      <c r="T288" s="4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customHeight="1">
      <c r="B289" s="41"/>
      <c r="C289" s="332" t="s">
        <v>151</v>
      </c>
      <c r="D289" s="360"/>
      <c r="E289" s="333"/>
      <c r="F289" s="335">
        <f>F250-F287</f>
        <v>-8855.0824599543575</v>
      </c>
      <c r="G289" s="361"/>
      <c r="H289" s="333"/>
      <c r="I289" s="335"/>
      <c r="J289" s="332"/>
      <c r="K289" s="334"/>
      <c r="L289" s="335">
        <f>L250-L287</f>
        <v>-25478.990000000005</v>
      </c>
      <c r="M289" s="332"/>
      <c r="N289" s="335">
        <f>L289-F289</f>
        <v>-16623.90754004565</v>
      </c>
      <c r="O289" s="332"/>
      <c r="P289" s="334"/>
      <c r="Q289" s="335">
        <f>Q250-Q287</f>
        <v>604.12000000000262</v>
      </c>
      <c r="R289" s="332"/>
      <c r="S289" s="335">
        <f>L289-Q289</f>
        <v>-26083.110000000008</v>
      </c>
      <c r="T289" s="1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customHeight="1">
      <c r="B290" s="41"/>
      <c r="C290" s="41"/>
      <c r="D290" s="41"/>
      <c r="E290" s="41"/>
      <c r="F290" s="41"/>
      <c r="G290" s="41"/>
      <c r="H290" s="41"/>
      <c r="I290" s="41"/>
      <c r="J290" s="41"/>
      <c r="K290" s="41"/>
      <c r="L290" s="291"/>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36" customHeight="1">
      <c r="B291" s="41"/>
      <c r="C291" s="36" t="str">
        <f>C1</f>
        <v>Volks</v>
      </c>
      <c r="D291" s="232"/>
      <c r="E291" s="232"/>
      <c r="F291" s="232"/>
      <c r="G291" s="232"/>
      <c r="H291" s="36"/>
      <c r="I291" s="36"/>
      <c r="J291" s="36"/>
      <c r="K291" s="9" t="s">
        <v>180</v>
      </c>
      <c r="L291" s="232"/>
      <c r="M291" s="232"/>
      <c r="N291" s="36"/>
      <c r="O291" s="36"/>
      <c r="P291" s="232"/>
      <c r="Q291" s="36"/>
      <c r="R291" s="232"/>
      <c r="S291" s="10" t="str">
        <f>$S$1</f>
        <v>Réalisé AAJ, Février 2025</v>
      </c>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37"/>
      <c r="D292" s="38"/>
      <c r="E292" s="38"/>
      <c r="F292" s="38"/>
      <c r="G292" s="38"/>
      <c r="H292" s="38"/>
      <c r="I292" s="38"/>
      <c r="J292" s="38"/>
      <c r="K292" s="38"/>
      <c r="L292" s="38"/>
      <c r="M292" s="38"/>
      <c r="N292" s="38"/>
      <c r="O292" s="38"/>
      <c r="P292" s="38"/>
      <c r="Q292" s="38"/>
      <c r="R292" s="38"/>
      <c r="S292" s="38"/>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B293" s="41"/>
      <c r="C293" s="238"/>
      <c r="D293" s="1239" t="s">
        <v>343</v>
      </c>
      <c r="E293" s="1240"/>
      <c r="F293" s="1241"/>
      <c r="G293" s="1242"/>
      <c r="H293" s="1240"/>
      <c r="I293" s="1241"/>
      <c r="J293" s="1242" t="s">
        <v>344</v>
      </c>
      <c r="K293" s="1240"/>
      <c r="L293" s="1241"/>
      <c r="M293" s="1242" t="s">
        <v>3310</v>
      </c>
      <c r="N293" s="1241"/>
      <c r="O293" s="1239" t="s">
        <v>345</v>
      </c>
      <c r="P293" s="1240"/>
      <c r="Q293" s="1241"/>
      <c r="R293" s="1243" t="s">
        <v>3312</v>
      </c>
      <c r="S293" s="1244"/>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tr">
        <f t="shared" ref="A294:A348" si="69">+B294&amp;C294</f>
        <v>Pièces</v>
      </c>
      <c r="B294" s="41" t="s">
        <v>180</v>
      </c>
      <c r="C294" s="253"/>
      <c r="D294" s="39" t="s">
        <v>163</v>
      </c>
      <c r="E294" s="39" t="s">
        <v>181</v>
      </c>
      <c r="F294" s="340" t="s">
        <v>95</v>
      </c>
      <c r="G294" s="341"/>
      <c r="H294" s="39"/>
      <c r="I294" s="340"/>
      <c r="J294" s="341" t="s">
        <v>163</v>
      </c>
      <c r="K294" s="39" t="s">
        <v>181</v>
      </c>
      <c r="L294" s="340" t="s">
        <v>95</v>
      </c>
      <c r="M294" s="341" t="s">
        <v>162</v>
      </c>
      <c r="N294" s="340" t="s">
        <v>3311</v>
      </c>
      <c r="O294" s="39" t="s">
        <v>163</v>
      </c>
      <c r="P294" s="39" t="s">
        <v>181</v>
      </c>
      <c r="Q294" s="340" t="s">
        <v>95</v>
      </c>
      <c r="R294" s="341" t="s">
        <v>458</v>
      </c>
      <c r="S294" s="340" t="s">
        <v>95</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tr">
        <f t="shared" si="69"/>
        <v>PiècesPièces Ro Clients</v>
      </c>
      <c r="B295" s="41" t="s">
        <v>180</v>
      </c>
      <c r="C295" s="253" t="s">
        <v>182</v>
      </c>
      <c r="D295" s="291" cm="1">
        <f t="array" ref="D295">+SUMPRODUCT(('Budget original'!$A$8:$A$501=$A295)*('Budget original'!$C$3:$AO$3=D$2),'Budget original'!$C$8:$AO$501)</f>
        <v>120490.147648</v>
      </c>
      <c r="E295" s="353">
        <f t="shared" ref="E295:E303" si="70">IF(D295=0,0,F295/D295)</f>
        <v>0.35699999999999998</v>
      </c>
      <c r="F295" s="276" cm="1">
        <f t="array" ref="F295">+SUMPRODUCT(('Budget original'!$A$8:$A$501=$A295)*('Budget original'!$C$3:$AO$3=F$2),'Budget original'!$C$8:$AO$501)</f>
        <v>43014.982710336</v>
      </c>
      <c r="G295" s="291"/>
      <c r="H295" s="353"/>
      <c r="I295" s="276"/>
      <c r="J295" s="254">
        <f>-SUMIFS(BV_Data_An_Cour!$P:$P,BV_Data_An_Cour!$X:$X,"Oui",BV_Data_An_Cour!$U:$U,$B295,BV_Data_An_Cour!$V:$V,$C295)</f>
        <v>127649.33</v>
      </c>
      <c r="K295" s="353">
        <f t="shared" ref="K295:K304" si="71">IF(J295&lt;=0,0,L295/J295)</f>
        <v>0.30501382185084719</v>
      </c>
      <c r="L295" s="256">
        <f>-SUMIFS(BV_Data_An_Cour!$P:$P,BV_Data_An_Cour!$U:$U,$B295,BV_Data_An_Cour!$V:$V,$C295,BV_Data_An_Cour!$W:$W,$L$2)</f>
        <v>38934.810000000005</v>
      </c>
      <c r="M295" s="292">
        <f t="shared" ref="M295:M301" si="72">(+J295-D295)/D295</f>
        <v>5.9417159757450405E-2</v>
      </c>
      <c r="N295" s="276">
        <f t="shared" ref="N295:N304" si="73">L295-F295</f>
        <v>-4080.1727103359954</v>
      </c>
      <c r="O295" s="254" cm="1">
        <f t="array" ref="O295">+SUMPRODUCT(('Réel 2024'!$A$8:$A$501=$A295)*('Réel 2024'!$C$3:$AO$3=O$2),'Réel 2024'!$C$8:$AO$501)</f>
        <v>124774.9</v>
      </c>
      <c r="P295" s="353">
        <f t="shared" ref="P295:P303" si="74">IF(O295=0,0,Q295/O295)</f>
        <v>0.36027045503542698</v>
      </c>
      <c r="Q295" s="256" cm="1">
        <f t="array" ref="Q295">+SUMPRODUCT(('Réel 2024'!$A$8:$A$501=$A295)*('Réel 2024'!$C$3:$AO$3=Q$2),'Réel 2024'!$C$8:$AO$501)</f>
        <v>44952.709999999897</v>
      </c>
      <c r="R295" s="292">
        <f t="shared" ref="R295:R304" si="75">IF(O295=0,0,(J295-O295)/O295)</f>
        <v>2.3036924894349806E-2</v>
      </c>
      <c r="S295" s="276">
        <f t="shared" ref="S295:S304" si="76">L295-Q295</f>
        <v>-6017.8999999998923</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tr">
        <f t="shared" si="69"/>
        <v>PiècesPièces Ro Carrosserie</v>
      </c>
      <c r="B296" s="41" t="s">
        <v>180</v>
      </c>
      <c r="C296" s="253" t="s">
        <v>183</v>
      </c>
      <c r="D296" s="291" cm="1">
        <f t="array" ref="D296">+SUMPRODUCT(('Budget original'!$A$8:$A$501=$A296)*('Budget original'!$C$3:$AO$3=D$2),'Budget original'!$C$8:$AO$501)</f>
        <v>39600</v>
      </c>
      <c r="E296" s="353">
        <f t="shared" si="70"/>
        <v>0.24800000000000003</v>
      </c>
      <c r="F296" s="276" cm="1">
        <f t="array" ref="F296">+SUMPRODUCT(('Budget original'!$A$8:$A$501=$A296)*('Budget original'!$C$3:$AO$3=F$2),'Budget original'!$C$8:$AO$501)</f>
        <v>9820.8000000000011</v>
      </c>
      <c r="G296" s="291"/>
      <c r="H296" s="353"/>
      <c r="I296" s="276"/>
      <c r="J296" s="254">
        <f>-SUMIFS(BV_Data_An_Cour!$P:$P,BV_Data_An_Cour!$X:$X,"Oui",BV_Data_An_Cour!$U:$U,$B296,BV_Data_An_Cour!$V:$V,$C296)</f>
        <v>13318.44</v>
      </c>
      <c r="K296" s="353">
        <f t="shared" si="71"/>
        <v>0.24015950817062656</v>
      </c>
      <c r="L296" s="256">
        <f>-SUMIFS(BV_Data_An_Cour!$P:$P,BV_Data_An_Cour!$U:$U,$B296,BV_Data_An_Cour!$V:$V,$C296,BV_Data_An_Cour!$W:$W,$L$2)</f>
        <v>3198.5499999999997</v>
      </c>
      <c r="M296" s="292">
        <f t="shared" si="72"/>
        <v>-0.66367575757575747</v>
      </c>
      <c r="N296" s="276">
        <f t="shared" si="73"/>
        <v>-6622.2500000000018</v>
      </c>
      <c r="O296" s="254" cm="1">
        <f t="array" ref="O296">+SUMPRODUCT(('Réel 2024'!$A$8:$A$501=$A296)*('Réel 2024'!$C$3:$AO$3=O$2),'Réel 2024'!$C$8:$AO$501)</f>
        <v>111943.1099999999</v>
      </c>
      <c r="P296" s="353">
        <f t="shared" si="74"/>
        <v>0.25612125659185209</v>
      </c>
      <c r="Q296" s="256" cm="1">
        <f t="array" ref="Q296">+SUMPRODUCT(('Réel 2024'!$A$8:$A$501=$A296)*('Réel 2024'!$C$3:$AO$3=Q$2),'Réel 2024'!$C$8:$AO$501)</f>
        <v>28671.0099999999</v>
      </c>
      <c r="R296" s="292">
        <f t="shared" si="75"/>
        <v>-0.88102492417800427</v>
      </c>
      <c r="S296" s="276">
        <f t="shared" si="76"/>
        <v>-25472.459999999901</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tr">
        <f t="shared" si="69"/>
        <v>PiècesP/A Garantie</v>
      </c>
      <c r="B297" s="41" t="s">
        <v>180</v>
      </c>
      <c r="C297" s="253" t="s">
        <v>184</v>
      </c>
      <c r="D297" s="291" cm="1">
        <f t="array" ref="D297">+SUMPRODUCT(('Budget original'!$A$8:$A$501=$A297)*('Budget original'!$C$3:$AO$3=D$2),'Budget original'!$C$8:$AO$501)</f>
        <v>77036.084999999992</v>
      </c>
      <c r="E297" s="353">
        <f t="shared" si="70"/>
        <v>0.23699999999999999</v>
      </c>
      <c r="F297" s="276" cm="1">
        <f t="array" ref="F297">+SUMPRODUCT(('Budget original'!$A$8:$A$501=$A297)*('Budget original'!$C$3:$AO$3=F$2),'Budget original'!$C$8:$AO$501)</f>
        <v>18257.552144999998</v>
      </c>
      <c r="G297" s="291"/>
      <c r="H297" s="353"/>
      <c r="I297" s="276"/>
      <c r="J297" s="254">
        <f>-SUMIFS(BV_Data_An_Cour!$P:$P,BV_Data_An_Cour!$X:$X,"Oui",BV_Data_An_Cour!$U:$U,$B297,BV_Data_An_Cour!$V:$V,$C297)</f>
        <v>174728.16</v>
      </c>
      <c r="K297" s="353">
        <f t="shared" si="71"/>
        <v>0.23104964878013942</v>
      </c>
      <c r="L297" s="256">
        <f>-SUMIFS(BV_Data_An_Cour!$P:$P,BV_Data_An_Cour!$U:$U,$B297,BV_Data_An_Cour!$V:$V,$C297,BV_Data_An_Cour!$W:$W,$L$2)</f>
        <v>40370.880000000005</v>
      </c>
      <c r="M297" s="292">
        <f t="shared" si="72"/>
        <v>1.2681339530688771</v>
      </c>
      <c r="N297" s="276">
        <f t="shared" si="73"/>
        <v>22113.327855000007</v>
      </c>
      <c r="O297" s="254" cm="1">
        <f t="array" ref="O297">+SUMPRODUCT(('Réel 2024'!$A$8:$A$501=$A297)*('Réel 2024'!$C$3:$AO$3=O$2),'Réel 2024'!$C$8:$AO$501)</f>
        <v>57719.95</v>
      </c>
      <c r="P297" s="353">
        <f t="shared" si="74"/>
        <v>0.23673877056373041</v>
      </c>
      <c r="Q297" s="256" cm="1">
        <f t="array" ref="Q297">+SUMPRODUCT(('Réel 2024'!$A$8:$A$501=$A297)*('Réel 2024'!$C$3:$AO$3=Q$2),'Réel 2024'!$C$8:$AO$501)</f>
        <v>13664.54999999999</v>
      </c>
      <c r="R297" s="292">
        <f t="shared" si="75"/>
        <v>2.0271710214579191</v>
      </c>
      <c r="S297" s="276">
        <f t="shared" si="76"/>
        <v>26706.330000000016</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tr">
        <f t="shared" si="69"/>
        <v>PiècesVentes Internes</v>
      </c>
      <c r="B298" s="41" t="s">
        <v>180</v>
      </c>
      <c r="C298" s="253" t="s">
        <v>185</v>
      </c>
      <c r="D298" s="291" cm="1">
        <f t="array" ref="D298">+SUMPRODUCT(('Budget original'!$A$8:$A$501=$A298)*('Budget original'!$C$3:$AO$3=D$2),'Budget original'!$C$8:$AO$501)</f>
        <v>96571.605899999995</v>
      </c>
      <c r="E298" s="353">
        <f t="shared" si="70"/>
        <v>0.29399999999999998</v>
      </c>
      <c r="F298" s="276" cm="1">
        <f t="array" ref="F298">+SUMPRODUCT(('Budget original'!$A$8:$A$501=$A298)*('Budget original'!$C$3:$AO$3=F$2),'Budget original'!$C$8:$AO$501)</f>
        <v>28392.052134599995</v>
      </c>
      <c r="G298" s="291"/>
      <c r="H298" s="353"/>
      <c r="I298" s="276"/>
      <c r="J298" s="254">
        <f>-SUMIFS(BV_Data_An_Cour!$P:$P,BV_Data_An_Cour!$X:$X,"Oui",BV_Data_An_Cour!$U:$U,$B298,BV_Data_An_Cour!$V:$V,$C298)</f>
        <v>143935.57</v>
      </c>
      <c r="K298" s="353">
        <f t="shared" si="71"/>
        <v>0.26375155217018287</v>
      </c>
      <c r="L298" s="256">
        <f>-SUMIFS(BV_Data_An_Cour!$P:$P,BV_Data_An_Cour!$U:$U,$B298,BV_Data_An_Cour!$V:$V,$C298,BV_Data_An_Cour!$W:$W,$L$2)</f>
        <v>37963.23000000001</v>
      </c>
      <c r="M298" s="292">
        <f t="shared" si="72"/>
        <v>0.49045434896304252</v>
      </c>
      <c r="N298" s="276">
        <f t="shared" si="73"/>
        <v>9571.1778654000154</v>
      </c>
      <c r="O298" s="254" cm="1">
        <f t="array" ref="O298">+SUMPRODUCT(('Réel 2024'!$A$8:$A$501=$A298)*('Réel 2024'!$C$3:$AO$3=O$2),'Réel 2024'!$C$8:$AO$501)</f>
        <v>111702.94</v>
      </c>
      <c r="P298" s="353">
        <f t="shared" si="74"/>
        <v>0.25750915777149552</v>
      </c>
      <c r="Q298" s="256" cm="1">
        <f t="array" ref="Q298">+SUMPRODUCT(('Réel 2024'!$A$8:$A$501=$A298)*('Réel 2024'!$C$3:$AO$3=Q$2),'Réel 2024'!$C$8:$AO$501)</f>
        <v>28764.529999999897</v>
      </c>
      <c r="R298" s="292">
        <f t="shared" si="75"/>
        <v>0.28855668436300785</v>
      </c>
      <c r="S298" s="276">
        <f t="shared" si="76"/>
        <v>9198.7000000001135</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tr">
        <f t="shared" si="69"/>
        <v>PiècesVentes Détails</v>
      </c>
      <c r="B299" s="41" t="s">
        <v>180</v>
      </c>
      <c r="C299" s="253" t="s">
        <v>186</v>
      </c>
      <c r="D299" s="291" cm="1">
        <f t="array" ref="D299">+SUMPRODUCT(('Budget original'!$A$8:$A$501=$A299)*('Budget original'!$C$3:$AO$3=D$2),'Budget original'!$C$8:$AO$501)</f>
        <v>31703.834000000003</v>
      </c>
      <c r="E299" s="353">
        <f t="shared" si="70"/>
        <v>0.27700000000000002</v>
      </c>
      <c r="F299" s="276" cm="1">
        <f t="array" ref="F299">+SUMPRODUCT(('Budget original'!$A$8:$A$501=$A299)*('Budget original'!$C$3:$AO$3=F$2),'Budget original'!$C$8:$AO$501)</f>
        <v>8781.962018000002</v>
      </c>
      <c r="G299" s="291"/>
      <c r="H299" s="353"/>
      <c r="I299" s="276"/>
      <c r="J299" s="254">
        <f>-SUMIFS(BV_Data_An_Cour!$P:$P,BV_Data_An_Cour!$X:$X,"Oui",BV_Data_An_Cour!$U:$U,$B299,BV_Data_An_Cour!$V:$V,$C299)</f>
        <v>30512.76</v>
      </c>
      <c r="K299" s="353">
        <f t="shared" si="71"/>
        <v>0.30912182313235514</v>
      </c>
      <c r="L299" s="256">
        <f>-SUMIFS(BV_Data_An_Cour!$P:$P,BV_Data_An_Cour!$U:$U,$B299,BV_Data_An_Cour!$V:$V,$C299,BV_Data_An_Cour!$W:$W,$L$2)</f>
        <v>9432.16</v>
      </c>
      <c r="M299" s="292">
        <f t="shared" si="72"/>
        <v>-3.7568768496580071E-2</v>
      </c>
      <c r="N299" s="276">
        <f t="shared" si="73"/>
        <v>650.19798199999786</v>
      </c>
      <c r="O299" s="254" cm="1">
        <f t="array" ref="O299">+SUMPRODUCT(('Réel 2024'!$A$8:$A$501=$A299)*('Réel 2024'!$C$3:$AO$3=O$2),'Réel 2024'!$C$8:$AO$501)</f>
        <v>29668.870000000003</v>
      </c>
      <c r="P299" s="353">
        <f t="shared" si="74"/>
        <v>0.29906565366325033</v>
      </c>
      <c r="Q299" s="256" cm="1">
        <f t="array" ref="Q299">+SUMPRODUCT(('Réel 2024'!$A$8:$A$501=$A299)*('Réel 2024'!$C$3:$AO$3=Q$2),'Réel 2024'!$C$8:$AO$501)</f>
        <v>8872.9399999999987</v>
      </c>
      <c r="R299" s="292">
        <f t="shared" si="75"/>
        <v>2.8443617839169329E-2</v>
      </c>
      <c r="S299" s="276">
        <f t="shared" si="76"/>
        <v>559.22000000000116</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tr">
        <f t="shared" si="69"/>
        <v>PiècesVentes de Gros</v>
      </c>
      <c r="B300" s="41" t="s">
        <v>180</v>
      </c>
      <c r="C300" s="253" t="s">
        <v>187</v>
      </c>
      <c r="D300" s="291" cm="1">
        <f t="array" ref="D300">+SUMPRODUCT(('Budget original'!$A$8:$A$501=$A300)*('Budget original'!$C$3:$AO$3=D$2),'Budget original'!$C$8:$AO$501)</f>
        <v>331662.522</v>
      </c>
      <c r="E300" s="353">
        <f t="shared" si="70"/>
        <v>0.13500000000000001</v>
      </c>
      <c r="F300" s="276" cm="1">
        <f t="array" ref="F300">+SUMPRODUCT(('Budget original'!$A$8:$A$501=$A300)*('Budget original'!$C$3:$AO$3=F$2),'Budget original'!$C$8:$AO$501)</f>
        <v>44774.440470000001</v>
      </c>
      <c r="G300" s="291"/>
      <c r="H300" s="353"/>
      <c r="I300" s="276"/>
      <c r="J300" s="254">
        <f>-SUMIFS(BV_Data_An_Cour!$P:$P,BV_Data_An_Cour!$X:$X,"Oui",BV_Data_An_Cour!$U:$U,$B300,BV_Data_An_Cour!$V:$V,$C300)</f>
        <v>396618.38</v>
      </c>
      <c r="K300" s="353">
        <f t="shared" si="71"/>
        <v>0.12566288531560246</v>
      </c>
      <c r="L300" s="256">
        <f>-SUMIFS(BV_Data_An_Cour!$P:$P,BV_Data_An_Cour!$U:$U,$B300,BV_Data_An_Cour!$V:$V,$C300,BV_Data_An_Cour!$W:$W,$L$2)</f>
        <v>49840.210000000036</v>
      </c>
      <c r="M300" s="292">
        <f t="shared" si="72"/>
        <v>0.1958492554669774</v>
      </c>
      <c r="N300" s="276">
        <f t="shared" si="73"/>
        <v>5065.7695300000341</v>
      </c>
      <c r="O300" s="254" cm="1">
        <f t="array" ref="O300">+SUMPRODUCT(('Réel 2024'!$A$8:$A$501=$A300)*('Réel 2024'!$C$3:$AO$3=O$2),'Réel 2024'!$C$8:$AO$501)</f>
        <v>310293.99</v>
      </c>
      <c r="P300" s="353">
        <f t="shared" si="74"/>
        <v>0.15261352628840733</v>
      </c>
      <c r="Q300" s="256" cm="1">
        <f t="array" ref="Q300">+SUMPRODUCT(('Réel 2024'!$A$8:$A$501=$A300)*('Réel 2024'!$C$3:$AO$3=Q$2),'Réel 2024'!$C$8:$AO$501)</f>
        <v>47355.059999999794</v>
      </c>
      <c r="R300" s="292">
        <f t="shared" si="75"/>
        <v>0.27820194003757537</v>
      </c>
      <c r="S300" s="276">
        <f t="shared" si="76"/>
        <v>2485.1500000002416</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hidden="1" customHeight="1">
      <c r="A301" s="5" t="str">
        <f t="shared" si="69"/>
        <v>Pièces[...]</v>
      </c>
      <c r="B301" s="41" t="s">
        <v>180</v>
      </c>
      <c r="C301" s="253" t="s">
        <v>59</v>
      </c>
      <c r="D301" s="291" cm="1">
        <f t="array" ref="D301">+SUMPRODUCT(('Budget original'!$A$8:$A$501=$A301)*('Budget original'!$C$3:$AO$3=D$2),'Budget original'!$C$8:$AO$501)</f>
        <v>0</v>
      </c>
      <c r="E301" s="353">
        <f t="shared" si="70"/>
        <v>0</v>
      </c>
      <c r="F301" s="276" cm="1">
        <f t="array" ref="F301">+SUMPRODUCT(('Budget original'!$A$8:$A$501=$A301)*('Budget original'!$C$3:$AO$3=F$2),'Budget original'!$C$8:$AO$501)</f>
        <v>0</v>
      </c>
      <c r="G301" s="291"/>
      <c r="H301" s="353"/>
      <c r="I301" s="276"/>
      <c r="J301" s="254">
        <f>-SUMIFS(BV_Data_An_Cour!$P:$P,BV_Data_An_Cour!$X:$X,"Oui",BV_Data_An_Cour!$U:$U,$B301,BV_Data_An_Cour!$V:$V,$C301)</f>
        <v>0</v>
      </c>
      <c r="K301" s="353">
        <f t="shared" si="71"/>
        <v>0</v>
      </c>
      <c r="L301" s="256">
        <f>-SUMIFS(BV_Data_An_Cour!$P:$P,BV_Data_An_Cour!$U:$U,$B301,BV_Data_An_Cour!$V:$V,$C301,BV_Data_An_Cour!$W:$W,$L$2)</f>
        <v>0</v>
      </c>
      <c r="M301" s="292" t="e">
        <f t="shared" si="72"/>
        <v>#DIV/0!</v>
      </c>
      <c r="N301" s="276">
        <f t="shared" si="73"/>
        <v>0</v>
      </c>
      <c r="O301" s="254" cm="1">
        <f t="array" ref="O301">+SUMPRODUCT(('Réel 2024'!$A$8:$A$501=$A301)*('Réel 2024'!$C$3:$AO$3=O$2),'Réel 2024'!$C$8:$AO$501)</f>
        <v>0</v>
      </c>
      <c r="P301" s="353">
        <f t="shared" si="74"/>
        <v>0</v>
      </c>
      <c r="Q301" s="256" cm="1">
        <f t="array" ref="Q301">+SUMPRODUCT(('Réel 2024'!$A$8:$A$501=$A301)*('Réel 2024'!$C$3:$AO$3=Q$2),'Réel 2024'!$C$8:$AO$501)</f>
        <v>0</v>
      </c>
      <c r="R301" s="292">
        <f t="shared" si="75"/>
        <v>0</v>
      </c>
      <c r="S301" s="276">
        <f t="shared" si="76"/>
        <v>0</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tr">
        <f t="shared" si="69"/>
        <v>PiècesEscomptes</v>
      </c>
      <c r="B302" s="41" t="s">
        <v>180</v>
      </c>
      <c r="C302" s="253" t="s">
        <v>188</v>
      </c>
      <c r="D302" s="291" cm="1">
        <f t="array" ref="D302">+SUMPRODUCT(('Budget original'!$A$8:$A$501=$A302)*('Budget original'!$C$3:$AO$3=D$2),'Budget original'!$C$8:$AO$501)</f>
        <v>0</v>
      </c>
      <c r="E302" s="353">
        <f t="shared" si="70"/>
        <v>0</v>
      </c>
      <c r="F302" s="276" cm="1">
        <f t="array" ref="F302">+SUMPRODUCT(('Budget original'!$A$8:$A$501=$A302)*('Budget original'!$C$3:$AO$3=F$2),'Budget original'!$C$8:$AO$501)</f>
        <v>17871.445627971771</v>
      </c>
      <c r="G302" s="291"/>
      <c r="H302" s="353"/>
      <c r="I302" s="276"/>
      <c r="J302" s="254">
        <f>-SUMIFS(BV_Data_An_Cour!$P:$P,BV_Data_An_Cour!$X:$X,"Oui",BV_Data_An_Cour!$U:$U,$B302,BV_Data_An_Cour!$V:$V,$C302)</f>
        <v>0</v>
      </c>
      <c r="K302" s="353">
        <f t="shared" si="71"/>
        <v>0</v>
      </c>
      <c r="L302" s="256">
        <f>-SUMIFS(BV_Data_An_Cour!$P:$P,BV_Data_An_Cour!$U:$U,$B302,BV_Data_An_Cour!$V:$V,$C302,BV_Data_An_Cour!$W:$W,$L$2)</f>
        <v>12270.07</v>
      </c>
      <c r="M302" s="292"/>
      <c r="N302" s="276">
        <f t="shared" si="73"/>
        <v>-5601.3756279717709</v>
      </c>
      <c r="O302" s="254" cm="1">
        <f t="array" ref="O302">+SUMPRODUCT(('Réel 2024'!$A$8:$A$501=$A302)*('Réel 2024'!$C$3:$AO$3=O$2),'Réel 2024'!$C$8:$AO$501)</f>
        <v>0</v>
      </c>
      <c r="P302" s="353">
        <f t="shared" si="74"/>
        <v>0</v>
      </c>
      <c r="Q302" s="256" cm="1">
        <f t="array" ref="Q302">+SUMPRODUCT(('Réel 2024'!$A$8:$A$501=$A302)*('Réel 2024'!$C$3:$AO$3=Q$2),'Réel 2024'!$C$8:$AO$501)</f>
        <v>9135.7499999999891</v>
      </c>
      <c r="R302" s="292">
        <f t="shared" si="75"/>
        <v>0</v>
      </c>
      <c r="S302" s="276">
        <f t="shared" si="76"/>
        <v>3134.3200000000106</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tr">
        <f t="shared" si="69"/>
        <v>PiècesRectif. Inventaire</v>
      </c>
      <c r="B303" s="41" t="s">
        <v>180</v>
      </c>
      <c r="C303" s="246" t="s">
        <v>189</v>
      </c>
      <c r="D303" s="291" cm="1">
        <f t="array" ref="D303">+SUMPRODUCT(('Budget original'!$A$8:$A$501=$A303)*('Budget original'!$C$3:$AO$3=D$2),'Budget original'!$C$8:$AO$501)</f>
        <v>0</v>
      </c>
      <c r="E303" s="353">
        <f t="shared" si="70"/>
        <v>0</v>
      </c>
      <c r="F303" s="276" cm="1">
        <f t="array" ref="F303">+SUMPRODUCT(('Budget original'!$A$8:$A$501=$A303)*('Budget original'!$C$3:$AO$3=F$2),'Budget original'!$C$8:$AO$501)</f>
        <v>0</v>
      </c>
      <c r="G303" s="291"/>
      <c r="H303" s="353"/>
      <c r="I303" s="276"/>
      <c r="J303" s="254">
        <f>-SUMIFS(BV_Data_An_Cour!$P:$P,BV_Data_An_Cour!$X:$X,"Oui",BV_Data_An_Cour!$U:$U,$B303,BV_Data_An_Cour!$V:$V,$C303)</f>
        <v>0</v>
      </c>
      <c r="K303" s="353">
        <f t="shared" si="71"/>
        <v>0</v>
      </c>
      <c r="L303" s="256">
        <f>-SUMIFS(BV_Data_An_Cour!$P:$P,BV_Data_An_Cour!$U:$U,$B303,BV_Data_An_Cour!$V:$V,$C303,BV_Data_An_Cour!$W:$W,$L$2)</f>
        <v>0</v>
      </c>
      <c r="M303" s="292"/>
      <c r="N303" s="276">
        <f t="shared" si="73"/>
        <v>0</v>
      </c>
      <c r="O303" s="254" cm="1">
        <f t="array" ref="O303">+SUMPRODUCT(('Réel 2024'!$A$8:$A$501=$A303)*('Réel 2024'!$C$3:$AO$3=O$2),'Réel 2024'!$C$8:$AO$501)</f>
        <v>0</v>
      </c>
      <c r="P303" s="353">
        <f t="shared" si="74"/>
        <v>0</v>
      </c>
      <c r="Q303" s="256" cm="1">
        <f t="array" ref="Q303">+SUMPRODUCT(('Réel 2024'!$A$8:$A$501=$A303)*('Réel 2024'!$C$3:$AO$3=Q$2),'Réel 2024'!$C$8:$AO$501)</f>
        <v>0</v>
      </c>
      <c r="R303" s="292">
        <f t="shared" si="75"/>
        <v>0</v>
      </c>
      <c r="S303" s="276">
        <f t="shared" si="76"/>
        <v>0</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tr">
        <f t="shared" si="69"/>
        <v>PiècesSous-total Pièces</v>
      </c>
      <c r="B304" s="41" t="s">
        <v>180</v>
      </c>
      <c r="C304" s="270" t="s">
        <v>190</v>
      </c>
      <c r="D304" s="390">
        <f>SUM(D295:D303)</f>
        <v>697064.194548</v>
      </c>
      <c r="E304" s="407">
        <f>IF(D304&lt;=0,0,F304/D304)</f>
        <v>0.2451900935992469</v>
      </c>
      <c r="F304" s="392">
        <f t="shared" ref="F304" si="77">SUM(F295:F303)</f>
        <v>170913.23510590778</v>
      </c>
      <c r="G304" s="390"/>
      <c r="H304" s="407"/>
      <c r="I304" s="392"/>
      <c r="J304" s="390">
        <f t="shared" ref="J304" si="78">SUM(J295:J303)</f>
        <v>886762.64</v>
      </c>
      <c r="K304" s="407">
        <f t="shared" si="71"/>
        <v>0.21652909283593644</v>
      </c>
      <c r="L304" s="392">
        <f>SUM(L295:L303)</f>
        <v>192009.91000000009</v>
      </c>
      <c r="M304" s="408">
        <f>(+J304-D304)/D304</f>
        <v>0.27213913285993252</v>
      </c>
      <c r="N304" s="392">
        <f t="shared" si="73"/>
        <v>21096.674894092313</v>
      </c>
      <c r="O304" s="390">
        <f>SUM(O295:O303)</f>
        <v>746103.75999999989</v>
      </c>
      <c r="P304" s="407">
        <f>IF(O304&lt;=0,0,Q304/O304)</f>
        <v>0.24315190423380187</v>
      </c>
      <c r="Q304" s="392">
        <f t="shared" ref="Q304" si="79">SUM(Q295:Q303)</f>
        <v>181416.54999999946</v>
      </c>
      <c r="R304" s="408">
        <f t="shared" si="75"/>
        <v>0.18852455588750838</v>
      </c>
      <c r="S304" s="392">
        <f t="shared" si="76"/>
        <v>10593.360000000626</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tr">
        <f t="shared" si="69"/>
        <v>Pièces</v>
      </c>
      <c r="B305" s="41" t="s">
        <v>180</v>
      </c>
      <c r="C305" s="253"/>
      <c r="D305" s="41"/>
      <c r="E305" s="41"/>
      <c r="F305" s="263"/>
      <c r="G305" s="253"/>
      <c r="H305" s="41"/>
      <c r="I305" s="263"/>
      <c r="J305" s="253"/>
      <c r="K305" s="41"/>
      <c r="L305" s="263"/>
      <c r="M305" s="253"/>
      <c r="N305" s="265">
        <f>N304/F304</f>
        <v>0.12343499835468907</v>
      </c>
      <c r="O305" s="253"/>
      <c r="P305" s="41"/>
      <c r="Q305" s="263"/>
      <c r="R305" s="253"/>
      <c r="S305" s="265">
        <f>IF(Q304=0,0,S304/Q304)</f>
        <v>5.8392467500901421E-2</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tr">
        <f t="shared" si="69"/>
        <v>Pièces</v>
      </c>
      <c r="B306" s="41" t="s">
        <v>180</v>
      </c>
      <c r="C306" s="246"/>
      <c r="D306" s="318"/>
      <c r="E306" s="318"/>
      <c r="F306" s="409"/>
      <c r="G306" s="246"/>
      <c r="H306" s="318"/>
      <c r="I306" s="409"/>
      <c r="J306" s="267"/>
      <c r="K306" s="318"/>
      <c r="L306" s="409"/>
      <c r="M306" s="246"/>
      <c r="N306" s="370"/>
      <c r="O306" s="246"/>
      <c r="P306" s="318"/>
      <c r="Q306" s="409"/>
      <c r="R306" s="246"/>
      <c r="S306" s="370"/>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tr">
        <f t="shared" si="69"/>
        <v>PiècesVentes Pneus</v>
      </c>
      <c r="B307" s="41" t="s">
        <v>180</v>
      </c>
      <c r="C307" s="253" t="s">
        <v>191</v>
      </c>
      <c r="D307" s="291" cm="1">
        <f t="array" ref="D307">+SUMPRODUCT(('Budget original'!$A$8:$A$501=$A307)*('Budget original'!$C$3:$AO$3=D$2),'Budget original'!$C$8:$AO$501)</f>
        <v>103566.78</v>
      </c>
      <c r="E307" s="353">
        <f t="shared" ref="E307:E308" si="80">IF(D307=0,0,F307/D307)</f>
        <v>0.17099999999999999</v>
      </c>
      <c r="F307" s="317" cm="1">
        <f t="array" ref="F307">+SUMPRODUCT(('Budget original'!$A$8:$A$501=$A307)*('Budget original'!$C$3:$AO$3=F$2),'Budget original'!$C$8:$AO$501)</f>
        <v>17709.919379999999</v>
      </c>
      <c r="G307" s="291"/>
      <c r="H307" s="353"/>
      <c r="I307" s="317"/>
      <c r="J307" s="254">
        <f>-SUMIFS(BV_Data_An_Cour!$P:$P,BV_Data_An_Cour!$X:$X,"Oui",BV_Data_An_Cour!$U:$U,$B307,BV_Data_An_Cour!$V:$V,$C307)</f>
        <v>103052.97</v>
      </c>
      <c r="K307" s="353">
        <f t="shared" ref="K307:K309" si="81">IF(J307&lt;=0,0,L307/J307)</f>
        <v>0.15555825319736061</v>
      </c>
      <c r="L307" s="256">
        <f>-SUMIFS(BV_Data_An_Cour!$P:$P,BV_Data_An_Cour!$U:$U,$B307,BV_Data_An_Cour!$V:$V,$C307,BV_Data_An_Cour!$W:$W,$L$2)</f>
        <v>16030.740000000007</v>
      </c>
      <c r="M307" s="292">
        <f>(+J307-D307)/D307</f>
        <v>-4.961146807885672E-3</v>
      </c>
      <c r="N307" s="276">
        <f>L307-F307</f>
        <v>-1679.1793799999923</v>
      </c>
      <c r="O307" s="254" cm="1">
        <f t="array" ref="O307">+SUMPRODUCT(('Réel 2024'!$A$8:$A$501=$A307)*('Réel 2024'!$C$3:$AO$3=O$2),'Réel 2024'!$C$8:$AO$501)</f>
        <v>108892.51</v>
      </c>
      <c r="P307" s="353">
        <f t="shared" ref="P307:P308" si="82">IF(O307=0,0,Q307/O307)</f>
        <v>0.16236892693537863</v>
      </c>
      <c r="Q307" s="256" cm="1">
        <f t="array" ref="Q307">+SUMPRODUCT(('Réel 2024'!$A$8:$A$501=$A307)*('Réel 2024'!$C$3:$AO$3=Q$2),'Réel 2024'!$C$8:$AO$501)</f>
        <v>17680.759999999987</v>
      </c>
      <c r="R307" s="292">
        <f t="shared" ref="R307:R309" si="83">IF(O307=0,0,(J307-O307)/O307)</f>
        <v>-5.362664521186989E-2</v>
      </c>
      <c r="S307" s="276">
        <f t="shared" ref="S307:S309" si="84">L307-Q307</f>
        <v>-1650.0199999999804</v>
      </c>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tr">
        <f t="shared" si="69"/>
        <v>PiècesHuiles et Graisse</v>
      </c>
      <c r="B308" s="41" t="s">
        <v>180</v>
      </c>
      <c r="C308" s="246" t="s">
        <v>192</v>
      </c>
      <c r="D308" s="291" cm="1">
        <f t="array" ref="D308">+SUMPRODUCT(('Budget original'!$A$8:$A$501=$A308)*('Budget original'!$C$3:$AO$3=D$2),'Budget original'!$C$8:$AO$501)</f>
        <v>54359.500181698517</v>
      </c>
      <c r="E308" s="353">
        <f t="shared" si="80"/>
        <v>0.25600000000000001</v>
      </c>
      <c r="F308" s="296" cm="1">
        <f t="array" ref="F308">+SUMPRODUCT(('Budget original'!$A$8:$A$501=$A308)*('Budget original'!$C$3:$AO$3=F$2),'Budget original'!$C$8:$AO$501)</f>
        <v>13916.032046514822</v>
      </c>
      <c r="G308" s="291"/>
      <c r="H308" s="353"/>
      <c r="I308" s="296"/>
      <c r="J308" s="254">
        <f>-SUMIFS(BV_Data_An_Cour!$P:$P,BV_Data_An_Cour!$X:$X,"Oui",BV_Data_An_Cour!$U:$U,$B308,BV_Data_An_Cour!$V:$V,$C308)</f>
        <v>32563.65</v>
      </c>
      <c r="K308" s="353">
        <f t="shared" si="81"/>
        <v>0.24740899745575207</v>
      </c>
      <c r="L308" s="256">
        <f>-SUMIFS(BV_Data_An_Cour!$P:$P,BV_Data_An_Cour!$U:$U,$B308,BV_Data_An_Cour!$V:$V,$C308,BV_Data_An_Cour!$W:$W,$L$2)</f>
        <v>8056.5400000000009</v>
      </c>
      <c r="M308" s="292">
        <f>(+J308-D308)/D308</f>
        <v>-0.40095751632824306</v>
      </c>
      <c r="N308" s="276">
        <f>L308-F308</f>
        <v>-5859.4920465148207</v>
      </c>
      <c r="O308" s="254" cm="1">
        <f t="array" ref="O308">+SUMPRODUCT(('Réel 2024'!$A$8:$A$501=$A308)*('Réel 2024'!$C$3:$AO$3=O$2),'Réel 2024'!$C$8:$AO$501)</f>
        <v>31746.65</v>
      </c>
      <c r="P308" s="353">
        <f t="shared" si="82"/>
        <v>0.23423573825899707</v>
      </c>
      <c r="Q308" s="256" cm="1">
        <f t="array" ref="Q308">+SUMPRODUCT(('Réel 2024'!$A$8:$A$501=$A308)*('Réel 2024'!$C$3:$AO$3=Q$2),'Réel 2024'!$C$8:$AO$501)</f>
        <v>7436.1999999999898</v>
      </c>
      <c r="R308" s="292">
        <f t="shared" si="83"/>
        <v>2.5734998810898156E-2</v>
      </c>
      <c r="S308" s="276">
        <f t="shared" si="84"/>
        <v>620.34000000001106</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tr">
        <f t="shared" si="69"/>
        <v>PiècesSous-total Pièces et Acc.</v>
      </c>
      <c r="B309" s="41" t="s">
        <v>180</v>
      </c>
      <c r="C309" s="270" t="s">
        <v>193</v>
      </c>
      <c r="D309" s="390">
        <f>D304+D307+D308</f>
        <v>854990.4747296985</v>
      </c>
      <c r="E309" s="407">
        <f>IF(D309&lt;=0,0,F309/D309)</f>
        <v>0.23689057658385548</v>
      </c>
      <c r="F309" s="392">
        <f t="shared" ref="F309" si="85">F304+F307+F308</f>
        <v>202539.18653242261</v>
      </c>
      <c r="G309" s="393"/>
      <c r="H309" s="407"/>
      <c r="I309" s="392"/>
      <c r="J309" s="393">
        <f t="shared" ref="J309" si="86">J304+J307+J308</f>
        <v>1022379.26</v>
      </c>
      <c r="K309" s="407">
        <f t="shared" si="81"/>
        <v>0.2113669539814414</v>
      </c>
      <c r="L309" s="392">
        <f>L304+L307+L308</f>
        <v>216097.19000000012</v>
      </c>
      <c r="M309" s="408">
        <f>(+J309-D309)/D309</f>
        <v>0.19577853814479132</v>
      </c>
      <c r="N309" s="392">
        <f>L309-F309</f>
        <v>13558.00346757751</v>
      </c>
      <c r="O309" s="393">
        <f>O304+O307+O308</f>
        <v>886742.91999999993</v>
      </c>
      <c r="P309" s="407">
        <f>IF(O309&lt;=0,0,Q309/O309)</f>
        <v>0.23291249960022173</v>
      </c>
      <c r="Q309" s="392">
        <f t="shared" ref="Q309" si="87">Q304+Q307+Q308</f>
        <v>206533.50999999943</v>
      </c>
      <c r="R309" s="408">
        <f t="shared" si="83"/>
        <v>0.15296016121560924</v>
      </c>
      <c r="S309" s="392">
        <f t="shared" si="84"/>
        <v>9563.6800000006915</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tr">
        <f t="shared" si="69"/>
        <v>Pièces</v>
      </c>
      <c r="B310" s="41" t="s">
        <v>180</v>
      </c>
      <c r="C310" s="253"/>
      <c r="D310" s="41"/>
      <c r="E310" s="41"/>
      <c r="F310" s="263"/>
      <c r="G310" s="253"/>
      <c r="H310" s="41"/>
      <c r="I310" s="263"/>
      <c r="J310" s="253"/>
      <c r="K310" s="41"/>
      <c r="L310" s="263"/>
      <c r="M310" s="253"/>
      <c r="N310" s="265">
        <f>N309/F309</f>
        <v>6.6940149704843091E-2</v>
      </c>
      <c r="O310" s="253"/>
      <c r="P310" s="41"/>
      <c r="Q310" s="263"/>
      <c r="R310" s="253"/>
      <c r="S310" s="265">
        <f>IF(Q309=0,0,S309/Q309)</f>
        <v>4.6305706032888888E-2</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tr">
        <f t="shared" si="69"/>
        <v>Pièces</v>
      </c>
      <c r="B311" s="41" t="s">
        <v>180</v>
      </c>
      <c r="C311" s="253"/>
      <c r="D311" s="41"/>
      <c r="E311" s="41"/>
      <c r="F311" s="263"/>
      <c r="G311" s="253"/>
      <c r="H311" s="41"/>
      <c r="I311" s="263"/>
      <c r="J311" s="253"/>
      <c r="K311" s="41"/>
      <c r="L311" s="263"/>
      <c r="M311" s="253"/>
      <c r="N311" s="265"/>
      <c r="O311" s="253"/>
      <c r="P311" s="41"/>
      <c r="Q311" s="263"/>
      <c r="R311" s="253"/>
      <c r="S311" s="265"/>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tr">
        <f t="shared" si="69"/>
        <v>PiècesAutostock</v>
      </c>
      <c r="B312" s="41" t="s">
        <v>180</v>
      </c>
      <c r="C312" s="246" t="s">
        <v>194</v>
      </c>
      <c r="D312" s="294" cm="1">
        <f t="array" ref="D312">+SUMPRODUCT(('Budget original'!$A$8:$A$501=$A312)*('Budget original'!$C$3:$AO$3=D$2),'Budget original'!$C$8:$AO$501)</f>
        <v>0</v>
      </c>
      <c r="E312" s="354">
        <f>IF(D312=0,0,F312/D312)</f>
        <v>0</v>
      </c>
      <c r="F312" s="296" cm="1">
        <f t="array" ref="F312">+SUMPRODUCT(('Budget original'!$A$8:$A$501=$A312)*('Budget original'!$C$3:$AO$3=F$2),'Budget original'!$C$8:$AO$501)</f>
        <v>0</v>
      </c>
      <c r="G312" s="365"/>
      <c r="H312" s="354"/>
      <c r="I312" s="296"/>
      <c r="J312" s="267">
        <f>-SUMIFS(BV_Data_An_Cour!$P:$P,BV_Data_An_Cour!$X:$X,"Oui",BV_Data_An_Cour!$U:$U,$B312,BV_Data_An_Cour!$V:$V,$C312)</f>
        <v>0</v>
      </c>
      <c r="K312" s="354">
        <f>IF(J312&lt;=0,0,L312/J312)</f>
        <v>0</v>
      </c>
      <c r="L312" s="248">
        <f>-SUMIFS(BV_Data_An_Cour!$P:$P,BV_Data_An_Cour!$U:$U,$B312,BV_Data_An_Cour!$V:$V,$C312,BV_Data_An_Cour!$W:$W,$L$2)</f>
        <v>0</v>
      </c>
      <c r="M312" s="354">
        <f>IF(F312=0,0,(+L312-F312)/F312)</f>
        <v>0</v>
      </c>
      <c r="N312" s="296">
        <f>L312-F312</f>
        <v>0</v>
      </c>
      <c r="O312" s="267" cm="1">
        <f t="array" ref="O312">+SUMPRODUCT(('Réel 2024'!$A$8:$A$501=$A312)*('Réel 2024'!$C$3:$AO$3=O$2),'Réel 2024'!$C$8:$AO$501)</f>
        <v>0</v>
      </c>
      <c r="P312" s="354">
        <f>IF(O312=0,0,Q312/O312)</f>
        <v>0</v>
      </c>
      <c r="Q312" s="248" cm="1">
        <f t="array" ref="Q312">+SUMPRODUCT(('Réel 2024'!$A$8:$A$501=$A312)*('Réel 2024'!$C$3:$AO$3=Q$2),'Réel 2024'!$C$8:$AO$501)</f>
        <v>0</v>
      </c>
      <c r="R312" s="354">
        <f>IF(S312=0,0,(+O312-K312)/K312)</f>
        <v>0</v>
      </c>
      <c r="S312" s="296">
        <f>L312-Q312</f>
        <v>0</v>
      </c>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tr">
        <f t="shared" si="69"/>
        <v>Pièces</v>
      </c>
      <c r="B313" s="41" t="s">
        <v>180</v>
      </c>
      <c r="C313" s="253"/>
      <c r="D313" s="291"/>
      <c r="E313" s="353"/>
      <c r="F313" s="276"/>
      <c r="G313" s="277"/>
      <c r="H313" s="353"/>
      <c r="I313" s="276"/>
      <c r="J313" s="277"/>
      <c r="K313" s="353"/>
      <c r="L313" s="276"/>
      <c r="M313" s="292"/>
      <c r="N313" s="276"/>
      <c r="O313" s="277"/>
      <c r="P313" s="353"/>
      <c r="Q313" s="276"/>
      <c r="R313" s="292"/>
      <c r="S313" s="276"/>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tr">
        <f t="shared" si="69"/>
        <v>PiècesTotal Dépt. Pièces</v>
      </c>
      <c r="B314" s="41" t="s">
        <v>180</v>
      </c>
      <c r="C314" s="278" t="s">
        <v>195</v>
      </c>
      <c r="D314" s="279">
        <f>D309+D312</f>
        <v>854990.4747296985</v>
      </c>
      <c r="E314" s="410">
        <f>IF(D314&lt;=0,0,F314/D314)</f>
        <v>0.23689057658385548</v>
      </c>
      <c r="F314" s="281">
        <f t="shared" ref="F314" si="88">F309+F312</f>
        <v>202539.18653242261</v>
      </c>
      <c r="G314" s="282"/>
      <c r="H314" s="410"/>
      <c r="I314" s="281"/>
      <c r="J314" s="282">
        <f t="shared" ref="J314" si="89">J309+J312</f>
        <v>1022379.26</v>
      </c>
      <c r="K314" s="410">
        <f>IF(J314&lt;=0,0,L314/J314)</f>
        <v>0.2113669539814414</v>
      </c>
      <c r="L314" s="281">
        <f>L309+L312</f>
        <v>216097.19000000012</v>
      </c>
      <c r="M314" s="411">
        <f>(+J314-D314)/D314</f>
        <v>0.19577853814479132</v>
      </c>
      <c r="N314" s="412">
        <f>L314-F314</f>
        <v>13558.00346757751</v>
      </c>
      <c r="O314" s="282">
        <f>O309+O312</f>
        <v>886742.91999999993</v>
      </c>
      <c r="P314" s="410">
        <f>IF(O314&lt;=0,0,Q314/O314)</f>
        <v>0.23291249960022173</v>
      </c>
      <c r="Q314" s="281">
        <f t="shared" ref="Q314" si="90">Q309+Q312</f>
        <v>206533.50999999943</v>
      </c>
      <c r="R314" s="411">
        <f>IF(O314=0,0,(J314-O314)/O314)</f>
        <v>0.15296016121560924</v>
      </c>
      <c r="S314" s="412">
        <f>L314-Q314</f>
        <v>9563.6800000006915</v>
      </c>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c r="A315" s="5" t="str">
        <f t="shared" si="69"/>
        <v>Pièces</v>
      </c>
      <c r="B315" s="41" t="s">
        <v>180</v>
      </c>
      <c r="C315" s="332"/>
      <c r="D315" s="413"/>
      <c r="E315" s="414"/>
      <c r="F315" s="335"/>
      <c r="G315" s="415"/>
      <c r="H315" s="414"/>
      <c r="I315" s="335"/>
      <c r="J315" s="415"/>
      <c r="K315" s="414"/>
      <c r="L315" s="335"/>
      <c r="M315" s="416"/>
      <c r="N315" s="287">
        <f>N314/F314</f>
        <v>6.6940149704843091E-2</v>
      </c>
      <c r="O315" s="415"/>
      <c r="P315" s="414"/>
      <c r="Q315" s="335"/>
      <c r="R315" s="416"/>
      <c r="S315" s="287">
        <f>IF(Q314=0,0,S314/Q314)</f>
        <v>4.6305706032888888E-2</v>
      </c>
      <c r="T315" s="41"/>
      <c r="U315" s="41"/>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tr">
        <f t="shared" si="69"/>
        <v>Pièces</v>
      </c>
      <c r="B316" s="41" t="s">
        <v>180</v>
      </c>
      <c r="C316" s="270"/>
      <c r="D316" s="319"/>
      <c r="E316" s="372"/>
      <c r="F316" s="374"/>
      <c r="G316" s="373"/>
      <c r="H316" s="372"/>
      <c r="I316" s="374"/>
      <c r="J316" s="373"/>
      <c r="K316" s="372"/>
      <c r="L316" s="374"/>
      <c r="M316" s="253"/>
      <c r="N316" s="265"/>
      <c r="O316" s="373"/>
      <c r="P316" s="372"/>
      <c r="Q316" s="374"/>
      <c r="R316" s="253"/>
      <c r="S316" s="265"/>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tr">
        <f t="shared" si="69"/>
        <v>PiècesDEPENSES</v>
      </c>
      <c r="B317" s="41" t="s">
        <v>180</v>
      </c>
      <c r="C317" s="289" t="s">
        <v>110</v>
      </c>
      <c r="D317" s="41"/>
      <c r="E317" s="41"/>
      <c r="F317" s="276"/>
      <c r="G317" s="253"/>
      <c r="H317" s="41"/>
      <c r="I317" s="276"/>
      <c r="J317" s="253"/>
      <c r="K317" s="41"/>
      <c r="L317" s="263"/>
      <c r="M317" s="253"/>
      <c r="N317" s="263"/>
      <c r="O317" s="253"/>
      <c r="P317" s="41"/>
      <c r="Q317" s="263"/>
      <c r="R317" s="253"/>
      <c r="S317" s="263"/>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tr">
        <f t="shared" si="69"/>
        <v>PiècesSalaires cadres</v>
      </c>
      <c r="B318" s="41" t="s">
        <v>180</v>
      </c>
      <c r="C318" s="312" t="s">
        <v>120</v>
      </c>
      <c r="D318" s="41"/>
      <c r="E318" s="41"/>
      <c r="F318" s="254" cm="1">
        <f t="array" ref="F318">+SUMPRODUCT(('Budget original'!$A$8:$A$501=$A318)*('Budget original'!$C$3:$AO$3=F$2),'Budget original'!$C$8:$AO$501)</f>
        <v>15127.896153846155</v>
      </c>
      <c r="G318" s="253"/>
      <c r="H318" s="41"/>
      <c r="I318" s="254"/>
      <c r="J318" s="253"/>
      <c r="K318" s="41"/>
      <c r="L318" s="256">
        <f>SUMIFS(BV_Data_An_Cour!$P:$P,BV_Data_An_Cour!$U:$U,$B318,BV_Data_An_Cour!$V:$V,$C318,BV_Data_An_Cour!$W:$W,$L$2)</f>
        <v>15510.4</v>
      </c>
      <c r="M318" s="253"/>
      <c r="N318" s="276">
        <f t="shared" ref="N318:N348" si="91">L318-F318</f>
        <v>382.50384615384428</v>
      </c>
      <c r="O318" s="253"/>
      <c r="P318" s="41"/>
      <c r="Q318" s="256" cm="1">
        <f t="array" ref="Q318">+SUMPRODUCT(('Réel 2024'!$A$8:$A$501=$A318)*('Réel 2024'!$C$3:$AO$3=Q$2),'Réel 2024'!$C$8:$AO$501)</f>
        <v>19979.72</v>
      </c>
      <c r="R318" s="253"/>
      <c r="S318" s="256">
        <f t="shared" ref="S318:S348" si="92">L318-Q318</f>
        <v>-4469.3200000000015</v>
      </c>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tr">
        <f t="shared" si="69"/>
        <v>PiècesSalaires commis</v>
      </c>
      <c r="B319" s="41" t="s">
        <v>180</v>
      </c>
      <c r="C319" s="313" t="s">
        <v>121</v>
      </c>
      <c r="D319" s="297"/>
      <c r="E319" s="41"/>
      <c r="F319" s="248" cm="1">
        <f t="array" ref="F319">+SUMPRODUCT(('Budget original'!$A$8:$A$501=$A319)*('Budget original'!$C$3:$AO$3=F$2),'Budget original'!$C$8:$AO$501)</f>
        <v>58972.954276923076</v>
      </c>
      <c r="G319" s="298"/>
      <c r="H319" s="41"/>
      <c r="I319" s="248"/>
      <c r="J319" s="253"/>
      <c r="K319" s="41"/>
      <c r="L319" s="256">
        <f>SUMIFS(BV_Data_An_Cour!$P:$P,BV_Data_An_Cour!$U:$U,$B319,BV_Data_An_Cour!$V:$V,$C319,BV_Data_An_Cour!$W:$W,$L$2)</f>
        <v>53326.67</v>
      </c>
      <c r="M319" s="253"/>
      <c r="N319" s="276">
        <f t="shared" si="91"/>
        <v>-5646.2842769230774</v>
      </c>
      <c r="O319" s="253"/>
      <c r="P319" s="41"/>
      <c r="Q319" s="256" cm="1">
        <f t="array" ref="Q319">+SUMPRODUCT(('Réel 2024'!$A$8:$A$501=$A319)*('Réel 2024'!$C$3:$AO$3=Q$2),'Réel 2024'!$C$8:$AO$501)</f>
        <v>40292.57</v>
      </c>
      <c r="R319" s="253"/>
      <c r="S319" s="276">
        <f t="shared" si="92"/>
        <v>13034.099999999999</v>
      </c>
      <c r="T319" s="41"/>
      <c r="U319" s="41"/>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tr">
        <f t="shared" si="69"/>
        <v>PiècesSalaires autres</v>
      </c>
      <c r="B320" s="41" t="s">
        <v>180</v>
      </c>
      <c r="C320" s="312" t="s">
        <v>122</v>
      </c>
      <c r="D320" s="314"/>
      <c r="E320" s="315"/>
      <c r="F320" s="254" cm="1">
        <f t="array" ref="F320">+SUMPRODUCT(('Budget original'!$A$8:$A$501=$A320)*('Budget original'!$C$3:$AO$3=F$2),'Budget original'!$C$8:$AO$501)</f>
        <v>315.55384615384617</v>
      </c>
      <c r="G320" s="316"/>
      <c r="H320" s="315"/>
      <c r="I320" s="254"/>
      <c r="J320" s="241"/>
      <c r="K320" s="315"/>
      <c r="L320" s="272">
        <f>SUMIFS(BV_Data_An_Cour!$P:$P,BV_Data_An_Cour!$U:$U,$B320,BV_Data_An_Cour!$V:$V,$C320,BV_Data_An_Cour!$W:$W,$L$2)</f>
        <v>227.84</v>
      </c>
      <c r="M320" s="241"/>
      <c r="N320" s="317">
        <f t="shared" si="91"/>
        <v>-87.713846153846163</v>
      </c>
      <c r="O320" s="241"/>
      <c r="P320" s="315"/>
      <c r="Q320" s="272" cm="1">
        <f t="array" ref="Q320">+SUMPRODUCT(('Réel 2024'!$A$8:$A$501=$A320)*('Réel 2024'!$C$3:$AO$3=Q$2),'Réel 2024'!$C$8:$AO$501)</f>
        <v>6793.7800000000007</v>
      </c>
      <c r="R320" s="241"/>
      <c r="S320" s="317">
        <f t="shared" si="92"/>
        <v>-6565.9400000000005</v>
      </c>
      <c r="T320" s="41"/>
      <c r="U320" s="417"/>
      <c r="V320" s="417"/>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tr">
        <f t="shared" si="69"/>
        <v>PiècesSalaires spécialistes</v>
      </c>
      <c r="B321" s="41" t="s">
        <v>180</v>
      </c>
      <c r="C321" s="312" t="s">
        <v>123</v>
      </c>
      <c r="D321" s="297"/>
      <c r="E321" s="41"/>
      <c r="F321" s="254" cm="1">
        <f t="array" ref="F321">+SUMPRODUCT(('Budget original'!$A$8:$A$501=$A321)*('Budget original'!$C$3:$AO$3=F$2),'Budget original'!$C$8:$AO$501)</f>
        <v>0</v>
      </c>
      <c r="G321" s="298"/>
      <c r="H321" s="41"/>
      <c r="I321" s="254"/>
      <c r="J321" s="253"/>
      <c r="K321" s="41"/>
      <c r="L321" s="256">
        <f>SUMIFS(BV_Data_An_Cour!$P:$P,BV_Data_An_Cour!$U:$U,$B321,BV_Data_An_Cour!$V:$V,$C321,BV_Data_An_Cour!$W:$W,$L$2)</f>
        <v>0</v>
      </c>
      <c r="M321" s="253"/>
      <c r="N321" s="276">
        <f t="shared" si="91"/>
        <v>0</v>
      </c>
      <c r="O321" s="253"/>
      <c r="P321" s="41"/>
      <c r="Q321" s="256" cm="1">
        <f t="array" ref="Q321">+SUMPRODUCT(('Réel 2024'!$A$8:$A$501=$A321)*('Réel 2024'!$C$3:$AO$3=Q$2),'Réel 2024'!$C$8:$AO$501)</f>
        <v>0</v>
      </c>
      <c r="R321" s="253"/>
      <c r="S321" s="276">
        <f t="shared" si="92"/>
        <v>0</v>
      </c>
      <c r="T321" s="41"/>
      <c r="U321" s="41"/>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tr">
        <f t="shared" si="69"/>
        <v>Pièces[...]</v>
      </c>
      <c r="B322" s="41" t="s">
        <v>180</v>
      </c>
      <c r="C322" s="253" t="s">
        <v>59</v>
      </c>
      <c r="D322" s="297"/>
      <c r="E322" s="41"/>
      <c r="F322" s="254" cm="1">
        <f t="array" ref="F322">+SUMPRODUCT(('Budget original'!$A$8:$A$501=$A322)*('Budget original'!$C$3:$AO$3=F$2),'Budget original'!$C$8:$AO$501)</f>
        <v>0</v>
      </c>
      <c r="G322" s="298"/>
      <c r="H322" s="41"/>
      <c r="I322" s="254"/>
      <c r="J322" s="253"/>
      <c r="K322" s="41"/>
      <c r="L322" s="256">
        <f>SUMIFS(BV_Data_An_Cour!$P:$P,BV_Data_An_Cour!$U:$U,$B322,BV_Data_An_Cour!$V:$V,$C322,BV_Data_An_Cour!$W:$W,$L$2)</f>
        <v>0</v>
      </c>
      <c r="M322" s="253"/>
      <c r="N322" s="276">
        <f t="shared" si="91"/>
        <v>0</v>
      </c>
      <c r="O322" s="253"/>
      <c r="P322" s="41"/>
      <c r="Q322" s="256" cm="1">
        <f t="array" ref="Q322">+SUMPRODUCT(('Réel 2024'!$A$8:$A$501=$A322)*('Réel 2024'!$C$3:$AO$3=Q$2),'Réel 2024'!$C$8:$AO$501)</f>
        <v>0</v>
      </c>
      <c r="R322" s="253"/>
      <c r="S322" s="276">
        <f t="shared" si="92"/>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tr">
        <f t="shared" si="69"/>
        <v>Pièces[...]</v>
      </c>
      <c r="B323" s="41" t="s">
        <v>180</v>
      </c>
      <c r="C323" s="253" t="s">
        <v>59</v>
      </c>
      <c r="D323" s="297"/>
      <c r="E323" s="41"/>
      <c r="F323" s="254" cm="1">
        <f t="array" ref="F323">+SUMPRODUCT(('Budget original'!$A$8:$A$501=$A323)*('Budget original'!$C$3:$AO$3=F$2),'Budget original'!$C$8:$AO$501)</f>
        <v>0</v>
      </c>
      <c r="G323" s="298"/>
      <c r="H323" s="41"/>
      <c r="I323" s="254"/>
      <c r="J323" s="253"/>
      <c r="K323" s="41"/>
      <c r="L323" s="256">
        <f>SUMIFS(BV_Data_An_Cour!$P:$P,BV_Data_An_Cour!$U:$U,$B323,BV_Data_An_Cour!$V:$V,$C323,BV_Data_An_Cour!$W:$W,$L$2)</f>
        <v>0</v>
      </c>
      <c r="M323" s="253"/>
      <c r="N323" s="276">
        <f t="shared" si="91"/>
        <v>0</v>
      </c>
      <c r="O323" s="253"/>
      <c r="P323" s="41"/>
      <c r="Q323" s="256" cm="1">
        <f t="array" ref="Q323">+SUMPRODUCT(('Réel 2024'!$A$8:$A$501=$A323)*('Réel 2024'!$C$3:$AO$3=Q$2),'Réel 2024'!$C$8:$AO$501)</f>
        <v>0</v>
      </c>
      <c r="R323" s="253"/>
      <c r="S323" s="276">
        <f t="shared" si="92"/>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tr">
        <f t="shared" si="69"/>
        <v>Pièces[...]</v>
      </c>
      <c r="B324" s="41" t="s">
        <v>180</v>
      </c>
      <c r="C324" s="253" t="s">
        <v>59</v>
      </c>
      <c r="D324" s="297"/>
      <c r="E324" s="41"/>
      <c r="F324" s="254" cm="1">
        <f t="array" ref="F324">+SUMPRODUCT(('Budget original'!$A$8:$A$501=$A324)*('Budget original'!$C$3:$AO$3=F$2),'Budget original'!$C$8:$AO$501)</f>
        <v>0</v>
      </c>
      <c r="G324" s="298"/>
      <c r="H324" s="41"/>
      <c r="I324" s="254"/>
      <c r="J324" s="253"/>
      <c r="K324" s="41"/>
      <c r="L324" s="256">
        <f>SUMIFS(BV_Data_An_Cour!$P:$P,BV_Data_An_Cour!$U:$U,$B324,BV_Data_An_Cour!$V:$V,$C324,BV_Data_An_Cour!$W:$W,$L$2)</f>
        <v>0</v>
      </c>
      <c r="M324" s="253"/>
      <c r="N324" s="276">
        <f t="shared" si="91"/>
        <v>0</v>
      </c>
      <c r="O324" s="253"/>
      <c r="P324" s="41"/>
      <c r="Q324" s="256" cm="1">
        <f t="array" ref="Q324">+SUMPRODUCT(('Réel 2024'!$A$8:$A$501=$A324)*('Réel 2024'!$C$3:$AO$3=Q$2),'Réel 2024'!$C$8:$AO$501)</f>
        <v>0</v>
      </c>
      <c r="R324" s="253"/>
      <c r="S324" s="276">
        <f t="shared" si="92"/>
        <v>0</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tr">
        <f t="shared" si="69"/>
        <v>PiècesSalaires en absences</v>
      </c>
      <c r="B325" s="41" t="s">
        <v>180</v>
      </c>
      <c r="C325" s="313" t="s">
        <v>124</v>
      </c>
      <c r="D325" s="297"/>
      <c r="E325" s="41"/>
      <c r="F325" s="248" cm="1">
        <f t="array" ref="F325">+SUMPRODUCT(('Budget original'!$A$8:$A$501=$A325)*('Budget original'!$C$3:$AO$3=F$2),'Budget original'!$C$8:$AO$501)</f>
        <v>9172.9849238923089</v>
      </c>
      <c r="G325" s="298"/>
      <c r="H325" s="41"/>
      <c r="I325" s="248"/>
      <c r="J325" s="253"/>
      <c r="K325" s="41"/>
      <c r="L325" s="256">
        <f>SUMIFS(BV_Data_An_Cour!$P:$P,BV_Data_An_Cour!$U:$U,$B325,BV_Data_An_Cour!$V:$V,$C325,BV_Data_An_Cour!$W:$W,$L$2)</f>
        <v>8327.43</v>
      </c>
      <c r="M325" s="253"/>
      <c r="N325" s="276">
        <f t="shared" si="91"/>
        <v>-845.55492389230858</v>
      </c>
      <c r="O325" s="253"/>
      <c r="P325" s="41"/>
      <c r="Q325" s="256" cm="1">
        <f t="array" ref="Q325">+SUMPRODUCT(('Réel 2024'!$A$8:$A$501=$A325)*('Réel 2024'!$C$3:$AO$3=Q$2),'Réel 2024'!$C$8:$AO$501)</f>
        <v>8288.81</v>
      </c>
      <c r="R325" s="253"/>
      <c r="S325" s="276">
        <f t="shared" si="92"/>
        <v>38.6200000000008</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tr">
        <f t="shared" si="69"/>
        <v>PiècesDéduction à la source</v>
      </c>
      <c r="B326" s="41" t="s">
        <v>180</v>
      </c>
      <c r="C326" s="312" t="s">
        <v>125</v>
      </c>
      <c r="D326" s="314"/>
      <c r="E326" s="315"/>
      <c r="F326" s="254" cm="1">
        <f t="array" ref="F326">+SUMPRODUCT(('Budget original'!$A$8:$A$501=$A326)*('Budget original'!$C$3:$AO$3=F$2),'Budget original'!$C$8:$AO$501)</f>
        <v>11153.056559446155</v>
      </c>
      <c r="G326" s="316"/>
      <c r="H326" s="315"/>
      <c r="I326" s="254"/>
      <c r="J326" s="241"/>
      <c r="K326" s="315"/>
      <c r="L326" s="272">
        <f>SUMIFS(BV_Data_An_Cour!$P:$P,BV_Data_An_Cour!$U:$U,$B326,BV_Data_An_Cour!$V:$V,$C326,BV_Data_An_Cour!$W:$W,$L$2)</f>
        <v>17528.32</v>
      </c>
      <c r="M326" s="241"/>
      <c r="N326" s="317">
        <f t="shared" si="91"/>
        <v>6375.2634405538447</v>
      </c>
      <c r="O326" s="241"/>
      <c r="P326" s="315"/>
      <c r="Q326" s="272" cm="1">
        <f t="array" ref="Q326">+SUMPRODUCT(('Réel 2024'!$A$8:$A$501=$A326)*('Réel 2024'!$C$3:$AO$3=Q$2),'Réel 2024'!$C$8:$AO$501)</f>
        <v>16305</v>
      </c>
      <c r="R326" s="241"/>
      <c r="S326" s="317">
        <f t="shared" si="92"/>
        <v>1223.3199999999997</v>
      </c>
      <c r="T326" s="41"/>
      <c r="U326" s="254"/>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tr">
        <f t="shared" si="69"/>
        <v>PiècesBénéfices marginaux</v>
      </c>
      <c r="B327" s="41" t="s">
        <v>180</v>
      </c>
      <c r="C327" s="312" t="s">
        <v>126</v>
      </c>
      <c r="D327" s="297"/>
      <c r="E327" s="41"/>
      <c r="F327" s="254" cm="1">
        <f t="array" ref="F327">+SUMPRODUCT(('Budget original'!$A$8:$A$501=$A327)*('Budget original'!$C$3:$AO$3=F$2),'Budget original'!$C$8:$AO$501)</f>
        <v>5746.2487056276914</v>
      </c>
      <c r="G327" s="298"/>
      <c r="H327" s="41"/>
      <c r="I327" s="254"/>
      <c r="J327" s="253"/>
      <c r="K327" s="41"/>
      <c r="L327" s="256">
        <f>SUMIFS(BV_Data_An_Cour!$P:$P,BV_Data_An_Cour!$U:$U,$B327,BV_Data_An_Cour!$V:$V,$C327,BV_Data_An_Cour!$W:$W,$L$2)</f>
        <v>3723.95</v>
      </c>
      <c r="M327" s="253"/>
      <c r="N327" s="276">
        <f t="shared" si="91"/>
        <v>-2022.2987056276916</v>
      </c>
      <c r="O327" s="253"/>
      <c r="P327" s="41"/>
      <c r="Q327" s="256" cm="1">
        <f t="array" ref="Q327">+SUMPRODUCT(('Réel 2024'!$A$8:$A$501=$A327)*('Réel 2024'!$C$3:$AO$3=Q$2),'Réel 2024'!$C$8:$AO$501)</f>
        <v>2019.85</v>
      </c>
      <c r="R327" s="253"/>
      <c r="S327" s="276">
        <f t="shared" si="92"/>
        <v>1704.1</v>
      </c>
      <c r="T327" s="41"/>
      <c r="U327" s="254"/>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tr">
        <f t="shared" si="69"/>
        <v>PiècesCsst</v>
      </c>
      <c r="B328" s="41" t="s">
        <v>180</v>
      </c>
      <c r="C328" s="312" t="s">
        <v>127</v>
      </c>
      <c r="D328" s="297"/>
      <c r="E328" s="41"/>
      <c r="F328" s="254" cm="1">
        <f t="array" ref="F328">+SUMPRODUCT(('Budget original'!$A$8:$A$501=$A328)*('Budget original'!$C$3:$AO$3=F$2),'Budget original'!$C$8:$AO$501)</f>
        <v>2505.3967633538459</v>
      </c>
      <c r="G328" s="298"/>
      <c r="H328" s="41"/>
      <c r="I328" s="254"/>
      <c r="J328" s="253"/>
      <c r="K328" s="41"/>
      <c r="L328" s="256">
        <f>SUMIFS(BV_Data_An_Cour!$P:$P,BV_Data_An_Cour!$U:$U,$B328,BV_Data_An_Cour!$V:$V,$C328,BV_Data_An_Cour!$W:$W,$L$2)</f>
        <v>2774.22</v>
      </c>
      <c r="M328" s="253"/>
      <c r="N328" s="276">
        <f t="shared" si="91"/>
        <v>268.82323664615387</v>
      </c>
      <c r="O328" s="253"/>
      <c r="P328" s="41"/>
      <c r="Q328" s="256" cm="1">
        <f t="array" ref="Q328">+SUMPRODUCT(('Réel 2024'!$A$8:$A$501=$A328)*('Réel 2024'!$C$3:$AO$3=Q$2),'Réel 2024'!$C$8:$AO$501)</f>
        <v>1847.38</v>
      </c>
      <c r="R328" s="253"/>
      <c r="S328" s="276">
        <f t="shared" si="92"/>
        <v>926.83999999999969</v>
      </c>
      <c r="T328" s="41"/>
      <c r="U328" s="254"/>
      <c r="V328" s="41"/>
      <c r="W328" s="41"/>
      <c r="X328" s="41"/>
      <c r="Y328" s="41"/>
      <c r="Z328" s="41"/>
      <c r="AA328" s="41"/>
      <c r="AB328" s="41"/>
      <c r="AC328" s="41"/>
      <c r="AD328" s="41"/>
      <c r="AE328" s="41"/>
      <c r="AF328" s="41"/>
      <c r="AG328" s="41"/>
      <c r="AH328" s="41"/>
      <c r="AI328" s="41"/>
      <c r="AJ328" s="41"/>
      <c r="AK328" s="41"/>
      <c r="AL328" s="41"/>
      <c r="AM328" s="41"/>
      <c r="AN328" s="41"/>
    </row>
    <row r="329" spans="1:40" ht="15.75" hidden="1" customHeight="1">
      <c r="A329" s="5" t="str">
        <f t="shared" si="69"/>
        <v>Pièces[...]</v>
      </c>
      <c r="B329" s="41" t="s">
        <v>180</v>
      </c>
      <c r="C329" s="253" t="s">
        <v>59</v>
      </c>
      <c r="D329" s="299"/>
      <c r="E329" s="318"/>
      <c r="F329" s="254" cm="1">
        <f t="array" ref="F329">+SUMPRODUCT(('Budget original'!$A$8:$A$501=$A329)*('Budget original'!$C$3:$AO$3=F$2),'Budget original'!$C$8:$AO$501)</f>
        <v>0</v>
      </c>
      <c r="G329" s="300"/>
      <c r="H329" s="318"/>
      <c r="I329" s="254"/>
      <c r="J329" s="246"/>
      <c r="K329" s="318"/>
      <c r="L329" s="256">
        <f>SUMIFS(BV_Data_An_Cour!$P:$P,BV_Data_An_Cour!$U:$U,$B329,BV_Data_An_Cour!$V:$V,$C329,BV_Data_An_Cour!$W:$W,$L$2)</f>
        <v>0</v>
      </c>
      <c r="M329" s="246"/>
      <c r="N329" s="296">
        <f t="shared" si="91"/>
        <v>0</v>
      </c>
      <c r="O329" s="246"/>
      <c r="P329" s="318"/>
      <c r="Q329" s="256" cm="1">
        <f t="array" ref="Q329">+SUMPRODUCT(('Réel 2024'!$A$8:$A$501=$A329)*('Réel 2024'!$C$3:$AO$3=Q$2),'Réel 2024'!$C$8:$AO$501)</f>
        <v>0</v>
      </c>
      <c r="R329" s="246"/>
      <c r="S329" s="296">
        <f t="shared" si="92"/>
        <v>0</v>
      </c>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tr">
        <f t="shared" si="69"/>
        <v>PiècesTOTAL PERSONNEL</v>
      </c>
      <c r="B330" s="41" t="s">
        <v>180</v>
      </c>
      <c r="C330" s="304" t="s">
        <v>128</v>
      </c>
      <c r="D330" s="305" t="s">
        <v>119</v>
      </c>
      <c r="E330" s="306">
        <f>F330/F$314</f>
        <v>0.50851439167183443</v>
      </c>
      <c r="F330" s="307">
        <f>+SUM(F318:F329)</f>
        <v>102994.09122924307</v>
      </c>
      <c r="G330" s="308"/>
      <c r="H330" s="306"/>
      <c r="I330" s="307"/>
      <c r="J330" s="308" t="s">
        <v>119</v>
      </c>
      <c r="K330" s="306">
        <f>L330/L$314</f>
        <v>0.46932044789661514</v>
      </c>
      <c r="L330" s="307">
        <f>+SUM(L318:L329)</f>
        <v>101418.83</v>
      </c>
      <c r="M330" s="355"/>
      <c r="N330" s="320">
        <f t="shared" si="91"/>
        <v>-1575.2612292430713</v>
      </c>
      <c r="O330" s="308" t="s">
        <v>119</v>
      </c>
      <c r="P330" s="306">
        <f>Q330/Q$314</f>
        <v>0.46252596007301811</v>
      </c>
      <c r="Q330" s="307">
        <f>+SUM(Q318:Q329)</f>
        <v>95527.110000000015</v>
      </c>
      <c r="R330" s="355"/>
      <c r="S330" s="320">
        <f t="shared" si="92"/>
        <v>5891.7199999999866</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tr">
        <f t="shared" si="69"/>
        <v>PiècesPublicité 2</v>
      </c>
      <c r="B331" s="41" t="s">
        <v>180</v>
      </c>
      <c r="C331" s="406" t="s">
        <v>129</v>
      </c>
      <c r="D331" s="297"/>
      <c r="E331" s="41"/>
      <c r="F331" s="254" cm="1">
        <f t="array" ref="F331">+SUMPRODUCT(('Budget original'!$A$8:$A$501=$A331)*('Budget original'!$C$3:$AO$3=F$2),'Budget original'!$C$8:$AO$501)</f>
        <v>7062.3191036132375</v>
      </c>
      <c r="G331" s="298"/>
      <c r="H331" s="41"/>
      <c r="I331" s="254"/>
      <c r="J331" s="253"/>
      <c r="K331" s="41"/>
      <c r="L331" s="256">
        <f>SUMIFS(BV_Data_An_Cour!$P:$P,BV_Data_An_Cour!$U:$U,$B331,BV_Data_An_Cour!$V:$V,$C331,BV_Data_An_Cour!$W:$W,$L$2)</f>
        <v>9789.68</v>
      </c>
      <c r="M331" s="253"/>
      <c r="N331" s="276">
        <f t="shared" si="91"/>
        <v>2727.3608963867628</v>
      </c>
      <c r="O331" s="253"/>
      <c r="P331" s="41"/>
      <c r="Q331" s="256" cm="1">
        <f t="array" ref="Q331">+SUMPRODUCT(('Réel 2024'!$A$8:$A$501=$A331)*('Réel 2024'!$C$3:$AO$3=Q$2),'Réel 2024'!$C$8:$AO$501)</f>
        <v>10488.279999999999</v>
      </c>
      <c r="R331" s="253"/>
      <c r="S331" s="276">
        <f t="shared" si="92"/>
        <v>-698.59999999999854</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tr">
        <f t="shared" si="69"/>
        <v>PiècesService gratuit 2</v>
      </c>
      <c r="B332" s="41" t="s">
        <v>180</v>
      </c>
      <c r="C332" s="312" t="s">
        <v>130</v>
      </c>
      <c r="D332" s="297"/>
      <c r="E332" s="41"/>
      <c r="F332" s="254" cm="1">
        <f t="array" ref="F332">+SUMPRODUCT(('Budget original'!$A$8:$A$501=$A332)*('Budget original'!$C$3:$AO$3=F$2),'Budget original'!$C$8:$AO$501)</f>
        <v>1123.0515564028547</v>
      </c>
      <c r="G332" s="298"/>
      <c r="H332" s="41"/>
      <c r="I332" s="254"/>
      <c r="J332" s="253"/>
      <c r="K332" s="41"/>
      <c r="L332" s="256">
        <f>SUMIFS(BV_Data_An_Cour!$P:$P,BV_Data_An_Cour!$U:$U,$B332,BV_Data_An_Cour!$V:$V,$C332,BV_Data_An_Cour!$W:$W,$L$2)</f>
        <v>6318.73</v>
      </c>
      <c r="M332" s="253"/>
      <c r="N332" s="276">
        <f t="shared" si="91"/>
        <v>5195.6784435971449</v>
      </c>
      <c r="O332" s="253"/>
      <c r="P332" s="41"/>
      <c r="Q332" s="256" cm="1">
        <f t="array" ref="Q332">+SUMPRODUCT(('Réel 2024'!$A$8:$A$501=$A332)*('Réel 2024'!$C$3:$AO$3=Q$2),'Réel 2024'!$C$8:$AO$501)</f>
        <v>-5629.4</v>
      </c>
      <c r="R332" s="253"/>
      <c r="S332" s="276">
        <f t="shared" si="92"/>
        <v>11948.13</v>
      </c>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tr">
        <f t="shared" si="69"/>
        <v>PiècesFrais véhicules de cie</v>
      </c>
      <c r="B333" s="41" t="s">
        <v>180</v>
      </c>
      <c r="C333" s="313" t="s">
        <v>131</v>
      </c>
      <c r="D333" s="299"/>
      <c r="E333" s="318"/>
      <c r="F333" s="248" cm="1">
        <f t="array" ref="F333">+SUMPRODUCT(('Budget original'!$A$8:$A$501=$A333)*('Budget original'!$C$3:$AO$3=F$2),'Budget original'!$C$8:$AO$501)</f>
        <v>2528.6409777777785</v>
      </c>
      <c r="G333" s="300"/>
      <c r="H333" s="318"/>
      <c r="I333" s="248"/>
      <c r="J333" s="246"/>
      <c r="K333" s="318"/>
      <c r="L333" s="256">
        <f>SUMIFS(BV_Data_An_Cour!$P:$P,BV_Data_An_Cour!$U:$U,$B333,BV_Data_An_Cour!$V:$V,$C333,BV_Data_An_Cour!$W:$W,$L$2)</f>
        <v>2524.4699999999998</v>
      </c>
      <c r="M333" s="246"/>
      <c r="N333" s="296">
        <f t="shared" si="91"/>
        <v>-4.1709777777787167</v>
      </c>
      <c r="O333" s="246"/>
      <c r="P333" s="318"/>
      <c r="Q333" s="256" cm="1">
        <f t="array" ref="Q333">+SUMPRODUCT(('Réel 2024'!$A$8:$A$501=$A333)*('Réel 2024'!$C$3:$AO$3=Q$2),'Réel 2024'!$C$8:$AO$501)</f>
        <v>2462.9</v>
      </c>
      <c r="R333" s="246"/>
      <c r="S333" s="296">
        <f t="shared" si="92"/>
        <v>61.569999999999709</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tr">
        <f t="shared" si="69"/>
        <v>PiècesInformatique</v>
      </c>
      <c r="B334" s="41" t="s">
        <v>180</v>
      </c>
      <c r="C334" s="312" t="s">
        <v>132</v>
      </c>
      <c r="D334" s="297"/>
      <c r="E334" s="41"/>
      <c r="F334" s="254" cm="1">
        <f t="array" ref="F334">+SUMPRODUCT(('Budget original'!$A$8:$A$501=$A334)*('Budget original'!$C$3:$AO$3=F$2),'Budget original'!$C$8:$AO$501)</f>
        <v>8899.3134778888907</v>
      </c>
      <c r="G334" s="298"/>
      <c r="H334" s="41"/>
      <c r="I334" s="254"/>
      <c r="J334" s="253"/>
      <c r="K334" s="41"/>
      <c r="L334" s="272">
        <f>SUMIFS(BV_Data_An_Cour!$P:$P,BV_Data_An_Cour!$U:$U,$B334,BV_Data_An_Cour!$V:$V,$C334,BV_Data_An_Cour!$W:$W,$L$2)</f>
        <v>13589.92</v>
      </c>
      <c r="M334" s="253"/>
      <c r="N334" s="276">
        <f t="shared" si="91"/>
        <v>4690.6065221111094</v>
      </c>
      <c r="O334" s="253"/>
      <c r="P334" s="41"/>
      <c r="Q334" s="272" cm="1">
        <f t="array" ref="Q334">+SUMPRODUCT(('Réel 2024'!$A$8:$A$501=$A334)*('Réel 2024'!$C$3:$AO$3=Q$2),'Réel 2024'!$C$8:$AO$501)</f>
        <v>8626.57</v>
      </c>
      <c r="R334" s="253"/>
      <c r="S334" s="276">
        <f t="shared" si="92"/>
        <v>4963.3500000000004</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tr">
        <f t="shared" si="69"/>
        <v>PiècesFrais de déplacement</v>
      </c>
      <c r="B335" s="41" t="s">
        <v>180</v>
      </c>
      <c r="C335" s="312" t="s">
        <v>133</v>
      </c>
      <c r="D335" s="297"/>
      <c r="E335" s="41"/>
      <c r="F335" s="254" cm="1">
        <f t="array" ref="F335">+SUMPRODUCT(('Budget original'!$A$8:$A$501=$A335)*('Budget original'!$C$3:$AO$3=F$2),'Budget original'!$C$8:$AO$501)</f>
        <v>1636.5529377536179</v>
      </c>
      <c r="G335" s="298"/>
      <c r="H335" s="41"/>
      <c r="I335" s="254"/>
      <c r="J335" s="253"/>
      <c r="K335" s="41"/>
      <c r="L335" s="256">
        <f>SUMIFS(BV_Data_An_Cour!$P:$P,BV_Data_An_Cour!$U:$U,$B335,BV_Data_An_Cour!$V:$V,$C335,BV_Data_An_Cour!$W:$W,$L$2)</f>
        <v>1771.85</v>
      </c>
      <c r="M335" s="253"/>
      <c r="N335" s="276">
        <f t="shared" si="91"/>
        <v>135.29706224638198</v>
      </c>
      <c r="O335" s="253"/>
      <c r="P335" s="41"/>
      <c r="Q335" s="256" cm="1">
        <f t="array" ref="Q335">+SUMPRODUCT(('Réel 2024'!$A$8:$A$501=$A335)*('Réel 2024'!$C$3:$AO$3=Q$2),'Réel 2024'!$C$8:$AO$501)</f>
        <v>999.31999999999994</v>
      </c>
      <c r="R335" s="253"/>
      <c r="S335" s="276">
        <f t="shared" si="92"/>
        <v>772.53</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tr">
        <f t="shared" si="69"/>
        <v>PiècesServices extérieurs</v>
      </c>
      <c r="B336" s="41" t="s">
        <v>180</v>
      </c>
      <c r="C336" s="313" t="s">
        <v>134</v>
      </c>
      <c r="D336" s="299"/>
      <c r="E336" s="318"/>
      <c r="F336" s="248" cm="1">
        <f t="array" ref="F336">+SUMPRODUCT(('Budget original'!$A$8:$A$501=$A336)*('Budget original'!$C$3:$AO$3=F$2),'Budget original'!$C$8:$AO$501)</f>
        <v>24976.171754530485</v>
      </c>
      <c r="G336" s="300"/>
      <c r="H336" s="318"/>
      <c r="I336" s="248"/>
      <c r="J336" s="246"/>
      <c r="K336" s="318"/>
      <c r="L336" s="248">
        <f>SUMIFS(BV_Data_An_Cour!$P:$P,BV_Data_An_Cour!$U:$U,$B336,BV_Data_An_Cour!$V:$V,$C336,BV_Data_An_Cour!$W:$W,$L$2)</f>
        <v>27344.17</v>
      </c>
      <c r="M336" s="246"/>
      <c r="N336" s="296">
        <f t="shared" si="91"/>
        <v>2367.9982454695128</v>
      </c>
      <c r="O336" s="246"/>
      <c r="P336" s="318"/>
      <c r="Q336" s="248" cm="1">
        <f t="array" ref="Q336">+SUMPRODUCT(('Réel 2024'!$A$8:$A$501=$A336)*('Réel 2024'!$C$3:$AO$3=Q$2),'Réel 2024'!$C$8:$AO$501)</f>
        <v>30055.06</v>
      </c>
      <c r="R336" s="246"/>
      <c r="S336" s="296">
        <f t="shared" si="92"/>
        <v>-2710.8900000000031</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tr">
        <f t="shared" si="69"/>
        <v>PiècesFournitures d'atelier</v>
      </c>
      <c r="B337" s="41" t="s">
        <v>180</v>
      </c>
      <c r="C337" s="312" t="s">
        <v>490</v>
      </c>
      <c r="D337" s="297"/>
      <c r="E337" s="41"/>
      <c r="F337" s="254"/>
      <c r="G337" s="298"/>
      <c r="H337" s="41"/>
      <c r="I337" s="254"/>
      <c r="J337" s="253"/>
      <c r="K337" s="41"/>
      <c r="L337" s="256">
        <f>SUMIFS(BV_Data_An_Cour!$P:$P,BV_Data_An_Cour!$U:$U,$B337,BV_Data_An_Cour!$V:$V,$C337,BV_Data_An_Cour!$W:$W,$L$2)</f>
        <v>0</v>
      </c>
      <c r="M337" s="253"/>
      <c r="N337" s="276">
        <f t="shared" si="91"/>
        <v>0</v>
      </c>
      <c r="O337" s="253"/>
      <c r="P337" s="41"/>
      <c r="Q337" s="256"/>
      <c r="R337" s="253"/>
      <c r="S337" s="276">
        <f t="shared" si="92"/>
        <v>0</v>
      </c>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tr">
        <f t="shared" si="69"/>
        <v>PiècesFournitures autres</v>
      </c>
      <c r="B338" s="41" t="s">
        <v>180</v>
      </c>
      <c r="C338" s="312" t="s">
        <v>135</v>
      </c>
      <c r="D338" s="297"/>
      <c r="E338" s="41"/>
      <c r="F338" s="254" cm="1">
        <f t="array" ref="F338">+SUMPRODUCT(('Budget original'!$A$8:$A$501=$A338)*('Budget original'!$C$3:$AO$3=F$2),'Budget original'!$C$8:$AO$501)</f>
        <v>511.35066666666665</v>
      </c>
      <c r="G338" s="298"/>
      <c r="H338" s="41"/>
      <c r="I338" s="254"/>
      <c r="J338" s="253"/>
      <c r="K338" s="41"/>
      <c r="L338" s="256">
        <f>SUMIFS(BV_Data_An_Cour!$P:$P,BV_Data_An_Cour!$U:$U,$B338,BV_Data_An_Cour!$V:$V,$C338,BV_Data_An_Cour!$W:$W,$L$2)</f>
        <v>0</v>
      </c>
      <c r="M338" s="253"/>
      <c r="N338" s="276">
        <f t="shared" si="91"/>
        <v>-511.35066666666665</v>
      </c>
      <c r="O338" s="253"/>
      <c r="P338" s="41"/>
      <c r="Q338" s="256" cm="1">
        <f t="array" ref="Q338">+SUMPRODUCT(('Réel 2024'!$A$8:$A$501=$A338)*('Réel 2024'!$C$3:$AO$3=Q$2),'Réel 2024'!$C$8:$AO$501)</f>
        <v>1375.72</v>
      </c>
      <c r="R338" s="253"/>
      <c r="S338" s="276">
        <f t="shared" si="92"/>
        <v>-1375.72</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tr">
        <f t="shared" si="69"/>
        <v>PiècesUniformes</v>
      </c>
      <c r="B339" s="41" t="s">
        <v>180</v>
      </c>
      <c r="C339" s="312" t="s">
        <v>136</v>
      </c>
      <c r="D339" s="297"/>
      <c r="E339" s="41"/>
      <c r="F339" s="254" cm="1">
        <f t="array" ref="F339">+SUMPRODUCT(('Budget original'!$A$8:$A$501=$A339)*('Budget original'!$C$3:$AO$3=F$2),'Budget original'!$C$8:$AO$501)</f>
        <v>56.666666666666664</v>
      </c>
      <c r="G339" s="298"/>
      <c r="H339" s="41"/>
      <c r="I339" s="254"/>
      <c r="J339" s="253"/>
      <c r="K339" s="41"/>
      <c r="L339" s="256">
        <f>SUMIFS(BV_Data_An_Cour!$P:$P,BV_Data_An_Cour!$U:$U,$B339,BV_Data_An_Cour!$V:$V,$C339,BV_Data_An_Cour!$W:$W,$L$2)</f>
        <v>361.45</v>
      </c>
      <c r="M339" s="253"/>
      <c r="N339" s="276">
        <f t="shared" si="91"/>
        <v>304.7833333333333</v>
      </c>
      <c r="O339" s="253"/>
      <c r="P339" s="41"/>
      <c r="Q339" s="256" cm="1">
        <f t="array" ref="Q339">+SUMPRODUCT(('Réel 2024'!$A$8:$A$501=$A339)*('Réel 2024'!$C$3:$AO$3=Q$2),'Réel 2024'!$C$8:$AO$501)</f>
        <v>0</v>
      </c>
      <c r="R339" s="253"/>
      <c r="S339" s="276">
        <f t="shared" si="92"/>
        <v>361.45</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tr">
        <f t="shared" si="69"/>
        <v>PiècesPapeterie</v>
      </c>
      <c r="B340" s="41" t="s">
        <v>180</v>
      </c>
      <c r="C340" s="312" t="s">
        <v>137</v>
      </c>
      <c r="D340" s="297"/>
      <c r="E340" s="41"/>
      <c r="F340" s="254" cm="1">
        <f t="array" ref="F340">+SUMPRODUCT(('Budget original'!$A$8:$A$501=$A340)*('Budget original'!$C$3:$AO$3=F$2),'Budget original'!$C$8:$AO$501)</f>
        <v>1432.8180932329999</v>
      </c>
      <c r="G340" s="298"/>
      <c r="H340" s="41"/>
      <c r="I340" s="254"/>
      <c r="J340" s="253"/>
      <c r="K340" s="41"/>
      <c r="L340" s="256">
        <f>SUMIFS(BV_Data_An_Cour!$P:$P,BV_Data_An_Cour!$U:$U,$B340,BV_Data_An_Cour!$V:$V,$C340,BV_Data_An_Cour!$W:$W,$L$2)</f>
        <v>940.35</v>
      </c>
      <c r="M340" s="253"/>
      <c r="N340" s="276">
        <f t="shared" si="91"/>
        <v>-492.46809323299988</v>
      </c>
      <c r="O340" s="253"/>
      <c r="P340" s="41"/>
      <c r="Q340" s="256" cm="1">
        <f t="array" ref="Q340">+SUMPRODUCT(('Réel 2024'!$A$8:$A$501=$A340)*('Réel 2024'!$C$3:$AO$3=Q$2),'Réel 2024'!$C$8:$AO$501)</f>
        <v>1372.39</v>
      </c>
      <c r="R340" s="253"/>
      <c r="S340" s="276">
        <f t="shared" si="92"/>
        <v>-432.04000000000008</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tr">
        <f t="shared" si="69"/>
        <v>PiècesTéléphone</v>
      </c>
      <c r="B341" s="41" t="s">
        <v>180</v>
      </c>
      <c r="C341" s="312" t="s">
        <v>138</v>
      </c>
      <c r="D341" s="297"/>
      <c r="E341" s="41"/>
      <c r="F341" s="254" cm="1">
        <f t="array" ref="F341">+SUMPRODUCT(('Budget original'!$A$8:$A$501=$A341)*('Budget original'!$C$3:$AO$3=F$2),'Budget original'!$C$8:$AO$501)</f>
        <v>231.08148718434725</v>
      </c>
      <c r="G341" s="298"/>
      <c r="H341" s="41"/>
      <c r="I341" s="254"/>
      <c r="J341" s="253"/>
      <c r="K341" s="41"/>
      <c r="L341" s="256">
        <f>SUMIFS(BV_Data_An_Cour!$P:$P,BV_Data_An_Cour!$U:$U,$B341,BV_Data_An_Cour!$V:$V,$C341,BV_Data_An_Cour!$W:$W,$L$2)</f>
        <v>251.25</v>
      </c>
      <c r="M341" s="253"/>
      <c r="N341" s="276">
        <f t="shared" si="91"/>
        <v>20.168512815652747</v>
      </c>
      <c r="O341" s="253"/>
      <c r="P341" s="41"/>
      <c r="Q341" s="256" cm="1">
        <f t="array" ref="Q341">+SUMPRODUCT(('Réel 2024'!$A$8:$A$501=$A341)*('Réel 2024'!$C$3:$AO$3=Q$2),'Réel 2024'!$C$8:$AO$501)</f>
        <v>217.61</v>
      </c>
      <c r="R341" s="253"/>
      <c r="S341" s="276">
        <f t="shared" si="92"/>
        <v>33.639999999999986</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tr">
        <f t="shared" si="69"/>
        <v>PiècesFrais postaux</v>
      </c>
      <c r="B342" s="41" t="s">
        <v>180</v>
      </c>
      <c r="C342" s="312" t="s">
        <v>139</v>
      </c>
      <c r="D342" s="297"/>
      <c r="E342" s="41"/>
      <c r="F342" s="254" cm="1">
        <f t="array" ref="F342">+SUMPRODUCT(('Budget original'!$A$8:$A$501=$A342)*('Budget original'!$C$3:$AO$3=F$2),'Budget original'!$C$8:$AO$501)</f>
        <v>-62.220694924347242</v>
      </c>
      <c r="G342" s="298"/>
      <c r="H342" s="41"/>
      <c r="I342" s="254"/>
      <c r="J342" s="253"/>
      <c r="K342" s="41"/>
      <c r="L342" s="256">
        <f>SUMIFS(BV_Data_An_Cour!$P:$P,BV_Data_An_Cour!$U:$U,$B342,BV_Data_An_Cour!$V:$V,$C342,BV_Data_An_Cour!$W:$W,$L$2)</f>
        <v>-437.33</v>
      </c>
      <c r="M342" s="253"/>
      <c r="N342" s="276">
        <f t="shared" si="91"/>
        <v>-375.10930507565274</v>
      </c>
      <c r="O342" s="253"/>
      <c r="P342" s="41"/>
      <c r="Q342" s="256" cm="1">
        <f t="array" ref="Q342">+SUMPRODUCT(('Réel 2024'!$A$8:$A$501=$A342)*('Réel 2024'!$C$3:$AO$3=Q$2),'Réel 2024'!$C$8:$AO$501)</f>
        <v>-226.16</v>
      </c>
      <c r="R342" s="253"/>
      <c r="S342" s="276">
        <f t="shared" si="92"/>
        <v>-211.17</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tr">
        <f t="shared" si="69"/>
        <v>PiècesDivers</v>
      </c>
      <c r="B343" s="41" t="s">
        <v>180</v>
      </c>
      <c r="C343" s="312" t="s">
        <v>140</v>
      </c>
      <c r="D343" s="297"/>
      <c r="E343" s="41"/>
      <c r="F343" s="254" cm="1">
        <f t="array" ref="F343">+SUMPRODUCT(('Budget original'!$A$8:$A$501=$A343)*('Budget original'!$C$3:$AO$3=F$2),'Budget original'!$C$8:$AO$501)</f>
        <v>313.02235332490289</v>
      </c>
      <c r="G343" s="298"/>
      <c r="H343" s="41"/>
      <c r="I343" s="254"/>
      <c r="J343" s="253"/>
      <c r="K343" s="41"/>
      <c r="L343" s="256">
        <f>SUMIFS(BV_Data_An_Cour!$P:$P,BV_Data_An_Cour!$U:$U,$B343,BV_Data_An_Cour!$V:$V,$C343,BV_Data_An_Cour!$W:$W,$L$2)</f>
        <v>125.49</v>
      </c>
      <c r="M343" s="253"/>
      <c r="N343" s="276">
        <f t="shared" si="91"/>
        <v>-187.53235332490289</v>
      </c>
      <c r="O343" s="253"/>
      <c r="P343" s="41"/>
      <c r="Q343" s="256" cm="1">
        <f t="array" ref="Q343">+SUMPRODUCT(('Réel 2024'!$A$8:$A$501=$A343)*('Réel 2024'!$C$3:$AO$3=Q$2),'Réel 2024'!$C$8:$AO$501)</f>
        <v>241.4</v>
      </c>
      <c r="R343" s="253"/>
      <c r="S343" s="276">
        <f t="shared" si="92"/>
        <v>-115.91000000000001</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tr">
        <f t="shared" si="69"/>
        <v>PiècesFormation</v>
      </c>
      <c r="B344" s="41" t="s">
        <v>180</v>
      </c>
      <c r="C344" s="312" t="s">
        <v>141</v>
      </c>
      <c r="D344" s="297"/>
      <c r="E344" s="41"/>
      <c r="F344" s="254" cm="1">
        <f t="array" ref="F344">+SUMPRODUCT(('Budget original'!$A$8:$A$501=$A344)*('Budget original'!$C$3:$AO$3=F$2),'Budget original'!$C$8:$AO$501)</f>
        <v>757.90864242862654</v>
      </c>
      <c r="G344" s="298"/>
      <c r="H344" s="41"/>
      <c r="I344" s="254"/>
      <c r="J344" s="253"/>
      <c r="K344" s="41"/>
      <c r="L344" s="256">
        <f>SUMIFS(BV_Data_An_Cour!$P:$P,BV_Data_An_Cour!$U:$U,$B344,BV_Data_An_Cour!$V:$V,$C344,BV_Data_An_Cour!$W:$W,$L$2)</f>
        <v>317.56</v>
      </c>
      <c r="M344" s="253"/>
      <c r="N344" s="276">
        <f t="shared" si="91"/>
        <v>-440.34864242862653</v>
      </c>
      <c r="O344" s="253"/>
      <c r="P344" s="41"/>
      <c r="Q344" s="256" cm="1">
        <f t="array" ref="Q344">+SUMPRODUCT(('Réel 2024'!$A$8:$A$501=$A344)*('Réel 2024'!$C$3:$AO$3=Q$2),'Réel 2024'!$C$8:$AO$501)</f>
        <v>272</v>
      </c>
      <c r="R344" s="253"/>
      <c r="S344" s="276">
        <f t="shared" si="92"/>
        <v>45.56</v>
      </c>
      <c r="T344" s="41"/>
      <c r="U344" s="41"/>
      <c r="V344" s="41"/>
      <c r="W344" s="41"/>
      <c r="X344" s="41"/>
      <c r="Y344" s="41"/>
      <c r="Z344" s="41"/>
      <c r="AA344" s="41"/>
      <c r="AB344" s="41"/>
      <c r="AC344" s="41"/>
      <c r="AD344" s="41"/>
      <c r="AE344" s="41"/>
      <c r="AF344" s="41"/>
      <c r="AG344" s="41"/>
      <c r="AH344" s="41"/>
      <c r="AI344" s="41"/>
      <c r="AJ344" s="41"/>
      <c r="AK344" s="41"/>
      <c r="AL344" s="41"/>
      <c r="AM344" s="41"/>
      <c r="AN344" s="41"/>
    </row>
    <row r="345" spans="1:40" ht="15.75" customHeight="1">
      <c r="A345" s="5" t="str">
        <f t="shared" si="69"/>
        <v>PiècesFrais bancaires</v>
      </c>
      <c r="B345" s="41" t="s">
        <v>180</v>
      </c>
      <c r="C345" s="312" t="s">
        <v>142</v>
      </c>
      <c r="D345" s="297"/>
      <c r="E345" s="41"/>
      <c r="F345" s="254" cm="1">
        <f t="array" ref="F345">+SUMPRODUCT(('Budget original'!$A$8:$A$501=$A345)*('Budget original'!$C$3:$AO$3=F$2),'Budget original'!$C$8:$AO$501)</f>
        <v>2424.825973004532</v>
      </c>
      <c r="G345" s="298"/>
      <c r="H345" s="41"/>
      <c r="I345" s="254"/>
      <c r="J345" s="253"/>
      <c r="K345" s="41"/>
      <c r="L345" s="256">
        <f>SUMIFS(BV_Data_An_Cour!$P:$P,BV_Data_An_Cour!$U:$U,$B345,BV_Data_An_Cour!$V:$V,$C345,BV_Data_An_Cour!$W:$W,L$2)</f>
        <v>2217.5500000000002</v>
      </c>
      <c r="M345" s="253"/>
      <c r="N345" s="276">
        <f t="shared" si="91"/>
        <v>-207.27597300453181</v>
      </c>
      <c r="O345" s="253"/>
      <c r="P345" s="41"/>
      <c r="Q345" s="256" cm="1">
        <f t="array" ref="Q345">+SUMPRODUCT(('Réel 2024'!$A$8:$A$501=$A345)*('Réel 2024'!$C$3:$AO$3=Q$2),'Réel 2024'!$C$8:$AO$501)</f>
        <v>2455.9899999999998</v>
      </c>
      <c r="R345" s="253"/>
      <c r="S345" s="276">
        <f t="shared" si="92"/>
        <v>-238.4399999999996</v>
      </c>
      <c r="T345" s="41"/>
      <c r="U345" s="41"/>
      <c r="V345" s="41"/>
      <c r="W345" s="41"/>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tr">
        <f t="shared" si="69"/>
        <v>Pièces[...]</v>
      </c>
      <c r="B346" s="41" t="s">
        <v>180</v>
      </c>
      <c r="C346" s="312" t="s">
        <v>59</v>
      </c>
      <c r="D346" s="297"/>
      <c r="E346" s="41"/>
      <c r="F346" s="254" cm="1">
        <f t="array" ref="F346">+SUMPRODUCT(('Budget original'!$A$8:$A$501=$A346)*('Budget original'!$C$3:$AO$3=F$2),'Budget original'!$C$8:$AO$501)</f>
        <v>0</v>
      </c>
      <c r="G346" s="298"/>
      <c r="H346" s="41"/>
      <c r="I346" s="254"/>
      <c r="J346" s="253"/>
      <c r="K346" s="41"/>
      <c r="L346" s="256">
        <f>SUMIFS(BV_Data_An_Cour!$P:$P,BV_Data_An_Cour!$U:$U,$B346,BV_Data_An_Cour!$V:$V,$C346,BV_Data_An_Cour!$W:$W,$L$2)</f>
        <v>0</v>
      </c>
      <c r="M346" s="253"/>
      <c r="N346" s="276">
        <f t="shared" si="91"/>
        <v>0</v>
      </c>
      <c r="O346" s="253"/>
      <c r="P346" s="41"/>
      <c r="Q346" s="256" cm="1">
        <f t="array" ref="Q346">+SUMPRODUCT(('Réel 2024'!$A$8:$A$501=$A346)*('Réel 2024'!$C$3:$AO$3=Q$2),'Réel 2024'!$C$8:$AO$501)</f>
        <v>0</v>
      </c>
      <c r="R346" s="253"/>
      <c r="S346" s="276">
        <f t="shared" si="92"/>
        <v>0</v>
      </c>
      <c r="T346" s="41"/>
      <c r="U346" s="41"/>
      <c r="V346" s="41"/>
      <c r="W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tr">
        <f t="shared" si="69"/>
        <v>Pièces[...]</v>
      </c>
      <c r="B347" s="41" t="s">
        <v>180</v>
      </c>
      <c r="C347" s="312" t="s">
        <v>59</v>
      </c>
      <c r="D347" s="297"/>
      <c r="E347" s="41"/>
      <c r="F347" s="254" cm="1">
        <f t="array" ref="F347">+SUMPRODUCT(('Budget original'!$A$8:$A$501=$A347)*('Budget original'!$C$3:$AO$3=F$2),'Budget original'!$C$8:$AO$501)</f>
        <v>0</v>
      </c>
      <c r="G347" s="298"/>
      <c r="H347" s="41"/>
      <c r="I347" s="254"/>
      <c r="J347" s="253"/>
      <c r="K347" s="41"/>
      <c r="L347" s="256">
        <f>SUMIFS(BV_Data_An_Cour!$P:$P,BV_Data_An_Cour!$U:$U,$B347,BV_Data_An_Cour!$V:$V,$C347,BV_Data_An_Cour!$W:$W,$L$2)</f>
        <v>0</v>
      </c>
      <c r="M347" s="253"/>
      <c r="N347" s="276">
        <f t="shared" si="91"/>
        <v>0</v>
      </c>
      <c r="O347" s="253"/>
      <c r="P347" s="41"/>
      <c r="Q347" s="256" cm="1">
        <f t="array" ref="Q347">+SUMPRODUCT(('Réel 2024'!$A$8:$A$501=$A347)*('Réel 2024'!$C$3:$AO$3=Q$2),'Réel 2024'!$C$8:$AO$501)</f>
        <v>0</v>
      </c>
      <c r="R347" s="253"/>
      <c r="S347" s="276">
        <f t="shared" si="92"/>
        <v>0</v>
      </c>
      <c r="T347" s="41"/>
      <c r="U347" s="41"/>
      <c r="V347" s="41"/>
      <c r="W347" s="41"/>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tr">
        <f t="shared" si="69"/>
        <v>Pièces[...]</v>
      </c>
      <c r="B348" s="41" t="s">
        <v>180</v>
      </c>
      <c r="C348" s="312" t="s">
        <v>59</v>
      </c>
      <c r="D348" s="297"/>
      <c r="E348" s="41"/>
      <c r="F348" s="254" cm="1">
        <f t="array" ref="F348">+SUMPRODUCT(('Budget original'!$A$8:$A$501=$A348)*('Budget original'!$C$3:$AO$3=F$2),'Budget original'!$C$8:$AO$501)</f>
        <v>0</v>
      </c>
      <c r="G348" s="298"/>
      <c r="H348" s="41"/>
      <c r="I348" s="254"/>
      <c r="J348" s="253"/>
      <c r="K348" s="41"/>
      <c r="L348" s="256">
        <f>SUMIFS(BV_Data_An_Cour!$P:$P,BV_Data_An_Cour!$U:$U,$B348,BV_Data_An_Cour!$V:$V,$C348,BV_Data_An_Cour!$W:$W,$L$2)</f>
        <v>0</v>
      </c>
      <c r="M348" s="253"/>
      <c r="N348" s="276">
        <f t="shared" si="91"/>
        <v>0</v>
      </c>
      <c r="O348" s="253"/>
      <c r="P348" s="41"/>
      <c r="Q348" s="256" cm="1">
        <f t="array" ref="Q348">+SUMPRODUCT(('Réel 2024'!$A$8:$A$501=$A348)*('Réel 2024'!$C$3:$AO$3=Q$2),'Réel 2024'!$C$8:$AO$501)</f>
        <v>0</v>
      </c>
      <c r="R348" s="253"/>
      <c r="S348" s="276">
        <f t="shared" si="92"/>
        <v>0</v>
      </c>
      <c r="T348" s="41"/>
      <c r="U348" s="41"/>
      <c r="V348" s="41"/>
      <c r="W348" s="41"/>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304" t="s">
        <v>143</v>
      </c>
      <c r="D349" s="305" t="s">
        <v>119</v>
      </c>
      <c r="E349" s="306">
        <f>F349/F$314</f>
        <v>0.25620475663974501</v>
      </c>
      <c r="F349" s="307">
        <f>+SUM(F331:F348)</f>
        <v>51891.502995551251</v>
      </c>
      <c r="G349" s="308"/>
      <c r="H349" s="306"/>
      <c r="I349" s="307"/>
      <c r="J349" s="308" t="s">
        <v>119</v>
      </c>
      <c r="K349" s="306">
        <f>L349/L$314</f>
        <v>0.30132339990168294</v>
      </c>
      <c r="L349" s="307">
        <f>+SUM(L331:L348)</f>
        <v>65115.139999999992</v>
      </c>
      <c r="M349" s="311"/>
      <c r="N349" s="307">
        <f>+SUM(N331:N348)</f>
        <v>13223.637004448738</v>
      </c>
      <c r="O349" s="308" t="s">
        <v>119</v>
      </c>
      <c r="P349" s="306">
        <f>Q349/Q$314</f>
        <v>0.25522095663798161</v>
      </c>
      <c r="Q349" s="307">
        <f>+SUM(Q331:Q348)</f>
        <v>52711.679999999993</v>
      </c>
      <c r="R349" s="311"/>
      <c r="S349" s="307">
        <f>+SUM(S331:S348)</f>
        <v>12403.459999999995</v>
      </c>
      <c r="T349" s="41"/>
      <c r="U349" s="41"/>
      <c r="V349" s="41"/>
      <c r="W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246"/>
      <c r="D350" s="299"/>
      <c r="E350" s="318"/>
      <c r="F350" s="276"/>
      <c r="G350" s="300"/>
      <c r="H350" s="318"/>
      <c r="I350" s="276"/>
      <c r="J350" s="246"/>
      <c r="K350" s="318"/>
      <c r="L350" s="296"/>
      <c r="M350" s="246"/>
      <c r="N350" s="296"/>
      <c r="O350" s="246"/>
      <c r="P350" s="318"/>
      <c r="Q350" s="296"/>
      <c r="R350" s="246"/>
      <c r="S350" s="296"/>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304" t="s">
        <v>144</v>
      </c>
      <c r="D351" s="305" t="s">
        <v>119</v>
      </c>
      <c r="E351" s="306">
        <f>F351/F$314</f>
        <v>0.76471914831157939</v>
      </c>
      <c r="F351" s="307">
        <f>F330+F349</f>
        <v>154885.59422479433</v>
      </c>
      <c r="G351" s="308"/>
      <c r="H351" s="306"/>
      <c r="I351" s="307"/>
      <c r="J351" s="308" t="s">
        <v>119</v>
      </c>
      <c r="K351" s="306">
        <f>L351/L$314</f>
        <v>0.77064384779829809</v>
      </c>
      <c r="L351" s="307">
        <f>L330+L349</f>
        <v>166533.97</v>
      </c>
      <c r="M351" s="311"/>
      <c r="N351" s="320">
        <f>L351-F351</f>
        <v>11648.37577520567</v>
      </c>
      <c r="O351" s="308" t="s">
        <v>119</v>
      </c>
      <c r="P351" s="306">
        <f>Q351/Q$314</f>
        <v>0.71774691671099966</v>
      </c>
      <c r="Q351" s="307">
        <f>Q330+Q349</f>
        <v>148238.79</v>
      </c>
      <c r="R351" s="311"/>
      <c r="S351" s="320">
        <f>L351-Q351</f>
        <v>18295.179999999993</v>
      </c>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253"/>
      <c r="D352" s="297"/>
      <c r="E352" s="41"/>
      <c r="F352" s="276"/>
      <c r="G352" s="298"/>
      <c r="H352" s="41"/>
      <c r="I352" s="276"/>
      <c r="J352" s="253"/>
      <c r="K352" s="41"/>
      <c r="L352" s="276"/>
      <c r="M352" s="253"/>
      <c r="N352" s="276">
        <f>L352-F352</f>
        <v>0</v>
      </c>
      <c r="O352" s="253"/>
      <c r="P352" s="41"/>
      <c r="Q352" s="276"/>
      <c r="R352" s="253"/>
      <c r="S352" s="276"/>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332" t="s">
        <v>151</v>
      </c>
      <c r="D353" s="360"/>
      <c r="E353" s="333"/>
      <c r="F353" s="335">
        <f>F314-F351</f>
        <v>47653.592307628278</v>
      </c>
      <c r="G353" s="361"/>
      <c r="H353" s="333"/>
      <c r="I353" s="335"/>
      <c r="J353" s="332"/>
      <c r="K353" s="334"/>
      <c r="L353" s="335">
        <f>L314-L351</f>
        <v>49563.220000000118</v>
      </c>
      <c r="M353" s="332"/>
      <c r="N353" s="335">
        <f>L353-F353</f>
        <v>1909.6276923718397</v>
      </c>
      <c r="O353" s="332"/>
      <c r="P353" s="334"/>
      <c r="Q353" s="335">
        <f>Q314-Q351</f>
        <v>58294.719999999419</v>
      </c>
      <c r="R353" s="332"/>
      <c r="S353" s="335">
        <f>L353-Q353</f>
        <v>-8731.4999999993015</v>
      </c>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thickTop="1">
      <c r="B354" s="3"/>
      <c r="C354" s="11"/>
      <c r="D354" s="297"/>
      <c r="E354" s="41"/>
      <c r="F354" s="319"/>
      <c r="G354" s="297"/>
      <c r="H354" s="41"/>
      <c r="I354" s="319"/>
      <c r="J354" s="11"/>
      <c r="K354" s="11"/>
      <c r="L354" s="319"/>
      <c r="M354" s="11"/>
      <c r="N354" s="319"/>
      <c r="O354" s="11"/>
      <c r="P354" s="11"/>
      <c r="Q354" s="319"/>
      <c r="R354" s="11"/>
      <c r="S354" s="611">
        <v>0.25</v>
      </c>
      <c r="T354" s="41">
        <v>0.75</v>
      </c>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customHeight="1">
      <c r="B355" s="3"/>
      <c r="C355" s="11"/>
      <c r="D355" s="297"/>
      <c r="E355" s="41"/>
      <c r="F355" s="319"/>
      <c r="G355" s="297"/>
      <c r="H355" s="41"/>
      <c r="I355" s="319"/>
      <c r="J355" s="11"/>
      <c r="K355" s="11"/>
      <c r="L355" s="319"/>
      <c r="M355" s="11"/>
      <c r="N355" s="319"/>
      <c r="O355" s="11"/>
      <c r="P355" s="11"/>
      <c r="Q355" s="319"/>
      <c r="R355" s="11"/>
      <c r="S355" s="319"/>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34.5" hidden="1" customHeight="1">
      <c r="B356" s="3"/>
      <c r="C356" s="36" t="str">
        <f>+C291</f>
        <v>Volks</v>
      </c>
      <c r="D356" s="232"/>
      <c r="E356" s="232"/>
      <c r="F356" s="232"/>
      <c r="G356" s="232"/>
      <c r="H356" s="36"/>
      <c r="I356" s="36"/>
      <c r="J356" s="36"/>
      <c r="K356" s="9" t="s">
        <v>196</v>
      </c>
      <c r="L356" s="232"/>
      <c r="M356" s="232"/>
      <c r="N356" s="36"/>
      <c r="O356" s="36"/>
      <c r="P356" s="232"/>
      <c r="Q356" s="36"/>
      <c r="R356" s="232"/>
      <c r="S356" s="10" t="str">
        <f>$S$1</f>
        <v>Réalisé AAJ, Février 2025</v>
      </c>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thickBot="1">
      <c r="B357" s="3"/>
      <c r="C357" s="37"/>
      <c r="D357" s="38"/>
      <c r="E357" s="38"/>
      <c r="F357" s="38"/>
      <c r="G357" s="38"/>
      <c r="H357" s="38"/>
      <c r="I357" s="38"/>
      <c r="J357" s="38"/>
      <c r="K357" s="38"/>
      <c r="L357" s="38"/>
      <c r="M357" s="38"/>
      <c r="N357" s="38"/>
      <c r="O357" s="38"/>
      <c r="P357" s="38"/>
      <c r="Q357" s="38"/>
      <c r="R357" s="38"/>
      <c r="S357" s="38"/>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thickTop="1">
      <c r="B358" s="3"/>
      <c r="C358" s="238"/>
      <c r="D358" s="1239" t="s">
        <v>343</v>
      </c>
      <c r="E358" s="1240"/>
      <c r="F358" s="1241"/>
      <c r="G358" s="1242"/>
      <c r="H358" s="1240"/>
      <c r="I358" s="1241"/>
      <c r="J358" s="1242" t="s">
        <v>344</v>
      </c>
      <c r="K358" s="1240"/>
      <c r="L358" s="1241"/>
      <c r="M358" s="1242"/>
      <c r="N358" s="1241"/>
      <c r="O358" s="1242" t="s">
        <v>345</v>
      </c>
      <c r="P358" s="1240"/>
      <c r="Q358" s="1241"/>
      <c r="R358" s="1242" t="s">
        <v>346</v>
      </c>
      <c r="S358" s="1241"/>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thickBot="1">
      <c r="A359" s="5" t="str">
        <f t="shared" ref="A359:A394" si="93">+B359&amp;C359</f>
        <v>Boutique</v>
      </c>
      <c r="B359" s="41" t="s">
        <v>196</v>
      </c>
      <c r="C359" s="253"/>
      <c r="D359" s="418" t="s">
        <v>163</v>
      </c>
      <c r="E359" s="418" t="s">
        <v>181</v>
      </c>
      <c r="F359" s="419" t="s">
        <v>95</v>
      </c>
      <c r="G359" s="420"/>
      <c r="H359" s="418"/>
      <c r="I359" s="419"/>
      <c r="J359" s="341" t="s">
        <v>163</v>
      </c>
      <c r="K359" s="39" t="s">
        <v>181</v>
      </c>
      <c r="L359" s="340" t="s">
        <v>95</v>
      </c>
      <c r="M359" s="341"/>
      <c r="N359" s="340"/>
      <c r="O359" s="341" t="s">
        <v>163</v>
      </c>
      <c r="P359" s="39" t="s">
        <v>181</v>
      </c>
      <c r="Q359" s="340" t="s">
        <v>95</v>
      </c>
      <c r="R359" s="341" t="s">
        <v>458</v>
      </c>
      <c r="S359" s="340" t="s">
        <v>95</v>
      </c>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thickTop="1">
      <c r="A360" s="5" t="str">
        <f t="shared" si="93"/>
        <v>BoutiqueBoutique</v>
      </c>
      <c r="B360" s="41" t="s">
        <v>196</v>
      </c>
      <c r="C360" s="278" t="s">
        <v>196</v>
      </c>
      <c r="D360" s="421" cm="1">
        <f t="array" ref="D360">+SUMPRODUCT(('Budget original'!$A$8:$A$501=$A360)*('Budget original'!$C$3:$AO$3=D$2),'Budget original'!$C$8:$AO$501)</f>
        <v>0</v>
      </c>
      <c r="E360" s="422">
        <f>IFERROR(F360/D360,0)</f>
        <v>0</v>
      </c>
      <c r="F360" s="423" cm="1">
        <f t="array" ref="F360">+SUMPRODUCT(('Budget original'!$A$8:$A$501=$A360)*('Budget original'!$C$3:$AO$3=F$2),'Budget original'!$C$8:$AO$501)</f>
        <v>0</v>
      </c>
      <c r="G360" s="421"/>
      <c r="H360" s="422"/>
      <c r="I360" s="421"/>
      <c r="J360" s="424">
        <f>-SUMIFS(BV_Data_An_Cour!$N:$N,BV_Data_An_Cour!$Q:$Q,$B360,BV_Data_An_Cour!$O:$O,"S",BV_Data_An_Cour!$R:$R,$C360)</f>
        <v>0</v>
      </c>
      <c r="K360" s="410">
        <f>IF(J360&lt;=0,0,L360/J360)</f>
        <v>0</v>
      </c>
      <c r="L360" s="425">
        <f>J360-SUMIFS(BV_Data_An_Cour!$N:$N,BV_Data_An_Cour!$Q:$Q,$B360,BV_Data_An_Cour!$O:$O,"C",BV_Data_An_Cour!$R:$R,$C360)</f>
        <v>0</v>
      </c>
      <c r="M360" s="411"/>
      <c r="N360" s="412"/>
      <c r="O360" s="424" cm="1">
        <f t="array" ref="O360">+SUMPRODUCT(('Réel 2024'!$A$8:$A$501=$A360)*('Réel 2024'!$C$3:$AO$3=O$2),'Réel 2024'!$C$8:$AO$501)</f>
        <v>0</v>
      </c>
      <c r="P360" s="410">
        <f>IFERROR(Q360/O360,0)</f>
        <v>0</v>
      </c>
      <c r="Q360" s="425" cm="1">
        <f t="array" ref="Q360">+SUMPRODUCT(('Réel 2024'!$A$8:$A$501=$A360)*('Réel 2024'!$C$3:$AO$3=Q$2),'Réel 2024'!$C$8:$AO$501)</f>
        <v>0</v>
      </c>
      <c r="R360" s="411">
        <f>IF(O360=0,0,(J360-O360)/O360)</f>
        <v>0</v>
      </c>
      <c r="S360" s="412">
        <f>L360-Q360</f>
        <v>0</v>
      </c>
      <c r="T360" s="38"/>
      <c r="U360" s="38"/>
      <c r="V360" s="426"/>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thickBot="1">
      <c r="A361" s="5" t="str">
        <f t="shared" si="93"/>
        <v>Boutique</v>
      </c>
      <c r="B361" s="41" t="s">
        <v>196</v>
      </c>
      <c r="C361" s="332"/>
      <c r="D361" s="413"/>
      <c r="E361" s="414"/>
      <c r="F361" s="335"/>
      <c r="G361" s="415"/>
      <c r="H361" s="414"/>
      <c r="I361" s="335"/>
      <c r="J361" s="415"/>
      <c r="K361" s="414"/>
      <c r="L361" s="335"/>
      <c r="M361" s="416"/>
      <c r="N361" s="287"/>
      <c r="O361" s="415"/>
      <c r="P361" s="414"/>
      <c r="Q361" s="335"/>
      <c r="R361" s="416"/>
      <c r="S361" s="287"/>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thickTop="1">
      <c r="A362" s="5" t="str">
        <f t="shared" si="93"/>
        <v>BoutiqueTotal Dépt. Boutique</v>
      </c>
      <c r="B362" s="41" t="s">
        <v>196</v>
      </c>
      <c r="C362" s="270" t="s">
        <v>197</v>
      </c>
      <c r="D362" s="319">
        <f>+D360</f>
        <v>0</v>
      </c>
      <c r="E362" s="372">
        <f>IF(D362&lt;=0,0,F362/D362)</f>
        <v>0</v>
      </c>
      <c r="F362" s="374">
        <f t="shared" ref="F362" si="94">+F360</f>
        <v>0</v>
      </c>
      <c r="G362" s="373"/>
      <c r="H362" s="372"/>
      <c r="I362" s="374"/>
      <c r="J362" s="373">
        <f t="shared" ref="J362" si="95">+J360</f>
        <v>0</v>
      </c>
      <c r="K362" s="372">
        <f>IF(J362&lt;=0,0,L362/J362)</f>
        <v>0</v>
      </c>
      <c r="L362" s="374">
        <f>+L360</f>
        <v>0</v>
      </c>
      <c r="M362" s="353"/>
      <c r="N362" s="427"/>
      <c r="O362" s="373">
        <f>+O360</f>
        <v>0</v>
      </c>
      <c r="P362" s="372">
        <f>IF(O362&lt;=0,0,Q362/O362)</f>
        <v>0</v>
      </c>
      <c r="Q362" s="374">
        <f t="shared" ref="Q362" si="96">+Q360</f>
        <v>0</v>
      </c>
      <c r="R362" s="253">
        <f>IF(O362=0,0,(J362-O362)/O362)</f>
        <v>0</v>
      </c>
      <c r="S362" s="265">
        <f>L362-Q362</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tr">
        <f t="shared" si="93"/>
        <v>Boutique</v>
      </c>
      <c r="B363" s="41" t="s">
        <v>196</v>
      </c>
      <c r="C363" s="289"/>
      <c r="D363" s="41"/>
      <c r="E363" s="41"/>
      <c r="F363" s="276"/>
      <c r="G363" s="253"/>
      <c r="H363" s="41"/>
      <c r="I363" s="276"/>
      <c r="J363" s="253"/>
      <c r="K363" s="41"/>
      <c r="L363" s="263"/>
      <c r="M363" s="253"/>
      <c r="N363" s="362"/>
      <c r="O363" s="253"/>
      <c r="P363" s="41"/>
      <c r="Q363" s="263"/>
      <c r="R363" s="253"/>
      <c r="S363" s="263">
        <f>IF(Q362=0,0,S362/Q362)</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tr">
        <f t="shared" si="93"/>
        <v>BoutiqueDEPENSES</v>
      </c>
      <c r="B364" s="41" t="s">
        <v>196</v>
      </c>
      <c r="C364" s="289" t="s">
        <v>110</v>
      </c>
      <c r="D364" s="41"/>
      <c r="E364" s="41"/>
      <c r="F364" s="276"/>
      <c r="G364" s="253"/>
      <c r="H364" s="41"/>
      <c r="I364" s="276"/>
      <c r="J364" s="253"/>
      <c r="K364" s="41"/>
      <c r="L364" s="263"/>
      <c r="M364" s="253"/>
      <c r="N364" s="263"/>
      <c r="O364" s="253"/>
      <c r="P364" s="41"/>
      <c r="Q364" s="263"/>
      <c r="R364" s="253"/>
      <c r="S364" s="263"/>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tr">
        <f t="shared" si="93"/>
        <v>BoutiqueSalaires cadres</v>
      </c>
      <c r="B365" s="41" t="s">
        <v>196</v>
      </c>
      <c r="C365" s="312" t="s">
        <v>120</v>
      </c>
      <c r="D365" s="41"/>
      <c r="E365" s="41"/>
      <c r="F365" s="254" cm="1">
        <f t="array" ref="F365">+SUMPRODUCT(('Budget original'!$A$8:$A$501=$A365)*('Budget original'!$C$3:$AO$3=F$2),'Budget original'!$C$8:$AO$501)</f>
        <v>0</v>
      </c>
      <c r="G365" s="253"/>
      <c r="H365" s="41"/>
      <c r="I365" s="254"/>
      <c r="J365" s="253"/>
      <c r="K365" s="41"/>
      <c r="L365" s="256">
        <f>SUMIFS(BV_Data_An_Cour!$N:$N,BV_Data_An_Cour!$Q:$Q,$B365,BV_Data_An_Cour!$R:$R,$C365)</f>
        <v>0</v>
      </c>
      <c r="M365" s="253"/>
      <c r="N365" s="263"/>
      <c r="O365" s="253"/>
      <c r="P365" s="41"/>
      <c r="Q365" s="256" cm="1">
        <f t="array" ref="Q365">+SUMPRODUCT(('Réel 2024'!$A$8:$A$501=$A365)*('Réel 2024'!$C$3:$AO$3=Q$2),'Réel 2024'!$C$8:$AO$501)</f>
        <v>0</v>
      </c>
      <c r="R365" s="253"/>
      <c r="S365" s="256">
        <f t="shared" ref="S365:S394" si="97">L365-Q365</f>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tr">
        <f t="shared" si="93"/>
        <v>BoutiqueSalaires commis</v>
      </c>
      <c r="B366" s="41" t="s">
        <v>196</v>
      </c>
      <c r="C366" s="313" t="s">
        <v>121</v>
      </c>
      <c r="D366" s="297"/>
      <c r="E366" s="41"/>
      <c r="F366" s="248" cm="1">
        <f t="array" ref="F366">+SUMPRODUCT(('Budget original'!$A$8:$A$501=$A366)*('Budget original'!$C$3:$AO$3=F$2),'Budget original'!$C$8:$AO$501)</f>
        <v>0</v>
      </c>
      <c r="G366" s="298"/>
      <c r="H366" s="41"/>
      <c r="I366" s="248"/>
      <c r="J366" s="253"/>
      <c r="K366" s="41"/>
      <c r="L366" s="248">
        <f>SUMIFS(BV_Data_An_Cour!$N:$N,BV_Data_An_Cour!$Q:$Q,$B366,BV_Data_An_Cour!$R:$R,$C366)</f>
        <v>0</v>
      </c>
      <c r="M366" s="253"/>
      <c r="N366" s="276"/>
      <c r="O366" s="253"/>
      <c r="P366" s="41"/>
      <c r="Q366" s="248" cm="1">
        <f t="array" ref="Q366">+SUMPRODUCT(('Réel 2024'!$A$8:$A$501=$A366)*('Réel 2024'!$C$3:$AO$3=Q$2),'Réel 2024'!$C$8:$AO$501)</f>
        <v>0</v>
      </c>
      <c r="R366" s="253"/>
      <c r="S366" s="276">
        <f t="shared" si="97"/>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tr">
        <f t="shared" si="93"/>
        <v>BoutiqueSalaires autres</v>
      </c>
      <c r="B367" s="41" t="s">
        <v>196</v>
      </c>
      <c r="C367" s="312" t="s">
        <v>122</v>
      </c>
      <c r="D367" s="314"/>
      <c r="E367" s="315"/>
      <c r="F367" s="254" cm="1">
        <f t="array" ref="F367">+SUMPRODUCT(('Budget original'!$A$8:$A$501=$A367)*('Budget original'!$C$3:$AO$3=F$2),'Budget original'!$C$8:$AO$501)</f>
        <v>0</v>
      </c>
      <c r="G367" s="316"/>
      <c r="H367" s="315"/>
      <c r="I367" s="254"/>
      <c r="J367" s="241"/>
      <c r="K367" s="315"/>
      <c r="L367" s="256">
        <f>SUMIFS(BV_Data_An_Cour!$N:$N,BV_Data_An_Cour!$Q:$Q,$B367,BV_Data_An_Cour!$R:$R,$C367)</f>
        <v>0</v>
      </c>
      <c r="M367" s="241"/>
      <c r="N367" s="317"/>
      <c r="O367" s="241"/>
      <c r="P367" s="315"/>
      <c r="Q367" s="256" cm="1">
        <f t="array" ref="Q367">+SUMPRODUCT(('Réel 2024'!$A$8:$A$501=$A367)*('Réel 2024'!$C$3:$AO$3=Q$2),'Réel 2024'!$C$8:$AO$501)</f>
        <v>0</v>
      </c>
      <c r="R367" s="241"/>
      <c r="S367" s="317">
        <f t="shared" si="97"/>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tr">
        <f t="shared" si="93"/>
        <v>BoutiqueSalaires spécialistes</v>
      </c>
      <c r="B368" s="41" t="s">
        <v>196</v>
      </c>
      <c r="C368" s="312" t="s">
        <v>123</v>
      </c>
      <c r="D368" s="297"/>
      <c r="E368" s="41"/>
      <c r="F368" s="254" cm="1">
        <f t="array" ref="F368">+SUMPRODUCT(('Budget original'!$A$8:$A$501=$A368)*('Budget original'!$C$3:$AO$3=F$2),'Budget original'!$C$8:$AO$501)</f>
        <v>0</v>
      </c>
      <c r="G368" s="298"/>
      <c r="H368" s="41"/>
      <c r="I368" s="254"/>
      <c r="J368" s="253"/>
      <c r="K368" s="41"/>
      <c r="L368" s="256">
        <f>SUMIFS(BV_Data_An_Cour!$N:$N,BV_Data_An_Cour!$Q:$Q,$B368,BV_Data_An_Cour!$R:$R,$C368)</f>
        <v>0</v>
      </c>
      <c r="M368" s="253"/>
      <c r="N368" s="276"/>
      <c r="O368" s="253"/>
      <c r="P368" s="41"/>
      <c r="Q368" s="256" cm="1">
        <f t="array" ref="Q368">+SUMPRODUCT(('Réel 2024'!$A$8:$A$501=$A368)*('Réel 2024'!$C$3:$AO$3=Q$2),'Réel 2024'!$C$8:$AO$501)</f>
        <v>0</v>
      </c>
      <c r="R368" s="253"/>
      <c r="S368" s="276">
        <f t="shared" si="97"/>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tr">
        <f t="shared" si="93"/>
        <v>Boutique[...]</v>
      </c>
      <c r="B369" s="41" t="s">
        <v>196</v>
      </c>
      <c r="C369" s="253" t="s">
        <v>59</v>
      </c>
      <c r="D369" s="297"/>
      <c r="E369" s="41"/>
      <c r="F369" s="254" cm="1">
        <f t="array" ref="F369">+SUMPRODUCT(('Budget original'!$A$8:$A$501=$A369)*('Budget original'!$C$3:$AO$3=F$2),'Budget original'!$C$8:$AO$501)</f>
        <v>0</v>
      </c>
      <c r="G369" s="298"/>
      <c r="H369" s="41"/>
      <c r="I369" s="254"/>
      <c r="J369" s="253"/>
      <c r="K369" s="41"/>
      <c r="L369" s="256">
        <f>SUMIFS(BV_Data_An_Cour!$N:$N,BV_Data_An_Cour!$Q:$Q,$B369,BV_Data_An_Cour!$R:$R,$C369)</f>
        <v>0</v>
      </c>
      <c r="M369" s="253"/>
      <c r="N369" s="276"/>
      <c r="O369" s="253"/>
      <c r="P369" s="41"/>
      <c r="Q369" s="256" cm="1">
        <f t="array" ref="Q369">+SUMPRODUCT(('Réel 2024'!$A$8:$A$501=$A369)*('Réel 2024'!$C$3:$AO$3=Q$2),'Réel 2024'!$C$8:$AO$501)</f>
        <v>0</v>
      </c>
      <c r="R369" s="253"/>
      <c r="S369" s="276">
        <f t="shared" si="97"/>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tr">
        <f t="shared" si="93"/>
        <v>Boutique[...]</v>
      </c>
      <c r="B370" s="41" t="s">
        <v>196</v>
      </c>
      <c r="C370" s="253" t="s">
        <v>59</v>
      </c>
      <c r="D370" s="297"/>
      <c r="E370" s="41"/>
      <c r="F370" s="254" cm="1">
        <f t="array" ref="F370">+SUMPRODUCT(('Budget original'!$A$8:$A$501=$A370)*('Budget original'!$C$3:$AO$3=F$2),'Budget original'!$C$8:$AO$501)</f>
        <v>0</v>
      </c>
      <c r="G370" s="298"/>
      <c r="H370" s="41"/>
      <c r="I370" s="254"/>
      <c r="J370" s="253"/>
      <c r="K370" s="41"/>
      <c r="L370" s="256">
        <f>SUMIFS(BV_Data_An_Cour!$N:$N,BV_Data_An_Cour!$Q:$Q,$B370,BV_Data_An_Cour!$R:$R,$C370)</f>
        <v>0</v>
      </c>
      <c r="M370" s="253"/>
      <c r="N370" s="276"/>
      <c r="O370" s="253"/>
      <c r="P370" s="41"/>
      <c r="Q370" s="256" cm="1">
        <f t="array" ref="Q370">+SUMPRODUCT(('Réel 2024'!$A$8:$A$501=$A370)*('Réel 2024'!$C$3:$AO$3=Q$2),'Réel 2024'!$C$8:$AO$501)</f>
        <v>0</v>
      </c>
      <c r="R370" s="253"/>
      <c r="S370" s="276">
        <f t="shared" si="97"/>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tr">
        <f t="shared" si="93"/>
        <v>Boutique[...]</v>
      </c>
      <c r="B371" s="41" t="s">
        <v>196</v>
      </c>
      <c r="C371" s="253" t="s">
        <v>59</v>
      </c>
      <c r="D371" s="297"/>
      <c r="E371" s="41"/>
      <c r="F371" s="254" cm="1">
        <f t="array" ref="F371">+SUMPRODUCT(('Budget original'!$A$8:$A$501=$A371)*('Budget original'!$C$3:$AO$3=F$2),'Budget original'!$C$8:$AO$501)</f>
        <v>0</v>
      </c>
      <c r="G371" s="298"/>
      <c r="H371" s="41"/>
      <c r="I371" s="254"/>
      <c r="J371" s="253"/>
      <c r="K371" s="41"/>
      <c r="L371" s="256">
        <f>SUMIFS(BV_Data_An_Cour!$N:$N,BV_Data_An_Cour!$Q:$Q,$B371,BV_Data_An_Cour!$R:$R,$C371)</f>
        <v>0</v>
      </c>
      <c r="M371" s="253"/>
      <c r="N371" s="276"/>
      <c r="O371" s="253"/>
      <c r="P371" s="41"/>
      <c r="Q371" s="256" cm="1">
        <f t="array" ref="Q371">+SUMPRODUCT(('Réel 2024'!$A$8:$A$501=$A371)*('Réel 2024'!$C$3:$AO$3=Q$2),'Réel 2024'!$C$8:$AO$501)</f>
        <v>0</v>
      </c>
      <c r="R371" s="253"/>
      <c r="S371" s="276">
        <f t="shared" si="97"/>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tr">
        <f t="shared" si="93"/>
        <v>BoutiqueSalaires en absences</v>
      </c>
      <c r="B372" s="41" t="s">
        <v>196</v>
      </c>
      <c r="C372" s="313" t="s">
        <v>124</v>
      </c>
      <c r="D372" s="297"/>
      <c r="E372" s="41"/>
      <c r="F372" s="248" cm="1">
        <f t="array" ref="F372">+SUMPRODUCT(('Budget original'!$A$8:$A$501=$A372)*('Budget original'!$C$3:$AO$3=F$2),'Budget original'!$C$8:$AO$501)</f>
        <v>0</v>
      </c>
      <c r="G372" s="298"/>
      <c r="H372" s="41"/>
      <c r="I372" s="248"/>
      <c r="J372" s="253"/>
      <c r="K372" s="41"/>
      <c r="L372" s="248">
        <f>SUMIFS(BV_Data_An_Cour!$N:$N,BV_Data_An_Cour!$Q:$Q,$B372,BV_Data_An_Cour!$R:$R,$C372)</f>
        <v>0</v>
      </c>
      <c r="M372" s="253"/>
      <c r="N372" s="276"/>
      <c r="O372" s="253"/>
      <c r="P372" s="41"/>
      <c r="Q372" s="248" cm="1">
        <f t="array" ref="Q372">+SUMPRODUCT(('Réel 2024'!$A$8:$A$501=$A372)*('Réel 2024'!$C$3:$AO$3=Q$2),'Réel 2024'!$C$8:$AO$501)</f>
        <v>0</v>
      </c>
      <c r="R372" s="253"/>
      <c r="S372" s="276">
        <f t="shared" si="97"/>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tr">
        <f t="shared" si="93"/>
        <v>BoutiqueDéduction à la source</v>
      </c>
      <c r="B373" s="41" t="s">
        <v>196</v>
      </c>
      <c r="C373" s="312" t="s">
        <v>125</v>
      </c>
      <c r="D373" s="314"/>
      <c r="E373" s="315"/>
      <c r="F373" s="254" cm="1">
        <f t="array" ref="F373">+SUMPRODUCT(('Budget original'!$A$8:$A$501=$A373)*('Budget original'!$C$3:$AO$3=F$2),'Budget original'!$C$8:$AO$501)</f>
        <v>0</v>
      </c>
      <c r="G373" s="316"/>
      <c r="H373" s="315"/>
      <c r="I373" s="254"/>
      <c r="J373" s="241"/>
      <c r="K373" s="315"/>
      <c r="L373" s="256">
        <f>SUMIFS(BV_Data_An_Cour!$N:$N,BV_Data_An_Cour!$Q:$Q,$B373,BV_Data_An_Cour!$R:$R,$C373)</f>
        <v>0</v>
      </c>
      <c r="M373" s="241"/>
      <c r="N373" s="317"/>
      <c r="O373" s="241"/>
      <c r="P373" s="315"/>
      <c r="Q373" s="256" cm="1">
        <f t="array" ref="Q373">+SUMPRODUCT(('Réel 2024'!$A$8:$A$501=$A373)*('Réel 2024'!$C$3:$AO$3=Q$2),'Réel 2024'!$C$8:$AO$501)</f>
        <v>0</v>
      </c>
      <c r="R373" s="241"/>
      <c r="S373" s="317">
        <f t="shared" si="97"/>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tr">
        <f t="shared" si="93"/>
        <v>BoutiqueBénéfices marginaux</v>
      </c>
      <c r="B374" s="41" t="s">
        <v>196</v>
      </c>
      <c r="C374" s="312" t="s">
        <v>126</v>
      </c>
      <c r="D374" s="297"/>
      <c r="E374" s="41"/>
      <c r="F374" s="254" cm="1">
        <f t="array" ref="F374">+SUMPRODUCT(('Budget original'!$A$8:$A$501=$A374)*('Budget original'!$C$3:$AO$3=F$2),'Budget original'!$C$8:$AO$501)</f>
        <v>0</v>
      </c>
      <c r="G374" s="298"/>
      <c r="H374" s="41"/>
      <c r="I374" s="254"/>
      <c r="J374" s="253"/>
      <c r="K374" s="41"/>
      <c r="L374" s="256">
        <f>SUMIFS(BV_Data_An_Cour!$N:$N,BV_Data_An_Cour!$Q:$Q,$B374,BV_Data_An_Cour!$R:$R,$C374)</f>
        <v>0</v>
      </c>
      <c r="M374" s="253"/>
      <c r="N374" s="276"/>
      <c r="O374" s="253"/>
      <c r="P374" s="41"/>
      <c r="Q374" s="256" cm="1">
        <f t="array" ref="Q374">+SUMPRODUCT(('Réel 2024'!$A$8:$A$501=$A374)*('Réel 2024'!$C$3:$AO$3=Q$2),'Réel 2024'!$C$8:$AO$501)</f>
        <v>0</v>
      </c>
      <c r="R374" s="253"/>
      <c r="S374" s="276">
        <f t="shared" si="97"/>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tr">
        <f t="shared" si="93"/>
        <v>BoutiqueCsst</v>
      </c>
      <c r="B375" s="41" t="s">
        <v>196</v>
      </c>
      <c r="C375" s="312" t="s">
        <v>127</v>
      </c>
      <c r="D375" s="297"/>
      <c r="E375" s="41"/>
      <c r="F375" s="254" cm="1">
        <f t="array" ref="F375">+SUMPRODUCT(('Budget original'!$A$8:$A$501=$A375)*('Budget original'!$C$3:$AO$3=F$2),'Budget original'!$C$8:$AO$501)</f>
        <v>0</v>
      </c>
      <c r="G375" s="298"/>
      <c r="H375" s="41"/>
      <c r="I375" s="254"/>
      <c r="J375" s="253"/>
      <c r="K375" s="41"/>
      <c r="L375" s="256">
        <f>SUMIFS(BV_Data_An_Cour!$N:$N,BV_Data_An_Cour!$Q:$Q,$B375,BV_Data_An_Cour!$R:$R,$C375)</f>
        <v>0</v>
      </c>
      <c r="M375" s="253"/>
      <c r="N375" s="276"/>
      <c r="O375" s="253"/>
      <c r="P375" s="41"/>
      <c r="Q375" s="256" cm="1">
        <f t="array" ref="Q375">+SUMPRODUCT(('Réel 2024'!$A$8:$A$501=$A375)*('Réel 2024'!$C$3:$AO$3=Q$2),'Réel 2024'!$C$8:$AO$501)</f>
        <v>0</v>
      </c>
      <c r="R375" s="253"/>
      <c r="S375" s="276">
        <f t="shared" si="97"/>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tr">
        <f t="shared" si="93"/>
        <v>Boutique[...]</v>
      </c>
      <c r="B376" s="41" t="s">
        <v>196</v>
      </c>
      <c r="C376" s="253" t="s">
        <v>59</v>
      </c>
      <c r="D376" s="299"/>
      <c r="E376" s="318"/>
      <c r="F376" s="254" cm="1">
        <f t="array" ref="F376">+SUMPRODUCT(('Budget original'!$A$8:$A$501=$A376)*('Budget original'!$C$3:$AO$3=F$2),'Budget original'!$C$8:$AO$501)</f>
        <v>0</v>
      </c>
      <c r="G376" s="300"/>
      <c r="H376" s="318"/>
      <c r="I376" s="254"/>
      <c r="J376" s="246"/>
      <c r="K376" s="318"/>
      <c r="L376" s="256">
        <f>SUMIFS(BV_Data_An_Cour!$N:$N,BV_Data_An_Cour!$Q:$Q,$B376,BV_Data_An_Cour!$R:$R,$C376)</f>
        <v>0</v>
      </c>
      <c r="M376" s="246"/>
      <c r="N376" s="296"/>
      <c r="O376" s="246"/>
      <c r="P376" s="318"/>
      <c r="Q376" s="256" cm="1">
        <f t="array" ref="Q376">+SUMPRODUCT(('Réel 2024'!$A$8:$A$501=$A376)*('Réel 2024'!$C$3:$AO$3=Q$2),'Réel 2024'!$C$8:$AO$501)</f>
        <v>0</v>
      </c>
      <c r="R376" s="246"/>
      <c r="S376" s="296">
        <f t="shared" si="97"/>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tr">
        <f t="shared" si="93"/>
        <v>BoutiqueTOTAL PERSONNEL</v>
      </c>
      <c r="B377" s="41" t="s">
        <v>196</v>
      </c>
      <c r="C377" s="304" t="s">
        <v>128</v>
      </c>
      <c r="D377" s="305" t="s">
        <v>119</v>
      </c>
      <c r="E377" s="306">
        <f>IFERROR(F377/F$360,0)</f>
        <v>0</v>
      </c>
      <c r="F377" s="307">
        <f>+SUM(F365:F376)</f>
        <v>0</v>
      </c>
      <c r="G377" s="308"/>
      <c r="H377" s="306"/>
      <c r="I377" s="307"/>
      <c r="J377" s="308" t="s">
        <v>119</v>
      </c>
      <c r="K377" s="306">
        <f>IFERROR(L377/L$360,0)</f>
        <v>0</v>
      </c>
      <c r="L377" s="307">
        <f>+SUM(L365:L376)</f>
        <v>0</v>
      </c>
      <c r="M377" s="355"/>
      <c r="N377" s="320"/>
      <c r="O377" s="308" t="s">
        <v>119</v>
      </c>
      <c r="P377" s="306">
        <f>IFERROR(Q377/Q$360,0)</f>
        <v>0</v>
      </c>
      <c r="Q377" s="307">
        <f>+SUM(Q365:Q376)</f>
        <v>0</v>
      </c>
      <c r="R377" s="355"/>
      <c r="S377" s="320">
        <f t="shared" si="97"/>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tr">
        <f t="shared" si="93"/>
        <v>BoutiquePublicité 2</v>
      </c>
      <c r="B378" s="41" t="s">
        <v>196</v>
      </c>
      <c r="C378" s="406" t="s">
        <v>129</v>
      </c>
      <c r="D378" s="297"/>
      <c r="E378" s="41"/>
      <c r="F378" s="254" cm="1">
        <f t="array" ref="F378">+SUMPRODUCT(('Budget original'!$A$8:$A$501=$A378)*('Budget original'!$C$3:$AO$3=F$2),'Budget original'!$C$8:$AO$501)</f>
        <v>0</v>
      </c>
      <c r="G378" s="298"/>
      <c r="H378" s="41"/>
      <c r="I378" s="254"/>
      <c r="J378" s="253"/>
      <c r="K378" s="41"/>
      <c r="L378" s="256">
        <f>SUMIFS(BV_Data_An_Cour!$N:$N,BV_Data_An_Cour!$Q:$Q,$B378,BV_Data_An_Cour!$R:$R,$C378)</f>
        <v>0</v>
      </c>
      <c r="M378" s="253"/>
      <c r="N378" s="276"/>
      <c r="O378" s="253"/>
      <c r="P378" s="41"/>
      <c r="Q378" s="256" cm="1">
        <f t="array" ref="Q378">+SUMPRODUCT(('Réel 2024'!$A$8:$A$501=$A378)*('Réel 2024'!$C$3:$AO$3=Q$2),'Réel 2024'!$C$8:$AO$501)</f>
        <v>0</v>
      </c>
      <c r="R378" s="253"/>
      <c r="S378" s="276">
        <f t="shared" si="97"/>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tr">
        <f t="shared" si="93"/>
        <v>BoutiqueService gratuit 2</v>
      </c>
      <c r="B379" s="41" t="s">
        <v>196</v>
      </c>
      <c r="C379" s="312" t="s">
        <v>130</v>
      </c>
      <c r="D379" s="297"/>
      <c r="E379" s="41"/>
      <c r="F379" s="254" cm="1">
        <f t="array" ref="F379">+SUMPRODUCT(('Budget original'!$A$8:$A$501=$A379)*('Budget original'!$C$3:$AO$3=F$2),'Budget original'!$C$8:$AO$501)</f>
        <v>0</v>
      </c>
      <c r="G379" s="298"/>
      <c r="H379" s="41"/>
      <c r="I379" s="254"/>
      <c r="J379" s="253"/>
      <c r="K379" s="41"/>
      <c r="L379" s="256">
        <f>SUMIFS(BV_Data_An_Cour!$N:$N,BV_Data_An_Cour!$Q:$Q,$B379,BV_Data_An_Cour!$R:$R,$C379)</f>
        <v>0</v>
      </c>
      <c r="M379" s="253"/>
      <c r="N379" s="276"/>
      <c r="O379" s="253"/>
      <c r="P379" s="41"/>
      <c r="Q379" s="256" cm="1">
        <f t="array" ref="Q379">+SUMPRODUCT(('Réel 2024'!$A$8:$A$501=$A379)*('Réel 2024'!$C$3:$AO$3=Q$2),'Réel 2024'!$C$8:$AO$501)</f>
        <v>0</v>
      </c>
      <c r="R379" s="253"/>
      <c r="S379" s="276">
        <f t="shared" si="97"/>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tr">
        <f t="shared" si="93"/>
        <v>BoutiqueFrais véhicules de cie</v>
      </c>
      <c r="B380" s="41" t="s">
        <v>196</v>
      </c>
      <c r="C380" s="313" t="s">
        <v>131</v>
      </c>
      <c r="D380" s="299"/>
      <c r="E380" s="318"/>
      <c r="F380" s="248" cm="1">
        <f t="array" ref="F380">+SUMPRODUCT(('Budget original'!$A$8:$A$501=$A380)*('Budget original'!$C$3:$AO$3=F$2),'Budget original'!$C$8:$AO$501)</f>
        <v>0</v>
      </c>
      <c r="G380" s="300"/>
      <c r="H380" s="318"/>
      <c r="I380" s="248"/>
      <c r="J380" s="246"/>
      <c r="K380" s="318"/>
      <c r="L380" s="248">
        <f>SUMIFS(BV_Data_An_Cour!$N:$N,BV_Data_An_Cour!$Q:$Q,$B380,BV_Data_An_Cour!$R:$R,$C380)</f>
        <v>0</v>
      </c>
      <c r="M380" s="246"/>
      <c r="N380" s="296"/>
      <c r="O380" s="246"/>
      <c r="P380" s="318"/>
      <c r="Q380" s="248" cm="1">
        <f t="array" ref="Q380">+SUMPRODUCT(('Réel 2024'!$A$8:$A$501=$A380)*('Réel 2024'!$C$3:$AO$3=Q$2),'Réel 2024'!$C$8:$AO$501)</f>
        <v>0</v>
      </c>
      <c r="R380" s="246"/>
      <c r="S380" s="296">
        <f t="shared" si="97"/>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tr">
        <f t="shared" si="93"/>
        <v>BoutiqueInformatique</v>
      </c>
      <c r="B381" s="41" t="s">
        <v>196</v>
      </c>
      <c r="C381" s="312" t="s">
        <v>132</v>
      </c>
      <c r="D381" s="297"/>
      <c r="E381" s="41"/>
      <c r="F381" s="254" cm="1">
        <f t="array" ref="F381">+SUMPRODUCT(('Budget original'!$A$8:$A$501=$A381)*('Budget original'!$C$3:$AO$3=F$2),'Budget original'!$C$8:$AO$501)</f>
        <v>0</v>
      </c>
      <c r="G381" s="298"/>
      <c r="H381" s="41"/>
      <c r="I381" s="254"/>
      <c r="J381" s="253"/>
      <c r="K381" s="41"/>
      <c r="L381" s="256">
        <f>SUMIFS(BV_Data_An_Cour!$N:$N,BV_Data_An_Cour!$Q:$Q,$B381,BV_Data_An_Cour!$R:$R,$C381)</f>
        <v>0</v>
      </c>
      <c r="M381" s="253"/>
      <c r="N381" s="276"/>
      <c r="O381" s="253"/>
      <c r="P381" s="41"/>
      <c r="Q381" s="256" cm="1">
        <f t="array" ref="Q381">+SUMPRODUCT(('Réel 2024'!$A$8:$A$501=$A381)*('Réel 2024'!$C$3:$AO$3=Q$2),'Réel 2024'!$C$8:$AO$501)</f>
        <v>0</v>
      </c>
      <c r="R381" s="253"/>
      <c r="S381" s="276">
        <f t="shared" si="97"/>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tr">
        <f t="shared" si="93"/>
        <v>BoutiqueFrais de déplacement</v>
      </c>
      <c r="B382" s="41" t="s">
        <v>196</v>
      </c>
      <c r="C382" s="312" t="s">
        <v>133</v>
      </c>
      <c r="D382" s="297"/>
      <c r="E382" s="41"/>
      <c r="F382" s="254" cm="1">
        <f t="array" ref="F382">+SUMPRODUCT(('Budget original'!$A$8:$A$501=$A382)*('Budget original'!$C$3:$AO$3=F$2),'Budget original'!$C$8:$AO$501)</f>
        <v>0</v>
      </c>
      <c r="G382" s="298"/>
      <c r="H382" s="41"/>
      <c r="I382" s="254"/>
      <c r="J382" s="253"/>
      <c r="K382" s="41"/>
      <c r="L382" s="256">
        <f>SUMIFS(BV_Data_An_Cour!$N:$N,BV_Data_An_Cour!$Q:$Q,$B382,BV_Data_An_Cour!$R:$R,$C382)</f>
        <v>0</v>
      </c>
      <c r="M382" s="253"/>
      <c r="N382" s="276"/>
      <c r="O382" s="253"/>
      <c r="P382" s="41"/>
      <c r="Q382" s="256" cm="1">
        <f t="array" ref="Q382">+SUMPRODUCT(('Réel 2024'!$A$8:$A$501=$A382)*('Réel 2024'!$C$3:$AO$3=Q$2),'Réel 2024'!$C$8:$AO$501)</f>
        <v>0</v>
      </c>
      <c r="R382" s="253"/>
      <c r="S382" s="276">
        <f t="shared" si="97"/>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tr">
        <f t="shared" si="93"/>
        <v>BoutiqueServices extérieurs</v>
      </c>
      <c r="B383" s="41" t="s">
        <v>196</v>
      </c>
      <c r="C383" s="312" t="s">
        <v>134</v>
      </c>
      <c r="D383" s="299"/>
      <c r="E383" s="318"/>
      <c r="F383" s="248" cm="1">
        <f t="array" ref="F383">+SUMPRODUCT(('Budget original'!$A$8:$A$501=$A383)*('Budget original'!$C$3:$AO$3=F$2),'Budget original'!$C$8:$AO$501)</f>
        <v>0</v>
      </c>
      <c r="G383" s="300"/>
      <c r="H383" s="318"/>
      <c r="I383" s="248"/>
      <c r="J383" s="246"/>
      <c r="K383" s="318"/>
      <c r="L383" s="248">
        <f>SUMIFS(BV_Data_An_Cour!$N:$N,BV_Data_An_Cour!$Q:$Q,$B383,BV_Data_An_Cour!$R:$R,$C383)</f>
        <v>0</v>
      </c>
      <c r="M383" s="246"/>
      <c r="N383" s="296"/>
      <c r="O383" s="246"/>
      <c r="P383" s="318"/>
      <c r="Q383" s="248" cm="1">
        <f t="array" ref="Q383">+SUMPRODUCT(('Réel 2024'!$A$8:$A$501=$A383)*('Réel 2024'!$C$3:$AO$3=Q$2),'Réel 2024'!$C$8:$AO$501)</f>
        <v>0</v>
      </c>
      <c r="R383" s="246"/>
      <c r="S383" s="296">
        <f t="shared" si="97"/>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tr">
        <f t="shared" si="93"/>
        <v>BoutiqueFournitures autres</v>
      </c>
      <c r="B384" s="41" t="s">
        <v>196</v>
      </c>
      <c r="C384" s="406" t="s">
        <v>135</v>
      </c>
      <c r="D384" s="297"/>
      <c r="E384" s="41"/>
      <c r="F384" s="254" cm="1">
        <f t="array" ref="F384">+SUMPRODUCT(('Budget original'!$A$8:$A$501=$A384)*('Budget original'!$C$3:$AO$3=F$2),'Budget original'!$C$8:$AO$501)</f>
        <v>0</v>
      </c>
      <c r="G384" s="298"/>
      <c r="H384" s="41"/>
      <c r="I384" s="254"/>
      <c r="J384" s="253"/>
      <c r="K384" s="41"/>
      <c r="L384" s="256">
        <f>SUMIFS(BV_Data_An_Cour!$N:$N,BV_Data_An_Cour!$Q:$Q,$B384,BV_Data_An_Cour!$R:$R,$C384)</f>
        <v>0</v>
      </c>
      <c r="M384" s="253"/>
      <c r="N384" s="276"/>
      <c r="O384" s="253"/>
      <c r="P384" s="41"/>
      <c r="Q384" s="256" cm="1">
        <f t="array" ref="Q384">+SUMPRODUCT(('Réel 2024'!$A$8:$A$501=$A384)*('Réel 2024'!$C$3:$AO$3=Q$2),'Réel 2024'!$C$8:$AO$501)</f>
        <v>0</v>
      </c>
      <c r="R384" s="253"/>
      <c r="S384" s="276">
        <f t="shared" si="97"/>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tr">
        <f t="shared" si="93"/>
        <v>BoutiqueUniformes</v>
      </c>
      <c r="B385" s="41" t="s">
        <v>196</v>
      </c>
      <c r="C385" s="312" t="s">
        <v>136</v>
      </c>
      <c r="D385" s="297"/>
      <c r="E385" s="41"/>
      <c r="F385" s="254" cm="1">
        <f t="array" ref="F385">+SUMPRODUCT(('Budget original'!$A$8:$A$501=$A385)*('Budget original'!$C$3:$AO$3=F$2),'Budget original'!$C$8:$AO$501)</f>
        <v>0</v>
      </c>
      <c r="G385" s="298"/>
      <c r="H385" s="41"/>
      <c r="I385" s="254"/>
      <c r="J385" s="253"/>
      <c r="K385" s="41"/>
      <c r="L385" s="256">
        <f>SUMIFS(BV_Data_An_Cour!$N:$N,BV_Data_An_Cour!$Q:$Q,$B385,BV_Data_An_Cour!$R:$R,$C385)</f>
        <v>0</v>
      </c>
      <c r="M385" s="253"/>
      <c r="N385" s="276"/>
      <c r="O385" s="253"/>
      <c r="P385" s="41"/>
      <c r="Q385" s="256" cm="1">
        <f t="array" ref="Q385">+SUMPRODUCT(('Réel 2024'!$A$8:$A$501=$A385)*('Réel 2024'!$C$3:$AO$3=Q$2),'Réel 2024'!$C$8:$AO$501)</f>
        <v>0</v>
      </c>
      <c r="R385" s="253"/>
      <c r="S385" s="276">
        <f t="shared" si="97"/>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tr">
        <f t="shared" si="93"/>
        <v>BoutiquePapeterie</v>
      </c>
      <c r="B386" s="41" t="s">
        <v>196</v>
      </c>
      <c r="C386" s="312" t="s">
        <v>137</v>
      </c>
      <c r="D386" s="297"/>
      <c r="E386" s="41"/>
      <c r="F386" s="254" cm="1">
        <f t="array" ref="F386">+SUMPRODUCT(('Budget original'!$A$8:$A$501=$A386)*('Budget original'!$C$3:$AO$3=F$2),'Budget original'!$C$8:$AO$501)</f>
        <v>0</v>
      </c>
      <c r="G386" s="298"/>
      <c r="H386" s="41"/>
      <c r="I386" s="254"/>
      <c r="J386" s="253"/>
      <c r="K386" s="41"/>
      <c r="L386" s="256">
        <f>SUMIFS(BV_Data_An_Cour!$N:$N,BV_Data_An_Cour!$Q:$Q,$B386,BV_Data_An_Cour!$R:$R,$C386)</f>
        <v>0</v>
      </c>
      <c r="M386" s="253"/>
      <c r="N386" s="276"/>
      <c r="O386" s="253"/>
      <c r="P386" s="41"/>
      <c r="Q386" s="256" cm="1">
        <f t="array" ref="Q386">+SUMPRODUCT(('Réel 2024'!$A$8:$A$501=$A386)*('Réel 2024'!$C$3:$AO$3=Q$2),'Réel 2024'!$C$8:$AO$501)</f>
        <v>0</v>
      </c>
      <c r="R386" s="253"/>
      <c r="S386" s="276">
        <f t="shared" si="97"/>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tr">
        <f t="shared" si="93"/>
        <v>BoutiqueTéléphone</v>
      </c>
      <c r="B387" s="41" t="s">
        <v>196</v>
      </c>
      <c r="C387" s="312" t="s">
        <v>138</v>
      </c>
      <c r="D387" s="297"/>
      <c r="E387" s="41"/>
      <c r="F387" s="254" cm="1">
        <f t="array" ref="F387">+SUMPRODUCT(('Budget original'!$A$8:$A$501=$A387)*('Budget original'!$C$3:$AO$3=F$2),'Budget original'!$C$8:$AO$501)</f>
        <v>0</v>
      </c>
      <c r="G387" s="298"/>
      <c r="H387" s="41"/>
      <c r="I387" s="254"/>
      <c r="J387" s="253"/>
      <c r="K387" s="41"/>
      <c r="L387" s="256">
        <f>SUMIFS(BV_Data_An_Cour!$N:$N,BV_Data_An_Cour!$Q:$Q,$B387,BV_Data_An_Cour!$R:$R,$C387)</f>
        <v>0</v>
      </c>
      <c r="M387" s="253"/>
      <c r="N387" s="276"/>
      <c r="O387" s="253"/>
      <c r="P387" s="41"/>
      <c r="Q387" s="256" cm="1">
        <f t="array" ref="Q387">+SUMPRODUCT(('Réel 2024'!$A$8:$A$501=$A387)*('Réel 2024'!$C$3:$AO$3=Q$2),'Réel 2024'!$C$8:$AO$501)</f>
        <v>0</v>
      </c>
      <c r="R387" s="253"/>
      <c r="S387" s="276">
        <f t="shared" si="97"/>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tr">
        <f t="shared" si="93"/>
        <v>BoutiqueFrais postaux</v>
      </c>
      <c r="B388" s="41" t="s">
        <v>196</v>
      </c>
      <c r="C388" s="312" t="s">
        <v>139</v>
      </c>
      <c r="D388" s="297"/>
      <c r="E388" s="41"/>
      <c r="F388" s="254" cm="1">
        <f t="array" ref="F388">+SUMPRODUCT(('Budget original'!$A$8:$A$501=$A388)*('Budget original'!$C$3:$AO$3=F$2),'Budget original'!$C$8:$AO$501)</f>
        <v>0</v>
      </c>
      <c r="G388" s="298"/>
      <c r="H388" s="41"/>
      <c r="I388" s="254"/>
      <c r="J388" s="253"/>
      <c r="K388" s="41"/>
      <c r="L388" s="256">
        <f>SUMIFS(BV_Data_An_Cour!$N:$N,BV_Data_An_Cour!$Q:$Q,$B388,BV_Data_An_Cour!$R:$R,$C388)</f>
        <v>0</v>
      </c>
      <c r="M388" s="253"/>
      <c r="N388" s="276"/>
      <c r="O388" s="253"/>
      <c r="P388" s="41"/>
      <c r="Q388" s="256" cm="1">
        <f t="array" ref="Q388">+SUMPRODUCT(('Réel 2024'!$A$8:$A$501=$A388)*('Réel 2024'!$C$3:$AO$3=Q$2),'Réel 2024'!$C$8:$AO$501)</f>
        <v>0</v>
      </c>
      <c r="R388" s="253"/>
      <c r="S388" s="276">
        <f t="shared" si="97"/>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tr">
        <f t="shared" si="93"/>
        <v>BoutiqueDivers</v>
      </c>
      <c r="B389" s="41" t="s">
        <v>196</v>
      </c>
      <c r="C389" s="312" t="s">
        <v>140</v>
      </c>
      <c r="D389" s="297"/>
      <c r="E389" s="41"/>
      <c r="F389" s="254" cm="1">
        <f t="array" ref="F389">+SUMPRODUCT(('Budget original'!$A$8:$A$501=$A389)*('Budget original'!$C$3:$AO$3=F$2),'Budget original'!$C$8:$AO$501)</f>
        <v>0</v>
      </c>
      <c r="G389" s="298"/>
      <c r="H389" s="41"/>
      <c r="I389" s="254"/>
      <c r="J389" s="253"/>
      <c r="K389" s="41"/>
      <c r="L389" s="256">
        <f>SUMIFS(BV_Data_An_Cour!$N:$N,BV_Data_An_Cour!$Q:$Q,$B389,BV_Data_An_Cour!$R:$R,$C389)</f>
        <v>0</v>
      </c>
      <c r="M389" s="253"/>
      <c r="N389" s="276"/>
      <c r="O389" s="253"/>
      <c r="P389" s="41"/>
      <c r="Q389" s="256" cm="1">
        <f t="array" ref="Q389">+SUMPRODUCT(('Réel 2024'!$A$8:$A$501=$A389)*('Réel 2024'!$C$3:$AO$3=Q$2),'Réel 2024'!$C$8:$AO$501)</f>
        <v>0</v>
      </c>
      <c r="R389" s="253"/>
      <c r="S389" s="276">
        <f t="shared" si="97"/>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tr">
        <f t="shared" si="93"/>
        <v>BoutiqueFormation</v>
      </c>
      <c r="B390" s="41" t="s">
        <v>196</v>
      </c>
      <c r="C390" s="312" t="s">
        <v>141</v>
      </c>
      <c r="D390" s="297"/>
      <c r="E390" s="41"/>
      <c r="F390" s="254" cm="1">
        <f t="array" ref="F390">+SUMPRODUCT(('Budget original'!$A$8:$A$501=$A390)*('Budget original'!$C$3:$AO$3=F$2),'Budget original'!$C$8:$AO$501)</f>
        <v>0</v>
      </c>
      <c r="G390" s="298"/>
      <c r="H390" s="41"/>
      <c r="I390" s="254"/>
      <c r="J390" s="253"/>
      <c r="K390" s="41"/>
      <c r="L390" s="256">
        <f>SUMIFS(BV_Data_An_Cour!$N:$N,BV_Data_An_Cour!$Q:$Q,$B390,BV_Data_An_Cour!$R:$R,$C390)</f>
        <v>0</v>
      </c>
      <c r="M390" s="253"/>
      <c r="N390" s="276"/>
      <c r="O390" s="253"/>
      <c r="P390" s="41"/>
      <c r="Q390" s="256" cm="1">
        <f t="array" ref="Q390">+SUMPRODUCT(('Réel 2024'!$A$8:$A$501=$A390)*('Réel 2024'!$C$3:$AO$3=Q$2),'Réel 2024'!$C$8:$AO$501)</f>
        <v>0</v>
      </c>
      <c r="R390" s="253"/>
      <c r="S390" s="276">
        <f t="shared" si="97"/>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tr">
        <f t="shared" si="93"/>
        <v>BoutiqueFrais bancaires</v>
      </c>
      <c r="B391" s="41" t="s">
        <v>196</v>
      </c>
      <c r="C391" s="312" t="s">
        <v>142</v>
      </c>
      <c r="D391" s="297"/>
      <c r="E391" s="41"/>
      <c r="F391" s="254" cm="1">
        <f t="array" ref="F391">+SUMPRODUCT(('Budget original'!$A$8:$A$501=$A391)*('Budget original'!$C$3:$AO$3=F$2),'Budget original'!$C$8:$AO$501)</f>
        <v>0</v>
      </c>
      <c r="G391" s="298"/>
      <c r="H391" s="41"/>
      <c r="I391" s="254"/>
      <c r="J391" s="253"/>
      <c r="K391" s="41"/>
      <c r="L391" s="256">
        <f>SUMIFS(BV_Data_An_Cour!$N:$N,BV_Data_An_Cour!$Q:$Q,$B391,BV_Data_An_Cour!$R:$R,$C391)</f>
        <v>0</v>
      </c>
      <c r="M391" s="253"/>
      <c r="N391" s="276"/>
      <c r="O391" s="253"/>
      <c r="P391" s="41"/>
      <c r="Q391" s="256" cm="1">
        <f t="array" ref="Q391">+SUMPRODUCT(('Réel 2024'!$A$8:$A$501=$A391)*('Réel 2024'!$C$3:$AO$3=Q$2),'Réel 2024'!$C$8:$AO$501)</f>
        <v>0</v>
      </c>
      <c r="R391" s="253"/>
      <c r="S391" s="276">
        <f t="shared" si="97"/>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tr">
        <f t="shared" si="93"/>
        <v>Boutique[...]</v>
      </c>
      <c r="B392" s="41" t="s">
        <v>196</v>
      </c>
      <c r="C392" s="312" t="s">
        <v>59</v>
      </c>
      <c r="D392" s="297"/>
      <c r="E392" s="41"/>
      <c r="F392" s="254" cm="1">
        <f t="array" ref="F392">+SUMPRODUCT(('Budget original'!$A$8:$A$501=$A392)*('Budget original'!$C$3:$AO$3=F$2),'Budget original'!$C$8:$AO$501)</f>
        <v>0</v>
      </c>
      <c r="G392" s="298"/>
      <c r="H392" s="41"/>
      <c r="I392" s="254"/>
      <c r="J392" s="253"/>
      <c r="K392" s="41"/>
      <c r="L392" s="256">
        <f>SUMIFS(BV_Data_An_Cour!$N:$N,BV_Data_An_Cour!$Q:$Q,$B392,BV_Data_An_Cour!$R:$R,$C392)</f>
        <v>0</v>
      </c>
      <c r="M392" s="253"/>
      <c r="N392" s="276"/>
      <c r="O392" s="253"/>
      <c r="P392" s="41"/>
      <c r="Q392" s="256" cm="1">
        <f t="array" ref="Q392">+SUMPRODUCT(('Réel 2024'!$A$8:$A$501=$A392)*('Réel 2024'!$C$3:$AO$3=Q$2),'Réel 2024'!$C$8:$AO$501)</f>
        <v>0</v>
      </c>
      <c r="R392" s="253"/>
      <c r="S392" s="276">
        <f t="shared" si="97"/>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tr">
        <f t="shared" si="93"/>
        <v>Boutique[...]</v>
      </c>
      <c r="B393" s="41" t="s">
        <v>196</v>
      </c>
      <c r="C393" s="312" t="s">
        <v>59</v>
      </c>
      <c r="D393" s="297"/>
      <c r="E393" s="41"/>
      <c r="F393" s="254" cm="1">
        <f t="array" ref="F393">+SUMPRODUCT(('Budget original'!$A$8:$A$501=$A393)*('Budget original'!$C$3:$AO$3=F$2),'Budget original'!$C$8:$AO$501)</f>
        <v>0</v>
      </c>
      <c r="G393" s="298"/>
      <c r="H393" s="41"/>
      <c r="I393" s="254"/>
      <c r="J393" s="253"/>
      <c r="K393" s="41"/>
      <c r="L393" s="256">
        <f>SUMIFS(BV_Data_An_Cour!$N:$N,BV_Data_An_Cour!$Q:$Q,$B393,BV_Data_An_Cour!$R:$R,$C393)</f>
        <v>0</v>
      </c>
      <c r="M393" s="253"/>
      <c r="N393" s="276"/>
      <c r="O393" s="253"/>
      <c r="P393" s="41"/>
      <c r="Q393" s="256" cm="1">
        <f t="array" ref="Q393">+SUMPRODUCT(('Réel 2024'!$A$8:$A$501=$A393)*('Réel 2024'!$C$3:$AO$3=Q$2),'Réel 2024'!$C$8:$AO$501)</f>
        <v>0</v>
      </c>
      <c r="R393" s="253"/>
      <c r="S393" s="276">
        <f t="shared" si="97"/>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tr">
        <f t="shared" si="93"/>
        <v>Boutique[...]</v>
      </c>
      <c r="B394" s="41" t="s">
        <v>196</v>
      </c>
      <c r="C394" s="312" t="s">
        <v>59</v>
      </c>
      <c r="D394" s="299"/>
      <c r="E394" s="318"/>
      <c r="F394" s="254" cm="1">
        <f t="array" ref="F394">+SUMPRODUCT(('Budget original'!$A$8:$A$501=$A394)*('Budget original'!$C$3:$AO$3=F$2),'Budget original'!$C$8:$AO$501)</f>
        <v>0</v>
      </c>
      <c r="G394" s="300"/>
      <c r="H394" s="318"/>
      <c r="I394" s="254"/>
      <c r="J394" s="246"/>
      <c r="K394" s="318"/>
      <c r="L394" s="256">
        <f>SUMIFS(BV_Data_An_Cour!$N:$N,BV_Data_An_Cour!$Q:$Q,$B394,BV_Data_An_Cour!$R:$R,$C394)</f>
        <v>0</v>
      </c>
      <c r="M394" s="246"/>
      <c r="N394" s="296"/>
      <c r="O394" s="246"/>
      <c r="P394" s="318"/>
      <c r="Q394" s="256" cm="1">
        <f t="array" ref="Q394">+SUMPRODUCT(('Réel 2024'!$A$8:$A$501=$A394)*('Réel 2024'!$C$3:$AO$3=Q$2),'Réel 2024'!$C$8:$AO$501)</f>
        <v>0</v>
      </c>
      <c r="R394" s="246"/>
      <c r="S394" s="296">
        <f t="shared" si="97"/>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304" t="s">
        <v>143</v>
      </c>
      <c r="D395" s="305" t="s">
        <v>119</v>
      </c>
      <c r="E395" s="306">
        <f>IFERROR(F395/F$360,0)</f>
        <v>0</v>
      </c>
      <c r="F395" s="307">
        <f>+SUM(F378:F394)</f>
        <v>0</v>
      </c>
      <c r="G395" s="308"/>
      <c r="H395" s="306"/>
      <c r="I395" s="307"/>
      <c r="J395" s="308" t="s">
        <v>119</v>
      </c>
      <c r="K395" s="306">
        <f>IFERROR(L395/L$360,0)</f>
        <v>0</v>
      </c>
      <c r="L395" s="307">
        <f>+SUM(L378:L394)</f>
        <v>0</v>
      </c>
      <c r="M395" s="355"/>
      <c r="N395" s="307"/>
      <c r="O395" s="308" t="s">
        <v>119</v>
      </c>
      <c r="P395" s="306">
        <f>IFERROR(Q395/Q$360,0)</f>
        <v>0</v>
      </c>
      <c r="Q395" s="307">
        <f>+SUM(Q378:Q394)</f>
        <v>0</v>
      </c>
      <c r="R395" s="355"/>
      <c r="S395" s="320">
        <f>+SUM(S378:S394)</f>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253"/>
      <c r="D396" s="41"/>
      <c r="E396" s="41"/>
      <c r="F396" s="263"/>
      <c r="G396" s="253"/>
      <c r="H396" s="41"/>
      <c r="I396" s="263"/>
      <c r="J396" s="253"/>
      <c r="K396" s="41"/>
      <c r="L396" s="263"/>
      <c r="M396" s="270"/>
      <c r="N396" s="288"/>
      <c r="O396" s="253"/>
      <c r="P396" s="41"/>
      <c r="Q396" s="263"/>
      <c r="R396" s="253"/>
      <c r="S396" s="288"/>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304" t="s">
        <v>144</v>
      </c>
      <c r="D397" s="305" t="s">
        <v>119</v>
      </c>
      <c r="E397" s="306">
        <f>IFERROR(F397/F$360,0)</f>
        <v>0</v>
      </c>
      <c r="F397" s="307">
        <f>F377+F395</f>
        <v>0</v>
      </c>
      <c r="G397" s="308"/>
      <c r="H397" s="306"/>
      <c r="I397" s="307"/>
      <c r="J397" s="308" t="s">
        <v>119</v>
      </c>
      <c r="K397" s="306">
        <f>IFERROR(L397/L$360,0)</f>
        <v>0</v>
      </c>
      <c r="L397" s="307">
        <f>L377+L395</f>
        <v>0</v>
      </c>
      <c r="M397" s="304"/>
      <c r="N397" s="307"/>
      <c r="O397" s="308" t="s">
        <v>119</v>
      </c>
      <c r="P397" s="306">
        <f>IFERROR(Q397/Q$360,0)</f>
        <v>0</v>
      </c>
      <c r="Q397" s="307">
        <f>Q377+Q395</f>
        <v>0</v>
      </c>
      <c r="R397" s="311"/>
      <c r="S397" s="307">
        <f>L397-Q397</f>
        <v>0</v>
      </c>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thickBot="1">
      <c r="B398" s="3"/>
      <c r="C398" s="253"/>
      <c r="D398" s="41"/>
      <c r="E398" s="41"/>
      <c r="F398" s="276"/>
      <c r="G398" s="253"/>
      <c r="H398" s="41"/>
      <c r="I398" s="276"/>
      <c r="J398" s="253"/>
      <c r="K398" s="41"/>
      <c r="L398" s="276"/>
      <c r="M398" s="270"/>
      <c r="N398" s="288"/>
      <c r="O398" s="253"/>
      <c r="P398" s="41"/>
      <c r="Q398" s="276"/>
      <c r="R398" s="253"/>
      <c r="S398" s="288"/>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thickTop="1" thickBot="1">
      <c r="B399" s="3"/>
      <c r="C399" s="428" t="s">
        <v>151</v>
      </c>
      <c r="D399" s="429"/>
      <c r="E399" s="429"/>
      <c r="F399" s="430">
        <f>F362-F397</f>
        <v>0</v>
      </c>
      <c r="G399" s="428"/>
      <c r="H399" s="429"/>
      <c r="I399" s="430"/>
      <c r="J399" s="431"/>
      <c r="K399" s="432"/>
      <c r="L399" s="430">
        <f>L362-L397</f>
        <v>0</v>
      </c>
      <c r="M399" s="428"/>
      <c r="N399" s="430"/>
      <c r="O399" s="431"/>
      <c r="P399" s="432"/>
      <c r="Q399" s="430">
        <f>Q362-Q397</f>
        <v>0</v>
      </c>
      <c r="R399" s="431"/>
      <c r="S399" s="430">
        <f>L399-Q399</f>
        <v>0</v>
      </c>
      <c r="T399" s="38"/>
      <c r="U399" s="38"/>
      <c r="V399" s="41"/>
      <c r="W399" s="38"/>
      <c r="X399" s="38"/>
      <c r="Y399" s="38"/>
      <c r="Z399" s="38"/>
      <c r="AA399" s="38"/>
      <c r="AB399" s="38"/>
      <c r="AC399" s="38"/>
      <c r="AD399" s="612"/>
      <c r="AE399" s="38"/>
      <c r="AF399" s="38"/>
      <c r="AG399" s="38"/>
      <c r="AH399" s="38"/>
      <c r="AI399" s="38"/>
      <c r="AJ399" s="38"/>
      <c r="AK399" s="38"/>
      <c r="AL399" s="38"/>
      <c r="AM399" s="38"/>
      <c r="AN399" s="38"/>
    </row>
    <row r="400" spans="1:40" ht="15.75" customHeight="1">
      <c r="B400" s="3"/>
      <c r="C400" s="11"/>
      <c r="D400" s="297"/>
      <c r="E400" s="41"/>
      <c r="F400" s="319"/>
      <c r="G400" s="297"/>
      <c r="H400" s="41"/>
      <c r="I400" s="319"/>
      <c r="J400" s="11"/>
      <c r="K400" s="11"/>
      <c r="L400" s="319"/>
      <c r="M400" s="11"/>
      <c r="N400" s="319"/>
      <c r="O400" s="11"/>
      <c r="P400" s="11"/>
      <c r="Q400" s="319"/>
      <c r="R400" s="11"/>
      <c r="S400" s="319"/>
      <c r="T400" s="41"/>
      <c r="U400" s="41"/>
      <c r="V400" s="41"/>
      <c r="W400" s="41"/>
      <c r="X400" s="41"/>
      <c r="Y400" s="41"/>
      <c r="Z400" s="41"/>
      <c r="AA400" s="41"/>
      <c r="AB400" s="41"/>
      <c r="AC400" s="41"/>
      <c r="AD400" s="41"/>
      <c r="AE400" s="41"/>
      <c r="AF400" s="41"/>
      <c r="AG400" s="41"/>
      <c r="AH400" s="41"/>
      <c r="AI400" s="41"/>
      <c r="AJ400" s="41"/>
      <c r="AK400" s="41"/>
      <c r="AL400" s="41"/>
      <c r="AM400" s="41"/>
      <c r="AN400" s="41"/>
    </row>
    <row r="401" spans="1:61" ht="15.75" customHeight="1">
      <c r="B401" s="3"/>
      <c r="C401" s="41"/>
      <c r="D401" s="41"/>
      <c r="E401" s="41"/>
      <c r="F401" s="41"/>
      <c r="G401" s="41"/>
      <c r="H401" s="41"/>
      <c r="I401" s="41"/>
      <c r="J401" s="291"/>
      <c r="K401" s="41"/>
      <c r="L401" s="38"/>
      <c r="M401" s="41"/>
      <c r="N401" s="41"/>
      <c r="O401" s="41"/>
      <c r="P401" s="41"/>
      <c r="Q401" s="41"/>
      <c r="R401" s="38"/>
      <c r="S401" s="138"/>
      <c r="T401" s="138"/>
      <c r="U401" s="38"/>
      <c r="V401" s="41"/>
      <c r="W401" s="38"/>
      <c r="X401" s="38"/>
      <c r="Y401" s="38"/>
      <c r="Z401" s="38"/>
      <c r="AA401" s="38"/>
      <c r="AB401" s="38"/>
      <c r="AC401" s="38"/>
      <c r="AD401" s="38"/>
      <c r="AE401" s="38"/>
      <c r="AF401" s="38"/>
      <c r="AG401" s="38"/>
      <c r="AH401" s="38"/>
      <c r="AI401" s="38"/>
      <c r="AJ401" s="38"/>
      <c r="AK401" s="38"/>
      <c r="AL401" s="38"/>
      <c r="AM401" s="38"/>
      <c r="AN401" s="38"/>
    </row>
    <row r="402" spans="1:61" ht="44.25" customHeight="1">
      <c r="B402" s="3"/>
      <c r="C402" s="38"/>
      <c r="D402" s="38"/>
      <c r="E402" s="38"/>
      <c r="F402" s="38"/>
      <c r="G402" s="38"/>
      <c r="H402" s="38"/>
      <c r="I402" s="38"/>
      <c r="J402" s="38"/>
      <c r="K402" s="38"/>
      <c r="L402" s="38"/>
      <c r="M402" s="613"/>
      <c r="N402" s="613"/>
      <c r="O402" s="613"/>
      <c r="P402" s="38"/>
      <c r="Q402" s="614"/>
      <c r="R402" s="38"/>
      <c r="U402" s="615"/>
      <c r="V402" s="947" t="str">
        <f>C1</f>
        <v>Volks</v>
      </c>
      <c r="W402" s="36"/>
      <c r="X402" s="36"/>
      <c r="Y402" s="36"/>
      <c r="Z402" s="36"/>
      <c r="AA402" s="36"/>
      <c r="AB402" s="36"/>
      <c r="AC402" s="36"/>
      <c r="AD402" s="36"/>
      <c r="AE402" s="9" t="s">
        <v>3309</v>
      </c>
      <c r="AF402" s="36"/>
      <c r="AG402" s="36"/>
      <c r="AH402" s="36"/>
      <c r="AI402" s="36"/>
      <c r="AJ402" s="955"/>
      <c r="AK402" s="956"/>
      <c r="AL402" s="957"/>
      <c r="AM402" s="957"/>
      <c r="AN402" s="957"/>
      <c r="AO402" s="959" t="str">
        <f>$S$1</f>
        <v>Réalisé AAJ, Février 2025</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B403" s="3"/>
      <c r="C403" s="38"/>
      <c r="D403" s="38"/>
      <c r="E403" s="38"/>
      <c r="F403" s="38"/>
      <c r="G403" s="38"/>
      <c r="H403" s="38"/>
      <c r="I403" s="38"/>
      <c r="J403" s="38"/>
      <c r="K403" s="38"/>
      <c r="L403" s="38"/>
      <c r="M403" s="613"/>
      <c r="N403" s="613"/>
      <c r="O403" s="613"/>
      <c r="P403" s="555"/>
      <c r="Q403" s="614"/>
      <c r="R403" s="38"/>
      <c r="S403" s="616"/>
      <c r="T403" s="616"/>
      <c r="U403" s="615"/>
      <c r="V403" s="434"/>
      <c r="W403" s="235"/>
      <c r="X403" s="235"/>
      <c r="Y403" s="235"/>
      <c r="Z403" s="235"/>
      <c r="AA403" s="235"/>
      <c r="AB403" s="235"/>
      <c r="AC403" s="235"/>
      <c r="AD403" s="235"/>
      <c r="AE403" s="235"/>
      <c r="AF403" s="235"/>
      <c r="AG403" s="235"/>
      <c r="AH403" s="235"/>
      <c r="AI403" s="235"/>
      <c r="AJ403" s="235"/>
      <c r="AK403" s="235"/>
      <c r="AL403" s="38"/>
      <c r="AM403" s="38"/>
      <c r="AN403" s="38"/>
      <c r="AO403" s="38"/>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5" t="str">
        <f t="shared" ref="A404:A439" si="98">+U404&amp;V404</f>
        <v/>
      </c>
      <c r="B404" s="3"/>
      <c r="C404" s="38"/>
      <c r="D404" s="38"/>
      <c r="E404" s="38"/>
      <c r="F404" s="38"/>
      <c r="G404" s="38"/>
      <c r="H404" s="38"/>
      <c r="I404" s="38"/>
      <c r="J404" s="38"/>
      <c r="K404" s="38"/>
      <c r="L404" s="38"/>
      <c r="M404" s="613"/>
      <c r="N404" s="613"/>
      <c r="O404" s="613"/>
      <c r="P404" s="555"/>
      <c r="Q404" s="614"/>
      <c r="R404" s="38"/>
      <c r="S404" s="616"/>
      <c r="T404" s="616"/>
      <c r="U404" s="615"/>
      <c r="V404" s="435"/>
      <c r="W404" s="436"/>
      <c r="X404" s="1245" t="s">
        <v>600</v>
      </c>
      <c r="Y404" s="1237"/>
      <c r="Z404" s="1246"/>
      <c r="AA404" s="1236"/>
      <c r="AB404" s="1237"/>
      <c r="AC404" s="1246"/>
      <c r="AD404" s="1236" t="s">
        <v>344</v>
      </c>
      <c r="AE404" s="1237"/>
      <c r="AF404" s="1246"/>
      <c r="AG404" s="1236" t="s">
        <v>3310</v>
      </c>
      <c r="AH404" s="1237"/>
      <c r="AI404" s="1246"/>
      <c r="AJ404" s="1236" t="s">
        <v>601</v>
      </c>
      <c r="AK404" s="1237"/>
      <c r="AL404" s="1237"/>
      <c r="AM404" s="1236" t="s">
        <v>602</v>
      </c>
      <c r="AN404" s="1237"/>
      <c r="AO404" s="1238"/>
      <c r="AP404" s="38"/>
      <c r="AQ404" s="617" t="s">
        <v>694</v>
      </c>
      <c r="AR404" s="618" t="s">
        <v>695</v>
      </c>
      <c r="AS404" s="38"/>
      <c r="AT404" s="38"/>
      <c r="AU404" s="38"/>
      <c r="AV404" s="38"/>
      <c r="AW404" s="38"/>
      <c r="AX404" s="38"/>
      <c r="AY404" s="38"/>
      <c r="AZ404" s="38"/>
      <c r="BA404" s="38"/>
      <c r="BB404" s="38"/>
      <c r="BC404" s="38"/>
      <c r="BD404" s="38"/>
      <c r="BE404" s="38"/>
      <c r="BF404" s="38"/>
      <c r="BG404" s="38"/>
      <c r="BH404" s="38"/>
      <c r="BI404" s="38"/>
    </row>
    <row r="405" spans="1:61" ht="15.75" customHeight="1">
      <c r="A405" s="5" t="str">
        <f t="shared" si="98"/>
        <v/>
      </c>
      <c r="B405" s="3"/>
      <c r="C405" s="38"/>
      <c r="D405" s="38"/>
      <c r="E405" s="38"/>
      <c r="F405" s="38"/>
      <c r="G405" s="38"/>
      <c r="H405" s="38"/>
      <c r="I405" s="38"/>
      <c r="J405" s="38"/>
      <c r="K405" s="38"/>
      <c r="M405" s="619"/>
      <c r="N405" s="38"/>
      <c r="O405" s="619"/>
      <c r="P405" s="555"/>
      <c r="Q405" s="614"/>
      <c r="R405" s="38"/>
      <c r="S405" s="616"/>
      <c r="T405" s="616"/>
      <c r="U405" s="38"/>
      <c r="V405" s="246"/>
      <c r="W405" s="401" t="s">
        <v>603</v>
      </c>
      <c r="X405" s="401" t="s">
        <v>199</v>
      </c>
      <c r="Y405" s="401" t="s">
        <v>200</v>
      </c>
      <c r="Z405" s="437" t="s">
        <v>201</v>
      </c>
      <c r="AA405" s="401"/>
      <c r="AB405" s="401"/>
      <c r="AC405" s="437"/>
      <c r="AD405" s="438" t="s">
        <v>199</v>
      </c>
      <c r="AE405" s="401" t="s">
        <v>200</v>
      </c>
      <c r="AF405" s="401" t="s">
        <v>201</v>
      </c>
      <c r="AG405" s="438" t="s">
        <v>604</v>
      </c>
      <c r="AH405" s="401" t="s">
        <v>605</v>
      </c>
      <c r="AI405" s="401" t="s">
        <v>606</v>
      </c>
      <c r="AJ405" s="438" t="s">
        <v>199</v>
      </c>
      <c r="AK405" s="401" t="s">
        <v>200</v>
      </c>
      <c r="AL405" s="401" t="s">
        <v>201</v>
      </c>
      <c r="AM405" s="439" t="s">
        <v>604</v>
      </c>
      <c r="AN405" s="401" t="s">
        <v>605</v>
      </c>
      <c r="AO405" s="343" t="s">
        <v>606</v>
      </c>
      <c r="AP405" s="38"/>
      <c r="AQ405" s="551"/>
      <c r="AR405" s="550"/>
      <c r="AS405" s="38"/>
      <c r="AT405" s="38"/>
      <c r="AU405" s="38"/>
      <c r="AV405" s="38"/>
      <c r="AW405" s="38"/>
      <c r="AX405" s="38"/>
      <c r="AY405" s="38"/>
      <c r="AZ405" s="38"/>
      <c r="BA405" s="38"/>
      <c r="BB405" s="38"/>
      <c r="BC405" s="38"/>
      <c r="BD405" s="38"/>
      <c r="BE405" s="38"/>
      <c r="BF405" s="38"/>
      <c r="BG405" s="38"/>
      <c r="BH405" s="38"/>
      <c r="BI405" s="38"/>
    </row>
    <row r="406" spans="1:61" ht="15.75" customHeight="1">
      <c r="A406" s="5" t="str">
        <f t="shared" si="98"/>
        <v>Ventes nettes</v>
      </c>
      <c r="B406" s="3"/>
      <c r="C406" s="38"/>
      <c r="D406" s="38"/>
      <c r="E406" s="38"/>
      <c r="F406" s="38"/>
      <c r="G406" s="38"/>
      <c r="H406" s="38"/>
      <c r="I406" s="38"/>
      <c r="J406" s="613"/>
      <c r="K406" s="615"/>
      <c r="L406" s="38"/>
      <c r="M406" s="613"/>
      <c r="N406" s="612"/>
      <c r="O406" s="612"/>
      <c r="P406" s="555"/>
      <c r="Q406" s="614"/>
      <c r="R406" s="38"/>
      <c r="S406" s="616"/>
      <c r="T406" s="616"/>
      <c r="U406" s="38"/>
      <c r="V406" s="313" t="s">
        <v>96</v>
      </c>
      <c r="W406" s="440"/>
      <c r="X406" s="440"/>
      <c r="Y406" s="440"/>
      <c r="Z406" s="441">
        <f>F5+F93+E194+E250+D314+D362</f>
        <v>9312019.518019449</v>
      </c>
      <c r="AA406" s="440"/>
      <c r="AB406" s="440"/>
      <c r="AC406" s="441"/>
      <c r="AD406" s="442"/>
      <c r="AE406" s="443"/>
      <c r="AF406" s="443">
        <f>L5+L93+K194+K250+J314+J362</f>
        <v>8033891.9699999988</v>
      </c>
      <c r="AG406" s="442"/>
      <c r="AH406" s="443"/>
      <c r="AI406" s="444"/>
      <c r="AJ406" s="442"/>
      <c r="AK406" s="443"/>
      <c r="AL406" s="443">
        <f>Q5+Q93+P194+P250+O314+O362</f>
        <v>10088983.43</v>
      </c>
      <c r="AM406" s="445"/>
      <c r="AN406" s="443"/>
      <c r="AO406" s="446"/>
      <c r="AP406" s="38"/>
      <c r="AQ406" s="445">
        <v>54204064.640000001</v>
      </c>
      <c r="AR406" s="620">
        <f t="shared" ref="AR406:AR407" si="99">AF406-AQ406</f>
        <v>-46170172.670000002</v>
      </c>
      <c r="AS406" s="38"/>
      <c r="AT406" s="38"/>
      <c r="AU406" s="38"/>
      <c r="AV406" s="38"/>
      <c r="AW406" s="38"/>
      <c r="AX406" s="38"/>
      <c r="AY406" s="38"/>
      <c r="AZ406" s="38"/>
      <c r="BA406" s="38"/>
      <c r="BB406" s="38"/>
      <c r="BC406" s="38"/>
      <c r="BD406" s="38"/>
      <c r="BE406" s="38"/>
      <c r="BF406" s="38"/>
      <c r="BG406" s="38"/>
      <c r="BH406" s="38"/>
      <c r="BI406" s="38"/>
    </row>
    <row r="407" spans="1:61" ht="15.75" customHeight="1">
      <c r="A407" s="5" t="str">
        <f t="shared" si="98"/>
        <v>Profit brut</v>
      </c>
      <c r="B407" s="3"/>
      <c r="C407" s="38"/>
      <c r="D407" s="38"/>
      <c r="E407" s="38"/>
      <c r="F407" s="38"/>
      <c r="G407" s="38"/>
      <c r="H407" s="38"/>
      <c r="I407" s="38"/>
      <c r="J407" s="613"/>
      <c r="K407" s="615"/>
      <c r="L407" s="38"/>
      <c r="M407" s="613"/>
      <c r="N407" s="613"/>
      <c r="O407" s="613"/>
      <c r="P407" s="555"/>
      <c r="Q407" s="614"/>
      <c r="R407" s="38"/>
      <c r="U407" s="615"/>
      <c r="V407" s="447" t="s">
        <v>202</v>
      </c>
      <c r="W407" s="448"/>
      <c r="X407" s="475"/>
      <c r="Y407" s="448"/>
      <c r="Z407" s="449">
        <f>F27+F108+F194+F250+F314+F362</f>
        <v>1089026.6893405048</v>
      </c>
      <c r="AA407" s="448"/>
      <c r="AB407" s="448"/>
      <c r="AC407" s="449"/>
      <c r="AD407" s="475">
        <f>AF407/AF$406</f>
        <v>0.12839560624562396</v>
      </c>
      <c r="AE407" s="451"/>
      <c r="AF407" s="451">
        <f>L27+L108+L194+L250+L314+L362</f>
        <v>1031516.4299999999</v>
      </c>
      <c r="AG407" s="450"/>
      <c r="AH407" s="451">
        <f>AF407-Z407</f>
        <v>-57510.259340504883</v>
      </c>
      <c r="AI407" s="452">
        <f>AH407/Z407</f>
        <v>-5.2808861255119535E-2</v>
      </c>
      <c r="AJ407" s="475">
        <f>+AL407/AL406</f>
        <v>9.3994779214341406E-2</v>
      </c>
      <c r="AK407" s="451"/>
      <c r="AL407" s="451">
        <f>Q27+Q108+Q194+Q250+Q314+Q362</f>
        <v>948311.76999999885</v>
      </c>
      <c r="AM407" s="453"/>
      <c r="AN407" s="451">
        <f>AF407-AL407</f>
        <v>83204.66000000108</v>
      </c>
      <c r="AO407" s="454">
        <f>IF(AL407=0,0,AN407/AL407)</f>
        <v>8.7739773597876131E-2</v>
      </c>
      <c r="AP407" s="94"/>
      <c r="AQ407" s="453">
        <v>7795760.1900000032</v>
      </c>
      <c r="AR407" s="621">
        <f t="shared" si="99"/>
        <v>-6764243.7600000035</v>
      </c>
      <c r="AS407" s="38"/>
      <c r="AT407" s="38"/>
      <c r="AU407" s="38"/>
      <c r="AV407" s="38"/>
      <c r="AW407" s="38"/>
      <c r="AX407" s="38"/>
      <c r="AY407" s="38"/>
      <c r="AZ407" s="38"/>
      <c r="BA407" s="38"/>
      <c r="BB407" s="38"/>
      <c r="BC407" s="38"/>
      <c r="BD407" s="38"/>
      <c r="BE407" s="38"/>
      <c r="BF407" s="38"/>
      <c r="BG407" s="38"/>
      <c r="BH407" s="38"/>
      <c r="BI407" s="38"/>
    </row>
    <row r="408" spans="1:61" ht="15.75" customHeight="1">
      <c r="A408" s="5" t="str">
        <f t="shared" si="98"/>
        <v>DÉPENSES</v>
      </c>
      <c r="B408" s="3"/>
      <c r="C408" s="38"/>
      <c r="D408" s="38"/>
      <c r="E408" s="38"/>
      <c r="F408" s="38"/>
      <c r="G408" s="38"/>
      <c r="H408" s="38"/>
      <c r="I408" s="38"/>
      <c r="J408" s="94"/>
      <c r="K408" s="615"/>
      <c r="L408" s="38"/>
      <c r="M408" s="613"/>
      <c r="N408" s="613"/>
      <c r="O408" s="613"/>
      <c r="P408" s="555"/>
      <c r="Q408" s="614"/>
      <c r="R408" s="38"/>
      <c r="S408" s="616"/>
      <c r="T408" s="616"/>
      <c r="U408" s="615"/>
      <c r="V408" s="455" t="s">
        <v>203</v>
      </c>
      <c r="W408" s="456"/>
      <c r="X408" s="456"/>
      <c r="Y408" s="456"/>
      <c r="Z408" s="457"/>
      <c r="AA408" s="456"/>
      <c r="AB408" s="456"/>
      <c r="AC408" s="457"/>
      <c r="AD408" s="458"/>
      <c r="AE408" s="456"/>
      <c r="AF408" s="459"/>
      <c r="AG408" s="458"/>
      <c r="AH408" s="459"/>
      <c r="AI408" s="460"/>
      <c r="AJ408" s="458"/>
      <c r="AK408" s="456"/>
      <c r="AL408" s="459"/>
      <c r="AM408" s="461"/>
      <c r="AN408" s="459"/>
      <c r="AO408" s="462"/>
      <c r="AP408" s="94"/>
      <c r="AQ408" s="461"/>
      <c r="AR408" s="512"/>
      <c r="AS408" s="38"/>
      <c r="AT408" s="38"/>
      <c r="AU408" s="38"/>
      <c r="AV408" s="38"/>
      <c r="AW408" s="38"/>
      <c r="AX408" s="38"/>
      <c r="AY408" s="38"/>
      <c r="AZ408" s="38"/>
      <c r="BA408" s="38"/>
      <c r="BB408" s="38"/>
      <c r="BC408" s="38"/>
      <c r="BD408" s="38"/>
      <c r="BE408" s="38"/>
      <c r="BF408" s="38"/>
      <c r="BG408" s="38"/>
      <c r="BH408" s="38"/>
      <c r="BI408" s="38"/>
    </row>
    <row r="409" spans="1:61" ht="15.75" customHeight="1">
      <c r="A409" s="5" t="str">
        <f t="shared" si="98"/>
        <v>Comm. vendeurs</v>
      </c>
      <c r="B409" s="3"/>
      <c r="C409" s="38"/>
      <c r="D409" s="38"/>
      <c r="E409" s="38"/>
      <c r="F409" s="38"/>
      <c r="G409" s="38"/>
      <c r="H409" s="38"/>
      <c r="I409" s="38"/>
      <c r="J409" s="613"/>
      <c r="K409" s="615"/>
      <c r="L409" s="38"/>
      <c r="M409" s="613"/>
      <c r="N409" s="613"/>
      <c r="O409" s="613"/>
      <c r="P409" s="555"/>
      <c r="Q409" s="614"/>
      <c r="R409" s="38"/>
      <c r="S409" s="616"/>
      <c r="T409" s="616"/>
      <c r="U409" s="615"/>
      <c r="V409" s="312" t="s">
        <v>111</v>
      </c>
      <c r="W409" s="463" t="s">
        <v>607</v>
      </c>
      <c r="X409" s="456"/>
      <c r="Y409" s="464">
        <f t="shared" ref="Y409:Y418" si="100">Z409/(D$13+D$97)</f>
        <v>729.70841764955981</v>
      </c>
      <c r="Z409" s="457">
        <f t="shared" ref="Z409:Z418" si="101">+SUMIF($C:$C,$V409,F:F)</f>
        <v>113104.80473568177</v>
      </c>
      <c r="AA409" s="456"/>
      <c r="AB409" s="464"/>
      <c r="AC409" s="457"/>
      <c r="AD409" s="465"/>
      <c r="AE409" s="464">
        <f t="shared" ref="AE409:AE414" si="102">IF(AF409=0,0,AF409/(J$13+J$97))</f>
        <v>790.56899159663874</v>
      </c>
      <c r="AF409" s="457">
        <f t="shared" ref="AF409:AF418" si="103">+SUMIF($C:$C,$V409,L:L)</f>
        <v>94077.71</v>
      </c>
      <c r="AG409" s="458">
        <f t="shared" ref="AG409:AG418" si="104">AE409-Y409</f>
        <v>60.860573947078933</v>
      </c>
      <c r="AH409" s="459">
        <f t="shared" ref="AH409:AH418" si="105">AF409-Z409</f>
        <v>-19027.094735681763</v>
      </c>
      <c r="AI409" s="460">
        <f t="shared" ref="AI409:AI418" si="106">IF(Z409=0,0,AH409/Z409)</f>
        <v>-0.16822534445063397</v>
      </c>
      <c r="AJ409" s="465"/>
      <c r="AK409" s="459">
        <f t="shared" ref="AK409:AK418" si="107">AL409/(O$13+O$97)</f>
        <v>653.8201298701299</v>
      </c>
      <c r="AL409" s="457">
        <f t="shared" ref="AL409:AL415" si="108">+SUMIF($C:$C,$V409,Q:Q)</f>
        <v>100688.3</v>
      </c>
      <c r="AM409" s="461">
        <f t="shared" ref="AM409:AM418" si="109">AE409-Y409</f>
        <v>60.860573947078933</v>
      </c>
      <c r="AN409" s="459">
        <f t="shared" ref="AN409:AN431" si="110">AF409-AL409</f>
        <v>-6610.5899999999965</v>
      </c>
      <c r="AO409" s="466">
        <f t="shared" ref="AO409:AO431" si="111">IF(AL409=0,0,AN409/AL409)</f>
        <v>-6.5654003493951105E-2</v>
      </c>
      <c r="AP409" s="94"/>
      <c r="AQ409" s="622">
        <v>778277.40999999992</v>
      </c>
      <c r="AR409" s="512">
        <f t="shared" ref="AR409:AR466" si="112">AF409-AQ409</f>
        <v>-684199.7</v>
      </c>
      <c r="AS409" s="38"/>
      <c r="AT409" s="38"/>
      <c r="AU409" s="38"/>
      <c r="AV409" s="38"/>
      <c r="AW409" s="38"/>
      <c r="AX409" s="38"/>
      <c r="AY409" s="38"/>
      <c r="AZ409" s="38"/>
      <c r="BA409" s="38"/>
      <c r="BB409" s="38"/>
      <c r="BC409" s="38"/>
      <c r="BD409" s="38"/>
      <c r="BE409" s="38"/>
      <c r="BF409" s="38"/>
      <c r="BG409" s="38"/>
      <c r="BH409" s="38"/>
      <c r="BI409" s="38"/>
    </row>
    <row r="410" spans="1:61" ht="15.75" customHeight="1">
      <c r="A410" s="5" t="str">
        <f t="shared" si="98"/>
        <v>Comm. F&amp;I</v>
      </c>
      <c r="B410" s="3"/>
      <c r="C410" s="38"/>
      <c r="D410" s="38"/>
      <c r="E410" s="38"/>
      <c r="F410" s="38"/>
      <c r="G410" s="38"/>
      <c r="H410" s="38"/>
      <c r="I410" s="38"/>
      <c r="J410" s="613"/>
      <c r="K410" s="615"/>
      <c r="M410" s="619"/>
      <c r="N410" s="619"/>
      <c r="O410" s="619"/>
      <c r="Q410" s="614"/>
      <c r="R410" s="38"/>
      <c r="S410" s="616"/>
      <c r="T410" s="616"/>
      <c r="U410" s="38"/>
      <c r="V410" s="313" t="s">
        <v>112</v>
      </c>
      <c r="W410" s="467" t="s">
        <v>608</v>
      </c>
      <c r="X410" s="440"/>
      <c r="Y410" s="468">
        <f t="shared" si="100"/>
        <v>376.90322580645159</v>
      </c>
      <c r="Z410" s="441">
        <f t="shared" si="101"/>
        <v>58420</v>
      </c>
      <c r="AA410" s="440"/>
      <c r="AB410" s="468"/>
      <c r="AC410" s="441"/>
      <c r="AD410" s="469"/>
      <c r="AE410" s="468">
        <f t="shared" si="102"/>
        <v>384.62294117647065</v>
      </c>
      <c r="AF410" s="441">
        <f t="shared" si="103"/>
        <v>45770.130000000005</v>
      </c>
      <c r="AG410" s="442">
        <f t="shared" si="104"/>
        <v>7.7197153700190597</v>
      </c>
      <c r="AH410" s="443">
        <f t="shared" si="105"/>
        <v>-12649.869999999995</v>
      </c>
      <c r="AI410" s="470">
        <f t="shared" si="106"/>
        <v>-0.21653320780554597</v>
      </c>
      <c r="AJ410" s="469"/>
      <c r="AK410" s="443">
        <f t="shared" si="107"/>
        <v>300.50948051948052</v>
      </c>
      <c r="AL410" s="441">
        <f t="shared" si="108"/>
        <v>46278.46</v>
      </c>
      <c r="AM410" s="445">
        <f t="shared" si="109"/>
        <v>7.7197153700190597</v>
      </c>
      <c r="AN410" s="443">
        <f t="shared" si="110"/>
        <v>-508.32999999999447</v>
      </c>
      <c r="AO410" s="446">
        <f t="shared" si="111"/>
        <v>-1.0984159801341585E-2</v>
      </c>
      <c r="AP410" s="94"/>
      <c r="AQ410" s="623">
        <v>469053.9</v>
      </c>
      <c r="AR410" s="620">
        <f t="shared" si="112"/>
        <v>-423283.77</v>
      </c>
      <c r="AS410" s="38"/>
      <c r="AT410" s="38"/>
      <c r="AU410" s="38"/>
      <c r="AV410" s="38"/>
      <c r="AW410" s="38"/>
      <c r="AX410" s="38"/>
      <c r="AY410" s="38"/>
      <c r="AZ410" s="38"/>
      <c r="BA410" s="38"/>
      <c r="BB410" s="38"/>
      <c r="BC410" s="38"/>
      <c r="BD410" s="38"/>
      <c r="BE410" s="38"/>
      <c r="BF410" s="38"/>
      <c r="BG410" s="38"/>
      <c r="BH410" s="38"/>
      <c r="BI410" s="38"/>
    </row>
    <row r="411" spans="1:61" ht="15.75" customHeight="1">
      <c r="A411" s="5" t="str">
        <f t="shared" si="98"/>
        <v>Frais de livraison</v>
      </c>
      <c r="B411" s="3"/>
      <c r="C411" s="38"/>
      <c r="D411" s="38"/>
      <c r="E411" s="38"/>
      <c r="F411" s="38"/>
      <c r="G411" s="38"/>
      <c r="H411" s="38"/>
      <c r="I411" s="38"/>
      <c r="J411" s="613"/>
      <c r="K411" s="38"/>
      <c r="L411" s="38"/>
      <c r="M411" s="619"/>
      <c r="N411" s="612"/>
      <c r="O411" s="612"/>
      <c r="P411" s="555"/>
      <c r="Q411" s="614"/>
      <c r="R411" s="38"/>
      <c r="S411" s="616"/>
      <c r="T411" s="616"/>
      <c r="U411" s="38"/>
      <c r="V411" s="312" t="s">
        <v>113</v>
      </c>
      <c r="W411" s="463" t="s">
        <v>609</v>
      </c>
      <c r="X411" s="456"/>
      <c r="Y411" s="464">
        <f t="shared" si="100"/>
        <v>87.696774193548393</v>
      </c>
      <c r="Z411" s="457">
        <f t="shared" si="101"/>
        <v>13593</v>
      </c>
      <c r="AA411" s="456"/>
      <c r="AB411" s="464"/>
      <c r="AC411" s="457"/>
      <c r="AD411" s="465"/>
      <c r="AE411" s="464">
        <f t="shared" si="102"/>
        <v>54.645546218487404</v>
      </c>
      <c r="AF411" s="457">
        <f t="shared" si="103"/>
        <v>6502.8200000000006</v>
      </c>
      <c r="AG411" s="458">
        <f t="shared" si="104"/>
        <v>-33.051227975060989</v>
      </c>
      <c r="AH411" s="459">
        <f t="shared" si="105"/>
        <v>-7090.1799999999994</v>
      </c>
      <c r="AI411" s="460">
        <f t="shared" si="106"/>
        <v>-0.52160523799014191</v>
      </c>
      <c r="AJ411" s="465"/>
      <c r="AK411" s="459">
        <f t="shared" si="107"/>
        <v>118.43175324675326</v>
      </c>
      <c r="AL411" s="457">
        <f t="shared" si="108"/>
        <v>18238.490000000002</v>
      </c>
      <c r="AM411" s="461">
        <f t="shared" si="109"/>
        <v>-33.051227975060989</v>
      </c>
      <c r="AN411" s="459">
        <f t="shared" si="110"/>
        <v>-11735.670000000002</v>
      </c>
      <c r="AO411" s="466">
        <f t="shared" si="111"/>
        <v>-0.64345622910668598</v>
      </c>
      <c r="AP411" s="94"/>
      <c r="AQ411" s="622">
        <v>56454.65</v>
      </c>
      <c r="AR411" s="512">
        <f t="shared" si="112"/>
        <v>-49951.83</v>
      </c>
      <c r="AS411" s="38"/>
      <c r="AT411" s="38"/>
      <c r="AU411" s="38"/>
      <c r="AV411" s="38"/>
      <c r="AW411" s="38"/>
      <c r="AX411" s="38"/>
      <c r="AY411" s="38"/>
      <c r="AZ411" s="38"/>
      <c r="BA411" s="38"/>
      <c r="BB411" s="38"/>
      <c r="BC411" s="38"/>
      <c r="BD411" s="38"/>
      <c r="BE411" s="38"/>
      <c r="BF411" s="38"/>
      <c r="BG411" s="38"/>
      <c r="BH411" s="38"/>
      <c r="BI411" s="38"/>
    </row>
    <row r="412" spans="1:61" ht="15.75" customHeight="1">
      <c r="A412" s="5" t="str">
        <f t="shared" si="98"/>
        <v>Service gratuit 1</v>
      </c>
      <c r="B412" s="3"/>
      <c r="C412" s="38"/>
      <c r="D412" s="38"/>
      <c r="E412" s="38"/>
      <c r="F412" s="38"/>
      <c r="G412" s="38"/>
      <c r="H412" s="38"/>
      <c r="I412" s="38"/>
      <c r="J412" s="38"/>
      <c r="K412" s="38"/>
      <c r="L412" s="38"/>
      <c r="M412" s="613"/>
      <c r="N412" s="613"/>
      <c r="O412" s="613"/>
      <c r="P412" s="555"/>
      <c r="Q412" s="614"/>
      <c r="R412" s="38"/>
      <c r="U412" s="615"/>
      <c r="V412" s="312" t="s">
        <v>114</v>
      </c>
      <c r="W412" s="463" t="s">
        <v>610</v>
      </c>
      <c r="X412" s="456"/>
      <c r="Y412" s="464">
        <f t="shared" si="100"/>
        <v>20.774193548387096</v>
      </c>
      <c r="Z412" s="457">
        <f t="shared" si="101"/>
        <v>3220</v>
      </c>
      <c r="AA412" s="456"/>
      <c r="AB412" s="464"/>
      <c r="AC412" s="457"/>
      <c r="AD412" s="465"/>
      <c r="AE412" s="464">
        <f t="shared" si="102"/>
        <v>20.576386554621848</v>
      </c>
      <c r="AF412" s="457">
        <f t="shared" si="103"/>
        <v>2448.59</v>
      </c>
      <c r="AG412" s="458">
        <f t="shared" si="104"/>
        <v>-0.1978069937652478</v>
      </c>
      <c r="AH412" s="459">
        <f t="shared" si="105"/>
        <v>-771.40999999999985</v>
      </c>
      <c r="AI412" s="460">
        <f t="shared" si="106"/>
        <v>-0.23956832298136641</v>
      </c>
      <c r="AJ412" s="465"/>
      <c r="AK412" s="459">
        <f t="shared" si="107"/>
        <v>20.166623376623377</v>
      </c>
      <c r="AL412" s="457">
        <f t="shared" si="108"/>
        <v>3105.66</v>
      </c>
      <c r="AM412" s="461">
        <f t="shared" si="109"/>
        <v>-0.1978069937652478</v>
      </c>
      <c r="AN412" s="459">
        <f t="shared" si="110"/>
        <v>-657.06999999999971</v>
      </c>
      <c r="AO412" s="466">
        <f t="shared" si="111"/>
        <v>-0.21157177540361782</v>
      </c>
      <c r="AP412" s="94"/>
      <c r="AQ412" s="622">
        <v>3117.25</v>
      </c>
      <c r="AR412" s="512">
        <f t="shared" si="112"/>
        <v>-668.65999999999985</v>
      </c>
      <c r="AS412" s="38"/>
      <c r="AT412" s="38"/>
      <c r="AU412" s="38"/>
      <c r="AV412" s="38"/>
      <c r="AW412" s="38"/>
      <c r="AX412" s="38"/>
      <c r="AY412" s="38"/>
      <c r="AZ412" s="38"/>
      <c r="BA412" s="38"/>
      <c r="BB412" s="38"/>
      <c r="BC412" s="38"/>
      <c r="BD412" s="38"/>
      <c r="BE412" s="38"/>
      <c r="BF412" s="38"/>
      <c r="BG412" s="38"/>
      <c r="BH412" s="38"/>
      <c r="BI412" s="38"/>
    </row>
    <row r="413" spans="1:61" ht="15.75" customHeight="1">
      <c r="A413" s="5" t="str">
        <f t="shared" si="98"/>
        <v>Entretien stock</v>
      </c>
      <c r="B413" s="3"/>
      <c r="C413" s="38"/>
      <c r="D413" s="38"/>
      <c r="E413" s="38"/>
      <c r="F413" s="38"/>
      <c r="G413" s="38"/>
      <c r="H413" s="38"/>
      <c r="I413" s="38"/>
      <c r="J413" s="38"/>
      <c r="K413" s="38"/>
      <c r="L413" s="38"/>
      <c r="M413" s="613"/>
      <c r="N413" s="613"/>
      <c r="O413" s="613"/>
      <c r="P413" s="555"/>
      <c r="Q413" s="614"/>
      <c r="R413" s="38"/>
      <c r="S413" s="616"/>
      <c r="T413" s="616"/>
      <c r="U413" s="615"/>
      <c r="V413" s="313" t="s">
        <v>115</v>
      </c>
      <c r="W413" s="467"/>
      <c r="X413" s="440"/>
      <c r="Y413" s="468">
        <f t="shared" si="100"/>
        <v>137.07258064516128</v>
      </c>
      <c r="Z413" s="441">
        <f t="shared" si="101"/>
        <v>21246.25</v>
      </c>
      <c r="AA413" s="440"/>
      <c r="AB413" s="468"/>
      <c r="AC413" s="441"/>
      <c r="AD413" s="469"/>
      <c r="AE413" s="468">
        <f t="shared" si="102"/>
        <v>164.0578151260504</v>
      </c>
      <c r="AF413" s="441">
        <f t="shared" si="103"/>
        <v>19522.879999999997</v>
      </c>
      <c r="AG413" s="442">
        <f t="shared" si="104"/>
        <v>26.985234480889119</v>
      </c>
      <c r="AH413" s="443">
        <f t="shared" si="105"/>
        <v>-1723.3700000000026</v>
      </c>
      <c r="AI413" s="470">
        <f t="shared" si="106"/>
        <v>-8.1114078955109845E-2</v>
      </c>
      <c r="AJ413" s="469"/>
      <c r="AK413" s="443">
        <f t="shared" si="107"/>
        <v>96.818831168831167</v>
      </c>
      <c r="AL413" s="441">
        <f t="shared" si="108"/>
        <v>14910.1</v>
      </c>
      <c r="AM413" s="445">
        <f t="shared" si="109"/>
        <v>26.985234480889119</v>
      </c>
      <c r="AN413" s="443">
        <f t="shared" si="110"/>
        <v>4612.779999999997</v>
      </c>
      <c r="AO413" s="446">
        <f t="shared" si="111"/>
        <v>0.30937284122842884</v>
      </c>
      <c r="AP413" s="94"/>
      <c r="AQ413" s="623">
        <v>111419.39000000001</v>
      </c>
      <c r="AR413" s="620">
        <f t="shared" si="112"/>
        <v>-91896.510000000009</v>
      </c>
      <c r="AS413" s="38"/>
      <c r="AT413" s="38"/>
      <c r="AU413" s="38"/>
      <c r="AV413" s="38"/>
      <c r="AW413" s="38"/>
      <c r="AX413" s="38"/>
      <c r="AY413" s="38"/>
      <c r="AZ413" s="38"/>
      <c r="BA413" s="38"/>
      <c r="BB413" s="38"/>
      <c r="BC413" s="38"/>
      <c r="BD413" s="38"/>
      <c r="BE413" s="38"/>
      <c r="BF413" s="38"/>
      <c r="BG413" s="38"/>
      <c r="BH413" s="38"/>
      <c r="BI413" s="38"/>
    </row>
    <row r="414" spans="1:61" ht="15.75" customHeight="1">
      <c r="A414" s="5" t="str">
        <f t="shared" si="98"/>
        <v>Publicité 1</v>
      </c>
      <c r="B414" s="3"/>
      <c r="C414" s="38"/>
      <c r="D414" s="38"/>
      <c r="E414" s="38"/>
      <c r="F414" s="38"/>
      <c r="G414" s="38"/>
      <c r="H414" s="38"/>
      <c r="I414" s="38"/>
      <c r="J414" s="38"/>
      <c r="K414" s="38"/>
      <c r="L414" s="38"/>
      <c r="M414" s="613"/>
      <c r="N414" s="613"/>
      <c r="O414" s="613"/>
      <c r="P414" s="555"/>
      <c r="Q414" s="614"/>
      <c r="R414" s="38"/>
      <c r="S414" s="616"/>
      <c r="T414" s="616"/>
      <c r="U414" s="615"/>
      <c r="V414" s="312" t="s">
        <v>116</v>
      </c>
      <c r="W414" s="463" t="s">
        <v>611</v>
      </c>
      <c r="X414" s="460"/>
      <c r="Y414" s="464">
        <f t="shared" si="100"/>
        <v>241.21290322580646</v>
      </c>
      <c r="Z414" s="457">
        <f t="shared" si="101"/>
        <v>37388</v>
      </c>
      <c r="AA414" s="460"/>
      <c r="AB414" s="464"/>
      <c r="AC414" s="457"/>
      <c r="AD414" s="465"/>
      <c r="AE414" s="464">
        <f t="shared" si="102"/>
        <v>237.10571428571427</v>
      </c>
      <c r="AF414" s="457">
        <f t="shared" si="103"/>
        <v>28215.579999999998</v>
      </c>
      <c r="AG414" s="458">
        <f t="shared" si="104"/>
        <v>-4.1071889400921862</v>
      </c>
      <c r="AH414" s="459">
        <f t="shared" si="105"/>
        <v>-9172.4200000000019</v>
      </c>
      <c r="AI414" s="460">
        <f t="shared" si="106"/>
        <v>-0.24533058735423136</v>
      </c>
      <c r="AJ414" s="465"/>
      <c r="AK414" s="459">
        <f t="shared" si="107"/>
        <v>194.0444155844155</v>
      </c>
      <c r="AL414" s="457">
        <f t="shared" si="108"/>
        <v>29882.839999999989</v>
      </c>
      <c r="AM414" s="461">
        <f t="shared" si="109"/>
        <v>-4.1071889400921862</v>
      </c>
      <c r="AN414" s="459">
        <f t="shared" si="110"/>
        <v>-1667.2599999999911</v>
      </c>
      <c r="AO414" s="466">
        <f t="shared" si="111"/>
        <v>-5.5793224472640207E-2</v>
      </c>
      <c r="AP414" s="94"/>
      <c r="AQ414" s="622">
        <v>186022.03999999998</v>
      </c>
      <c r="AR414" s="512">
        <f t="shared" si="112"/>
        <v>-157806.46</v>
      </c>
      <c r="AS414" s="38"/>
      <c r="AT414" s="38"/>
      <c r="AU414" s="38"/>
      <c r="AV414" s="38"/>
      <c r="AW414" s="38"/>
      <c r="AX414" s="38"/>
      <c r="AY414" s="38"/>
      <c r="AZ414" s="38"/>
      <c r="BA414" s="38"/>
      <c r="BB414" s="38"/>
      <c r="BC414" s="38"/>
      <c r="BD414" s="38"/>
      <c r="BE414" s="38"/>
      <c r="BF414" s="38"/>
      <c r="BG414" s="38"/>
      <c r="BH414" s="38"/>
      <c r="BI414" s="38"/>
    </row>
    <row r="415" spans="1:61" ht="15.75" customHeight="1">
      <c r="A415" s="5" t="str">
        <f t="shared" si="98"/>
        <v>Intérêt de gros</v>
      </c>
      <c r="B415" s="3"/>
      <c r="C415" s="38"/>
      <c r="D415" s="38"/>
      <c r="E415" s="38"/>
      <c r="F415" s="38"/>
      <c r="G415" s="38"/>
      <c r="H415" s="38"/>
      <c r="I415" s="38"/>
      <c r="J415" s="38"/>
      <c r="K415" s="38"/>
      <c r="L415" s="38"/>
      <c r="M415" s="613"/>
      <c r="N415" s="613"/>
      <c r="O415" s="613"/>
      <c r="Q415" s="614"/>
      <c r="R415" s="38"/>
      <c r="S415" s="616"/>
      <c r="T415" s="616"/>
      <c r="U415" s="38"/>
      <c r="V415" s="312" t="s">
        <v>117</v>
      </c>
      <c r="W415" s="463" t="s">
        <v>612</v>
      </c>
      <c r="X415" s="456"/>
      <c r="Y415" s="464">
        <f t="shared" si="100"/>
        <v>532.57092299917076</v>
      </c>
      <c r="Z415" s="457">
        <f t="shared" si="101"/>
        <v>82548.493064871465</v>
      </c>
      <c r="AA415" s="456"/>
      <c r="AB415" s="464"/>
      <c r="AC415" s="457"/>
      <c r="AD415" s="465"/>
      <c r="AE415" s="464">
        <f t="shared" ref="AE415:AE418" si="113">IF(AF415=0,0,AF415/(J$13+J$13))</f>
        <v>130.34384615384616</v>
      </c>
      <c r="AF415" s="457">
        <f t="shared" si="103"/>
        <v>20333.64</v>
      </c>
      <c r="AG415" s="458">
        <f t="shared" si="104"/>
        <v>-402.22707684532463</v>
      </c>
      <c r="AH415" s="459">
        <f t="shared" si="105"/>
        <v>-62214.853064871466</v>
      </c>
      <c r="AI415" s="460">
        <f t="shared" si="106"/>
        <v>-0.75367642406239166</v>
      </c>
      <c r="AJ415" s="465"/>
      <c r="AK415" s="459">
        <f t="shared" si="107"/>
        <v>440.43428571428575</v>
      </c>
      <c r="AL415" s="457">
        <f t="shared" si="108"/>
        <v>67826.880000000005</v>
      </c>
      <c r="AM415" s="461">
        <f t="shared" si="109"/>
        <v>-402.22707684532463</v>
      </c>
      <c r="AN415" s="459">
        <f t="shared" si="110"/>
        <v>-47493.240000000005</v>
      </c>
      <c r="AO415" s="466">
        <f t="shared" si="111"/>
        <v>-0.70021265905198649</v>
      </c>
      <c r="AP415" s="94"/>
      <c r="AQ415" s="622">
        <v>67811.08</v>
      </c>
      <c r="AR415" s="512">
        <f t="shared" si="112"/>
        <v>-47477.440000000002</v>
      </c>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tr">
        <f t="shared" si="98"/>
        <v>[...]</v>
      </c>
      <c r="B416" s="3"/>
      <c r="C416" s="38"/>
      <c r="D416" s="38"/>
      <c r="E416" s="38"/>
      <c r="F416" s="38"/>
      <c r="G416" s="38"/>
      <c r="H416" s="38"/>
      <c r="I416" s="38"/>
      <c r="J416" s="38"/>
      <c r="K416" s="38"/>
      <c r="L416" s="38"/>
      <c r="M416" s="38"/>
      <c r="N416" s="38"/>
      <c r="O416" s="612"/>
      <c r="P416" s="555"/>
      <c r="Q416" s="614"/>
      <c r="R416" s="38"/>
      <c r="S416" s="616"/>
      <c r="T416" s="616"/>
      <c r="U416" s="38"/>
      <c r="V416" s="312" t="s">
        <v>59</v>
      </c>
      <c r="W416" s="463"/>
      <c r="X416" s="460"/>
      <c r="Y416" s="464">
        <f t="shared" si="100"/>
        <v>0</v>
      </c>
      <c r="Z416" s="457">
        <f t="shared" si="101"/>
        <v>0</v>
      </c>
      <c r="AA416" s="456"/>
      <c r="AB416" s="464"/>
      <c r="AC416" s="457"/>
      <c r="AD416" s="465"/>
      <c r="AE416" s="464">
        <f t="shared" si="113"/>
        <v>0</v>
      </c>
      <c r="AF416" s="457">
        <f t="shared" si="103"/>
        <v>0</v>
      </c>
      <c r="AG416" s="458">
        <f t="shared" si="104"/>
        <v>0</v>
      </c>
      <c r="AH416" s="459">
        <f t="shared" si="105"/>
        <v>0</v>
      </c>
      <c r="AI416" s="460">
        <f t="shared" si="106"/>
        <v>0</v>
      </c>
      <c r="AJ416" s="465"/>
      <c r="AK416" s="459">
        <f t="shared" si="107"/>
        <v>0</v>
      </c>
      <c r="AL416" s="457"/>
      <c r="AM416" s="461">
        <f t="shared" si="109"/>
        <v>0</v>
      </c>
      <c r="AN416" s="459">
        <f t="shared" si="110"/>
        <v>0</v>
      </c>
      <c r="AO416" s="466">
        <f t="shared" si="111"/>
        <v>0</v>
      </c>
      <c r="AP416" s="94"/>
      <c r="AQ416" s="622">
        <v>0</v>
      </c>
      <c r="AR416" s="512">
        <f t="shared" si="112"/>
        <v>0</v>
      </c>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tr">
        <f t="shared" si="98"/>
        <v>[...]</v>
      </c>
      <c r="B417" s="3"/>
      <c r="C417" s="38"/>
      <c r="D417" s="38"/>
      <c r="E417" s="38"/>
      <c r="F417" s="38"/>
      <c r="G417" s="38"/>
      <c r="H417" s="38"/>
      <c r="I417" s="38"/>
      <c r="J417" s="38"/>
      <c r="K417" s="38"/>
      <c r="L417" s="38"/>
      <c r="M417" s="38"/>
      <c r="N417" s="38"/>
      <c r="O417" s="612"/>
      <c r="P417" s="555"/>
      <c r="Q417" s="614"/>
      <c r="R417" s="38"/>
      <c r="S417" s="616"/>
      <c r="T417" s="616"/>
      <c r="U417" s="38"/>
      <c r="V417" s="312" t="s">
        <v>59</v>
      </c>
      <c r="W417" s="463"/>
      <c r="X417" s="460"/>
      <c r="Y417" s="464">
        <f t="shared" si="100"/>
        <v>0</v>
      </c>
      <c r="Z417" s="457">
        <f t="shared" si="101"/>
        <v>0</v>
      </c>
      <c r="AA417" s="456"/>
      <c r="AB417" s="464"/>
      <c r="AC417" s="457"/>
      <c r="AD417" s="465"/>
      <c r="AE417" s="464">
        <f t="shared" si="113"/>
        <v>0</v>
      </c>
      <c r="AF417" s="457">
        <f t="shared" si="103"/>
        <v>0</v>
      </c>
      <c r="AG417" s="458">
        <f t="shared" si="104"/>
        <v>0</v>
      </c>
      <c r="AH417" s="459">
        <f t="shared" si="105"/>
        <v>0</v>
      </c>
      <c r="AI417" s="460">
        <f t="shared" si="106"/>
        <v>0</v>
      </c>
      <c r="AJ417" s="465"/>
      <c r="AK417" s="459">
        <f t="shared" si="107"/>
        <v>0</v>
      </c>
      <c r="AL417" s="457"/>
      <c r="AM417" s="461">
        <f t="shared" si="109"/>
        <v>0</v>
      </c>
      <c r="AN417" s="459">
        <f t="shared" si="110"/>
        <v>0</v>
      </c>
      <c r="AO417" s="466">
        <f t="shared" si="111"/>
        <v>0</v>
      </c>
      <c r="AP417" s="94"/>
      <c r="AQ417" s="622">
        <v>0</v>
      </c>
      <c r="AR417" s="512">
        <f t="shared" si="112"/>
        <v>0</v>
      </c>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tr">
        <f t="shared" si="98"/>
        <v>[...]</v>
      </c>
      <c r="B418" s="3"/>
      <c r="C418" s="38"/>
      <c r="D418" s="38"/>
      <c r="E418" s="38"/>
      <c r="F418" s="38"/>
      <c r="G418" s="38"/>
      <c r="H418" s="38"/>
      <c r="I418" s="38"/>
      <c r="J418" s="38"/>
      <c r="K418" s="38"/>
      <c r="L418" s="38"/>
      <c r="M418" s="38"/>
      <c r="N418" s="38"/>
      <c r="O418" s="612"/>
      <c r="P418" s="555"/>
      <c r="Q418" s="614"/>
      <c r="R418" s="38"/>
      <c r="S418" s="616"/>
      <c r="T418" s="616"/>
      <c r="U418" s="38"/>
      <c r="V418" s="312" t="s">
        <v>59</v>
      </c>
      <c r="W418" s="463" t="s">
        <v>612</v>
      </c>
      <c r="X418" s="456"/>
      <c r="Y418" s="464">
        <f t="shared" si="100"/>
        <v>0</v>
      </c>
      <c r="Z418" s="457">
        <f t="shared" si="101"/>
        <v>0</v>
      </c>
      <c r="AA418" s="456"/>
      <c r="AB418" s="464"/>
      <c r="AC418" s="457"/>
      <c r="AD418" s="465"/>
      <c r="AE418" s="464">
        <f t="shared" si="113"/>
        <v>0</v>
      </c>
      <c r="AF418" s="457">
        <f t="shared" si="103"/>
        <v>0</v>
      </c>
      <c r="AG418" s="458">
        <f t="shared" si="104"/>
        <v>0</v>
      </c>
      <c r="AH418" s="459">
        <f t="shared" si="105"/>
        <v>0</v>
      </c>
      <c r="AI418" s="460">
        <f t="shared" si="106"/>
        <v>0</v>
      </c>
      <c r="AJ418" s="465"/>
      <c r="AK418" s="459">
        <f t="shared" si="107"/>
        <v>0</v>
      </c>
      <c r="AL418" s="457"/>
      <c r="AM418" s="461">
        <f t="shared" si="109"/>
        <v>0</v>
      </c>
      <c r="AN418" s="459">
        <f t="shared" si="110"/>
        <v>0</v>
      </c>
      <c r="AO418" s="466">
        <f t="shared" si="111"/>
        <v>0</v>
      </c>
      <c r="AP418" s="94"/>
      <c r="AQ418" s="622">
        <v>0</v>
      </c>
      <c r="AR418" s="512">
        <f t="shared" si="112"/>
        <v>0</v>
      </c>
      <c r="AS418" s="38"/>
      <c r="AT418" s="38"/>
      <c r="AU418" s="38"/>
      <c r="AV418" s="38"/>
      <c r="AW418" s="38"/>
      <c r="AX418" s="38"/>
      <c r="AY418" s="38"/>
      <c r="AZ418" s="38"/>
      <c r="BA418" s="38"/>
      <c r="BB418" s="38"/>
      <c r="BC418" s="38"/>
      <c r="BD418" s="38"/>
      <c r="BE418" s="38"/>
      <c r="BF418" s="38"/>
      <c r="BG418" s="38"/>
      <c r="BH418" s="38"/>
      <c r="BI418" s="38"/>
    </row>
    <row r="419" spans="1:61" ht="15.75" customHeight="1">
      <c r="A419" s="5" t="str">
        <f t="shared" si="98"/>
        <v>TOTAL VARIABLES</v>
      </c>
      <c r="B419" s="3"/>
      <c r="C419" s="38"/>
      <c r="D419" s="38"/>
      <c r="E419" s="38"/>
      <c r="F419" s="38"/>
      <c r="G419" s="38"/>
      <c r="H419" s="38"/>
      <c r="I419" s="38"/>
      <c r="J419" s="38"/>
      <c r="K419" s="38"/>
      <c r="L419" s="38"/>
      <c r="M419" s="613"/>
      <c r="N419" s="612"/>
      <c r="O419" s="612"/>
      <c r="P419" s="555"/>
      <c r="Q419" s="614"/>
      <c r="R419" s="38"/>
      <c r="S419" s="616"/>
      <c r="T419" s="616"/>
      <c r="U419" s="38"/>
      <c r="V419" s="471" t="s">
        <v>118</v>
      </c>
      <c r="W419" s="472"/>
      <c r="X419" s="473">
        <f>Z419/Z407</f>
        <v>0.30258261898072036</v>
      </c>
      <c r="Y419" s="472"/>
      <c r="Z419" s="474">
        <f>SUM(Z409:Z418)</f>
        <v>329520.54780055326</v>
      </c>
      <c r="AA419" s="473"/>
      <c r="AB419" s="472"/>
      <c r="AC419" s="474"/>
      <c r="AD419" s="475">
        <f>AF419/AF$407</f>
        <v>0.21024517273079213</v>
      </c>
      <c r="AE419" s="472"/>
      <c r="AF419" s="474">
        <f>SUM(AF409:AF418)</f>
        <v>216871.35000000003</v>
      </c>
      <c r="AG419" s="476"/>
      <c r="AH419" s="477">
        <f t="shared" ref="AH419:AH451" si="114">AF419-Z419</f>
        <v>-112649.19780055323</v>
      </c>
      <c r="AI419" s="473">
        <f>AH419/Z419</f>
        <v>-0.34185788580545717</v>
      </c>
      <c r="AJ419" s="475">
        <f>IF($AL$407=0,0,AL419/$AL$407)</f>
        <v>0.29624300666435927</v>
      </c>
      <c r="AK419" s="472"/>
      <c r="AL419" s="474">
        <f>SUM(AL409:AL418)</f>
        <v>280930.73</v>
      </c>
      <c r="AM419" s="478"/>
      <c r="AN419" s="477">
        <f t="shared" si="110"/>
        <v>-64059.379999999946</v>
      </c>
      <c r="AO419" s="454">
        <f t="shared" si="111"/>
        <v>-0.22802553497796396</v>
      </c>
      <c r="AP419" s="94"/>
      <c r="AQ419" s="624">
        <v>1672155.7200000002</v>
      </c>
      <c r="AR419" s="625">
        <f t="shared" si="112"/>
        <v>-1455284.37</v>
      </c>
      <c r="AS419" s="38"/>
      <c r="AT419" s="38"/>
      <c r="AU419" s="38"/>
      <c r="AV419" s="38"/>
      <c r="AW419" s="38"/>
      <c r="AX419" s="38"/>
      <c r="AY419" s="38"/>
      <c r="AZ419" s="38"/>
      <c r="BA419" s="38"/>
      <c r="BB419" s="38"/>
      <c r="BC419" s="38"/>
      <c r="BD419" s="38"/>
      <c r="BE419" s="38"/>
      <c r="BF419" s="38"/>
      <c r="BG419" s="38"/>
      <c r="BH419" s="38"/>
      <c r="BI419" s="38"/>
    </row>
    <row r="420" spans="1:61" ht="15.75" customHeight="1">
      <c r="A420" s="5" t="str">
        <f t="shared" si="98"/>
        <v>Salaires propriétaire</v>
      </c>
      <c r="B420" s="3"/>
      <c r="C420" s="38"/>
      <c r="D420" s="38"/>
      <c r="E420" s="38"/>
      <c r="F420" s="38"/>
      <c r="G420" s="38"/>
      <c r="H420" s="38"/>
      <c r="I420" s="38"/>
      <c r="J420" s="38"/>
      <c r="K420" s="38"/>
      <c r="L420" s="38"/>
      <c r="M420" s="555"/>
      <c r="N420" s="555"/>
      <c r="O420" s="555"/>
      <c r="P420" s="555"/>
      <c r="Q420" s="614"/>
      <c r="R420" s="38"/>
      <c r="U420" s="615"/>
      <c r="V420" s="312" t="s">
        <v>204</v>
      </c>
      <c r="W420" s="463" t="s">
        <v>613</v>
      </c>
      <c r="X420" s="456"/>
      <c r="Y420" s="456"/>
      <c r="Z420" s="457" cm="1">
        <f t="array" ref="Z420">+SUMPRODUCT(('Budget original'!$A$8:$A$501=$A420)*('Budget original'!$C$3:$AO$3=Z$2),'Budget original'!$C$8:$AO$501)</f>
        <v>31884.98076923077</v>
      </c>
      <c r="AA420" s="456"/>
      <c r="AB420" s="456"/>
      <c r="AC420" s="457"/>
      <c r="AD420" s="465"/>
      <c r="AE420" s="464"/>
      <c r="AF420" s="457">
        <f>SUMIFS(BV_Data_An_Cour!$P:$P,BV_Data_An_Cour!$V:$V,$V420)</f>
        <v>32221.480000000003</v>
      </c>
      <c r="AG420" s="458"/>
      <c r="AH420" s="459">
        <f t="shared" si="114"/>
        <v>336.49923076923369</v>
      </c>
      <c r="AI420" s="460">
        <f t="shared" ref="AI420:AI432" si="115">IF(Z420=0,0,AH420/Z420)</f>
        <v>1.0553534066859398E-2</v>
      </c>
      <c r="AJ420" s="465"/>
      <c r="AK420" s="456"/>
      <c r="AL420" s="457" cm="1">
        <f t="array" ref="AL420">+SUMPRODUCT(('Réel 2024'!$A$8:$A$501=$A420)*('Réel 2024'!$C$3:$AO$3=Z$2),'Réel 2024'!$C$8:$AO$501)</f>
        <v>31327.54</v>
      </c>
      <c r="AM420" s="461"/>
      <c r="AN420" s="459">
        <f t="shared" si="110"/>
        <v>893.94000000000233</v>
      </c>
      <c r="AO420" s="466">
        <f t="shared" si="111"/>
        <v>2.8535275990390636E-2</v>
      </c>
      <c r="AP420" s="94"/>
      <c r="AQ420" s="622">
        <v>196581.69999999998</v>
      </c>
      <c r="AR420" s="512">
        <f t="shared" si="112"/>
        <v>-164360.21999999997</v>
      </c>
      <c r="AS420" s="38"/>
      <c r="AT420" s="38"/>
      <c r="AU420" s="38"/>
      <c r="AV420" s="38"/>
      <c r="AW420" s="38"/>
      <c r="AX420" s="38"/>
      <c r="AY420" s="38"/>
      <c r="AZ420" s="38"/>
      <c r="BA420" s="38"/>
      <c r="BB420" s="38"/>
      <c r="BC420" s="38"/>
      <c r="BD420" s="38"/>
      <c r="BE420" s="38"/>
      <c r="BF420" s="38"/>
      <c r="BG420" s="38"/>
      <c r="BH420" s="38"/>
      <c r="BI420" s="38"/>
    </row>
    <row r="421" spans="1:61" ht="15.75" customHeight="1">
      <c r="A421" s="5" t="str">
        <f t="shared" si="98"/>
        <v>Salaires cadres</v>
      </c>
      <c r="B421" s="3"/>
      <c r="C421" s="38"/>
      <c r="D421" s="38"/>
      <c r="E421" s="38"/>
      <c r="F421" s="38"/>
      <c r="G421" s="38"/>
      <c r="H421" s="38"/>
      <c r="I421" s="38"/>
      <c r="J421" s="38"/>
      <c r="K421" s="38"/>
      <c r="L421" s="38"/>
      <c r="M421" s="555"/>
      <c r="N421" s="555"/>
      <c r="O421" s="555"/>
      <c r="P421" s="555"/>
      <c r="Q421" s="614"/>
      <c r="R421" s="38"/>
      <c r="S421" s="616"/>
      <c r="T421" s="616"/>
      <c r="U421" s="615"/>
      <c r="V421" s="312" t="s">
        <v>120</v>
      </c>
      <c r="W421" s="463" t="s">
        <v>614</v>
      </c>
      <c r="X421" s="456"/>
      <c r="Y421" s="456"/>
      <c r="Z421" s="457">
        <f t="shared" ref="Z421:Z432" si="116">+SUMIF($C:$C,$V421,F:F)</f>
        <v>122684.4294871795</v>
      </c>
      <c r="AA421" s="456"/>
      <c r="AB421" s="456"/>
      <c r="AC421" s="457"/>
      <c r="AD421" s="465"/>
      <c r="AE421" s="464"/>
      <c r="AF421" s="457">
        <f t="shared" ref="AF421:AF432" si="117">+SUMIF($C:$C,$V421,L:L)</f>
        <v>100373.98</v>
      </c>
      <c r="AG421" s="458"/>
      <c r="AH421" s="459">
        <f t="shared" si="114"/>
        <v>-22310.449487179503</v>
      </c>
      <c r="AI421" s="460">
        <f t="shared" si="115"/>
        <v>-0.18185233106138332</v>
      </c>
      <c r="AJ421" s="465"/>
      <c r="AK421" s="456"/>
      <c r="AL421" s="457">
        <f t="shared" ref="AL421:AL431" si="118">+SUMIF($C:$C,$V421,Q:Q)</f>
        <v>106176.70999999999</v>
      </c>
      <c r="AM421" s="461"/>
      <c r="AN421" s="459">
        <f t="shared" si="110"/>
        <v>-5802.7299999999959</v>
      </c>
      <c r="AO421" s="466">
        <f t="shared" si="111"/>
        <v>-5.4651627461427238E-2</v>
      </c>
      <c r="AP421" s="94"/>
      <c r="AQ421" s="622">
        <v>480874.87</v>
      </c>
      <c r="AR421" s="512">
        <f t="shared" si="112"/>
        <v>-380500.89</v>
      </c>
      <c r="AS421" s="38"/>
      <c r="AT421" s="38"/>
      <c r="AU421" s="38"/>
      <c r="AV421" s="38"/>
      <c r="AW421" s="38"/>
      <c r="AX421" s="38"/>
      <c r="AY421" s="38"/>
      <c r="AZ421" s="38"/>
      <c r="BA421" s="38"/>
      <c r="BB421" s="38"/>
      <c r="BC421" s="38"/>
      <c r="BD421" s="38"/>
      <c r="BE421" s="38"/>
      <c r="BF421" s="38"/>
      <c r="BG421" s="38"/>
      <c r="BH421" s="38"/>
      <c r="BI421" s="38"/>
    </row>
    <row r="422" spans="1:61" ht="15.75" customHeight="1">
      <c r="A422" s="5" t="str">
        <f t="shared" si="98"/>
        <v>Salaires commis</v>
      </c>
      <c r="B422" s="3"/>
      <c r="C422" s="38"/>
      <c r="D422" s="38"/>
      <c r="E422" s="38"/>
      <c r="F422" s="38"/>
      <c r="G422" s="38"/>
      <c r="H422" s="38"/>
      <c r="I422" s="38"/>
      <c r="J422" s="38"/>
      <c r="K422" s="38"/>
      <c r="L422" s="38"/>
      <c r="M422" s="555"/>
      <c r="N422" s="555"/>
      <c r="O422" s="555"/>
      <c r="P422" s="555"/>
      <c r="Q422" s="614"/>
      <c r="R422" s="38"/>
      <c r="S422" s="616"/>
      <c r="T422" s="616"/>
      <c r="U422" s="615"/>
      <c r="V422" s="313" t="s">
        <v>121</v>
      </c>
      <c r="W422" s="467" t="s">
        <v>615</v>
      </c>
      <c r="X422" s="440"/>
      <c r="Y422" s="440"/>
      <c r="Z422" s="441">
        <f t="shared" si="116"/>
        <v>138619.60338461539</v>
      </c>
      <c r="AA422" s="440"/>
      <c r="AB422" s="440"/>
      <c r="AC422" s="441"/>
      <c r="AD422" s="469"/>
      <c r="AE422" s="468"/>
      <c r="AF422" s="441">
        <f t="shared" si="117"/>
        <v>114510.91</v>
      </c>
      <c r="AG422" s="442"/>
      <c r="AH422" s="443">
        <f t="shared" si="114"/>
        <v>-24108.693384615384</v>
      </c>
      <c r="AI422" s="470">
        <f t="shared" si="115"/>
        <v>-0.1739197977483975</v>
      </c>
      <c r="AJ422" s="469"/>
      <c r="AK422" s="440"/>
      <c r="AL422" s="441">
        <f t="shared" si="118"/>
        <v>84448.78</v>
      </c>
      <c r="AM422" s="445"/>
      <c r="AN422" s="443">
        <f t="shared" si="110"/>
        <v>30062.130000000005</v>
      </c>
      <c r="AO422" s="446">
        <f t="shared" si="111"/>
        <v>0.35598063109970335</v>
      </c>
      <c r="AP422" s="94"/>
      <c r="AQ422" s="623">
        <v>263830.23</v>
      </c>
      <c r="AR422" s="620">
        <f t="shared" si="112"/>
        <v>-149319.31999999998</v>
      </c>
      <c r="AS422" s="38"/>
      <c r="AT422" s="38"/>
      <c r="AU422" s="38"/>
      <c r="AV422" s="38"/>
      <c r="AW422" s="38"/>
      <c r="AX422" s="38"/>
      <c r="AY422" s="38"/>
      <c r="AZ422" s="38"/>
      <c r="BA422" s="38"/>
      <c r="BB422" s="38"/>
      <c r="BC422" s="38"/>
      <c r="BD422" s="38"/>
      <c r="BE422" s="38"/>
      <c r="BF422" s="38"/>
      <c r="BG422" s="38"/>
      <c r="BH422" s="38"/>
      <c r="BI422" s="38"/>
    </row>
    <row r="423" spans="1:61" ht="15.75" customHeight="1">
      <c r="A423" s="5" t="str">
        <f t="shared" si="98"/>
        <v>Salaires autres</v>
      </c>
      <c r="B423" s="3"/>
      <c r="C423" s="38"/>
      <c r="D423" s="38"/>
      <c r="E423" s="38"/>
      <c r="F423" s="38"/>
      <c r="G423" s="38"/>
      <c r="H423" s="38"/>
      <c r="I423" s="38"/>
      <c r="J423" s="38"/>
      <c r="K423" s="38"/>
      <c r="L423" s="38"/>
      <c r="M423" s="555"/>
      <c r="N423" s="555"/>
      <c r="O423" s="555"/>
      <c r="Q423" s="614"/>
      <c r="R423" s="38"/>
      <c r="S423" s="616"/>
      <c r="T423" s="616"/>
      <c r="U423" s="38"/>
      <c r="V423" s="312" t="s">
        <v>122</v>
      </c>
      <c r="W423" s="463" t="s">
        <v>616</v>
      </c>
      <c r="X423" s="456"/>
      <c r="Y423" s="456"/>
      <c r="Z423" s="457">
        <f t="shared" si="116"/>
        <v>43843.5</v>
      </c>
      <c r="AA423" s="456"/>
      <c r="AB423" s="456"/>
      <c r="AC423" s="457"/>
      <c r="AD423" s="465"/>
      <c r="AE423" s="464"/>
      <c r="AF423" s="457">
        <f t="shared" si="117"/>
        <v>46243.32</v>
      </c>
      <c r="AG423" s="458"/>
      <c r="AH423" s="459">
        <f t="shared" si="114"/>
        <v>2399.8199999999997</v>
      </c>
      <c r="AI423" s="460">
        <f t="shared" si="115"/>
        <v>5.473604981354134E-2</v>
      </c>
      <c r="AJ423" s="465"/>
      <c r="AK423" s="456"/>
      <c r="AL423" s="457">
        <f t="shared" si="118"/>
        <v>54190.57</v>
      </c>
      <c r="AM423" s="461"/>
      <c r="AN423" s="459">
        <f t="shared" si="110"/>
        <v>-7947.25</v>
      </c>
      <c r="AO423" s="466">
        <f t="shared" si="111"/>
        <v>-0.14665374436917714</v>
      </c>
      <c r="AP423" s="94"/>
      <c r="AQ423" s="622">
        <v>653651.56000000006</v>
      </c>
      <c r="AR423" s="512">
        <f t="shared" si="112"/>
        <v>-607408.24000000011</v>
      </c>
      <c r="AS423" s="38"/>
      <c r="AT423" s="38"/>
      <c r="AU423" s="38"/>
      <c r="AV423" s="38"/>
      <c r="AW423" s="38"/>
      <c r="AX423" s="38"/>
      <c r="AY423" s="38"/>
      <c r="AZ423" s="38"/>
      <c r="BA423" s="38"/>
      <c r="BB423" s="38"/>
      <c r="BC423" s="38"/>
      <c r="BD423" s="38"/>
      <c r="BE423" s="38"/>
      <c r="BF423" s="38"/>
      <c r="BG423" s="38"/>
      <c r="BH423" s="38"/>
      <c r="BI423" s="38"/>
    </row>
    <row r="424" spans="1:61" ht="15.75" customHeight="1">
      <c r="A424" s="5" t="str">
        <f t="shared" si="98"/>
        <v>Salaires spécialistes</v>
      </c>
      <c r="B424" s="3"/>
      <c r="C424" s="38"/>
      <c r="D424" s="38"/>
      <c r="E424" s="38"/>
      <c r="F424" s="38"/>
      <c r="G424" s="38"/>
      <c r="H424" s="38"/>
      <c r="I424" s="38"/>
      <c r="J424" s="38"/>
      <c r="K424" s="38"/>
      <c r="L424" s="38"/>
      <c r="M424" s="555"/>
      <c r="N424" s="612"/>
      <c r="O424" s="612"/>
      <c r="P424" s="555"/>
      <c r="Q424" s="614"/>
      <c r="R424" s="38"/>
      <c r="S424" s="616"/>
      <c r="T424" s="616"/>
      <c r="U424" s="38"/>
      <c r="V424" s="312" t="s">
        <v>123</v>
      </c>
      <c r="W424" s="463" t="s">
        <v>617</v>
      </c>
      <c r="X424" s="456"/>
      <c r="Y424" s="456"/>
      <c r="Z424" s="457">
        <f t="shared" si="116"/>
        <v>49641.869641846155</v>
      </c>
      <c r="AA424" s="456"/>
      <c r="AB424" s="456"/>
      <c r="AC424" s="457"/>
      <c r="AD424" s="465"/>
      <c r="AE424" s="464"/>
      <c r="AF424" s="457">
        <f t="shared" si="117"/>
        <v>30555.47</v>
      </c>
      <c r="AG424" s="458"/>
      <c r="AH424" s="459">
        <f t="shared" si="114"/>
        <v>-19086.399641846154</v>
      </c>
      <c r="AI424" s="460">
        <f t="shared" si="115"/>
        <v>-0.38448188554439666</v>
      </c>
      <c r="AJ424" s="465"/>
      <c r="AK424" s="456"/>
      <c r="AL424" s="457">
        <f t="shared" si="118"/>
        <v>43282.520000000004</v>
      </c>
      <c r="AM424" s="461"/>
      <c r="AN424" s="459">
        <f t="shared" si="110"/>
        <v>-12727.050000000003</v>
      </c>
      <c r="AO424" s="466">
        <f t="shared" si="111"/>
        <v>-0.29404595665871586</v>
      </c>
      <c r="AP424" s="94"/>
      <c r="AQ424" s="622">
        <v>399727.32999999996</v>
      </c>
      <c r="AR424" s="512">
        <f t="shared" si="112"/>
        <v>-369171.86</v>
      </c>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tr">
        <f t="shared" si="98"/>
        <v>[...]</v>
      </c>
      <c r="B425" s="3"/>
      <c r="C425" s="38"/>
      <c r="D425" s="38"/>
      <c r="E425" s="38"/>
      <c r="F425" s="38"/>
      <c r="G425" s="38"/>
      <c r="H425" s="38"/>
      <c r="I425" s="38"/>
      <c r="J425" s="38"/>
      <c r="K425" s="38"/>
      <c r="L425" s="38"/>
      <c r="M425" s="555"/>
      <c r="N425" s="94"/>
      <c r="O425" s="612"/>
      <c r="P425" s="555"/>
      <c r="Q425" s="614"/>
      <c r="R425" s="38"/>
      <c r="S425" s="616"/>
      <c r="T425" s="616"/>
      <c r="U425" s="38"/>
      <c r="V425" s="312" t="s">
        <v>59</v>
      </c>
      <c r="W425" s="463"/>
      <c r="X425" s="456"/>
      <c r="Y425" s="456"/>
      <c r="Z425" s="457">
        <f t="shared" si="116"/>
        <v>0</v>
      </c>
      <c r="AA425" s="456"/>
      <c r="AB425" s="456"/>
      <c r="AC425" s="457"/>
      <c r="AD425" s="465"/>
      <c r="AE425" s="464"/>
      <c r="AF425" s="457">
        <f t="shared" si="117"/>
        <v>0</v>
      </c>
      <c r="AG425" s="458"/>
      <c r="AH425" s="459">
        <f t="shared" si="114"/>
        <v>0</v>
      </c>
      <c r="AI425" s="460">
        <f t="shared" si="115"/>
        <v>0</v>
      </c>
      <c r="AJ425" s="465"/>
      <c r="AK425" s="456"/>
      <c r="AL425" s="457"/>
      <c r="AM425" s="461"/>
      <c r="AN425" s="459">
        <f t="shared" si="110"/>
        <v>0</v>
      </c>
      <c r="AO425" s="466">
        <f t="shared" si="111"/>
        <v>0</v>
      </c>
      <c r="AP425" s="94"/>
      <c r="AQ425" s="622">
        <v>0</v>
      </c>
      <c r="AR425" s="512">
        <f t="shared" si="112"/>
        <v>0</v>
      </c>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tr">
        <f t="shared" si="98"/>
        <v>[...]</v>
      </c>
      <c r="B426" s="3"/>
      <c r="C426" s="38"/>
      <c r="D426" s="38"/>
      <c r="E426" s="38"/>
      <c r="F426" s="38"/>
      <c r="G426" s="38"/>
      <c r="H426" s="38"/>
      <c r="I426" s="38"/>
      <c r="J426" s="38"/>
      <c r="K426" s="38"/>
      <c r="L426" s="38"/>
      <c r="M426" s="555"/>
      <c r="N426" s="94"/>
      <c r="O426" s="612"/>
      <c r="P426" s="555"/>
      <c r="Q426" s="614"/>
      <c r="R426" s="38"/>
      <c r="S426" s="616"/>
      <c r="T426" s="616"/>
      <c r="U426" s="38"/>
      <c r="V426" s="312" t="s">
        <v>59</v>
      </c>
      <c r="W426" s="463"/>
      <c r="X426" s="456"/>
      <c r="Y426" s="456"/>
      <c r="Z426" s="457">
        <f t="shared" si="116"/>
        <v>0</v>
      </c>
      <c r="AA426" s="456"/>
      <c r="AB426" s="456"/>
      <c r="AC426" s="457"/>
      <c r="AD426" s="465"/>
      <c r="AE426" s="464"/>
      <c r="AF426" s="457">
        <f t="shared" si="117"/>
        <v>0</v>
      </c>
      <c r="AG426" s="458"/>
      <c r="AH426" s="459">
        <f t="shared" si="114"/>
        <v>0</v>
      </c>
      <c r="AI426" s="460">
        <f t="shared" si="115"/>
        <v>0</v>
      </c>
      <c r="AJ426" s="465"/>
      <c r="AK426" s="456"/>
      <c r="AL426" s="457"/>
      <c r="AM426" s="461"/>
      <c r="AN426" s="459">
        <f t="shared" si="110"/>
        <v>0</v>
      </c>
      <c r="AO426" s="466">
        <f t="shared" si="111"/>
        <v>0</v>
      </c>
      <c r="AP426" s="94"/>
      <c r="AQ426" s="622">
        <v>0</v>
      </c>
      <c r="AR426" s="512">
        <f t="shared" si="112"/>
        <v>0</v>
      </c>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tr">
        <f t="shared" si="98"/>
        <v>[...]</v>
      </c>
      <c r="B427" s="3"/>
      <c r="C427" s="38"/>
      <c r="D427" s="38"/>
      <c r="E427" s="38"/>
      <c r="F427" s="38"/>
      <c r="G427" s="38"/>
      <c r="H427" s="38"/>
      <c r="I427" s="38"/>
      <c r="J427" s="38"/>
      <c r="K427" s="38"/>
      <c r="L427" s="38"/>
      <c r="M427" s="555"/>
      <c r="N427" s="94"/>
      <c r="O427" s="612"/>
      <c r="P427" s="555"/>
      <c r="Q427" s="614"/>
      <c r="R427" s="38"/>
      <c r="S427" s="616"/>
      <c r="T427" s="616"/>
      <c r="U427" s="38"/>
      <c r="V427" s="312" t="s">
        <v>59</v>
      </c>
      <c r="W427" s="463"/>
      <c r="X427" s="456"/>
      <c r="Y427" s="456"/>
      <c r="Z427" s="457">
        <f t="shared" si="116"/>
        <v>0</v>
      </c>
      <c r="AA427" s="456"/>
      <c r="AB427" s="456"/>
      <c r="AC427" s="457"/>
      <c r="AD427" s="465"/>
      <c r="AE427" s="464"/>
      <c r="AF427" s="457">
        <f t="shared" si="117"/>
        <v>0</v>
      </c>
      <c r="AG427" s="458"/>
      <c r="AH427" s="459">
        <f t="shared" si="114"/>
        <v>0</v>
      </c>
      <c r="AI427" s="460">
        <f t="shared" si="115"/>
        <v>0</v>
      </c>
      <c r="AJ427" s="465"/>
      <c r="AK427" s="456"/>
      <c r="AL427" s="457"/>
      <c r="AM427" s="461"/>
      <c r="AN427" s="459">
        <f t="shared" si="110"/>
        <v>0</v>
      </c>
      <c r="AO427" s="466">
        <f t="shared" si="111"/>
        <v>0</v>
      </c>
      <c r="AP427" s="94"/>
      <c r="AQ427" s="622">
        <v>0</v>
      </c>
      <c r="AR427" s="512">
        <f t="shared" si="112"/>
        <v>0</v>
      </c>
      <c r="AS427" s="38"/>
      <c r="AT427" s="38"/>
      <c r="AU427" s="38"/>
      <c r="AV427" s="38"/>
      <c r="AW427" s="38"/>
      <c r="AX427" s="38"/>
      <c r="AY427" s="38"/>
      <c r="AZ427" s="38"/>
      <c r="BA427" s="38"/>
      <c r="BB427" s="38"/>
      <c r="BC427" s="38"/>
      <c r="BD427" s="38"/>
      <c r="BE427" s="38"/>
      <c r="BF427" s="38"/>
      <c r="BG427" s="38"/>
      <c r="BH427" s="38"/>
      <c r="BI427" s="38"/>
    </row>
    <row r="428" spans="1:61" ht="15.75" customHeight="1">
      <c r="A428" s="5" t="str">
        <f t="shared" si="98"/>
        <v>Salaires en absences</v>
      </c>
      <c r="B428" s="3"/>
      <c r="C428" s="38"/>
      <c r="D428" s="38"/>
      <c r="E428" s="38"/>
      <c r="F428" s="38"/>
      <c r="G428" s="38"/>
      <c r="H428" s="38"/>
      <c r="I428" s="38"/>
      <c r="J428" s="38"/>
      <c r="K428" s="38"/>
      <c r="L428" s="38"/>
      <c r="M428" s="555"/>
      <c r="N428" s="94"/>
      <c r="O428" s="612"/>
      <c r="P428" s="555"/>
      <c r="Q428" s="614"/>
      <c r="R428" s="38"/>
      <c r="S428" s="616"/>
      <c r="T428" s="616"/>
      <c r="U428" s="38"/>
      <c r="V428" s="313" t="s">
        <v>124</v>
      </c>
      <c r="W428" s="467" t="s">
        <v>618</v>
      </c>
      <c r="X428" s="440"/>
      <c r="Y428" s="440"/>
      <c r="Z428" s="441">
        <f t="shared" si="116"/>
        <v>75617.432512562154</v>
      </c>
      <c r="AA428" s="440"/>
      <c r="AB428" s="440"/>
      <c r="AC428" s="441"/>
      <c r="AD428" s="469"/>
      <c r="AE428" s="468"/>
      <c r="AF428" s="441">
        <f t="shared" si="117"/>
        <v>72607.53</v>
      </c>
      <c r="AG428" s="442"/>
      <c r="AH428" s="443">
        <f t="shared" si="114"/>
        <v>-3009.9025125621556</v>
      </c>
      <c r="AI428" s="470">
        <f t="shared" si="115"/>
        <v>-3.9804346862241421E-2</v>
      </c>
      <c r="AJ428" s="469"/>
      <c r="AK428" s="440"/>
      <c r="AL428" s="441">
        <f t="shared" si="118"/>
        <v>69035.649999999994</v>
      </c>
      <c r="AM428" s="445"/>
      <c r="AN428" s="443">
        <f t="shared" si="110"/>
        <v>3571.8800000000047</v>
      </c>
      <c r="AO428" s="446">
        <f t="shared" si="111"/>
        <v>5.1739644661852317E-2</v>
      </c>
      <c r="AP428" s="94"/>
      <c r="AQ428" s="623">
        <v>484984.30000000005</v>
      </c>
      <c r="AR428" s="620">
        <f t="shared" si="112"/>
        <v>-412376.77</v>
      </c>
      <c r="AS428" s="5" t="s">
        <v>696</v>
      </c>
      <c r="AT428" s="38"/>
      <c r="AU428" s="38"/>
      <c r="AV428" s="38"/>
      <c r="AW428" s="38"/>
      <c r="AX428" s="38"/>
      <c r="AY428" s="38"/>
      <c r="AZ428" s="38"/>
      <c r="BA428" s="38"/>
      <c r="BB428" s="38"/>
      <c r="BC428" s="38"/>
      <c r="BD428" s="38"/>
      <c r="BE428" s="38"/>
      <c r="BF428" s="38"/>
      <c r="BG428" s="38"/>
      <c r="BH428" s="38"/>
      <c r="BI428" s="38"/>
    </row>
    <row r="429" spans="1:61" ht="15.75" customHeight="1">
      <c r="A429" s="5" t="str">
        <f t="shared" si="98"/>
        <v>Déduction à la source</v>
      </c>
      <c r="B429" s="3"/>
      <c r="C429" s="38"/>
      <c r="D429" s="38"/>
      <c r="E429" s="38"/>
      <c r="F429" s="38"/>
      <c r="G429" s="38"/>
      <c r="H429" s="38"/>
      <c r="I429" s="38"/>
      <c r="J429" s="38"/>
      <c r="K429" s="38"/>
      <c r="L429" s="38"/>
      <c r="M429" s="555"/>
      <c r="N429" s="555"/>
      <c r="O429" s="555"/>
      <c r="P429" s="555"/>
      <c r="Q429" s="614"/>
      <c r="R429" s="38"/>
      <c r="U429" s="615"/>
      <c r="V429" s="312" t="s">
        <v>125</v>
      </c>
      <c r="W429" s="463" t="s">
        <v>619</v>
      </c>
      <c r="X429" s="456"/>
      <c r="Y429" s="456"/>
      <c r="Z429" s="457">
        <f t="shared" si="116"/>
        <v>91940.138209106415</v>
      </c>
      <c r="AA429" s="456"/>
      <c r="AB429" s="456"/>
      <c r="AC429" s="457"/>
      <c r="AD429" s="465"/>
      <c r="AE429" s="464"/>
      <c r="AF429" s="457">
        <f t="shared" si="117"/>
        <v>98568.439999999973</v>
      </c>
      <c r="AG429" s="458"/>
      <c r="AH429" s="459">
        <f t="shared" si="114"/>
        <v>6628.3017908935581</v>
      </c>
      <c r="AI429" s="460">
        <f t="shared" si="115"/>
        <v>7.2093667901807046E-2</v>
      </c>
      <c r="AJ429" s="465"/>
      <c r="AK429" s="456"/>
      <c r="AL429" s="457">
        <f t="shared" si="118"/>
        <v>105396.57</v>
      </c>
      <c r="AM429" s="461"/>
      <c r="AN429" s="459">
        <f t="shared" si="110"/>
        <v>-6828.1300000000338</v>
      </c>
      <c r="AO429" s="466">
        <f t="shared" si="111"/>
        <v>-6.4785125360341742E-2</v>
      </c>
      <c r="AP429" s="94"/>
      <c r="AQ429" s="622">
        <v>452089.25</v>
      </c>
      <c r="AR429" s="512">
        <f t="shared" si="112"/>
        <v>-353520.81000000006</v>
      </c>
      <c r="AS429" s="5" t="s">
        <v>697</v>
      </c>
      <c r="AT429" s="38"/>
      <c r="AU429" s="38"/>
      <c r="AV429" s="38"/>
      <c r="AW429" s="38"/>
      <c r="AX429" s="38"/>
      <c r="AY429" s="38"/>
      <c r="AZ429" s="38"/>
      <c r="BA429" s="38"/>
      <c r="BB429" s="38"/>
      <c r="BC429" s="38"/>
      <c r="BD429" s="38"/>
      <c r="BE429" s="38"/>
      <c r="BF429" s="38"/>
      <c r="BG429" s="38"/>
      <c r="BH429" s="38"/>
      <c r="BI429" s="38"/>
    </row>
    <row r="430" spans="1:61" ht="20.25" customHeight="1">
      <c r="A430" s="5" t="str">
        <f t="shared" si="98"/>
        <v>Bénéfices marginaux</v>
      </c>
      <c r="B430" s="3"/>
      <c r="C430" s="38"/>
      <c r="D430" s="38"/>
      <c r="E430" s="38"/>
      <c r="F430" s="38"/>
      <c r="G430" s="38"/>
      <c r="H430" s="38"/>
      <c r="I430" s="38"/>
      <c r="J430" s="38"/>
      <c r="K430" s="38"/>
      <c r="L430" s="38"/>
      <c r="M430" s="555"/>
      <c r="N430" s="555"/>
      <c r="O430" s="555"/>
      <c r="P430" s="555"/>
      <c r="Q430" s="614"/>
      <c r="R430" s="38"/>
      <c r="S430" s="616"/>
      <c r="T430" s="616"/>
      <c r="U430" s="615"/>
      <c r="V430" s="312" t="s">
        <v>126</v>
      </c>
      <c r="W430" s="463" t="s">
        <v>620</v>
      </c>
      <c r="X430" s="456"/>
      <c r="Y430" s="456"/>
      <c r="Z430" s="457">
        <f t="shared" si="116"/>
        <v>47369.158164256994</v>
      </c>
      <c r="AA430" s="456"/>
      <c r="AB430" s="456"/>
      <c r="AC430" s="457"/>
      <c r="AD430" s="465"/>
      <c r="AE430" s="464"/>
      <c r="AF430" s="457">
        <f t="shared" si="117"/>
        <v>43079.17</v>
      </c>
      <c r="AG430" s="458"/>
      <c r="AH430" s="459">
        <f t="shared" si="114"/>
        <v>-4289.9881642569962</v>
      </c>
      <c r="AI430" s="460">
        <f t="shared" si="115"/>
        <v>-9.0565007496672414E-2</v>
      </c>
      <c r="AJ430" s="465"/>
      <c r="AK430" s="456"/>
      <c r="AL430" s="457">
        <f t="shared" si="118"/>
        <v>40916.319999999992</v>
      </c>
      <c r="AM430" s="461"/>
      <c r="AN430" s="459">
        <f t="shared" si="110"/>
        <v>2162.8500000000058</v>
      </c>
      <c r="AO430" s="466">
        <f t="shared" si="111"/>
        <v>5.2860325659785781E-2</v>
      </c>
      <c r="AP430" s="94"/>
      <c r="AQ430" s="622">
        <v>250596.99999999997</v>
      </c>
      <c r="AR430" s="512">
        <f t="shared" si="112"/>
        <v>-207517.82999999996</v>
      </c>
      <c r="AT430" s="38"/>
      <c r="AU430" s="38"/>
      <c r="AV430" s="38"/>
      <c r="AW430" s="38"/>
      <c r="AX430" s="38"/>
      <c r="AY430" s="38"/>
      <c r="AZ430" s="38"/>
      <c r="BA430" s="38"/>
      <c r="BB430" s="38"/>
      <c r="BC430" s="38"/>
      <c r="BD430" s="38"/>
      <c r="BE430" s="38"/>
      <c r="BF430" s="38"/>
      <c r="BG430" s="38"/>
      <c r="BH430" s="38"/>
      <c r="BI430" s="38"/>
    </row>
    <row r="431" spans="1:61" ht="15.75" customHeight="1">
      <c r="A431" s="5" t="str">
        <f t="shared" si="98"/>
        <v>Csst</v>
      </c>
      <c r="B431" s="3"/>
      <c r="C431" s="38"/>
      <c r="D431" s="38"/>
      <c r="E431" s="38"/>
      <c r="F431" s="38"/>
      <c r="G431" s="38"/>
      <c r="H431" s="38"/>
      <c r="I431" s="38"/>
      <c r="J431" s="38"/>
      <c r="K431" s="38"/>
      <c r="L431" s="38"/>
      <c r="M431" s="555"/>
      <c r="N431" s="555"/>
      <c r="O431" s="555"/>
      <c r="P431" s="555"/>
      <c r="Q431" s="614"/>
      <c r="R431" s="38"/>
      <c r="S431" s="616"/>
      <c r="T431" s="616"/>
      <c r="U431" s="615"/>
      <c r="V431" s="312" t="s">
        <v>127</v>
      </c>
      <c r="W431" s="463"/>
      <c r="X431" s="456"/>
      <c r="Y431" s="456"/>
      <c r="Z431" s="457">
        <f t="shared" si="116"/>
        <v>20653.219452770278</v>
      </c>
      <c r="AA431" s="456"/>
      <c r="AB431" s="456"/>
      <c r="AC431" s="457"/>
      <c r="AD431" s="465"/>
      <c r="AE431" s="464"/>
      <c r="AF431" s="457">
        <f t="shared" si="117"/>
        <v>20139.57</v>
      </c>
      <c r="AG431" s="458"/>
      <c r="AH431" s="459">
        <f t="shared" si="114"/>
        <v>-513.649452770278</v>
      </c>
      <c r="AI431" s="479">
        <f t="shared" si="115"/>
        <v>-2.4870188105292255E-2</v>
      </c>
      <c r="AJ431" s="465"/>
      <c r="AK431" s="456"/>
      <c r="AL431" s="457">
        <f t="shared" si="118"/>
        <v>16216.25</v>
      </c>
      <c r="AM431" s="461"/>
      <c r="AN431" s="459">
        <f t="shared" si="110"/>
        <v>3923.3199999999997</v>
      </c>
      <c r="AO431" s="466">
        <f t="shared" si="111"/>
        <v>0.24193756263007785</v>
      </c>
      <c r="AP431" s="94"/>
      <c r="AQ431" s="622">
        <v>185602.45</v>
      </c>
      <c r="AR431" s="512">
        <f t="shared" si="112"/>
        <v>-165462.88</v>
      </c>
      <c r="AT431" s="38"/>
      <c r="AU431" s="38"/>
      <c r="AV431" s="38"/>
      <c r="AW431" s="38"/>
      <c r="AX431" s="38"/>
      <c r="AY431" s="38"/>
      <c r="AZ431" s="38"/>
      <c r="BA431" s="38"/>
      <c r="BB431" s="38"/>
      <c r="BC431" s="38"/>
      <c r="BD431" s="38"/>
      <c r="BE431" s="38"/>
      <c r="BF431" s="38"/>
      <c r="BG431" s="38"/>
      <c r="BH431" s="38"/>
      <c r="BI431" s="38"/>
    </row>
    <row r="432" spans="1:61" ht="15.75" hidden="1" customHeight="1">
      <c r="A432" s="5" t="str">
        <f t="shared" si="98"/>
        <v>[...]</v>
      </c>
      <c r="B432" s="3"/>
      <c r="C432" s="38"/>
      <c r="D432" s="38"/>
      <c r="E432" s="38"/>
      <c r="F432" s="38"/>
      <c r="G432" s="38"/>
      <c r="H432" s="38"/>
      <c r="I432" s="38"/>
      <c r="J432" s="38"/>
      <c r="K432" s="38"/>
      <c r="L432" s="38"/>
      <c r="M432" s="38"/>
      <c r="N432" s="38"/>
      <c r="O432" s="38"/>
      <c r="P432" s="555"/>
      <c r="Q432" s="614"/>
      <c r="R432" s="38"/>
      <c r="S432" s="616"/>
      <c r="T432" s="616"/>
      <c r="U432" s="38"/>
      <c r="V432" s="253" t="s">
        <v>59</v>
      </c>
      <c r="W432" s="463"/>
      <c r="X432" s="456"/>
      <c r="Y432" s="464"/>
      <c r="Z432" s="457">
        <f t="shared" si="116"/>
        <v>0</v>
      </c>
      <c r="AA432" s="456"/>
      <c r="AB432" s="464"/>
      <c r="AC432" s="457"/>
      <c r="AD432" s="465"/>
      <c r="AE432" s="464"/>
      <c r="AF432" s="457">
        <f t="shared" si="117"/>
        <v>0</v>
      </c>
      <c r="AG432" s="458"/>
      <c r="AH432" s="459">
        <f t="shared" si="114"/>
        <v>0</v>
      </c>
      <c r="AI432" s="460">
        <f t="shared" si="115"/>
        <v>0</v>
      </c>
      <c r="AJ432" s="465"/>
      <c r="AK432" s="459"/>
      <c r="AL432" s="457"/>
      <c r="AM432" s="461"/>
      <c r="AN432" s="459"/>
      <c r="AO432" s="446"/>
      <c r="AP432" s="94"/>
      <c r="AQ432" s="622">
        <v>0</v>
      </c>
      <c r="AR432" s="512">
        <f t="shared" si="112"/>
        <v>0</v>
      </c>
      <c r="AT432" s="38"/>
      <c r="AU432" s="38"/>
      <c r="AV432" s="38"/>
      <c r="AW432" s="38"/>
      <c r="AX432" s="38"/>
      <c r="AY432" s="38"/>
      <c r="AZ432" s="38"/>
      <c r="BA432" s="38"/>
      <c r="BB432" s="38"/>
      <c r="BC432" s="38"/>
      <c r="BD432" s="38"/>
      <c r="BE432" s="38"/>
      <c r="BF432" s="38"/>
      <c r="BG432" s="38"/>
      <c r="BH432" s="38"/>
      <c r="BI432" s="38"/>
    </row>
    <row r="433" spans="1:62" ht="15.75" customHeight="1">
      <c r="A433" s="5" t="str">
        <f t="shared" si="98"/>
        <v>TOTAL PERSONNEL</v>
      </c>
      <c r="B433" s="3"/>
      <c r="C433" s="38"/>
      <c r="D433" s="38"/>
      <c r="E433" s="38"/>
      <c r="F433" s="38"/>
      <c r="G433" s="38"/>
      <c r="H433" s="38"/>
      <c r="I433" s="38"/>
      <c r="J433" s="38"/>
      <c r="K433" s="38"/>
      <c r="O433" s="147"/>
      <c r="Q433" s="626"/>
      <c r="R433" s="38"/>
      <c r="S433" s="616"/>
      <c r="T433" s="616"/>
      <c r="U433" s="38"/>
      <c r="V433" s="471" t="s">
        <v>128</v>
      </c>
      <c r="W433" s="472"/>
      <c r="X433" s="473">
        <f>Z433/Z407</f>
        <v>0.57138574996577329</v>
      </c>
      <c r="Y433" s="472"/>
      <c r="Z433" s="474">
        <f>SUM(Z420:Z432)</f>
        <v>622254.3316215676</v>
      </c>
      <c r="AA433" s="473"/>
      <c r="AB433" s="472"/>
      <c r="AC433" s="474"/>
      <c r="AD433" s="475">
        <f>AF433/AF407</f>
        <v>0.54124185884271381</v>
      </c>
      <c r="AE433" s="480"/>
      <c r="AF433" s="474">
        <f>SUM(AF420:AF432)</f>
        <v>558299.87</v>
      </c>
      <c r="AG433" s="481"/>
      <c r="AH433" s="477">
        <f t="shared" si="114"/>
        <v>-63954.461621567607</v>
      </c>
      <c r="AI433" s="473">
        <f>AH433/Z433</f>
        <v>-0.10277865234767442</v>
      </c>
      <c r="AJ433" s="475">
        <f>IF($AL$407=0,0,AL433/$AL$407)</f>
        <v>0.58102295830410366</v>
      </c>
      <c r="AK433" s="472"/>
      <c r="AL433" s="474">
        <f>SUM(AL420:AL432)</f>
        <v>550990.91</v>
      </c>
      <c r="AM433" s="482"/>
      <c r="AN433" s="477">
        <f t="shared" ref="AN433:AN451" si="119">AF433-AL433</f>
        <v>7308.9599999999627</v>
      </c>
      <c r="AO433" s="454">
        <f t="shared" ref="AO433:AO461" si="120">IF(AL433=0,0,AN433/AL433)</f>
        <v>1.3265119019840023E-2</v>
      </c>
      <c r="AP433" s="94"/>
      <c r="AQ433" s="624">
        <v>3367938.6900000004</v>
      </c>
      <c r="AR433" s="625">
        <f t="shared" si="112"/>
        <v>-2809638.8200000003</v>
      </c>
      <c r="AT433" s="38"/>
      <c r="AU433" s="38"/>
      <c r="AV433" s="38"/>
      <c r="AW433" s="38"/>
      <c r="AX433" s="38"/>
      <c r="AY433" s="38"/>
      <c r="AZ433" s="38"/>
      <c r="BA433" s="38"/>
      <c r="BB433" s="38"/>
      <c r="BC433" s="38"/>
      <c r="BD433" s="38"/>
      <c r="BE433" s="38"/>
      <c r="BF433" s="38"/>
      <c r="BG433" s="38"/>
      <c r="BH433" s="38"/>
      <c r="BI433" s="38"/>
    </row>
    <row r="434" spans="1:62" ht="15.75" customHeight="1">
      <c r="A434" s="5" t="str">
        <f t="shared" si="98"/>
        <v>Publicité 2</v>
      </c>
      <c r="B434" s="3"/>
      <c r="C434" s="38"/>
      <c r="D434" s="38"/>
      <c r="E434" s="38"/>
      <c r="F434" s="38"/>
      <c r="G434" s="38"/>
      <c r="H434" s="38"/>
      <c r="I434" s="38"/>
      <c r="J434" s="38"/>
      <c r="K434" s="38"/>
      <c r="L434" s="38"/>
      <c r="M434" s="147"/>
      <c r="N434" s="612"/>
      <c r="O434" s="627"/>
      <c r="P434" s="555"/>
      <c r="Q434" s="614"/>
      <c r="R434" s="38"/>
      <c r="U434" s="38"/>
      <c r="V434" s="406" t="s">
        <v>129</v>
      </c>
      <c r="W434" s="483" t="s">
        <v>611</v>
      </c>
      <c r="X434" s="484"/>
      <c r="Y434" s="484"/>
      <c r="Z434" s="485">
        <f t="shared" ref="Z434:Z451" si="121">+SUMIF($C:$C,$V434,F:F)</f>
        <v>28123.954713023682</v>
      </c>
      <c r="AA434" s="484"/>
      <c r="AB434" s="484"/>
      <c r="AC434" s="485"/>
      <c r="AD434" s="486"/>
      <c r="AE434" s="487"/>
      <c r="AF434" s="485">
        <f t="shared" ref="AF434:AF447" si="122">+SUMIF($C:$C,$V434,L:L)</f>
        <v>36033.03</v>
      </c>
      <c r="AG434" s="486"/>
      <c r="AH434" s="488">
        <f t="shared" si="114"/>
        <v>7909.0752869763164</v>
      </c>
      <c r="AI434" s="489">
        <f t="shared" ref="AI434:AI451" si="123">IF(Z434=0,0,AH434/Z434)</f>
        <v>0.28122201758893356</v>
      </c>
      <c r="AJ434" s="486"/>
      <c r="AK434" s="484"/>
      <c r="AL434" s="485">
        <f t="shared" ref="AL434:AL447" si="124">+SUMIF($C:$C,$V434,Q:Q)</f>
        <v>34435.39</v>
      </c>
      <c r="AM434" s="490"/>
      <c r="AN434" s="488">
        <f t="shared" si="119"/>
        <v>1597.6399999999994</v>
      </c>
      <c r="AO434" s="462">
        <f t="shared" si="120"/>
        <v>4.6395292749697316E-2</v>
      </c>
      <c r="AP434" s="94"/>
      <c r="AQ434" s="628">
        <v>176878.05000000002</v>
      </c>
      <c r="AR434" s="506">
        <f t="shared" si="112"/>
        <v>-140845.02000000002</v>
      </c>
      <c r="AT434" s="38"/>
      <c r="AU434" s="38"/>
      <c r="AV434" s="38"/>
      <c r="AW434" s="38"/>
      <c r="AX434" s="38"/>
      <c r="AY434" s="38"/>
      <c r="AZ434" s="38"/>
      <c r="BA434" s="38"/>
      <c r="BB434" s="38"/>
      <c r="BC434" s="38"/>
      <c r="BD434" s="38"/>
      <c r="BE434" s="38"/>
      <c r="BF434" s="38"/>
      <c r="BG434" s="38"/>
      <c r="BH434" s="38"/>
      <c r="BI434" s="38"/>
    </row>
    <row r="435" spans="1:62" ht="15.75" customHeight="1">
      <c r="A435" s="5" t="str">
        <f t="shared" si="98"/>
        <v>Service gratuit 2</v>
      </c>
      <c r="B435" s="3"/>
      <c r="C435" s="38"/>
      <c r="D435" s="38"/>
      <c r="E435" s="38"/>
      <c r="F435" s="38"/>
      <c r="G435" s="38"/>
      <c r="H435" s="38"/>
      <c r="I435" s="38"/>
      <c r="J435" s="38"/>
      <c r="K435" s="38"/>
      <c r="L435" s="38"/>
      <c r="M435" s="38"/>
      <c r="O435" s="612"/>
      <c r="P435" s="147"/>
      <c r="Q435" s="614"/>
      <c r="R435" s="38"/>
      <c r="U435" s="38"/>
      <c r="V435" s="312" t="s">
        <v>130</v>
      </c>
      <c r="W435" s="463" t="s">
        <v>621</v>
      </c>
      <c r="X435" s="456"/>
      <c r="Y435" s="456"/>
      <c r="Z435" s="457">
        <f t="shared" si="121"/>
        <v>9090.7623256114166</v>
      </c>
      <c r="AA435" s="456"/>
      <c r="AB435" s="456"/>
      <c r="AC435" s="457"/>
      <c r="AD435" s="465"/>
      <c r="AE435" s="464"/>
      <c r="AF435" s="457">
        <f t="shared" si="122"/>
        <v>23272.97</v>
      </c>
      <c r="AG435" s="458"/>
      <c r="AH435" s="459">
        <f t="shared" si="114"/>
        <v>14182.207674388585</v>
      </c>
      <c r="AI435" s="460">
        <f t="shared" si="123"/>
        <v>1.5600680302061174</v>
      </c>
      <c r="AJ435" s="465"/>
      <c r="AK435" s="456"/>
      <c r="AL435" s="457">
        <f t="shared" si="124"/>
        <v>668.36000000000058</v>
      </c>
      <c r="AM435" s="461"/>
      <c r="AN435" s="459">
        <f t="shared" si="119"/>
        <v>22604.61</v>
      </c>
      <c r="AO435" s="466">
        <f t="shared" si="120"/>
        <v>33.821009635525733</v>
      </c>
      <c r="AP435" s="94"/>
      <c r="AQ435" s="622">
        <v>67659.239999999991</v>
      </c>
      <c r="AR435" s="512">
        <f t="shared" si="112"/>
        <v>-44386.26999999999</v>
      </c>
      <c r="AT435" s="38"/>
      <c r="AU435" s="38"/>
      <c r="AV435" s="38"/>
      <c r="AW435" s="38"/>
      <c r="AX435" s="38"/>
      <c r="AY435" s="38"/>
      <c r="AZ435" s="38"/>
      <c r="BA435" s="38"/>
      <c r="BB435" s="38"/>
      <c r="BC435" s="38"/>
      <c r="BD435" s="38"/>
      <c r="BE435" s="38"/>
      <c r="BF435" s="38"/>
      <c r="BG435" s="38"/>
      <c r="BH435" s="38"/>
      <c r="BI435" s="38"/>
    </row>
    <row r="436" spans="1:62" ht="15.75" customHeight="1">
      <c r="A436" s="5" t="str">
        <f t="shared" si="98"/>
        <v>Frais véhicules de cie</v>
      </c>
      <c r="B436" s="3"/>
      <c r="C436" s="38"/>
      <c r="D436" s="38"/>
      <c r="E436" s="38"/>
      <c r="F436" s="38"/>
      <c r="G436" s="38"/>
      <c r="H436" s="38"/>
      <c r="I436" s="38"/>
      <c r="J436" s="38"/>
      <c r="K436" s="38"/>
      <c r="L436" s="38"/>
      <c r="M436" s="555"/>
      <c r="N436" s="555"/>
      <c r="O436" s="555"/>
      <c r="P436" s="147"/>
      <c r="Q436" s="614"/>
      <c r="R436" s="38"/>
      <c r="U436" s="38"/>
      <c r="V436" s="313" t="s">
        <v>131</v>
      </c>
      <c r="W436" s="467" t="s">
        <v>622</v>
      </c>
      <c r="X436" s="440"/>
      <c r="Y436" s="440"/>
      <c r="Z436" s="441">
        <f t="shared" si="121"/>
        <v>45418.529333333339</v>
      </c>
      <c r="AA436" s="440"/>
      <c r="AB436" s="440"/>
      <c r="AC436" s="441"/>
      <c r="AD436" s="469"/>
      <c r="AE436" s="468"/>
      <c r="AF436" s="441">
        <f t="shared" si="122"/>
        <v>48890.29</v>
      </c>
      <c r="AG436" s="442"/>
      <c r="AH436" s="443">
        <f t="shared" si="114"/>
        <v>3471.7606666666616</v>
      </c>
      <c r="AI436" s="470">
        <f t="shared" si="123"/>
        <v>7.6439301704088525E-2</v>
      </c>
      <c r="AJ436" s="469"/>
      <c r="AK436" s="440"/>
      <c r="AL436" s="441">
        <f t="shared" si="124"/>
        <v>36898.120000000003</v>
      </c>
      <c r="AM436" s="445"/>
      <c r="AN436" s="443">
        <f t="shared" si="119"/>
        <v>11992.169999999998</v>
      </c>
      <c r="AO436" s="446">
        <f t="shared" si="120"/>
        <v>0.32500761556415331</v>
      </c>
      <c r="AP436" s="94"/>
      <c r="AQ436" s="623">
        <v>276796.59999999998</v>
      </c>
      <c r="AR436" s="620">
        <f t="shared" si="112"/>
        <v>-227906.30999999997</v>
      </c>
      <c r="AS436" s="5" t="s">
        <v>698</v>
      </c>
      <c r="AT436" s="38"/>
      <c r="AU436" s="38"/>
      <c r="AV436" s="38"/>
      <c r="AW436" s="38"/>
      <c r="AX436" s="38"/>
      <c r="AY436" s="38"/>
      <c r="AZ436" s="38"/>
      <c r="BA436" s="38"/>
      <c r="BB436" s="38"/>
      <c r="BC436" s="38"/>
      <c r="BD436" s="38"/>
      <c r="BE436" s="38"/>
      <c r="BF436" s="38"/>
      <c r="BG436" s="38"/>
      <c r="BH436" s="38"/>
      <c r="BI436" s="38"/>
      <c r="BJ436" s="38"/>
    </row>
    <row r="437" spans="1:62" ht="15.75" customHeight="1">
      <c r="A437" s="5" t="str">
        <f t="shared" si="98"/>
        <v>Informatique</v>
      </c>
      <c r="B437" s="3"/>
      <c r="C437" s="38"/>
      <c r="D437" s="38"/>
      <c r="E437" s="38"/>
      <c r="F437" s="38"/>
      <c r="G437" s="38"/>
      <c r="H437" s="38"/>
      <c r="I437" s="38"/>
      <c r="J437" s="38"/>
      <c r="K437" s="38"/>
      <c r="L437" s="38"/>
      <c r="M437" s="555"/>
      <c r="N437" s="555"/>
      <c r="O437" s="555"/>
      <c r="P437" s="147"/>
      <c r="Q437" s="614"/>
      <c r="R437" s="38"/>
      <c r="U437" s="38"/>
      <c r="V437" s="312" t="s">
        <v>132</v>
      </c>
      <c r="W437" s="463" t="s">
        <v>623</v>
      </c>
      <c r="X437" s="456"/>
      <c r="Y437" s="456"/>
      <c r="Z437" s="457">
        <f t="shared" si="121"/>
        <v>44804.160287555555</v>
      </c>
      <c r="AA437" s="456"/>
      <c r="AB437" s="456"/>
      <c r="AC437" s="457"/>
      <c r="AD437" s="465"/>
      <c r="AE437" s="464"/>
      <c r="AF437" s="457">
        <f t="shared" si="122"/>
        <v>44845.67</v>
      </c>
      <c r="AG437" s="458"/>
      <c r="AH437" s="459">
        <f t="shared" si="114"/>
        <v>41.509712444443721</v>
      </c>
      <c r="AI437" s="460">
        <f t="shared" si="123"/>
        <v>9.2647004604108445E-4</v>
      </c>
      <c r="AJ437" s="465"/>
      <c r="AK437" s="456"/>
      <c r="AL437" s="457">
        <f t="shared" si="124"/>
        <v>42216.38</v>
      </c>
      <c r="AM437" s="461"/>
      <c r="AN437" s="459">
        <f t="shared" si="119"/>
        <v>2629.2900000000009</v>
      </c>
      <c r="AO437" s="466">
        <f t="shared" si="120"/>
        <v>6.22812756565106E-2</v>
      </c>
      <c r="AP437" s="94"/>
      <c r="AQ437" s="622">
        <v>239193.79</v>
      </c>
      <c r="AR437" s="512">
        <f t="shared" si="112"/>
        <v>-194348.12</v>
      </c>
      <c r="AS437" s="38"/>
      <c r="AT437" s="38"/>
      <c r="AU437" s="38"/>
      <c r="AV437" s="38"/>
      <c r="AW437" s="38"/>
      <c r="AX437" s="38"/>
      <c r="AY437" s="38"/>
      <c r="AZ437" s="38"/>
      <c r="BA437" s="38"/>
      <c r="BB437" s="38"/>
      <c r="BC437" s="38"/>
      <c r="BD437" s="38"/>
      <c r="BE437" s="38"/>
      <c r="BF437" s="38"/>
      <c r="BG437" s="38"/>
      <c r="BH437" s="38"/>
      <c r="BI437" s="38"/>
      <c r="BJ437" s="38"/>
    </row>
    <row r="438" spans="1:62" ht="15.75" customHeight="1">
      <c r="A438" s="5" t="str">
        <f t="shared" si="98"/>
        <v>Frais de déplacement</v>
      </c>
      <c r="B438" s="3"/>
      <c r="C438" s="38"/>
      <c r="D438" s="38"/>
      <c r="E438" s="38"/>
      <c r="F438" s="38"/>
      <c r="G438" s="38"/>
      <c r="H438" s="38"/>
      <c r="I438" s="38"/>
      <c r="J438" s="38"/>
      <c r="K438" s="38"/>
      <c r="L438" s="38"/>
      <c r="M438" s="555"/>
      <c r="N438" s="555"/>
      <c r="O438" s="555"/>
      <c r="P438" s="147"/>
      <c r="Q438" s="614"/>
      <c r="R438" s="38"/>
      <c r="U438" s="38"/>
      <c r="V438" s="312" t="s">
        <v>133</v>
      </c>
      <c r="W438" s="463" t="s">
        <v>624</v>
      </c>
      <c r="X438" s="456"/>
      <c r="Y438" s="456"/>
      <c r="Z438" s="457">
        <f t="shared" si="121"/>
        <v>7811.1152649722226</v>
      </c>
      <c r="AA438" s="456"/>
      <c r="AB438" s="456"/>
      <c r="AC438" s="457"/>
      <c r="AD438" s="465"/>
      <c r="AE438" s="464"/>
      <c r="AF438" s="457">
        <f t="shared" si="122"/>
        <v>8348.24</v>
      </c>
      <c r="AG438" s="458"/>
      <c r="AH438" s="459">
        <f t="shared" si="114"/>
        <v>537.12473502777721</v>
      </c>
      <c r="AI438" s="460">
        <f t="shared" si="123"/>
        <v>6.8764154260587185E-2</v>
      </c>
      <c r="AJ438" s="465"/>
      <c r="AK438" s="456"/>
      <c r="AL438" s="457">
        <f t="shared" si="124"/>
        <v>4442.46</v>
      </c>
      <c r="AM438" s="461"/>
      <c r="AN438" s="459">
        <f t="shared" si="119"/>
        <v>3905.7799999999997</v>
      </c>
      <c r="AO438" s="466">
        <f t="shared" si="120"/>
        <v>0.87919305970115647</v>
      </c>
      <c r="AP438" s="94"/>
      <c r="AQ438" s="622">
        <v>42486.400000000001</v>
      </c>
      <c r="AR438" s="512">
        <f t="shared" si="112"/>
        <v>-34138.160000000003</v>
      </c>
      <c r="AS438" s="38"/>
      <c r="AT438" s="38"/>
      <c r="AU438" s="38"/>
      <c r="AV438" s="38"/>
      <c r="AW438" s="38"/>
      <c r="AX438" s="38"/>
      <c r="AY438" s="38"/>
      <c r="AZ438" s="38"/>
      <c r="BA438" s="38"/>
      <c r="BB438" s="38"/>
      <c r="BC438" s="38"/>
      <c r="BD438" s="38"/>
      <c r="BE438" s="38"/>
      <c r="BF438" s="38"/>
      <c r="BG438" s="38"/>
      <c r="BH438" s="38"/>
      <c r="BI438" s="38"/>
      <c r="BJ438" s="38"/>
    </row>
    <row r="439" spans="1:62" ht="15.75" customHeight="1">
      <c r="A439" s="5" t="str">
        <f t="shared" si="98"/>
        <v>Services extérieurs</v>
      </c>
      <c r="B439" s="3"/>
      <c r="C439" s="38"/>
      <c r="D439" s="38"/>
      <c r="E439" s="38"/>
      <c r="F439" s="38"/>
      <c r="G439" s="38"/>
      <c r="H439" s="38"/>
      <c r="I439" s="38"/>
      <c r="J439" s="38"/>
      <c r="K439" s="38"/>
      <c r="L439" s="38"/>
      <c r="M439" s="38"/>
      <c r="N439" s="38"/>
      <c r="O439" s="555"/>
      <c r="P439" s="147"/>
      <c r="Q439" s="614"/>
      <c r="R439" s="38"/>
      <c r="U439" s="38"/>
      <c r="V439" s="312" t="s">
        <v>134</v>
      </c>
      <c r="W439" s="463" t="s">
        <v>625</v>
      </c>
      <c r="X439" s="456"/>
      <c r="Y439" s="456"/>
      <c r="Z439" s="457">
        <f t="shared" si="121"/>
        <v>65836.109195218567</v>
      </c>
      <c r="AA439" s="456"/>
      <c r="AB439" s="456"/>
      <c r="AC439" s="457"/>
      <c r="AD439" s="465"/>
      <c r="AE439" s="464"/>
      <c r="AF439" s="457">
        <f t="shared" si="122"/>
        <v>77734.91</v>
      </c>
      <c r="AG439" s="458"/>
      <c r="AH439" s="459">
        <f t="shared" si="114"/>
        <v>11898.800804781436</v>
      </c>
      <c r="AI439" s="460">
        <f t="shared" si="123"/>
        <v>0.18073365741433581</v>
      </c>
      <c r="AJ439" s="465"/>
      <c r="AK439" s="456"/>
      <c r="AL439" s="457">
        <f t="shared" si="124"/>
        <v>71599.94</v>
      </c>
      <c r="AM439" s="461"/>
      <c r="AN439" s="459">
        <f t="shared" si="119"/>
        <v>6134.9700000000012</v>
      </c>
      <c r="AO439" s="466">
        <f t="shared" si="120"/>
        <v>8.5684010349729361E-2</v>
      </c>
      <c r="AP439" s="94"/>
      <c r="AQ439" s="622">
        <v>240398.68</v>
      </c>
      <c r="AR439" s="512">
        <f t="shared" si="112"/>
        <v>-162663.76999999999</v>
      </c>
      <c r="AS439" s="38"/>
      <c r="AT439" s="38"/>
      <c r="AU439" s="38"/>
      <c r="AV439" s="38"/>
      <c r="AW439" s="38"/>
      <c r="AX439" s="38"/>
      <c r="AY439" s="38"/>
      <c r="AZ439" s="38"/>
      <c r="BA439" s="38"/>
      <c r="BB439" s="38"/>
      <c r="BC439" s="38"/>
      <c r="BD439" s="38"/>
      <c r="BE439" s="38"/>
      <c r="BF439" s="38"/>
      <c r="BG439" s="38"/>
      <c r="BH439" s="38"/>
      <c r="BI439" s="38"/>
      <c r="BJ439" s="38"/>
    </row>
    <row r="440" spans="1:62" ht="15.75" customHeight="1">
      <c r="A440" s="5" t="s">
        <v>490</v>
      </c>
      <c r="B440" s="3"/>
      <c r="C440" s="38"/>
      <c r="D440" s="38"/>
      <c r="E440" s="38"/>
      <c r="F440" s="38"/>
      <c r="G440" s="38"/>
      <c r="H440" s="38"/>
      <c r="I440" s="38"/>
      <c r="J440" s="38"/>
      <c r="K440" s="38"/>
      <c r="M440" s="147"/>
      <c r="N440" s="612"/>
      <c r="O440" s="612"/>
      <c r="P440" s="147"/>
      <c r="Q440" s="38"/>
      <c r="R440" s="38"/>
      <c r="U440" s="38"/>
      <c r="V440" s="406" t="s">
        <v>490</v>
      </c>
      <c r="W440" s="483"/>
      <c r="X440" s="484"/>
      <c r="Y440" s="484"/>
      <c r="Z440" s="485">
        <f t="shared" si="121"/>
        <v>0</v>
      </c>
      <c r="AA440" s="484"/>
      <c r="AB440" s="484"/>
      <c r="AC440" s="485"/>
      <c r="AD440" s="486"/>
      <c r="AE440" s="487"/>
      <c r="AF440" s="485">
        <f t="shared" si="122"/>
        <v>0</v>
      </c>
      <c r="AG440" s="492"/>
      <c r="AH440" s="488">
        <f t="shared" si="114"/>
        <v>0</v>
      </c>
      <c r="AI440" s="489">
        <f t="shared" si="123"/>
        <v>0</v>
      </c>
      <c r="AJ440" s="486"/>
      <c r="AK440" s="484"/>
      <c r="AL440" s="485">
        <f t="shared" si="124"/>
        <v>0</v>
      </c>
      <c r="AM440" s="490"/>
      <c r="AN440" s="488">
        <f t="shared" si="119"/>
        <v>0</v>
      </c>
      <c r="AO440" s="462">
        <f t="shared" si="120"/>
        <v>0</v>
      </c>
      <c r="AP440" s="94"/>
      <c r="AQ440" s="628">
        <v>0</v>
      </c>
      <c r="AR440" s="506">
        <f t="shared" si="112"/>
        <v>0</v>
      </c>
      <c r="AS440" s="38"/>
      <c r="AT440" s="38"/>
      <c r="AU440" s="38"/>
      <c r="AV440" s="38"/>
      <c r="AW440" s="38"/>
      <c r="AX440" s="38"/>
      <c r="AY440" s="38"/>
      <c r="AZ440" s="38"/>
      <c r="BA440" s="38"/>
      <c r="BB440" s="38"/>
      <c r="BC440" s="38"/>
      <c r="BD440" s="38"/>
      <c r="BE440" s="38"/>
      <c r="BF440" s="38"/>
      <c r="BG440" s="38"/>
      <c r="BH440" s="38"/>
      <c r="BI440" s="38"/>
      <c r="BJ440" s="38"/>
    </row>
    <row r="441" spans="1:62" ht="15.75" customHeight="1">
      <c r="A441" s="5" t="str">
        <f t="shared" ref="A441:A498" si="125">+U441&amp;V441</f>
        <v>Fournitures autres</v>
      </c>
      <c r="B441" s="3"/>
      <c r="C441" s="38"/>
      <c r="D441" s="38"/>
      <c r="E441" s="38"/>
      <c r="F441" s="38"/>
      <c r="G441" s="38"/>
      <c r="H441" s="38"/>
      <c r="I441" s="38"/>
      <c r="J441" s="38"/>
      <c r="K441" s="38"/>
      <c r="L441" s="38"/>
      <c r="M441" s="38"/>
      <c r="N441" s="38"/>
      <c r="O441" s="38"/>
      <c r="P441" s="629"/>
      <c r="Q441" s="94"/>
      <c r="R441" s="38"/>
      <c r="S441" s="38"/>
      <c r="T441" s="38"/>
      <c r="U441" s="38"/>
      <c r="V441" s="312" t="s">
        <v>135</v>
      </c>
      <c r="W441" s="463" t="s">
        <v>626</v>
      </c>
      <c r="X441" s="456"/>
      <c r="Y441" s="464"/>
      <c r="Z441" s="457">
        <f t="shared" si="121"/>
        <v>10505.380311111114</v>
      </c>
      <c r="AA441" s="456"/>
      <c r="AB441" s="464"/>
      <c r="AC441" s="457"/>
      <c r="AD441" s="465"/>
      <c r="AE441" s="464"/>
      <c r="AF441" s="457">
        <f t="shared" si="122"/>
        <v>10895.169999999998</v>
      </c>
      <c r="AG441" s="458"/>
      <c r="AH441" s="459">
        <f t="shared" si="114"/>
        <v>389.78968888888448</v>
      </c>
      <c r="AI441" s="460">
        <f t="shared" si="123"/>
        <v>3.7103815125723701E-2</v>
      </c>
      <c r="AJ441" s="465"/>
      <c r="AK441" s="456"/>
      <c r="AL441" s="457">
        <f t="shared" si="124"/>
        <v>14117.859999999999</v>
      </c>
      <c r="AM441" s="461"/>
      <c r="AN441" s="459">
        <f t="shared" si="119"/>
        <v>-3222.6900000000005</v>
      </c>
      <c r="AO441" s="466">
        <f t="shared" si="120"/>
        <v>-0.22827043192098526</v>
      </c>
      <c r="AP441" s="94"/>
      <c r="AQ441" s="622">
        <v>30518.469999999998</v>
      </c>
      <c r="AR441" s="512">
        <f t="shared" si="112"/>
        <v>-19623.3</v>
      </c>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tr">
        <f t="shared" si="125"/>
        <v>Uniformes</v>
      </c>
      <c r="B442" s="3"/>
      <c r="C442" s="38"/>
      <c r="D442" s="38"/>
      <c r="E442" s="38"/>
      <c r="F442" s="38"/>
      <c r="G442" s="38"/>
      <c r="H442" s="38"/>
      <c r="I442" s="38"/>
      <c r="J442" s="38"/>
      <c r="K442" s="38"/>
      <c r="L442" s="38"/>
      <c r="M442" s="38"/>
      <c r="N442" s="38"/>
      <c r="O442" s="38"/>
      <c r="Q442" s="94"/>
      <c r="S442" s="38"/>
      <c r="T442" s="38"/>
      <c r="U442" s="38"/>
      <c r="V442" s="312" t="s">
        <v>136</v>
      </c>
      <c r="W442" s="463" t="s">
        <v>627</v>
      </c>
      <c r="X442" s="456"/>
      <c r="Y442" s="456"/>
      <c r="Z442" s="457">
        <f t="shared" si="121"/>
        <v>2667.5974802395008</v>
      </c>
      <c r="AA442" s="456"/>
      <c r="AB442" s="456"/>
      <c r="AC442" s="457"/>
      <c r="AD442" s="465"/>
      <c r="AE442" s="464"/>
      <c r="AF442" s="457">
        <f t="shared" si="122"/>
        <v>2168.5099999999998</v>
      </c>
      <c r="AG442" s="458"/>
      <c r="AH442" s="459">
        <f t="shared" si="114"/>
        <v>-499.08748023950102</v>
      </c>
      <c r="AI442" s="479">
        <f t="shared" si="123"/>
        <v>-0.18709249950059639</v>
      </c>
      <c r="AJ442" s="465"/>
      <c r="AK442" s="456"/>
      <c r="AL442" s="457">
        <f t="shared" si="124"/>
        <v>2114.31</v>
      </c>
      <c r="AM442" s="461"/>
      <c r="AN442" s="459">
        <f t="shared" si="119"/>
        <v>54.199999999999818</v>
      </c>
      <c r="AO442" s="466">
        <f t="shared" si="120"/>
        <v>2.5634840680883987E-2</v>
      </c>
      <c r="AP442" s="94"/>
      <c r="AQ442" s="622">
        <v>14808.84</v>
      </c>
      <c r="AR442" s="512">
        <f t="shared" si="112"/>
        <v>-12640.33</v>
      </c>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tr">
        <f t="shared" si="125"/>
        <v>Papeterie</v>
      </c>
      <c r="B443" s="3"/>
      <c r="C443" s="38"/>
      <c r="D443" s="38"/>
      <c r="E443" s="38"/>
      <c r="F443" s="38"/>
      <c r="G443" s="38"/>
      <c r="H443" s="38"/>
      <c r="I443" s="38"/>
      <c r="J443" s="38"/>
      <c r="K443" s="38"/>
      <c r="L443" s="38"/>
      <c r="M443" s="38"/>
      <c r="N443" s="38"/>
      <c r="O443" s="38"/>
      <c r="P443" s="629"/>
      <c r="Q443" s="94"/>
      <c r="R443" s="38"/>
      <c r="S443" s="38"/>
      <c r="T443" s="38"/>
      <c r="U443" s="38"/>
      <c r="V443" s="312" t="s">
        <v>137</v>
      </c>
      <c r="W443" s="463" t="s">
        <v>628</v>
      </c>
      <c r="X443" s="456"/>
      <c r="Y443" s="456"/>
      <c r="Z443" s="457">
        <f t="shared" si="121"/>
        <v>5521.5007709319998</v>
      </c>
      <c r="AA443" s="456"/>
      <c r="AB443" s="456"/>
      <c r="AC443" s="457"/>
      <c r="AD443" s="465"/>
      <c r="AE443" s="464"/>
      <c r="AF443" s="457">
        <f t="shared" si="122"/>
        <v>3761.51</v>
      </c>
      <c r="AG443" s="458"/>
      <c r="AH443" s="459">
        <f t="shared" si="114"/>
        <v>-1759.9907709319996</v>
      </c>
      <c r="AI443" s="460">
        <f t="shared" si="123"/>
        <v>-0.31875224580199102</v>
      </c>
      <c r="AJ443" s="465"/>
      <c r="AK443" s="456"/>
      <c r="AL443" s="457">
        <f t="shared" si="124"/>
        <v>5537.09</v>
      </c>
      <c r="AM443" s="461"/>
      <c r="AN443" s="459">
        <f t="shared" si="119"/>
        <v>-1775.58</v>
      </c>
      <c r="AO443" s="466">
        <f t="shared" si="120"/>
        <v>-0.32067024375619685</v>
      </c>
      <c r="AP443" s="94"/>
      <c r="AQ443" s="622">
        <v>30323.510000000002</v>
      </c>
      <c r="AR443" s="512">
        <f t="shared" si="112"/>
        <v>-26562</v>
      </c>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tr">
        <f t="shared" si="125"/>
        <v>Téléphone</v>
      </c>
      <c r="B444" s="3"/>
      <c r="C444" s="38"/>
      <c r="D444" s="38"/>
      <c r="E444" s="38"/>
      <c r="F444" s="38"/>
      <c r="G444" s="38"/>
      <c r="H444" s="38"/>
      <c r="I444" s="38"/>
      <c r="J444" s="38"/>
      <c r="K444" s="38"/>
      <c r="L444" s="38"/>
      <c r="M444" s="38"/>
      <c r="N444" s="38"/>
      <c r="O444" s="38"/>
      <c r="P444" s="38"/>
      <c r="Q444" s="94"/>
      <c r="S444" s="38"/>
      <c r="T444" s="38"/>
      <c r="U444" s="38"/>
      <c r="V444" s="312" t="s">
        <v>138</v>
      </c>
      <c r="W444" s="463" t="s">
        <v>629</v>
      </c>
      <c r="X444" s="456"/>
      <c r="Y444" s="456"/>
      <c r="Z444" s="457">
        <f t="shared" si="121"/>
        <v>1469.3615207373889</v>
      </c>
      <c r="AA444" s="456"/>
      <c r="AB444" s="456"/>
      <c r="AC444" s="457"/>
      <c r="AD444" s="465"/>
      <c r="AE444" s="464"/>
      <c r="AF444" s="457">
        <f t="shared" si="122"/>
        <v>1925.08</v>
      </c>
      <c r="AG444" s="458"/>
      <c r="AH444" s="459">
        <f t="shared" si="114"/>
        <v>455.71847926261103</v>
      </c>
      <c r="AI444" s="479">
        <f t="shared" si="123"/>
        <v>0.31014728018324034</v>
      </c>
      <c r="AJ444" s="465"/>
      <c r="AK444" s="456"/>
      <c r="AL444" s="457">
        <f t="shared" si="124"/>
        <v>1320.0500000000002</v>
      </c>
      <c r="AM444" s="461"/>
      <c r="AN444" s="459">
        <f t="shared" si="119"/>
        <v>605.02999999999975</v>
      </c>
      <c r="AO444" s="466">
        <f t="shared" si="120"/>
        <v>0.45833869929169324</v>
      </c>
      <c r="AP444" s="94"/>
      <c r="AQ444" s="622">
        <v>8588.4900000000016</v>
      </c>
      <c r="AR444" s="512">
        <f t="shared" si="112"/>
        <v>-6663.4100000000017</v>
      </c>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tr">
        <f t="shared" si="125"/>
        <v>Frais postaux</v>
      </c>
      <c r="B445" s="3"/>
      <c r="C445" s="38"/>
      <c r="D445" s="38"/>
      <c r="E445" s="38"/>
      <c r="F445" s="38"/>
      <c r="G445" s="38"/>
      <c r="H445" s="38"/>
      <c r="I445" s="38"/>
      <c r="J445" s="38"/>
      <c r="K445" s="38"/>
      <c r="L445" s="38"/>
      <c r="M445" s="38"/>
      <c r="N445" s="38"/>
      <c r="O445" s="38"/>
      <c r="P445" s="38"/>
      <c r="Q445" s="94"/>
      <c r="S445" s="38"/>
      <c r="T445" s="38"/>
      <c r="U445" s="38"/>
      <c r="V445" s="312" t="s">
        <v>139</v>
      </c>
      <c r="W445" s="463" t="s">
        <v>630</v>
      </c>
      <c r="X445" s="456"/>
      <c r="Y445" s="456"/>
      <c r="Z445" s="457">
        <f t="shared" si="121"/>
        <v>470.42312430261092</v>
      </c>
      <c r="AA445" s="456"/>
      <c r="AB445" s="456"/>
      <c r="AC445" s="457"/>
      <c r="AD445" s="465"/>
      <c r="AE445" s="464"/>
      <c r="AF445" s="457">
        <f t="shared" si="122"/>
        <v>2331.29</v>
      </c>
      <c r="AG445" s="458"/>
      <c r="AH445" s="459">
        <f t="shared" si="114"/>
        <v>1860.8668756973891</v>
      </c>
      <c r="AI445" s="460">
        <f t="shared" si="123"/>
        <v>3.9557300216822293</v>
      </c>
      <c r="AJ445" s="465"/>
      <c r="AK445" s="456"/>
      <c r="AL445" s="457">
        <f t="shared" si="124"/>
        <v>790.44</v>
      </c>
      <c r="AM445" s="461"/>
      <c r="AN445" s="459">
        <f t="shared" si="119"/>
        <v>1540.85</v>
      </c>
      <c r="AO445" s="466">
        <f t="shared" si="120"/>
        <v>1.9493573199736853</v>
      </c>
      <c r="AP445" s="94"/>
      <c r="AQ445" s="622">
        <v>3965.16</v>
      </c>
      <c r="AR445" s="512">
        <f t="shared" si="112"/>
        <v>-1633.87</v>
      </c>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tr">
        <f t="shared" si="125"/>
        <v>Divers</v>
      </c>
      <c r="B446" s="3"/>
      <c r="C446" s="38"/>
      <c r="D446" s="38"/>
      <c r="E446" s="38"/>
      <c r="F446" s="38"/>
      <c r="G446" s="38"/>
      <c r="H446" s="38"/>
      <c r="I446" s="38"/>
      <c r="J446" s="38"/>
      <c r="K446" s="38"/>
      <c r="L446" s="38"/>
      <c r="M446" s="38"/>
      <c r="N446" s="38"/>
      <c r="O446" s="38"/>
      <c r="P446" s="38"/>
      <c r="Q446" s="94"/>
      <c r="R446" s="38"/>
      <c r="S446" s="38"/>
      <c r="T446" s="38"/>
      <c r="U446" s="38"/>
      <c r="V446" s="312" t="s">
        <v>140</v>
      </c>
      <c r="W446" s="463" t="s">
        <v>631</v>
      </c>
      <c r="X446" s="456"/>
      <c r="Y446" s="464"/>
      <c r="Z446" s="457">
        <f t="shared" si="121"/>
        <v>1440.7783972996112</v>
      </c>
      <c r="AA446" s="456"/>
      <c r="AB446" s="464"/>
      <c r="AC446" s="457"/>
      <c r="AD446" s="465"/>
      <c r="AE446" s="464"/>
      <c r="AF446" s="457">
        <f t="shared" si="122"/>
        <v>501.96999999999997</v>
      </c>
      <c r="AG446" s="458"/>
      <c r="AH446" s="459">
        <f t="shared" si="114"/>
        <v>-938.80839729961122</v>
      </c>
      <c r="AI446" s="479">
        <f t="shared" si="123"/>
        <v>-0.65159805217733646</v>
      </c>
      <c r="AJ446" s="465"/>
      <c r="AK446" s="456"/>
      <c r="AL446" s="457">
        <f t="shared" si="124"/>
        <v>965.39</v>
      </c>
      <c r="AM446" s="461"/>
      <c r="AN446" s="459">
        <f t="shared" si="119"/>
        <v>-463.42</v>
      </c>
      <c r="AO446" s="466">
        <f t="shared" si="120"/>
        <v>-0.48003397590611052</v>
      </c>
      <c r="AP446" s="94"/>
      <c r="AQ446" s="622">
        <v>9676.7800000000007</v>
      </c>
      <c r="AR446" s="512">
        <f t="shared" si="112"/>
        <v>-9174.8100000000013</v>
      </c>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tr">
        <f t="shared" si="125"/>
        <v>Formation</v>
      </c>
      <c r="B447" s="3"/>
      <c r="C447" s="38"/>
      <c r="D447" s="38"/>
      <c r="E447" s="38"/>
      <c r="F447" s="38"/>
      <c r="G447" s="38"/>
      <c r="H447" s="38"/>
      <c r="I447" s="38"/>
      <c r="J447" s="38"/>
      <c r="K447" s="38"/>
      <c r="L447" s="38"/>
      <c r="M447" s="38"/>
      <c r="N447" s="38"/>
      <c r="O447" s="38"/>
      <c r="P447" s="38"/>
      <c r="Q447" s="94"/>
      <c r="R447" s="38"/>
      <c r="S447" s="38"/>
      <c r="T447" s="38"/>
      <c r="U447" s="38"/>
      <c r="V447" s="312" t="s">
        <v>141</v>
      </c>
      <c r="W447" s="463" t="s">
        <v>632</v>
      </c>
      <c r="X447" s="456"/>
      <c r="Y447" s="464"/>
      <c r="Z447" s="457">
        <f t="shared" si="121"/>
        <v>11548.274087101532</v>
      </c>
      <c r="AA447" s="456"/>
      <c r="AB447" s="464"/>
      <c r="AC447" s="457"/>
      <c r="AD447" s="465"/>
      <c r="AE447" s="464"/>
      <c r="AF447" s="457">
        <f t="shared" si="122"/>
        <v>4966.8200000000006</v>
      </c>
      <c r="AG447" s="458"/>
      <c r="AH447" s="1015">
        <f t="shared" si="114"/>
        <v>-6581.4540871015315</v>
      </c>
      <c r="AI447" s="460">
        <f t="shared" si="123"/>
        <v>-0.56990802586271072</v>
      </c>
      <c r="AJ447" s="465"/>
      <c r="AK447" s="456"/>
      <c r="AL447" s="457">
        <f t="shared" si="124"/>
        <v>10548.289999999999</v>
      </c>
      <c r="AM447" s="461"/>
      <c r="AN447" s="459">
        <f t="shared" si="119"/>
        <v>-5581.4699999999984</v>
      </c>
      <c r="AO447" s="466">
        <f t="shared" si="120"/>
        <v>-0.52913505411777628</v>
      </c>
      <c r="AP447" s="94"/>
      <c r="AQ447" s="622">
        <v>39202.850000000006</v>
      </c>
      <c r="AR447" s="512">
        <f t="shared" si="112"/>
        <v>-34236.030000000006</v>
      </c>
      <c r="AS447" s="38"/>
      <c r="AT447" s="38"/>
      <c r="AU447" s="38"/>
      <c r="AV447" s="38"/>
      <c r="AW447" s="38"/>
      <c r="AX447" s="38"/>
      <c r="AY447" s="38"/>
      <c r="AZ447" s="38"/>
      <c r="BA447" s="38"/>
      <c r="BB447" s="38"/>
      <c r="BC447" s="38"/>
      <c r="BD447" s="38"/>
      <c r="BE447" s="38"/>
      <c r="BF447" s="38"/>
      <c r="BG447" s="38"/>
      <c r="BH447" s="38"/>
      <c r="BI447" s="38"/>
      <c r="BJ447" s="38"/>
    </row>
    <row r="448" spans="1:62" ht="15" customHeight="1">
      <c r="A448" s="5" t="str">
        <f t="shared" si="125"/>
        <v>Frais bancaires</v>
      </c>
      <c r="B448" s="3"/>
      <c r="C448" s="38"/>
      <c r="D448" s="38"/>
      <c r="E448" s="38"/>
      <c r="F448" s="38"/>
      <c r="G448" s="38"/>
      <c r="H448" s="38"/>
      <c r="I448" s="38"/>
      <c r="J448" s="38"/>
      <c r="K448" s="38"/>
      <c r="L448" s="38"/>
      <c r="M448" s="38"/>
      <c r="N448" s="38"/>
      <c r="O448" s="38"/>
      <c r="P448" s="38"/>
      <c r="Q448" s="94"/>
      <c r="R448" s="38"/>
      <c r="S448" s="38"/>
      <c r="T448" s="38"/>
      <c r="U448" s="38"/>
      <c r="V448" s="312" t="s">
        <v>142</v>
      </c>
      <c r="W448" s="463" t="s">
        <v>633</v>
      </c>
      <c r="X448" s="456"/>
      <c r="Y448" s="464"/>
      <c r="Z448" s="457">
        <f t="shared" si="121"/>
        <v>12335.515420182905</v>
      </c>
      <c r="AA448" s="456"/>
      <c r="AB448" s="464"/>
      <c r="AC448" s="457"/>
      <c r="AD448" s="465"/>
      <c r="AE448" s="464"/>
      <c r="AF448" s="441">
        <f>SUMIFS(BV_Data_An_Cour!$P:$P,BV_Data_An_Cour!$V:$V,$V448)</f>
        <v>11049.850000000002</v>
      </c>
      <c r="AG448" s="458"/>
      <c r="AH448" s="962">
        <f t="shared" si="114"/>
        <v>-1285.6654201829024</v>
      </c>
      <c r="AI448" s="460">
        <f t="shared" si="123"/>
        <v>-0.10422470212143266</v>
      </c>
      <c r="AJ448" s="465"/>
      <c r="AK448" s="456"/>
      <c r="AL448" s="457" cm="1">
        <f t="array" ref="AL448">+SUMPRODUCT(('Réel 2024'!$A$8:$A$501=$A448)*('Réel 2024'!$C$3:$AO$3=Z$2),'Réel 2024'!$C$8:$AO$501)</f>
        <v>12294.82</v>
      </c>
      <c r="AM448" s="461"/>
      <c r="AN448" s="459">
        <f t="shared" si="119"/>
        <v>-1244.9699999999975</v>
      </c>
      <c r="AO448" s="466">
        <f t="shared" si="120"/>
        <v>-0.10125971750704749</v>
      </c>
      <c r="AP448" s="94"/>
      <c r="AQ448" s="623">
        <v>99368.799999999988</v>
      </c>
      <c r="AR448" s="620">
        <f t="shared" si="112"/>
        <v>-88318.949999999983</v>
      </c>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tr">
        <f t="shared" si="125"/>
        <v>[...]</v>
      </c>
      <c r="B449" s="3"/>
      <c r="C449" s="38"/>
      <c r="D449" s="38"/>
      <c r="E449" s="38"/>
      <c r="F449" s="38"/>
      <c r="G449" s="38"/>
      <c r="H449" s="38"/>
      <c r="I449" s="38"/>
      <c r="J449" s="38"/>
      <c r="K449" s="38"/>
      <c r="L449" s="38"/>
      <c r="M449" s="38"/>
      <c r="N449" s="38"/>
      <c r="O449" s="38"/>
      <c r="P449" s="38"/>
      <c r="Q449" s="94"/>
      <c r="R449" s="38"/>
      <c r="S449" s="38"/>
      <c r="T449" s="38"/>
      <c r="U449" s="38"/>
      <c r="V449" s="312" t="s">
        <v>59</v>
      </c>
      <c r="W449" s="463"/>
      <c r="X449" s="456"/>
      <c r="Y449" s="464"/>
      <c r="Z449" s="457">
        <f t="shared" si="121"/>
        <v>0</v>
      </c>
      <c r="AA449" s="456"/>
      <c r="AB449" s="464"/>
      <c r="AC449" s="457"/>
      <c r="AD449" s="465"/>
      <c r="AE449" s="464"/>
      <c r="AF449" s="457">
        <f>+SUMIF($C:$C,$V449,L:L)</f>
        <v>0</v>
      </c>
      <c r="AG449" s="458"/>
      <c r="AH449" s="459">
        <f t="shared" si="114"/>
        <v>0</v>
      </c>
      <c r="AI449" s="460">
        <f t="shared" si="123"/>
        <v>0</v>
      </c>
      <c r="AJ449" s="465"/>
      <c r="AK449" s="456"/>
      <c r="AL449" s="457"/>
      <c r="AM449" s="461"/>
      <c r="AN449" s="459">
        <f t="shared" si="119"/>
        <v>0</v>
      </c>
      <c r="AO449" s="466">
        <f t="shared" si="120"/>
        <v>0</v>
      </c>
      <c r="AP449" s="94"/>
      <c r="AQ449" s="622">
        <v>0</v>
      </c>
      <c r="AR449" s="512">
        <f t="shared" si="112"/>
        <v>0</v>
      </c>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tr">
        <f t="shared" si="125"/>
        <v>[...]</v>
      </c>
      <c r="B450" s="3"/>
      <c r="C450" s="38"/>
      <c r="D450" s="38"/>
      <c r="E450" s="38"/>
      <c r="F450" s="38"/>
      <c r="G450" s="38"/>
      <c r="H450" s="38"/>
      <c r="I450" s="38"/>
      <c r="J450" s="38"/>
      <c r="K450" s="38"/>
      <c r="L450" s="38"/>
      <c r="M450" s="38"/>
      <c r="N450" s="38"/>
      <c r="O450" s="38"/>
      <c r="P450" s="38"/>
      <c r="Q450" s="94"/>
      <c r="R450" s="38"/>
      <c r="S450" s="38"/>
      <c r="T450" s="38"/>
      <c r="U450" s="38"/>
      <c r="V450" s="312" t="s">
        <v>59</v>
      </c>
      <c r="W450" s="463"/>
      <c r="X450" s="456"/>
      <c r="Y450" s="464"/>
      <c r="Z450" s="457">
        <f t="shared" si="121"/>
        <v>0</v>
      </c>
      <c r="AA450" s="456"/>
      <c r="AB450" s="464"/>
      <c r="AC450" s="457"/>
      <c r="AD450" s="465"/>
      <c r="AE450" s="464"/>
      <c r="AF450" s="457">
        <f>+SUMIF($C:$C,$V450,L:L)</f>
        <v>0</v>
      </c>
      <c r="AG450" s="458"/>
      <c r="AH450" s="459">
        <f t="shared" si="114"/>
        <v>0</v>
      </c>
      <c r="AI450" s="460">
        <f t="shared" si="123"/>
        <v>0</v>
      </c>
      <c r="AJ450" s="465"/>
      <c r="AK450" s="456"/>
      <c r="AL450" s="457"/>
      <c r="AM450" s="461"/>
      <c r="AN450" s="459">
        <f t="shared" si="119"/>
        <v>0</v>
      </c>
      <c r="AO450" s="466">
        <f t="shared" si="120"/>
        <v>0</v>
      </c>
      <c r="AP450" s="94"/>
      <c r="AQ450" s="622">
        <v>0</v>
      </c>
      <c r="AR450" s="512">
        <f t="shared" si="112"/>
        <v>0</v>
      </c>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tr">
        <f t="shared" si="125"/>
        <v>[...]</v>
      </c>
      <c r="B451" s="3"/>
      <c r="C451" s="38"/>
      <c r="D451" s="38"/>
      <c r="E451" s="38"/>
      <c r="F451" s="38"/>
      <c r="G451" s="38"/>
      <c r="H451" s="38"/>
      <c r="I451" s="38"/>
      <c r="J451" s="38"/>
      <c r="K451" s="38"/>
      <c r="L451" s="38"/>
      <c r="M451" s="38"/>
      <c r="N451" s="38"/>
      <c r="O451" s="38"/>
      <c r="P451" s="629"/>
      <c r="Q451" s="94"/>
      <c r="R451" s="38"/>
      <c r="S451" s="38"/>
      <c r="T451" s="38"/>
      <c r="U451" s="38"/>
      <c r="V451" s="312" t="s">
        <v>59</v>
      </c>
      <c r="W451" s="463"/>
      <c r="X451" s="456"/>
      <c r="Y451" s="464"/>
      <c r="Z451" s="457">
        <f t="shared" si="121"/>
        <v>0</v>
      </c>
      <c r="AA451" s="456"/>
      <c r="AB451" s="464"/>
      <c r="AC451" s="457"/>
      <c r="AD451" s="465"/>
      <c r="AE451" s="464"/>
      <c r="AF451" s="457">
        <f>+SUMIF($C:$C,$V451,L:L)</f>
        <v>0</v>
      </c>
      <c r="AG451" s="458"/>
      <c r="AH451" s="459">
        <f t="shared" si="114"/>
        <v>0</v>
      </c>
      <c r="AI451" s="460">
        <f t="shared" si="123"/>
        <v>0</v>
      </c>
      <c r="AJ451" s="465"/>
      <c r="AK451" s="456"/>
      <c r="AL451" s="457"/>
      <c r="AM451" s="461"/>
      <c r="AN451" s="459">
        <f t="shared" si="119"/>
        <v>0</v>
      </c>
      <c r="AO451" s="466">
        <f t="shared" si="120"/>
        <v>0</v>
      </c>
      <c r="AP451" s="94"/>
      <c r="AQ451" s="622">
        <v>0</v>
      </c>
      <c r="AR451" s="512">
        <f t="shared" si="112"/>
        <v>0</v>
      </c>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tr">
        <f t="shared" si="125"/>
        <v>TOTAL SEMI-FIXES</v>
      </c>
      <c r="B452" s="3"/>
      <c r="C452" s="38"/>
      <c r="D452" s="38"/>
      <c r="E452" s="38"/>
      <c r="F452" s="38"/>
      <c r="G452" s="38"/>
      <c r="H452" s="38"/>
      <c r="I452" s="38"/>
      <c r="J452" s="38"/>
      <c r="K452" s="38"/>
      <c r="L452" s="38"/>
      <c r="M452" s="38"/>
      <c r="N452" s="38"/>
      <c r="O452" s="38"/>
      <c r="P452" s="38"/>
      <c r="Q452" s="94"/>
      <c r="R452" s="38"/>
      <c r="S452" s="38"/>
      <c r="T452" s="38"/>
      <c r="U452" s="38"/>
      <c r="V452" s="471" t="s">
        <v>143</v>
      </c>
      <c r="W452" s="493"/>
      <c r="X452" s="473">
        <f>Z452/+Z407</f>
        <v>0.22684794105572065</v>
      </c>
      <c r="Y452" s="472"/>
      <c r="Z452" s="474">
        <f>+SUM(Z434:Z451)</f>
        <v>247043.46223162144</v>
      </c>
      <c r="AA452" s="473"/>
      <c r="AB452" s="472"/>
      <c r="AC452" s="474"/>
      <c r="AD452" s="475">
        <f>AF452/AF407</f>
        <v>0.26827038518426705</v>
      </c>
      <c r="AE452" s="472"/>
      <c r="AF452" s="474">
        <f>+SUM(AF434:AF451)</f>
        <v>276725.31</v>
      </c>
      <c r="AG452" s="481"/>
      <c r="AH452" s="1012">
        <f>+SUM(AH434:AH451)</f>
        <v>29681.847768378568</v>
      </c>
      <c r="AI452" s="473">
        <f>AH452/Z452</f>
        <v>0.12014828281733539</v>
      </c>
      <c r="AJ452" s="475">
        <f>IF($AL$407=0,0,AL452/$AL$407)</f>
        <v>0.25091842949497539</v>
      </c>
      <c r="AK452" s="473"/>
      <c r="AL452" s="474">
        <f>+SUM(AL434:AL451)</f>
        <v>237948.90000000002</v>
      </c>
      <c r="AM452" s="482"/>
      <c r="AN452" s="477">
        <f>+SUM(AN434:AN451)</f>
        <v>38776.409999999989</v>
      </c>
      <c r="AO452" s="495">
        <f t="shared" si="120"/>
        <v>0.16296108113969002</v>
      </c>
      <c r="AP452" s="94"/>
      <c r="AQ452" s="624">
        <v>1279865.6600000001</v>
      </c>
      <c r="AR452" s="625">
        <f t="shared" si="112"/>
        <v>-1003140.3500000001</v>
      </c>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tr">
        <f t="shared" si="125"/>
        <v>Loyer</v>
      </c>
      <c r="B453" s="3"/>
      <c r="C453" s="38"/>
      <c r="D453" s="38"/>
      <c r="E453" s="38"/>
      <c r="F453" s="38"/>
      <c r="G453" s="38"/>
      <c r="H453" s="38"/>
      <c r="I453" s="38"/>
      <c r="J453" s="38"/>
      <c r="K453" s="38"/>
      <c r="L453" s="38"/>
      <c r="M453" s="38"/>
      <c r="N453" s="38"/>
      <c r="O453" s="38"/>
      <c r="P453" s="38"/>
      <c r="Q453" s="38"/>
      <c r="R453" s="38"/>
      <c r="S453" s="38"/>
      <c r="T453" s="38"/>
      <c r="U453" s="38"/>
      <c r="V453" s="312" t="s">
        <v>205</v>
      </c>
      <c r="W453" s="463" t="s">
        <v>634</v>
      </c>
      <c r="X453" s="456"/>
      <c r="Y453" s="464"/>
      <c r="Z453" s="457" cm="1">
        <f t="array" ref="Z453">+SUMPRODUCT(('Budget original'!$A$8:$A$501=$A453)*('Budget original'!$C$3:$AO$3=Z$2),'Budget original'!$C$8:$AO$501)</f>
        <v>72000</v>
      </c>
      <c r="AA453" s="456"/>
      <c r="AB453" s="464"/>
      <c r="AC453" s="457"/>
      <c r="AD453" s="465"/>
      <c r="AE453" s="464"/>
      <c r="AF453" s="457">
        <f>SUMIFS(BV_Data_An_Cour!$P:$P,BV_Data_An_Cour!$V:$V,$V453)</f>
        <v>72000</v>
      </c>
      <c r="AG453" s="458"/>
      <c r="AH453" s="459">
        <f t="shared" ref="AH453:AH461" si="126">AF453-Z453</f>
        <v>0</v>
      </c>
      <c r="AI453" s="460">
        <f t="shared" ref="AI453:AI461" si="127">IF(Z453=0,0,AH453/Z453)</f>
        <v>0</v>
      </c>
      <c r="AJ453" s="465"/>
      <c r="AK453" s="456"/>
      <c r="AL453" s="457" cm="1">
        <f t="array" ref="AL453">+SUMPRODUCT(('Réel 2024'!$A$8:$A$501=$A453)*('Réel 2024'!$C$3:$AO$3=Z$2),'Réel 2024'!$C$8:$AO$501)</f>
        <v>72000</v>
      </c>
      <c r="AM453" s="461"/>
      <c r="AN453" s="459">
        <f t="shared" ref="AN453:AN461" si="128">AF453-AL453</f>
        <v>0</v>
      </c>
      <c r="AO453" s="466">
        <f t="shared" si="120"/>
        <v>0</v>
      </c>
      <c r="AP453" s="94"/>
      <c r="AQ453" s="622">
        <v>312000</v>
      </c>
      <c r="AR453" s="512">
        <f t="shared" si="112"/>
        <v>-240000</v>
      </c>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tr">
        <f t="shared" si="125"/>
        <v>Taxes foncières</v>
      </c>
      <c r="B454" s="3"/>
      <c r="C454" s="38"/>
      <c r="D454" s="38"/>
      <c r="E454" s="38"/>
      <c r="F454" s="38"/>
      <c r="G454" s="38"/>
      <c r="H454" s="38"/>
      <c r="I454" s="38"/>
      <c r="J454" s="38"/>
      <c r="K454" s="38"/>
      <c r="L454" s="38"/>
      <c r="M454" s="38"/>
      <c r="N454" s="38"/>
      <c r="O454" s="38"/>
      <c r="P454" s="38"/>
      <c r="Q454" s="38"/>
      <c r="R454" s="38"/>
      <c r="S454" s="38"/>
      <c r="T454" s="38"/>
      <c r="U454" s="38"/>
      <c r="V454" s="312" t="s">
        <v>206</v>
      </c>
      <c r="W454" s="463" t="s">
        <v>635</v>
      </c>
      <c r="X454" s="456"/>
      <c r="Y454" s="464"/>
      <c r="Z454" s="457" cm="1">
        <f t="array" ref="Z454">+SUMPRODUCT(('Budget original'!$A$8:$A$501=$A454)*('Budget original'!$C$3:$AO$3=Z$2),'Budget original'!$C$8:$AO$501)</f>
        <v>10846.880000000001</v>
      </c>
      <c r="AA454" s="456"/>
      <c r="AB454" s="464"/>
      <c r="AC454" s="457"/>
      <c r="AD454" s="465"/>
      <c r="AE454" s="464"/>
      <c r="AF454" s="457">
        <f>SUMIFS(BV_Data_An_Cour!$P:$P,BV_Data_An_Cour!$V:$V,$V454)</f>
        <v>10846</v>
      </c>
      <c r="AG454" s="458"/>
      <c r="AH454" s="459">
        <f t="shared" si="126"/>
        <v>-0.88000000000101863</v>
      </c>
      <c r="AI454" s="460">
        <f t="shared" si="127"/>
        <v>-8.1129320136391167E-5</v>
      </c>
      <c r="AJ454" s="465"/>
      <c r="AK454" s="456"/>
      <c r="AL454" s="457" cm="1">
        <f t="array" ref="AL454">+SUMPRODUCT(('Réel 2024'!$A$8:$A$501=$A454)*('Réel 2024'!$C$3:$AO$3=Z$2),'Réel 2024'!$C$8:$AO$501)</f>
        <v>10354</v>
      </c>
      <c r="AM454" s="461"/>
      <c r="AN454" s="459">
        <f t="shared" si="128"/>
        <v>492</v>
      </c>
      <c r="AO454" s="466">
        <f t="shared" si="120"/>
        <v>4.7517867490824803E-2</v>
      </c>
      <c r="AP454" s="94"/>
      <c r="AQ454" s="622">
        <v>59160</v>
      </c>
      <c r="AR454" s="512">
        <f t="shared" si="112"/>
        <v>-48314</v>
      </c>
      <c r="AS454" s="38" t="s">
        <v>699</v>
      </c>
      <c r="AT454" s="38"/>
      <c r="AU454" s="38"/>
      <c r="AV454" s="38"/>
      <c r="AW454" s="38"/>
      <c r="AX454" s="38"/>
      <c r="AY454" s="38"/>
      <c r="AZ454" s="38"/>
      <c r="BA454" s="38"/>
      <c r="BB454" s="38"/>
      <c r="BC454" s="38"/>
      <c r="BD454" s="38"/>
      <c r="BE454" s="38"/>
      <c r="BF454" s="38"/>
      <c r="BG454" s="38"/>
      <c r="BH454" s="38"/>
      <c r="BI454" s="38"/>
      <c r="BJ454" s="38"/>
    </row>
    <row r="455" spans="1:62" ht="15.75" customHeight="1">
      <c r="A455" s="5" t="str">
        <f t="shared" si="125"/>
        <v>Taxes d`affaires</v>
      </c>
      <c r="B455" s="3"/>
      <c r="C455" s="38"/>
      <c r="D455" s="38"/>
      <c r="E455" s="38"/>
      <c r="F455" s="38"/>
      <c r="G455" s="38"/>
      <c r="H455" s="38"/>
      <c r="I455" s="38"/>
      <c r="J455" s="38"/>
      <c r="K455" s="38"/>
      <c r="L455" s="38"/>
      <c r="M455" s="38"/>
      <c r="N455" s="38"/>
      <c r="O455" s="38"/>
      <c r="P455" s="38"/>
      <c r="Q455" s="38"/>
      <c r="R455" s="38"/>
      <c r="S455" s="38"/>
      <c r="T455" s="38"/>
      <c r="U455" s="38"/>
      <c r="V455" s="313" t="s">
        <v>207</v>
      </c>
      <c r="W455" s="467" t="s">
        <v>636</v>
      </c>
      <c r="X455" s="440"/>
      <c r="Y455" s="468"/>
      <c r="Z455" s="441" cm="1">
        <f t="array" ref="Z455">+SUMPRODUCT(('Budget original'!$A$8:$A$501=$A455)*('Budget original'!$C$3:$AO$3=Z$2),'Budget original'!$C$8:$AO$501)</f>
        <v>7217.7600000000011</v>
      </c>
      <c r="AA455" s="440"/>
      <c r="AB455" s="468"/>
      <c r="AC455" s="441"/>
      <c r="AD455" s="469"/>
      <c r="AE455" s="468"/>
      <c r="AF455" s="441">
        <f>SUMIFS(BV_Data_An_Cour!$P:$P,BV_Data_An_Cour!$V:$V,$V455)</f>
        <v>8518</v>
      </c>
      <c r="AG455" s="442"/>
      <c r="AH455" s="443">
        <f t="shared" si="126"/>
        <v>1300.2399999999989</v>
      </c>
      <c r="AI455" s="470">
        <f t="shared" si="127"/>
        <v>0.18014453237569533</v>
      </c>
      <c r="AJ455" s="469"/>
      <c r="AK455" s="440"/>
      <c r="AL455" s="441" cm="1">
        <f t="array" ref="AL455">+SUMPRODUCT(('Réel 2024'!$A$8:$A$501=$A455)*('Réel 2024'!$C$3:$AO$3=Z$2),'Réel 2024'!$C$8:$AO$501)</f>
        <v>6890</v>
      </c>
      <c r="AM455" s="445"/>
      <c r="AN455" s="443">
        <f t="shared" si="128"/>
        <v>1628</v>
      </c>
      <c r="AO455" s="446">
        <f t="shared" si="120"/>
        <v>0.23628447024673441</v>
      </c>
      <c r="AP455" s="94"/>
      <c r="AQ455" s="623">
        <v>39360</v>
      </c>
      <c r="AR455" s="620">
        <f t="shared" si="112"/>
        <v>-30842</v>
      </c>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tr">
        <f t="shared" si="125"/>
        <v>Taxe sur le capital</v>
      </c>
      <c r="B456" s="3"/>
      <c r="C456" s="38"/>
      <c r="D456" s="38"/>
      <c r="E456" s="38"/>
      <c r="F456" s="38"/>
      <c r="G456" s="38"/>
      <c r="H456" s="38"/>
      <c r="I456" s="38"/>
      <c r="J456" s="38"/>
      <c r="K456" s="38"/>
      <c r="L456" s="38"/>
      <c r="M456" s="38"/>
      <c r="N456" s="38"/>
      <c r="O456" s="38"/>
      <c r="P456" s="38"/>
      <c r="Q456" s="38"/>
      <c r="R456" s="38"/>
      <c r="S456" s="38"/>
      <c r="T456" s="38"/>
      <c r="U456" s="38"/>
      <c r="V456" s="312" t="s">
        <v>208</v>
      </c>
      <c r="W456" s="463"/>
      <c r="X456" s="456"/>
      <c r="Y456" s="464"/>
      <c r="Z456" s="457" cm="1">
        <f t="array" ref="Z456">+SUMPRODUCT(('Budget original'!$A$8:$A$501=$A456)*('Budget original'!$C$3:$AO$3=Z$2),'Budget original'!$C$8:$AO$501)</f>
        <v>0</v>
      </c>
      <c r="AA456" s="456"/>
      <c r="AB456" s="464"/>
      <c r="AC456" s="457"/>
      <c r="AD456" s="465"/>
      <c r="AE456" s="464"/>
      <c r="AF456" s="457">
        <f>SUMIFS(BV_Data_An_Cour!$P:$P,BV_Data_An_Cour!$V:$V,$V456)</f>
        <v>0</v>
      </c>
      <c r="AG456" s="458"/>
      <c r="AH456" s="459">
        <f t="shared" si="126"/>
        <v>0</v>
      </c>
      <c r="AI456" s="460">
        <f t="shared" si="127"/>
        <v>0</v>
      </c>
      <c r="AJ456" s="465"/>
      <c r="AK456" s="456"/>
      <c r="AL456" s="457" cm="1">
        <f t="array" ref="AL456">+SUMPRODUCT(('Réel 2024'!$A$8:$A$501=$A456)*('Réel 2024'!$C$3:$AO$3=Z$2),'Réel 2024'!$C$8:$AO$501)</f>
        <v>0</v>
      </c>
      <c r="AM456" s="461"/>
      <c r="AN456" s="459">
        <f t="shared" si="128"/>
        <v>0</v>
      </c>
      <c r="AO456" s="466">
        <f t="shared" si="120"/>
        <v>0</v>
      </c>
      <c r="AP456" s="94"/>
      <c r="AQ456" s="622">
        <v>0</v>
      </c>
      <c r="AR456" s="512">
        <f t="shared" si="112"/>
        <v>0</v>
      </c>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tr">
        <f t="shared" si="125"/>
        <v>Assurances</v>
      </c>
      <c r="B457" s="3"/>
      <c r="C457" s="38"/>
      <c r="D457" s="38"/>
      <c r="E457" s="38"/>
      <c r="F457" s="38"/>
      <c r="G457" s="38"/>
      <c r="H457" s="38"/>
      <c r="I457" s="38"/>
      <c r="J457" s="38"/>
      <c r="K457" s="38"/>
      <c r="L457" s="38"/>
      <c r="M457" s="38"/>
      <c r="N457" s="38"/>
      <c r="O457" s="38"/>
      <c r="P457" s="38"/>
      <c r="Q457" s="38"/>
      <c r="R457" s="38"/>
      <c r="S457" s="38"/>
      <c r="T457" s="38"/>
      <c r="U457" s="38"/>
      <c r="V457" s="313" t="s">
        <v>209</v>
      </c>
      <c r="W457" s="467" t="s">
        <v>637</v>
      </c>
      <c r="X457" s="440"/>
      <c r="Y457" s="468"/>
      <c r="Z457" s="441" cm="1">
        <f t="array" ref="Z457">+SUMPRODUCT(('Budget original'!$A$8:$A$501=$A457)*('Budget original'!$C$3:$AO$3=Z$2),'Budget original'!$C$8:$AO$501)</f>
        <v>8688.5</v>
      </c>
      <c r="AA457" s="440"/>
      <c r="AB457" s="468"/>
      <c r="AC457" s="441"/>
      <c r="AD457" s="469"/>
      <c r="AE457" s="468"/>
      <c r="AF457" s="441">
        <f>SUMIF(BV_Data_An_Cour!$V:$V,Print_AAD!$V457,BV_Data_An_Cour!$P:$P)</f>
        <v>8688.5</v>
      </c>
      <c r="AG457" s="442"/>
      <c r="AH457" s="443">
        <f t="shared" si="126"/>
        <v>0</v>
      </c>
      <c r="AI457" s="470">
        <f t="shared" si="127"/>
        <v>0</v>
      </c>
      <c r="AJ457" s="469"/>
      <c r="AK457" s="440"/>
      <c r="AL457" s="441" cm="1">
        <f t="array" ref="AL457">+SUMPRODUCT(('Réel 2024'!$A$8:$A$501=$A457)*('Réel 2024'!$C$3:$AO$3=Z$2),'Réel 2024'!$C$8:$AO$501)</f>
        <v>7786.16</v>
      </c>
      <c r="AM457" s="445"/>
      <c r="AN457" s="443">
        <f t="shared" si="128"/>
        <v>902.34000000000015</v>
      </c>
      <c r="AO457" s="446">
        <f t="shared" si="120"/>
        <v>0.11589024628314858</v>
      </c>
      <c r="AP457" s="94"/>
      <c r="AQ457" s="623">
        <v>51252</v>
      </c>
      <c r="AR457" s="620">
        <f t="shared" si="112"/>
        <v>-42563.5</v>
      </c>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tr">
        <f t="shared" si="125"/>
        <v>Chauffage, éclairage</v>
      </c>
      <c r="B458" s="3"/>
      <c r="C458" s="38"/>
      <c r="D458" s="38"/>
      <c r="E458" s="38"/>
      <c r="F458" s="38"/>
      <c r="G458" s="38"/>
      <c r="H458" s="38"/>
      <c r="I458" s="38"/>
      <c r="J458" s="38"/>
      <c r="K458" s="38"/>
      <c r="L458" s="38"/>
      <c r="M458" s="38"/>
      <c r="N458" s="38"/>
      <c r="O458" s="38"/>
      <c r="P458" s="38"/>
      <c r="Q458" s="38"/>
      <c r="R458" s="38"/>
      <c r="S458" s="38"/>
      <c r="T458" s="38"/>
      <c r="U458" s="38"/>
      <c r="V458" s="312" t="s">
        <v>210</v>
      </c>
      <c r="W458" s="463" t="s">
        <v>638</v>
      </c>
      <c r="X458" s="496"/>
      <c r="Y458" s="497"/>
      <c r="Z458" s="457" cm="1">
        <f t="array" ref="Z458">+SUMPRODUCT(('Budget original'!$A$8:$A$501=$A458)*('Budget original'!$C$3:$AO$3=Z$2),'Budget original'!$C$8:$AO$501)</f>
        <v>7400</v>
      </c>
      <c r="AA458" s="496"/>
      <c r="AB458" s="497"/>
      <c r="AC458" s="457"/>
      <c r="AD458" s="465"/>
      <c r="AE458" s="464"/>
      <c r="AF458" s="457">
        <f>SUMIFS(BV_Data_An_Cour!$P:$P,BV_Data_An_Cour!$V:$V,$V458)</f>
        <v>18914.04</v>
      </c>
      <c r="AG458" s="458"/>
      <c r="AH458" s="459">
        <f t="shared" si="126"/>
        <v>11514.04</v>
      </c>
      <c r="AI458" s="460">
        <f t="shared" si="127"/>
        <v>1.5559513513513514</v>
      </c>
      <c r="AJ458" s="465"/>
      <c r="AK458" s="456"/>
      <c r="AL458" s="457" cm="1">
        <f t="array" ref="AL458">+SUMPRODUCT(('Réel 2024'!$A$8:$A$501=$A458)*('Réel 2024'!$C$3:$AO$3=Z$2),'Réel 2024'!$C$8:$AO$501)</f>
        <v>7428.2199999999993</v>
      </c>
      <c r="AM458" s="461"/>
      <c r="AN458" s="459">
        <f t="shared" si="128"/>
        <v>11485.820000000002</v>
      </c>
      <c r="AO458" s="466">
        <f t="shared" si="120"/>
        <v>1.5462412260272316</v>
      </c>
      <c r="AP458" s="94"/>
      <c r="AQ458" s="622">
        <v>28763.690000000002</v>
      </c>
      <c r="AR458" s="512">
        <f t="shared" si="112"/>
        <v>-9849.6500000000015</v>
      </c>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tr">
        <f t="shared" si="125"/>
        <v>Honoraires</v>
      </c>
      <c r="B459" s="3"/>
      <c r="C459" s="38"/>
      <c r="D459" s="38"/>
      <c r="E459" s="38"/>
      <c r="F459" s="38"/>
      <c r="G459" s="38"/>
      <c r="H459" s="38"/>
      <c r="I459" s="38"/>
      <c r="J459" s="38"/>
      <c r="K459" s="38"/>
      <c r="L459" s="38"/>
      <c r="M459" s="38"/>
      <c r="N459" s="38"/>
      <c r="O459" s="38"/>
      <c r="P459" s="38"/>
      <c r="Q459" s="38"/>
      <c r="R459" s="38"/>
      <c r="S459" s="38"/>
      <c r="T459" s="38"/>
      <c r="U459" s="38"/>
      <c r="V459" s="312" t="s">
        <v>211</v>
      </c>
      <c r="W459" s="463" t="s">
        <v>639</v>
      </c>
      <c r="X459" s="456"/>
      <c r="Y459" s="464"/>
      <c r="Z459" s="457" cm="1">
        <f t="array" ref="Z459">+SUMPRODUCT(('Budget original'!$A$8:$A$501=$A459)*('Budget original'!$C$3:$AO$3=Z$2),'Budget original'!$C$8:$AO$501)</f>
        <v>13568.1</v>
      </c>
      <c r="AA459" s="456"/>
      <c r="AB459" s="464"/>
      <c r="AC459" s="457"/>
      <c r="AD459" s="465"/>
      <c r="AE459" s="464"/>
      <c r="AF459" s="457">
        <f>SUMIFS(BV_Data_An_Cour!$P:$P,BV_Data_An_Cour!$V:$V,$V459)</f>
        <v>14264.62</v>
      </c>
      <c r="AG459" s="458"/>
      <c r="AH459" s="459">
        <f t="shared" si="126"/>
        <v>696.52000000000044</v>
      </c>
      <c r="AI459" s="460">
        <f t="shared" si="127"/>
        <v>5.1335116928678329E-2</v>
      </c>
      <c r="AJ459" s="465"/>
      <c r="AK459" s="456"/>
      <c r="AL459" s="457" cm="1">
        <f t="array" ref="AL459">+SUMPRODUCT(('Réel 2024'!$A$8:$A$501=$A459)*('Réel 2024'!$C$3:$AO$3=Z$2),'Réel 2024'!$C$8:$AO$501)</f>
        <v>12846.65999999998</v>
      </c>
      <c r="AM459" s="461"/>
      <c r="AN459" s="459">
        <f t="shared" si="128"/>
        <v>1417.960000000021</v>
      </c>
      <c r="AO459" s="466">
        <f t="shared" si="120"/>
        <v>0.11037577082292387</v>
      </c>
      <c r="AP459" s="94"/>
      <c r="AQ459" s="622">
        <v>73723.959999999992</v>
      </c>
      <c r="AR459" s="512">
        <f t="shared" si="112"/>
        <v>-59459.339999999989</v>
      </c>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tr">
        <f t="shared" si="125"/>
        <v>Réparation équipement</v>
      </c>
      <c r="B460" s="3"/>
      <c r="C460" s="38"/>
      <c r="D460" s="38"/>
      <c r="E460" s="38"/>
      <c r="F460" s="38"/>
      <c r="G460" s="38"/>
      <c r="H460" s="38"/>
      <c r="I460" s="38"/>
      <c r="J460" s="38"/>
      <c r="K460" s="38"/>
      <c r="L460" s="38"/>
      <c r="M460" s="38"/>
      <c r="N460" s="38"/>
      <c r="O460" s="38"/>
      <c r="P460" s="38"/>
      <c r="Q460" s="38"/>
      <c r="R460" s="38"/>
      <c r="S460" s="38"/>
      <c r="T460" s="38"/>
      <c r="U460" s="38"/>
      <c r="V460" s="313" t="s">
        <v>212</v>
      </c>
      <c r="W460" s="467" t="s">
        <v>640</v>
      </c>
      <c r="X460" s="440"/>
      <c r="Y460" s="468"/>
      <c r="Z460" s="441" cm="1">
        <f t="array" ref="Z460">+SUMPRODUCT(('Budget original'!$A$8:$A$501=$A460)*('Budget original'!$C$3:$AO$3=Z$2),'Budget original'!$C$8:$AO$501)</f>
        <v>2729.1246815290738</v>
      </c>
      <c r="AA460" s="440"/>
      <c r="AB460" s="468"/>
      <c r="AC460" s="441"/>
      <c r="AD460" s="469"/>
      <c r="AE460" s="468"/>
      <c r="AF460" s="441">
        <f>SUMIFS(BV_Data_An_Cour!$P:$P,BV_Data_An_Cour!$V:$V,$V460)</f>
        <v>486.24</v>
      </c>
      <c r="AG460" s="442"/>
      <c r="AH460" s="443">
        <f t="shared" si="126"/>
        <v>-2242.8846815290735</v>
      </c>
      <c r="AI460" s="470">
        <f t="shared" si="127"/>
        <v>-0.82183298429312879</v>
      </c>
      <c r="AJ460" s="469"/>
      <c r="AK460" s="440"/>
      <c r="AL460" s="441" cm="1">
        <f t="array" ref="AL460">+SUMPRODUCT(('Réel 2024'!$A$8:$A$501=$A460)*('Réel 2024'!$C$3:$AO$3=Z$2),'Réel 2024'!$C$8:$AO$501)</f>
        <v>1417.4</v>
      </c>
      <c r="AM460" s="445"/>
      <c r="AN460" s="443">
        <f t="shared" si="128"/>
        <v>-931.16000000000008</v>
      </c>
      <c r="AO460" s="446">
        <f t="shared" si="120"/>
        <v>-0.65694934386905601</v>
      </c>
      <c r="AP460" s="94"/>
      <c r="AQ460" s="623">
        <v>18683.22</v>
      </c>
      <c r="AR460" s="620">
        <f t="shared" si="112"/>
        <v>-18196.98</v>
      </c>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tr">
        <f t="shared" si="125"/>
        <v>Location équipement</v>
      </c>
      <c r="B461" s="3"/>
      <c r="C461" s="38"/>
      <c r="D461" s="38"/>
      <c r="E461" s="38"/>
      <c r="F461" s="38"/>
      <c r="G461" s="38"/>
      <c r="H461" s="38"/>
      <c r="I461" s="38"/>
      <c r="J461" s="38"/>
      <c r="K461" s="38"/>
      <c r="L461" s="38"/>
      <c r="M461" s="38"/>
      <c r="N461" s="38"/>
      <c r="O461" s="38"/>
      <c r="P461" s="38"/>
      <c r="Q461" s="38"/>
      <c r="R461" s="38"/>
      <c r="S461" s="38"/>
      <c r="T461" s="38"/>
      <c r="U461" s="80"/>
      <c r="V461" s="312" t="s">
        <v>213</v>
      </c>
      <c r="W461" s="463" t="s">
        <v>641</v>
      </c>
      <c r="X461" s="456"/>
      <c r="Y461" s="464"/>
      <c r="Z461" s="457" cm="1">
        <f t="array" ref="Z461">+SUMPRODUCT(('Budget original'!$A$8:$A$501=$A461)*('Budget original'!$C$3:$AO$3=Z$2),'Budget original'!$C$8:$AO$501)</f>
        <v>2000</v>
      </c>
      <c r="AA461" s="456"/>
      <c r="AB461" s="464"/>
      <c r="AC461" s="457"/>
      <c r="AD461" s="465"/>
      <c r="AE461" s="464"/>
      <c r="AF461" s="457">
        <f>SUMIFS(BV_Data_An_Cour!$P:$P,BV_Data_An_Cour!$V:$V,$V461)</f>
        <v>2371.83</v>
      </c>
      <c r="AG461" s="458"/>
      <c r="AH461" s="459">
        <f t="shared" si="126"/>
        <v>371.82999999999993</v>
      </c>
      <c r="AI461" s="498">
        <f t="shared" si="127"/>
        <v>0.18591499999999997</v>
      </c>
      <c r="AJ461" s="456"/>
      <c r="AK461" s="456"/>
      <c r="AL461" s="457" cm="1">
        <f t="array" ref="AL461">+SUMPRODUCT(('Réel 2024'!$A$8:$A$501=$A461)*('Réel 2024'!$C$3:$AO$3=Z$2),'Réel 2024'!$C$8:$AO$501)</f>
        <v>2338.19</v>
      </c>
      <c r="AM461" s="461"/>
      <c r="AN461" s="459">
        <f t="shared" si="128"/>
        <v>33.639999999999873</v>
      </c>
      <c r="AO461" s="466">
        <f t="shared" si="120"/>
        <v>1.4387196934380812E-2</v>
      </c>
      <c r="AP461" s="94"/>
      <c r="AQ461" s="622">
        <v>0</v>
      </c>
      <c r="AR461" s="512">
        <f t="shared" si="112"/>
        <v>2371.83</v>
      </c>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tr">
        <f t="shared" si="125"/>
        <v>Dons</v>
      </c>
      <c r="B462" s="3"/>
      <c r="C462" s="38"/>
      <c r="D462" s="38"/>
      <c r="E462" s="38"/>
      <c r="F462" s="38"/>
      <c r="G462" s="38"/>
      <c r="H462" s="38"/>
      <c r="I462" s="38"/>
      <c r="J462" s="38"/>
      <c r="K462" s="38"/>
      <c r="L462" s="38"/>
      <c r="M462" s="38"/>
      <c r="N462" s="38"/>
      <c r="O462" s="38"/>
      <c r="P462" s="38"/>
      <c r="Q462" s="38"/>
      <c r="R462" s="38"/>
      <c r="S462" s="38"/>
      <c r="T462" s="38"/>
      <c r="U462" s="80"/>
      <c r="V462" s="312" t="s">
        <v>214</v>
      </c>
      <c r="W462" s="463" t="s">
        <v>642</v>
      </c>
      <c r="X462" s="456"/>
      <c r="Y462" s="464"/>
      <c r="Z462" s="457" cm="1">
        <f t="array" ref="Z462">+SUMPRODUCT(('Budget original'!$A$8:$A$501=$A462)*('Budget original'!$C$3:$AO$3=Z$2),'Budget original'!$C$8:$AO$501)</f>
        <v>0</v>
      </c>
      <c r="AA462" s="456"/>
      <c r="AB462" s="464"/>
      <c r="AC462" s="457"/>
      <c r="AD462" s="465"/>
      <c r="AE462" s="464"/>
      <c r="AF462" s="457">
        <f>SUMIFS(BV_Data_An_Cour!$P:$P,BV_Data_An_Cour!$V:$V,$V462)</f>
        <v>0</v>
      </c>
      <c r="AG462" s="458"/>
      <c r="AH462" s="459">
        <v>0</v>
      </c>
      <c r="AI462" s="479">
        <v>0</v>
      </c>
      <c r="AJ462" s="456"/>
      <c r="AK462" s="456"/>
      <c r="AL462" s="457" cm="1">
        <f t="array" ref="AL462">+SUMPRODUCT(('Réel 2024'!$A$8:$A$501=$A462)*('Réel 2024'!$C$3:$AO$3=Z$2),'Réel 2024'!$C$8:$AO$501)</f>
        <v>0</v>
      </c>
      <c r="AM462" s="461"/>
      <c r="AN462" s="459">
        <v>0</v>
      </c>
      <c r="AO462" s="466">
        <v>0</v>
      </c>
      <c r="AP462" s="94"/>
      <c r="AQ462" s="622">
        <v>0</v>
      </c>
      <c r="AR462" s="512">
        <f t="shared" si="112"/>
        <v>0</v>
      </c>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tr">
        <f t="shared" si="125"/>
        <v>[...]</v>
      </c>
      <c r="B463" s="3"/>
      <c r="C463" s="38"/>
      <c r="D463" s="38"/>
      <c r="E463" s="38"/>
      <c r="F463" s="38"/>
      <c r="G463" s="38"/>
      <c r="H463" s="38"/>
      <c r="I463" s="38"/>
      <c r="J463" s="38"/>
      <c r="K463" s="38"/>
      <c r="L463" s="38"/>
      <c r="M463" s="38"/>
      <c r="N463" s="38"/>
      <c r="O463" s="38"/>
      <c r="P463" s="38"/>
      <c r="Q463" s="38"/>
      <c r="R463" s="38"/>
      <c r="S463" s="38"/>
      <c r="T463" s="38"/>
      <c r="U463" s="80"/>
      <c r="V463" s="312" t="s">
        <v>59</v>
      </c>
      <c r="W463" s="463"/>
      <c r="X463" s="456"/>
      <c r="Y463" s="464"/>
      <c r="Z463" s="457">
        <v>0</v>
      </c>
      <c r="AA463" s="456"/>
      <c r="AB463" s="464"/>
      <c r="AC463" s="457"/>
      <c r="AD463" s="465"/>
      <c r="AE463" s="464"/>
      <c r="AF463" s="457">
        <v>0</v>
      </c>
      <c r="AG463" s="458"/>
      <c r="AH463" s="459">
        <f>AF463-Z463</f>
        <v>0</v>
      </c>
      <c r="AI463" s="479">
        <f>IF(Z463=0,0,AH463/Z463)</f>
        <v>0</v>
      </c>
      <c r="AJ463" s="456"/>
      <c r="AK463" s="456"/>
      <c r="AL463" s="457">
        <v>0</v>
      </c>
      <c r="AM463" s="461"/>
      <c r="AN463" s="459">
        <v>0</v>
      </c>
      <c r="AO463" s="466">
        <v>1</v>
      </c>
      <c r="AP463" s="94"/>
      <c r="AQ463" s="622">
        <v>0</v>
      </c>
      <c r="AR463" s="512">
        <f t="shared" si="112"/>
        <v>0</v>
      </c>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tr">
        <f t="shared" si="125"/>
        <v>[...]</v>
      </c>
      <c r="B464" s="3"/>
      <c r="C464" s="38"/>
      <c r="D464" s="38"/>
      <c r="E464" s="38"/>
      <c r="F464" s="38"/>
      <c r="G464" s="38"/>
      <c r="H464" s="38"/>
      <c r="I464" s="38"/>
      <c r="J464" s="38"/>
      <c r="K464" s="38"/>
      <c r="L464" s="38"/>
      <c r="M464" s="38"/>
      <c r="N464" s="38"/>
      <c r="O464" s="38"/>
      <c r="P464" s="38"/>
      <c r="Q464" s="38"/>
      <c r="R464" s="38"/>
      <c r="S464" s="38"/>
      <c r="T464" s="38"/>
      <c r="U464" s="80"/>
      <c r="V464" s="312" t="s">
        <v>59</v>
      </c>
      <c r="W464" s="463"/>
      <c r="X464" s="456"/>
      <c r="Y464" s="464"/>
      <c r="Z464" s="457">
        <v>0</v>
      </c>
      <c r="AA464" s="456"/>
      <c r="AB464" s="464"/>
      <c r="AC464" s="457"/>
      <c r="AD464" s="465"/>
      <c r="AE464" s="464"/>
      <c r="AF464" s="457">
        <v>0</v>
      </c>
      <c r="AG464" s="458"/>
      <c r="AH464" s="459">
        <f>AF464-Z464</f>
        <v>0</v>
      </c>
      <c r="AI464" s="479">
        <f>IF(Z464=0,0,AH464/Z464)</f>
        <v>0</v>
      </c>
      <c r="AJ464" s="456"/>
      <c r="AK464" s="456"/>
      <c r="AL464" s="457">
        <v>0</v>
      </c>
      <c r="AM464" s="461"/>
      <c r="AN464" s="459">
        <v>0</v>
      </c>
      <c r="AO464" s="466">
        <v>2</v>
      </c>
      <c r="AP464" s="94"/>
      <c r="AQ464" s="622">
        <v>0</v>
      </c>
      <c r="AR464" s="512">
        <f t="shared" si="112"/>
        <v>0</v>
      </c>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tr">
        <f t="shared" si="125"/>
        <v>[...]</v>
      </c>
      <c r="B465" s="3"/>
      <c r="C465" s="38"/>
      <c r="D465" s="38"/>
      <c r="E465" s="38"/>
      <c r="F465" s="38"/>
      <c r="G465" s="38"/>
      <c r="H465" s="38"/>
      <c r="I465" s="38"/>
      <c r="J465" s="38"/>
      <c r="K465" s="38"/>
      <c r="L465" s="38"/>
      <c r="M465" s="38"/>
      <c r="N465" s="38"/>
      <c r="O465" s="38"/>
      <c r="P465" s="38"/>
      <c r="Q465" s="38"/>
      <c r="R465" s="38"/>
      <c r="S465" s="38"/>
      <c r="T465" s="38"/>
      <c r="U465" s="38"/>
      <c r="V465" s="312" t="s">
        <v>59</v>
      </c>
      <c r="W465" s="463"/>
      <c r="X465" s="456"/>
      <c r="Y465" s="464"/>
      <c r="Z465" s="457">
        <v>0</v>
      </c>
      <c r="AA465" s="456"/>
      <c r="AB465" s="464"/>
      <c r="AC465" s="457"/>
      <c r="AD465" s="465"/>
      <c r="AE465" s="464"/>
      <c r="AF465" s="457">
        <v>0</v>
      </c>
      <c r="AG465" s="458"/>
      <c r="AH465" s="459">
        <f>AF465-Z465</f>
        <v>0</v>
      </c>
      <c r="AI465" s="479">
        <f>IF(Z465=0,0,AH465/Z465)</f>
        <v>0</v>
      </c>
      <c r="AJ465" s="456"/>
      <c r="AK465" s="456"/>
      <c r="AL465" s="457">
        <v>0</v>
      </c>
      <c r="AM465" s="461"/>
      <c r="AN465" s="459">
        <v>0</v>
      </c>
      <c r="AO465" s="466">
        <v>3</v>
      </c>
      <c r="AP465" s="94"/>
      <c r="AQ465" s="622">
        <v>0</v>
      </c>
      <c r="AR465" s="512">
        <f t="shared" si="112"/>
        <v>0</v>
      </c>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tr">
        <f t="shared" si="125"/>
        <v>TOTAL DÉPENSES FIXES</v>
      </c>
      <c r="B466" s="3"/>
      <c r="C466" s="38"/>
      <c r="D466" s="38"/>
      <c r="E466" s="38"/>
      <c r="F466" s="38"/>
      <c r="G466" s="38"/>
      <c r="H466" s="38"/>
      <c r="I466" s="38"/>
      <c r="J466" s="38"/>
      <c r="K466" s="38"/>
      <c r="L466" s="38"/>
      <c r="M466" s="38"/>
      <c r="N466" s="38"/>
      <c r="O466" s="38"/>
      <c r="P466" s="38"/>
      <c r="Q466" s="38"/>
      <c r="R466" s="38"/>
      <c r="S466" s="38"/>
      <c r="T466" s="38"/>
      <c r="U466" s="38"/>
      <c r="V466" s="471" t="s">
        <v>215</v>
      </c>
      <c r="W466" s="472"/>
      <c r="X466" s="473">
        <f>Z466/+Z407</f>
        <v>0.11427668935909552</v>
      </c>
      <c r="Y466" s="472"/>
      <c r="Z466" s="474">
        <f>SUM(Z453:Z465)</f>
        <v>124450.36468152908</v>
      </c>
      <c r="AA466" s="473"/>
      <c r="AB466" s="472"/>
      <c r="AC466" s="474"/>
      <c r="AD466" s="475">
        <f>AF466/AF407</f>
        <v>0.13193122866690546</v>
      </c>
      <c r="AE466" s="472"/>
      <c r="AF466" s="474">
        <f>SUM(AF453:AF465)</f>
        <v>136089.22999999998</v>
      </c>
      <c r="AG466" s="481"/>
      <c r="AH466" s="1012">
        <f>SUM(AH453:AH465)</f>
        <v>11638.865318470924</v>
      </c>
      <c r="AI466" s="473">
        <f>IF(Z466=0,0,AH466/Z466)</f>
        <v>9.3522147148825216E-2</v>
      </c>
      <c r="AJ466" s="475">
        <f>IF($AL$407=0,0,AL466/$AL$407)</f>
        <v>0.12765910308167969</v>
      </c>
      <c r="AK466" s="473"/>
      <c r="AL466" s="474">
        <f>SUM(AL453:AL465)</f>
        <v>121060.62999999998</v>
      </c>
      <c r="AM466" s="482"/>
      <c r="AN466" s="477">
        <f>SUM(AN453:AN465)</f>
        <v>15028.600000000022</v>
      </c>
      <c r="AO466" s="495">
        <f t="shared" ref="AO466:AO483" si="129">IF(AL466=0,0,AN466/AL466)</f>
        <v>0.12414110185945691</v>
      </c>
      <c r="AP466" s="94"/>
      <c r="AQ466" s="624">
        <v>582942.87</v>
      </c>
      <c r="AR466" s="625">
        <f t="shared" si="112"/>
        <v>-446853.64</v>
      </c>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tr">
        <f t="shared" si="125"/>
        <v/>
      </c>
      <c r="B467" s="3"/>
      <c r="C467" s="38"/>
      <c r="D467" s="38"/>
      <c r="E467" s="38"/>
      <c r="F467" s="38"/>
      <c r="G467" s="38"/>
      <c r="H467" s="38"/>
      <c r="I467" s="38"/>
      <c r="J467" s="38"/>
      <c r="K467" s="38"/>
      <c r="L467" s="38"/>
      <c r="M467" s="38"/>
      <c r="N467" s="38"/>
      <c r="O467" s="38"/>
      <c r="P467" s="38"/>
      <c r="Q467" s="38"/>
      <c r="R467" s="38"/>
      <c r="S467" s="38"/>
      <c r="T467" s="38"/>
      <c r="U467" s="38"/>
      <c r="V467" s="312"/>
      <c r="W467" s="456"/>
      <c r="X467" s="456"/>
      <c r="Y467" s="456"/>
      <c r="Z467" s="499"/>
      <c r="AA467" s="456"/>
      <c r="AB467" s="456"/>
      <c r="AC467" s="499"/>
      <c r="AD467" s="465"/>
      <c r="AE467" s="456"/>
      <c r="AF467" s="499"/>
      <c r="AG467" s="465"/>
      <c r="AH467" s="459">
        <f t="shared" ref="AH467:AH481" si="130">AF467-Z467</f>
        <v>0</v>
      </c>
      <c r="AI467" s="460"/>
      <c r="AJ467" s="465"/>
      <c r="AK467" s="456"/>
      <c r="AL467" s="499"/>
      <c r="AM467" s="500"/>
      <c r="AN467" s="459">
        <f t="shared" ref="AN467:AN483" si="131">AF467-AL467</f>
        <v>0</v>
      </c>
      <c r="AO467" s="501">
        <f t="shared" si="129"/>
        <v>0</v>
      </c>
      <c r="AP467" s="94"/>
      <c r="AQ467" s="630"/>
      <c r="AR467" s="631"/>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tr">
        <f t="shared" si="125"/>
        <v>TOTAL DES DÉPENSES</v>
      </c>
      <c r="B468" s="3"/>
      <c r="C468" s="38"/>
      <c r="D468" s="38"/>
      <c r="E468" s="38"/>
      <c r="F468" s="38"/>
      <c r="G468" s="38"/>
      <c r="H468" s="38"/>
      <c r="I468" s="38"/>
      <c r="J468" s="38"/>
      <c r="K468" s="38"/>
      <c r="L468" s="38"/>
      <c r="M468" s="38"/>
      <c r="N468" s="38"/>
      <c r="O468" s="38"/>
      <c r="P468" s="38"/>
      <c r="Q468" s="38"/>
      <c r="R468" s="38"/>
      <c r="S468" s="38"/>
      <c r="T468" s="38"/>
      <c r="U468" s="38"/>
      <c r="V468" s="471" t="s">
        <v>144</v>
      </c>
      <c r="W468" s="472"/>
      <c r="X468" s="473">
        <f>Z468/+Z407</f>
        <v>1.21509299936131</v>
      </c>
      <c r="Y468" s="472"/>
      <c r="Z468" s="474">
        <f>Z419+Z433+Z452+Z466</f>
        <v>1323268.7063352715</v>
      </c>
      <c r="AA468" s="473"/>
      <c r="AB468" s="472"/>
      <c r="AC468" s="474"/>
      <c r="AD468" s="475">
        <f>AF468/AF407</f>
        <v>1.1516886454246784</v>
      </c>
      <c r="AE468" s="472"/>
      <c r="AF468" s="474">
        <f>AF419+AF433+AF452+AF466</f>
        <v>1187985.76</v>
      </c>
      <c r="AG468" s="481"/>
      <c r="AH468" s="477">
        <f t="shared" si="130"/>
        <v>-135282.94633527147</v>
      </c>
      <c r="AI468" s="473">
        <f>AH468/Z468</f>
        <v>-0.1022339194508204</v>
      </c>
      <c r="AJ468" s="475">
        <f>IF($AL$407=0,0,AL468/$AL$407)</f>
        <v>1.2558434975451178</v>
      </c>
      <c r="AK468" s="473"/>
      <c r="AL468" s="474">
        <f>AL419+AL433+AL452+AL466</f>
        <v>1190931.17</v>
      </c>
      <c r="AM468" s="482"/>
      <c r="AN468" s="477">
        <f t="shared" si="131"/>
        <v>-2945.4099999999162</v>
      </c>
      <c r="AO468" s="454">
        <f t="shared" si="129"/>
        <v>-2.4731991858101391E-3</v>
      </c>
      <c r="AP468" s="94"/>
      <c r="AQ468" s="624">
        <v>6902902.9400000004</v>
      </c>
      <c r="AR468" s="625">
        <f t="shared" ref="AR468:AR481" si="132">AF468-AQ468</f>
        <v>-5714917.1800000006</v>
      </c>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tr">
        <f t="shared" si="125"/>
        <v>Revenus autres</v>
      </c>
      <c r="B469" s="3"/>
      <c r="C469" s="38"/>
      <c r="D469" s="38"/>
      <c r="E469" s="38"/>
      <c r="F469" s="38"/>
      <c r="G469" s="38"/>
      <c r="H469" s="38"/>
      <c r="I469" s="38"/>
      <c r="J469" s="38"/>
      <c r="K469" s="38"/>
      <c r="L469" s="38"/>
      <c r="M469" s="38"/>
      <c r="N469" s="38"/>
      <c r="O469" s="38"/>
      <c r="P469" s="38"/>
      <c r="Q469" s="38"/>
      <c r="R469" s="38"/>
      <c r="S469" s="38"/>
      <c r="T469" s="38"/>
      <c r="U469" s="38"/>
      <c r="V469" s="312" t="s">
        <v>216</v>
      </c>
      <c r="W469" s="497"/>
      <c r="X469" s="497"/>
      <c r="Y469" s="456"/>
      <c r="Z469" s="485" cm="1">
        <f t="array" ref="Z469">+SUMPRODUCT(('Budget original'!$A$8:$A$501=$A469)*('Budget original'!$C$3:$AO$3=Z$2),'Budget original'!$C$8:$AO$501)</f>
        <v>0</v>
      </c>
      <c r="AA469" s="502"/>
      <c r="AB469" s="503"/>
      <c r="AC469" s="485"/>
      <c r="AD469" s="504"/>
      <c r="AE469" s="503"/>
      <c r="AF469" s="457">
        <f>-SUMIFS(BV_Data_An_Cour!$P:$P,BV_Data_An_Cour!$V:$V,$V469)</f>
        <v>28064.13</v>
      </c>
      <c r="AG469" s="505"/>
      <c r="AH469" s="459">
        <f t="shared" si="130"/>
        <v>28064.13</v>
      </c>
      <c r="AI469" s="498" t="e">
        <f>IF(AH469=0,0,AH469/Z469)</f>
        <v>#DIV/0!</v>
      </c>
      <c r="AJ469" s="504"/>
      <c r="AK469" s="502"/>
      <c r="AL469" s="506" cm="1">
        <f t="array" ref="AL469">+SUMPRODUCT(('Réel 2024'!$A$8:$A$501=$A469)*('Réel 2024'!$C$3:$AO$3=Z$2),'Réel 2024'!$C$8:$AO$501)</f>
        <v>1170.1999999999998</v>
      </c>
      <c r="AM469" s="507"/>
      <c r="AN469" s="459">
        <f t="shared" si="131"/>
        <v>26893.93</v>
      </c>
      <c r="AO469" s="466">
        <f t="shared" si="129"/>
        <v>22.982336352760214</v>
      </c>
      <c r="AP469" s="94"/>
      <c r="AQ469" s="622">
        <v>275258.11</v>
      </c>
      <c r="AR469" s="512">
        <f t="shared" si="132"/>
        <v>-247193.97999999998</v>
      </c>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tr">
        <f t="shared" si="125"/>
        <v>Holdbacks</v>
      </c>
      <c r="B470" s="3"/>
      <c r="C470" s="38"/>
      <c r="D470" s="38"/>
      <c r="E470" s="38"/>
      <c r="F470" s="38"/>
      <c r="G470" s="38"/>
      <c r="H470" s="38"/>
      <c r="I470" s="38"/>
      <c r="J470" s="38"/>
      <c r="K470" s="38"/>
      <c r="L470" s="38"/>
      <c r="M470" s="38"/>
      <c r="N470" s="38"/>
      <c r="O470" s="38"/>
      <c r="P470" s="38"/>
      <c r="Q470" s="38"/>
      <c r="R470" s="38"/>
      <c r="S470" s="38"/>
      <c r="T470" s="38"/>
      <c r="U470" s="38"/>
      <c r="V470" s="312" t="s">
        <v>148</v>
      </c>
      <c r="W470" s="456"/>
      <c r="X470" s="456"/>
      <c r="Y470" s="456"/>
      <c r="Z470" s="457">
        <f t="shared" ref="Z470:Z476" si="133">+SUMIF($C:$C,$V470,F:F)</f>
        <v>161330.69241871312</v>
      </c>
      <c r="AA470" s="496"/>
      <c r="AB470" s="497"/>
      <c r="AC470" s="457"/>
      <c r="AD470" s="511"/>
      <c r="AE470" s="497"/>
      <c r="AF470" s="457">
        <f t="shared" ref="AF470:AF480" si="134">+SUMIF($C:$C,$V470,L:L)</f>
        <v>130200</v>
      </c>
      <c r="AG470" s="510"/>
      <c r="AH470" s="459">
        <f t="shared" si="130"/>
        <v>-31130.692418713123</v>
      </c>
      <c r="AI470" s="479">
        <f>IF(Z470=0,0,AH470/Z470)</f>
        <v>-0.1929619959599343</v>
      </c>
      <c r="AJ470" s="511"/>
      <c r="AK470" s="496"/>
      <c r="AL470" s="512">
        <f t="shared" ref="AL470:AL476" si="135">+SUMIF($C:$C,$V470,Q:Q)</f>
        <v>143394.85</v>
      </c>
      <c r="AM470" s="508"/>
      <c r="AN470" s="459">
        <f t="shared" si="131"/>
        <v>-13194.850000000006</v>
      </c>
      <c r="AO470" s="466">
        <f t="shared" si="129"/>
        <v>-9.2017600353150791E-2</v>
      </c>
      <c r="AP470" s="94"/>
      <c r="AQ470" s="622">
        <v>693962.92</v>
      </c>
      <c r="AR470" s="512">
        <f t="shared" si="132"/>
        <v>-563762.92000000004</v>
      </c>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tr">
        <f t="shared" si="125"/>
        <v>Programme neuf 1</v>
      </c>
      <c r="B471" s="3"/>
      <c r="C471" s="38"/>
      <c r="D471" s="38"/>
      <c r="E471" s="38"/>
      <c r="F471" s="38"/>
      <c r="G471" s="38"/>
      <c r="H471" s="38"/>
      <c r="I471" s="38"/>
      <c r="J471" s="38"/>
      <c r="K471" s="38"/>
      <c r="L471" s="38"/>
      <c r="M471" s="38"/>
      <c r="N471" s="38"/>
      <c r="O471" s="38"/>
      <c r="P471" s="38"/>
      <c r="Q471" s="38"/>
      <c r="R471" s="38"/>
      <c r="S471" s="38"/>
      <c r="T471" s="38"/>
      <c r="U471" s="38"/>
      <c r="V471" s="312" t="s">
        <v>145</v>
      </c>
      <c r="W471" s="456"/>
      <c r="X471" s="456"/>
      <c r="Y471" s="456"/>
      <c r="Z471" s="457">
        <f t="shared" si="133"/>
        <v>0</v>
      </c>
      <c r="AA471" s="496"/>
      <c r="AB471" s="497"/>
      <c r="AC471" s="457"/>
      <c r="AD471" s="511"/>
      <c r="AE471" s="497"/>
      <c r="AF471" s="457">
        <f t="shared" si="134"/>
        <v>0</v>
      </c>
      <c r="AG471" s="510"/>
      <c r="AH471" s="459">
        <f t="shared" si="130"/>
        <v>0</v>
      </c>
      <c r="AI471" s="479">
        <f t="shared" ref="AI471:AI480" si="136">IF(AH471=0,0,AH471/Z471)</f>
        <v>0</v>
      </c>
      <c r="AJ471" s="511"/>
      <c r="AK471" s="496"/>
      <c r="AL471" s="512">
        <f t="shared" si="135"/>
        <v>0</v>
      </c>
      <c r="AM471" s="508"/>
      <c r="AN471" s="459">
        <f t="shared" si="131"/>
        <v>0</v>
      </c>
      <c r="AO471" s="466">
        <f t="shared" si="129"/>
        <v>0</v>
      </c>
      <c r="AP471" s="94"/>
      <c r="AQ471" s="622">
        <v>43300</v>
      </c>
      <c r="AR471" s="512">
        <f t="shared" si="132"/>
        <v>-43300</v>
      </c>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tr">
        <f t="shared" si="125"/>
        <v>Programme neuf 2</v>
      </c>
      <c r="B472" s="3"/>
      <c r="C472" s="38"/>
      <c r="D472" s="38"/>
      <c r="E472" s="38"/>
      <c r="F472" s="38"/>
      <c r="G472" s="38"/>
      <c r="H472" s="38"/>
      <c r="I472" s="38"/>
      <c r="J472" s="38"/>
      <c r="K472" s="38"/>
      <c r="L472" s="38"/>
      <c r="M472" s="38"/>
      <c r="N472" s="38"/>
      <c r="O472" s="38"/>
      <c r="P472" s="38"/>
      <c r="Q472" s="38"/>
      <c r="R472" s="38"/>
      <c r="S472" s="38"/>
      <c r="T472" s="38"/>
      <c r="U472" s="38"/>
      <c r="V472" s="312" t="s">
        <v>146</v>
      </c>
      <c r="W472" s="456"/>
      <c r="X472" s="456"/>
      <c r="Y472" s="456"/>
      <c r="Z472" s="457">
        <f t="shared" si="133"/>
        <v>0</v>
      </c>
      <c r="AA472" s="496"/>
      <c r="AB472" s="497"/>
      <c r="AC472" s="457"/>
      <c r="AD472" s="511"/>
      <c r="AE472" s="497"/>
      <c r="AF472" s="457">
        <f t="shared" si="134"/>
        <v>0</v>
      </c>
      <c r="AG472" s="510"/>
      <c r="AH472" s="459">
        <f t="shared" si="130"/>
        <v>0</v>
      </c>
      <c r="AI472" s="479">
        <f t="shared" si="136"/>
        <v>0</v>
      </c>
      <c r="AJ472" s="511"/>
      <c r="AK472" s="496"/>
      <c r="AL472" s="512">
        <f t="shared" si="135"/>
        <v>0</v>
      </c>
      <c r="AM472" s="508"/>
      <c r="AN472" s="459">
        <f t="shared" si="131"/>
        <v>0</v>
      </c>
      <c r="AO472" s="466">
        <f t="shared" si="129"/>
        <v>0</v>
      </c>
      <c r="AP472" s="94"/>
      <c r="AQ472" s="622">
        <v>0</v>
      </c>
      <c r="AR472" s="512">
        <f t="shared" si="132"/>
        <v>0</v>
      </c>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tr">
        <f t="shared" si="125"/>
        <v>Programme neuf 3</v>
      </c>
      <c r="B473" s="3"/>
      <c r="C473" s="38"/>
      <c r="D473" s="38"/>
      <c r="E473" s="38"/>
      <c r="F473" s="38"/>
      <c r="G473" s="38"/>
      <c r="H473" s="38"/>
      <c r="I473" s="38"/>
      <c r="J473" s="38"/>
      <c r="K473" s="38"/>
      <c r="L473" s="38"/>
      <c r="M473" s="38"/>
      <c r="N473" s="38"/>
      <c r="O473" s="38"/>
      <c r="P473" s="38"/>
      <c r="Q473" s="38"/>
      <c r="R473" s="38"/>
      <c r="S473" s="38"/>
      <c r="T473" s="38"/>
      <c r="U473" s="38"/>
      <c r="V473" s="312" t="s">
        <v>147</v>
      </c>
      <c r="W473" s="456"/>
      <c r="X473" s="456"/>
      <c r="Y473" s="456"/>
      <c r="Z473" s="457">
        <f t="shared" si="133"/>
        <v>0</v>
      </c>
      <c r="AA473" s="496"/>
      <c r="AB473" s="497"/>
      <c r="AC473" s="457"/>
      <c r="AD473" s="511"/>
      <c r="AE473" s="497"/>
      <c r="AF473" s="457">
        <f t="shared" si="134"/>
        <v>0</v>
      </c>
      <c r="AG473" s="510"/>
      <c r="AH473" s="459">
        <f t="shared" si="130"/>
        <v>0</v>
      </c>
      <c r="AI473" s="479">
        <f t="shared" si="136"/>
        <v>0</v>
      </c>
      <c r="AJ473" s="511"/>
      <c r="AK473" s="496"/>
      <c r="AL473" s="512">
        <f t="shared" si="135"/>
        <v>0</v>
      </c>
      <c r="AM473" s="508"/>
      <c r="AN473" s="459">
        <f t="shared" si="131"/>
        <v>0</v>
      </c>
      <c r="AO473" s="466">
        <f t="shared" si="129"/>
        <v>0</v>
      </c>
      <c r="AP473" s="94"/>
      <c r="AQ473" s="622">
        <v>0</v>
      </c>
      <c r="AR473" s="512">
        <f t="shared" si="132"/>
        <v>0</v>
      </c>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tr">
        <f t="shared" si="125"/>
        <v>Programme used 1</v>
      </c>
      <c r="B474" s="3"/>
      <c r="C474" s="38"/>
      <c r="D474" s="38"/>
      <c r="E474" s="38"/>
      <c r="F474" s="38"/>
      <c r="G474" s="38"/>
      <c r="H474" s="38"/>
      <c r="I474" s="38"/>
      <c r="J474" s="38"/>
      <c r="K474" s="38"/>
      <c r="L474" s="38"/>
      <c r="M474" s="38"/>
      <c r="N474" s="38"/>
      <c r="O474" s="38"/>
      <c r="P474" s="38"/>
      <c r="Q474" s="38"/>
      <c r="R474" s="38"/>
      <c r="S474" s="38"/>
      <c r="T474" s="38"/>
      <c r="U474" s="38"/>
      <c r="V474" s="312" t="s">
        <v>158</v>
      </c>
      <c r="W474" s="456"/>
      <c r="X474" s="456"/>
      <c r="Y474" s="456"/>
      <c r="Z474" s="457">
        <f t="shared" si="133"/>
        <v>0</v>
      </c>
      <c r="AA474" s="496"/>
      <c r="AB474" s="497"/>
      <c r="AC474" s="457"/>
      <c r="AD474" s="511"/>
      <c r="AE474" s="497"/>
      <c r="AF474" s="457">
        <f t="shared" si="134"/>
        <v>0</v>
      </c>
      <c r="AG474" s="510"/>
      <c r="AH474" s="459">
        <f t="shared" si="130"/>
        <v>0</v>
      </c>
      <c r="AI474" s="479">
        <f t="shared" si="136"/>
        <v>0</v>
      </c>
      <c r="AJ474" s="511"/>
      <c r="AK474" s="496"/>
      <c r="AL474" s="512">
        <f t="shared" si="135"/>
        <v>0</v>
      </c>
      <c r="AM474" s="508"/>
      <c r="AN474" s="459">
        <f t="shared" si="131"/>
        <v>0</v>
      </c>
      <c r="AO474" s="466">
        <f t="shared" si="129"/>
        <v>0</v>
      </c>
      <c r="AP474" s="94"/>
      <c r="AQ474" s="622">
        <v>0</v>
      </c>
      <c r="AR474" s="512">
        <f t="shared" si="132"/>
        <v>0</v>
      </c>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tr">
        <f t="shared" si="125"/>
        <v>Programme used 2</v>
      </c>
      <c r="B475" s="3"/>
      <c r="C475" s="38"/>
      <c r="D475" s="38"/>
      <c r="E475" s="38"/>
      <c r="F475" s="38"/>
      <c r="G475" s="38"/>
      <c r="H475" s="38"/>
      <c r="I475" s="38"/>
      <c r="J475" s="38"/>
      <c r="K475" s="38"/>
      <c r="L475" s="38"/>
      <c r="M475" s="38"/>
      <c r="N475" s="38"/>
      <c r="O475" s="38"/>
      <c r="P475" s="38"/>
      <c r="Q475" s="38"/>
      <c r="R475" s="38"/>
      <c r="S475" s="38"/>
      <c r="T475" s="38"/>
      <c r="U475" s="38"/>
      <c r="V475" s="312" t="s">
        <v>159</v>
      </c>
      <c r="W475" s="456"/>
      <c r="X475" s="456"/>
      <c r="Y475" s="456"/>
      <c r="Z475" s="457">
        <f t="shared" si="133"/>
        <v>0</v>
      </c>
      <c r="AA475" s="496"/>
      <c r="AB475" s="497"/>
      <c r="AC475" s="457"/>
      <c r="AD475" s="511"/>
      <c r="AE475" s="497"/>
      <c r="AF475" s="457">
        <f t="shared" si="134"/>
        <v>0</v>
      </c>
      <c r="AG475" s="510"/>
      <c r="AH475" s="459">
        <f t="shared" si="130"/>
        <v>0</v>
      </c>
      <c r="AI475" s="479">
        <f t="shared" si="136"/>
        <v>0</v>
      </c>
      <c r="AJ475" s="511"/>
      <c r="AK475" s="496"/>
      <c r="AL475" s="512">
        <f t="shared" si="135"/>
        <v>0</v>
      </c>
      <c r="AM475" s="508"/>
      <c r="AN475" s="459">
        <f t="shared" si="131"/>
        <v>0</v>
      </c>
      <c r="AO475" s="466">
        <f t="shared" si="129"/>
        <v>0</v>
      </c>
      <c r="AP475" s="94"/>
      <c r="AQ475" s="622">
        <v>0</v>
      </c>
      <c r="AR475" s="512">
        <f t="shared" si="132"/>
        <v>0</v>
      </c>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tr">
        <f t="shared" si="125"/>
        <v>Programme used 3</v>
      </c>
      <c r="B476" s="3"/>
      <c r="C476" s="38"/>
      <c r="D476" s="38"/>
      <c r="E476" s="38"/>
      <c r="F476" s="38"/>
      <c r="G476" s="38"/>
      <c r="H476" s="38"/>
      <c r="I476" s="38"/>
      <c r="J476" s="38"/>
      <c r="K476" s="38"/>
      <c r="L476" s="38"/>
      <c r="M476" s="38"/>
      <c r="N476" s="38"/>
      <c r="O476" s="38"/>
      <c r="P476" s="38"/>
      <c r="Q476" s="38"/>
      <c r="R476" s="38"/>
      <c r="S476" s="38"/>
      <c r="T476" s="38"/>
      <c r="U476" s="38"/>
      <c r="V476" s="312" t="s">
        <v>160</v>
      </c>
      <c r="W476" s="456"/>
      <c r="X476" s="456"/>
      <c r="Y476" s="456"/>
      <c r="Z476" s="457">
        <f t="shared" si="133"/>
        <v>0</v>
      </c>
      <c r="AA476" s="496"/>
      <c r="AB476" s="497"/>
      <c r="AC476" s="457"/>
      <c r="AD476" s="511"/>
      <c r="AE476" s="497"/>
      <c r="AF476" s="457">
        <f t="shared" si="134"/>
        <v>0</v>
      </c>
      <c r="AG476" s="510"/>
      <c r="AH476" s="459">
        <f t="shared" si="130"/>
        <v>0</v>
      </c>
      <c r="AI476" s="479">
        <f t="shared" si="136"/>
        <v>0</v>
      </c>
      <c r="AJ476" s="511"/>
      <c r="AK476" s="496"/>
      <c r="AL476" s="512">
        <f t="shared" si="135"/>
        <v>0</v>
      </c>
      <c r="AM476" s="508"/>
      <c r="AN476" s="459">
        <f t="shared" si="131"/>
        <v>0</v>
      </c>
      <c r="AO476" s="466">
        <f t="shared" si="129"/>
        <v>0</v>
      </c>
      <c r="AP476" s="94"/>
      <c r="AQ476" s="622">
        <v>0</v>
      </c>
      <c r="AR476" s="512">
        <f t="shared" si="132"/>
        <v>0</v>
      </c>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tr">
        <f t="shared" si="125"/>
        <v>[...]</v>
      </c>
      <c r="B477" s="3"/>
      <c r="C477" s="38"/>
      <c r="D477" s="38"/>
      <c r="E477" s="38"/>
      <c r="F477" s="38"/>
      <c r="G477" s="38"/>
      <c r="H477" s="38"/>
      <c r="I477" s="38"/>
      <c r="J477" s="38"/>
      <c r="K477" s="38"/>
      <c r="L477" s="38"/>
      <c r="M477" s="38"/>
      <c r="N477" s="38"/>
      <c r="O477" s="38"/>
      <c r="P477" s="38"/>
      <c r="Q477" s="38"/>
      <c r="R477" s="38"/>
      <c r="S477" s="38"/>
      <c r="T477" s="38"/>
      <c r="U477" s="38"/>
      <c r="V477" s="312" t="s">
        <v>59</v>
      </c>
      <c r="W477" s="456"/>
      <c r="X477" s="456"/>
      <c r="Y477" s="456"/>
      <c r="Z477" s="457" cm="1">
        <f t="array" ref="Z477">+SUMPRODUCT(('Budget original'!$A$8:$A$501=$A477)*('Budget original'!$C$3:$AO$3=Z$2),'Budget original'!$C$8:$AO$501)</f>
        <v>0</v>
      </c>
      <c r="AA477" s="496"/>
      <c r="AB477" s="497"/>
      <c r="AC477" s="457"/>
      <c r="AD477" s="511"/>
      <c r="AE477" s="497"/>
      <c r="AF477" s="457">
        <f t="shared" si="134"/>
        <v>0</v>
      </c>
      <c r="AG477" s="510"/>
      <c r="AH477" s="459">
        <f t="shared" si="130"/>
        <v>0</v>
      </c>
      <c r="AI477" s="479">
        <f t="shared" si="136"/>
        <v>0</v>
      </c>
      <c r="AJ477" s="511"/>
      <c r="AK477" s="496"/>
      <c r="AL477" s="512"/>
      <c r="AM477" s="508"/>
      <c r="AN477" s="459">
        <f t="shared" si="131"/>
        <v>0</v>
      </c>
      <c r="AO477" s="466">
        <f t="shared" si="129"/>
        <v>0</v>
      </c>
      <c r="AP477" s="94"/>
      <c r="AQ477" s="622">
        <v>0</v>
      </c>
      <c r="AR477" s="512">
        <f t="shared" si="132"/>
        <v>0</v>
      </c>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tr">
        <f t="shared" si="125"/>
        <v>[...]</v>
      </c>
      <c r="B478" s="3"/>
      <c r="C478" s="38"/>
      <c r="D478" s="38"/>
      <c r="E478" s="38"/>
      <c r="F478" s="38"/>
      <c r="G478" s="38"/>
      <c r="H478" s="38"/>
      <c r="I478" s="38"/>
      <c r="J478" s="38"/>
      <c r="K478" s="38"/>
      <c r="L478" s="38"/>
      <c r="M478" s="38"/>
      <c r="N478" s="38"/>
      <c r="O478" s="38"/>
      <c r="P478" s="38"/>
      <c r="Q478" s="38"/>
      <c r="R478" s="38"/>
      <c r="S478" s="38"/>
      <c r="T478" s="38"/>
      <c r="U478" s="38"/>
      <c r="V478" s="312" t="s">
        <v>59</v>
      </c>
      <c r="W478" s="456"/>
      <c r="X478" s="456"/>
      <c r="Y478" s="456"/>
      <c r="Z478" s="457">
        <f>+SUMIF($C:$C,$V478,F:F)</f>
        <v>0</v>
      </c>
      <c r="AA478" s="496"/>
      <c r="AB478" s="497"/>
      <c r="AC478" s="457"/>
      <c r="AD478" s="511"/>
      <c r="AE478" s="497"/>
      <c r="AF478" s="457">
        <f t="shared" si="134"/>
        <v>0</v>
      </c>
      <c r="AG478" s="510"/>
      <c r="AH478" s="459">
        <f t="shared" si="130"/>
        <v>0</v>
      </c>
      <c r="AI478" s="479">
        <f t="shared" si="136"/>
        <v>0</v>
      </c>
      <c r="AJ478" s="511"/>
      <c r="AK478" s="496"/>
      <c r="AL478" s="512"/>
      <c r="AM478" s="508"/>
      <c r="AN478" s="459">
        <f t="shared" si="131"/>
        <v>0</v>
      </c>
      <c r="AO478" s="466">
        <f t="shared" si="129"/>
        <v>0</v>
      </c>
      <c r="AP478" s="94"/>
      <c r="AQ478" s="622">
        <v>0</v>
      </c>
      <c r="AR478" s="512">
        <f t="shared" si="132"/>
        <v>0</v>
      </c>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tr">
        <f t="shared" si="125"/>
        <v>[...]</v>
      </c>
      <c r="B479" s="3"/>
      <c r="C479" s="38"/>
      <c r="D479" s="38"/>
      <c r="E479" s="38"/>
      <c r="F479" s="38"/>
      <c r="G479" s="38"/>
      <c r="H479" s="38"/>
      <c r="I479" s="38"/>
      <c r="J479" s="38"/>
      <c r="K479" s="38"/>
      <c r="L479" s="38"/>
      <c r="M479" s="38"/>
      <c r="N479" s="38"/>
      <c r="O479" s="38"/>
      <c r="P479" s="38"/>
      <c r="Q479" s="38"/>
      <c r="R479" s="38"/>
      <c r="S479" s="38"/>
      <c r="T479" s="38"/>
      <c r="U479" s="38"/>
      <c r="V479" s="312" t="s">
        <v>59</v>
      </c>
      <c r="W479" s="456"/>
      <c r="X479" s="456"/>
      <c r="Y479" s="456"/>
      <c r="Z479" s="457">
        <f>+SUMIF($C:$C,$V479,F:F)</f>
        <v>0</v>
      </c>
      <c r="AA479" s="496"/>
      <c r="AB479" s="497"/>
      <c r="AC479" s="457"/>
      <c r="AD479" s="511"/>
      <c r="AE479" s="497"/>
      <c r="AF479" s="457">
        <f t="shared" si="134"/>
        <v>0</v>
      </c>
      <c r="AG479" s="510"/>
      <c r="AH479" s="459">
        <f t="shared" si="130"/>
        <v>0</v>
      </c>
      <c r="AI479" s="479">
        <f t="shared" si="136"/>
        <v>0</v>
      </c>
      <c r="AJ479" s="511"/>
      <c r="AK479" s="496"/>
      <c r="AL479" s="512"/>
      <c r="AM479" s="508"/>
      <c r="AN479" s="459">
        <f t="shared" si="131"/>
        <v>0</v>
      </c>
      <c r="AO479" s="466">
        <f t="shared" si="129"/>
        <v>0</v>
      </c>
      <c r="AP479" s="94"/>
      <c r="AQ479" s="622">
        <v>0</v>
      </c>
      <c r="AR479" s="512">
        <f t="shared" si="132"/>
        <v>0</v>
      </c>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tr">
        <f t="shared" si="125"/>
        <v>Frais administration</v>
      </c>
      <c r="B480" s="3"/>
      <c r="C480" s="38"/>
      <c r="D480" s="38"/>
      <c r="E480" s="38"/>
      <c r="F480" s="38"/>
      <c r="G480" s="38"/>
      <c r="H480" s="38"/>
      <c r="I480" s="38"/>
      <c r="J480" s="38"/>
      <c r="K480" s="38"/>
      <c r="L480" s="38"/>
      <c r="M480" s="38"/>
      <c r="N480" s="38"/>
      <c r="O480" s="38"/>
      <c r="P480" s="38"/>
      <c r="Q480" s="38"/>
      <c r="R480" s="38"/>
      <c r="S480" s="38"/>
      <c r="T480" s="38"/>
      <c r="U480" s="38"/>
      <c r="V480" s="313" t="s">
        <v>149</v>
      </c>
      <c r="W480" s="456"/>
      <c r="X480" s="456"/>
      <c r="Y480" s="456"/>
      <c r="Z480" s="457">
        <f>+SUMIF($C:$C,$V480,F:F)</f>
        <v>71952.049999999988</v>
      </c>
      <c r="AA480" s="496"/>
      <c r="AB480" s="497"/>
      <c r="AC480" s="457"/>
      <c r="AD480" s="511"/>
      <c r="AE480" s="497"/>
      <c r="AF480" s="457">
        <f t="shared" si="134"/>
        <v>59877</v>
      </c>
      <c r="AG480" s="510"/>
      <c r="AH480" s="459">
        <f t="shared" si="130"/>
        <v>-12075.049999999988</v>
      </c>
      <c r="AI480" s="479">
        <f t="shared" si="136"/>
        <v>-0.16782079176340342</v>
      </c>
      <c r="AJ480" s="511"/>
      <c r="AK480" s="496"/>
      <c r="AL480" s="512" cm="1">
        <f t="array" ref="AL480">+SUMPRODUCT(('Réel 2024'!$A$8:$A$501=$A480)*('Réel 2024'!$C$3:$AO$3=Z$2),'Réel 2024'!$C$8:$AO$501)</f>
        <v>66976</v>
      </c>
      <c r="AM480" s="508"/>
      <c r="AN480" s="459">
        <f t="shared" si="131"/>
        <v>-7099</v>
      </c>
      <c r="AO480" s="466">
        <f t="shared" si="129"/>
        <v>-0.10599319159101768</v>
      </c>
      <c r="AP480" s="94"/>
      <c r="AQ480" s="622">
        <v>331468.49</v>
      </c>
      <c r="AR480" s="512">
        <f t="shared" si="132"/>
        <v>-271591.49</v>
      </c>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tr">
        <f t="shared" si="125"/>
        <v>TOTAL AUTRES REVENUS</v>
      </c>
      <c r="B481" s="3"/>
      <c r="C481" s="38"/>
      <c r="D481" s="38"/>
      <c r="E481" s="38"/>
      <c r="F481" s="38"/>
      <c r="G481" s="38"/>
      <c r="H481" s="38"/>
      <c r="I481" s="38"/>
      <c r="J481" s="38"/>
      <c r="K481" s="38"/>
      <c r="L481" s="38"/>
      <c r="M481" s="38"/>
      <c r="N481" s="38"/>
      <c r="O481" s="38"/>
      <c r="P481" s="38"/>
      <c r="Q481" s="38"/>
      <c r="R481" s="38"/>
      <c r="S481" s="38"/>
      <c r="T481" s="38"/>
      <c r="U481" s="38"/>
      <c r="V481" s="471" t="s">
        <v>217</v>
      </c>
      <c r="W481" s="472"/>
      <c r="X481" s="473">
        <f>Z481/+Z407</f>
        <v>0.21421214438737493</v>
      </c>
      <c r="Y481" s="493"/>
      <c r="Z481" s="474">
        <f>SUM(Z469:Z480)</f>
        <v>233282.74241871311</v>
      </c>
      <c r="AA481" s="473"/>
      <c r="AB481" s="493"/>
      <c r="AC481" s="474"/>
      <c r="AD481" s="473">
        <f>AF481/+AF407</f>
        <v>0.21147615651647936</v>
      </c>
      <c r="AE481" s="493"/>
      <c r="AF481" s="474">
        <f>SUM(AF469:AF480)</f>
        <v>218141.13</v>
      </c>
      <c r="AG481" s="481"/>
      <c r="AH481" s="477">
        <f t="shared" si="130"/>
        <v>-15141.612418713106</v>
      </c>
      <c r="AI481" s="473">
        <f>AH481/Z481</f>
        <v>-6.4906697605328301E-2</v>
      </c>
      <c r="AJ481" s="514"/>
      <c r="AK481" s="515"/>
      <c r="AL481" s="474">
        <f>SUM(AL469:AL480)</f>
        <v>211541.05000000002</v>
      </c>
      <c r="AM481" s="516"/>
      <c r="AN481" s="477">
        <f t="shared" si="131"/>
        <v>6600.0799999999872</v>
      </c>
      <c r="AO481" s="495">
        <f t="shared" si="129"/>
        <v>3.1199996407316626E-2</v>
      </c>
      <c r="AP481" s="94"/>
      <c r="AQ481" s="624">
        <v>1343989.52</v>
      </c>
      <c r="AR481" s="625">
        <f t="shared" si="132"/>
        <v>-1125848.3900000001</v>
      </c>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tr">
        <f t="shared" si="125"/>
        <v/>
      </c>
      <c r="B482" s="3"/>
      <c r="C482" s="38"/>
      <c r="D482" s="38"/>
      <c r="E482" s="38"/>
      <c r="F482" s="38"/>
      <c r="G482" s="38"/>
      <c r="H482" s="38"/>
      <c r="I482" s="38"/>
      <c r="J482" s="38"/>
      <c r="K482" s="38"/>
      <c r="L482" s="38"/>
      <c r="M482" s="38"/>
      <c r="N482" s="38"/>
      <c r="O482" s="38"/>
      <c r="P482" s="38"/>
      <c r="Q482" s="38"/>
      <c r="R482" s="38"/>
      <c r="S482" s="38"/>
      <c r="T482" s="38"/>
      <c r="U482" s="38"/>
      <c r="V482" s="517"/>
      <c r="W482" s="518"/>
      <c r="X482" s="518"/>
      <c r="Y482" s="519"/>
      <c r="Z482" s="520"/>
      <c r="AA482" s="518"/>
      <c r="AB482" s="521"/>
      <c r="AC482" s="520"/>
      <c r="AD482" s="518"/>
      <c r="AE482" s="521"/>
      <c r="AF482" s="522"/>
      <c r="AG482" s="523"/>
      <c r="AH482" s="524"/>
      <c r="AI482" s="525"/>
      <c r="AJ482" s="526"/>
      <c r="AK482" s="527"/>
      <c r="AL482" s="522"/>
      <c r="AM482" s="528"/>
      <c r="AN482" s="524">
        <f t="shared" si="131"/>
        <v>0</v>
      </c>
      <c r="AO482" s="529">
        <f t="shared" si="129"/>
        <v>0</v>
      </c>
      <c r="AP482" s="94"/>
      <c r="AQ482" s="528"/>
      <c r="AR482" s="632"/>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tr">
        <f t="shared" si="125"/>
        <v>BAIIA OPÉRATIONNEL</v>
      </c>
      <c r="B483" s="3"/>
      <c r="C483" s="38"/>
      <c r="D483" s="38"/>
      <c r="E483" s="38"/>
      <c r="F483" s="38"/>
      <c r="G483" s="38"/>
      <c r="H483" s="38"/>
      <c r="I483" s="38"/>
      <c r="J483" s="38"/>
      <c r="K483" s="38"/>
      <c r="L483" s="38"/>
      <c r="M483" s="38"/>
      <c r="N483" s="38"/>
      <c r="O483" s="38"/>
      <c r="P483" s="38"/>
      <c r="Q483" s="38"/>
      <c r="R483" s="38"/>
      <c r="S483" s="38"/>
      <c r="T483" s="38"/>
      <c r="U483" s="38"/>
      <c r="V483" s="530" t="s">
        <v>218</v>
      </c>
      <c r="W483" s="531"/>
      <c r="X483" s="532" t="s">
        <v>219</v>
      </c>
      <c r="Y483" s="533">
        <f>Z483/Z406</f>
        <v>-1.030146655295642E-4</v>
      </c>
      <c r="Z483" s="534">
        <f>Z407-Z468+Z481</f>
        <v>-959.27457605354721</v>
      </c>
      <c r="AA483" s="532"/>
      <c r="AB483" s="533"/>
      <c r="AC483" s="534"/>
      <c r="AD483" s="532" t="s">
        <v>219</v>
      </c>
      <c r="AE483" s="533">
        <f>AF483/AF406</f>
        <v>7.6764537325487514E-3</v>
      </c>
      <c r="AF483" s="535">
        <f>AF407-AF468+AF481</f>
        <v>61671.79999999993</v>
      </c>
      <c r="AG483" s="536"/>
      <c r="AH483" s="536">
        <f>AF483-Z483</f>
        <v>62631.074576053477</v>
      </c>
      <c r="AI483" s="537">
        <f>AH483/Z483</f>
        <v>-65.290039097791521</v>
      </c>
      <c r="AJ483" s="538" t="s">
        <v>219</v>
      </c>
      <c r="AK483" s="533">
        <f>IF($AL$406=0,0,AL483/$AL$406)</f>
        <v>-3.0804243277462746E-3</v>
      </c>
      <c r="AL483" s="535">
        <f>AL407-AL468+AL481</f>
        <v>-31078.350000001054</v>
      </c>
      <c r="AM483" s="539"/>
      <c r="AN483" s="535">
        <f t="shared" si="131"/>
        <v>92750.150000000984</v>
      </c>
      <c r="AO483" s="540">
        <f t="shared" si="129"/>
        <v>-2.9843974985801318</v>
      </c>
      <c r="AP483" s="94"/>
      <c r="AQ483" s="539">
        <v>2236846.7700000028</v>
      </c>
      <c r="AR483" s="543">
        <f>AF483-AQ483</f>
        <v>-2175174.970000003</v>
      </c>
      <c r="AS483" s="38"/>
      <c r="AT483" s="38"/>
      <c r="AU483" s="38"/>
      <c r="AV483" s="38"/>
      <c r="AW483" s="38"/>
      <c r="AX483" s="38"/>
      <c r="AY483" s="38"/>
      <c r="AZ483" s="38"/>
      <c r="BA483" s="38"/>
      <c r="BB483" s="38"/>
      <c r="BC483" s="38"/>
      <c r="BD483" s="38"/>
      <c r="BE483" s="38"/>
      <c r="BF483" s="38"/>
      <c r="BG483" s="38"/>
      <c r="BH483" s="38"/>
      <c r="BI483" s="38"/>
      <c r="BJ483" s="38"/>
    </row>
    <row r="484" spans="1:62" ht="15.75" customHeight="1">
      <c r="A484" s="5" t="str">
        <f t="shared" si="125"/>
        <v/>
      </c>
      <c r="B484" s="3"/>
      <c r="C484" s="38"/>
      <c r="D484" s="38"/>
      <c r="E484" s="38"/>
      <c r="F484" s="38"/>
      <c r="G484" s="38"/>
      <c r="H484" s="38"/>
      <c r="I484" s="38"/>
      <c r="J484" s="38"/>
      <c r="K484" s="38"/>
      <c r="L484" s="38"/>
      <c r="M484" s="38"/>
      <c r="N484" s="38"/>
      <c r="O484" s="38"/>
      <c r="P484" s="38"/>
      <c r="Q484" s="38"/>
      <c r="R484" s="38"/>
      <c r="S484" s="38"/>
      <c r="T484" s="38"/>
      <c r="U484" s="38"/>
      <c r="V484" s="36"/>
      <c r="W484" s="36"/>
      <c r="X484" s="36"/>
      <c r="Y484" s="36"/>
      <c r="Z484" s="291"/>
      <c r="AA484" s="41"/>
      <c r="AB484" s="41"/>
      <c r="AC484" s="291"/>
      <c r="AD484" s="41"/>
      <c r="AE484" s="41"/>
      <c r="AF484" s="541"/>
      <c r="AG484" s="41"/>
      <c r="AH484" s="41"/>
      <c r="AI484" s="41"/>
      <c r="AJ484" s="41"/>
      <c r="AK484" s="41"/>
      <c r="AL484" s="291"/>
      <c r="AM484" s="41"/>
      <c r="AN484" s="41"/>
      <c r="AO484" s="41"/>
      <c r="AP484" s="94"/>
      <c r="AQ484" s="633"/>
      <c r="AR484" s="634"/>
      <c r="AS484" s="38"/>
      <c r="AT484" s="38"/>
      <c r="AU484" s="38"/>
      <c r="AV484" s="38"/>
      <c r="AW484" s="38"/>
      <c r="AX484" s="38"/>
      <c r="AY484" s="38"/>
      <c r="AZ484" s="38"/>
      <c r="BA484" s="38"/>
      <c r="BB484" s="38"/>
      <c r="BC484" s="38"/>
      <c r="BD484" s="38"/>
      <c r="BE484" s="38"/>
      <c r="BF484" s="38"/>
      <c r="BG484" s="38"/>
      <c r="BH484" s="38"/>
      <c r="BI484" s="38"/>
      <c r="BJ484" s="38"/>
    </row>
    <row r="485" spans="1:62" ht="35.25" customHeight="1">
      <c r="A485" s="5" t="str">
        <f t="shared" si="125"/>
        <v>Volks</v>
      </c>
      <c r="B485" s="3"/>
      <c r="C485" s="38"/>
      <c r="D485" s="38"/>
      <c r="E485" s="38"/>
      <c r="F485" s="38"/>
      <c r="G485" s="38"/>
      <c r="H485" s="38"/>
      <c r="I485" s="38"/>
      <c r="J485" s="38"/>
      <c r="K485" s="38"/>
      <c r="L485" s="38"/>
      <c r="M485" s="38"/>
      <c r="N485" s="38"/>
      <c r="O485" s="38"/>
      <c r="P485" s="38"/>
      <c r="Q485" s="38"/>
      <c r="R485" s="38"/>
      <c r="S485" s="38"/>
      <c r="T485" s="38"/>
      <c r="U485" s="38"/>
      <c r="V485" s="36" t="str">
        <f>C1</f>
        <v>Volks</v>
      </c>
      <c r="W485" s="36"/>
      <c r="X485" s="36"/>
      <c r="Y485" s="36"/>
      <c r="Z485" s="36"/>
      <c r="AA485" s="36"/>
      <c r="AB485" s="36"/>
      <c r="AC485" s="36"/>
      <c r="AD485" s="36"/>
      <c r="AE485" s="9" t="s">
        <v>220</v>
      </c>
      <c r="AF485" s="36"/>
      <c r="AG485" s="36"/>
      <c r="AH485" s="36"/>
      <c r="AI485" s="36"/>
      <c r="AJ485" s="542"/>
      <c r="AK485" s="232"/>
      <c r="AL485" s="36"/>
      <c r="AM485" s="36"/>
      <c r="AN485" s="36"/>
      <c r="AO485" s="10" t="str">
        <f>$S$1</f>
        <v>Réalisé AAJ, Février 2025</v>
      </c>
      <c r="AP485" s="94"/>
      <c r="AQ485" s="635"/>
      <c r="AR485" s="636"/>
      <c r="AS485" s="38"/>
      <c r="AT485" s="38"/>
      <c r="AU485" s="38"/>
      <c r="AV485" s="38"/>
      <c r="AW485" s="38"/>
      <c r="AX485" s="38"/>
      <c r="AY485" s="38"/>
      <c r="AZ485" s="38"/>
      <c r="BA485" s="38"/>
      <c r="BB485" s="38"/>
      <c r="BC485" s="38"/>
      <c r="BD485" s="38"/>
      <c r="BE485" s="38"/>
      <c r="BF485" s="38"/>
      <c r="BG485" s="38"/>
      <c r="BH485" s="38"/>
      <c r="BI485" s="38"/>
      <c r="BJ485" s="38"/>
    </row>
    <row r="486" spans="1:62" ht="15.75" customHeight="1">
      <c r="A486" s="5" t="str">
        <f t="shared" si="125"/>
        <v/>
      </c>
      <c r="B486" s="3"/>
      <c r="C486" s="38"/>
      <c r="D486" s="38"/>
      <c r="E486" s="38"/>
      <c r="F486" s="38"/>
      <c r="G486" s="38"/>
      <c r="H486" s="38"/>
      <c r="I486" s="38"/>
      <c r="J486" s="38"/>
      <c r="K486" s="38"/>
      <c r="L486" s="38"/>
      <c r="M486" s="38"/>
      <c r="N486" s="38"/>
      <c r="O486" s="38"/>
      <c r="P486" s="38"/>
      <c r="Q486" s="38"/>
      <c r="R486" s="38"/>
      <c r="S486" s="38"/>
      <c r="T486" s="38"/>
      <c r="U486" s="38"/>
      <c r="V486" s="36"/>
      <c r="W486" s="36"/>
      <c r="X486" s="36"/>
      <c r="Y486" s="36"/>
      <c r="Z486" s="291"/>
      <c r="AA486" s="41"/>
      <c r="AB486" s="41"/>
      <c r="AC486" s="291"/>
      <c r="AD486" s="41"/>
      <c r="AE486" s="41"/>
      <c r="AF486" s="541"/>
      <c r="AG486" s="41"/>
      <c r="AH486" s="41"/>
      <c r="AI486" s="41"/>
      <c r="AJ486" s="41"/>
      <c r="AK486" s="41"/>
      <c r="AL486" s="291"/>
      <c r="AM486" s="41"/>
      <c r="AN486" s="41"/>
      <c r="AO486" s="41"/>
      <c r="AP486" s="94"/>
      <c r="AQ486" s="633"/>
      <c r="AR486" s="634"/>
      <c r="AS486" s="38"/>
      <c r="AT486" s="38"/>
      <c r="AU486" s="38"/>
      <c r="AV486" s="38"/>
      <c r="AW486" s="38"/>
      <c r="AX486" s="38"/>
      <c r="AY486" s="38"/>
      <c r="AZ486" s="38"/>
      <c r="BA486" s="38"/>
      <c r="BB486" s="38"/>
      <c r="BC486" s="38"/>
      <c r="BD486" s="38"/>
      <c r="BE486" s="38"/>
      <c r="BF486" s="38"/>
      <c r="BG486" s="38"/>
      <c r="BH486" s="38"/>
      <c r="BI486" s="38"/>
      <c r="BJ486" s="38"/>
    </row>
    <row r="487" spans="1:62" ht="15.75" customHeight="1" thickBot="1">
      <c r="A487" s="5" t="str">
        <f t="shared" si="125"/>
        <v/>
      </c>
      <c r="B487" s="3"/>
      <c r="C487" s="38"/>
      <c r="D487" s="38"/>
      <c r="E487" s="38"/>
      <c r="F487" s="38"/>
      <c r="G487" s="38"/>
      <c r="H487" s="38"/>
      <c r="I487" s="38"/>
      <c r="J487" s="38"/>
      <c r="K487" s="38"/>
      <c r="L487" s="38"/>
      <c r="M487" s="38"/>
      <c r="N487" s="38"/>
      <c r="O487" s="38"/>
      <c r="P487" s="38"/>
      <c r="Q487" s="38"/>
      <c r="R487" s="38"/>
      <c r="S487" s="38"/>
      <c r="T487" s="38"/>
      <c r="U487" s="38"/>
      <c r="V487" s="36"/>
      <c r="W487" s="36"/>
      <c r="X487" s="36"/>
      <c r="Y487" s="36"/>
      <c r="Z487" s="291"/>
      <c r="AA487" s="41"/>
      <c r="AB487" s="41"/>
      <c r="AC487" s="291"/>
      <c r="AD487" s="41"/>
      <c r="AE487" s="41"/>
      <c r="AF487" s="541"/>
      <c r="AG487" s="41"/>
      <c r="AH487" s="41"/>
      <c r="AI487" s="41"/>
      <c r="AJ487" s="41"/>
      <c r="AK487" s="41"/>
      <c r="AL487" s="291"/>
      <c r="AM487" s="41"/>
      <c r="AN487" s="41"/>
      <c r="AO487" s="41"/>
      <c r="AP487" s="94"/>
      <c r="AQ487" s="633"/>
      <c r="AR487" s="634"/>
      <c r="AS487" s="38"/>
      <c r="AT487" s="38"/>
      <c r="AU487" s="38"/>
      <c r="AV487" s="38"/>
      <c r="AW487" s="38"/>
      <c r="AX487" s="38"/>
      <c r="AY487" s="38"/>
      <c r="AZ487" s="38"/>
      <c r="BA487" s="38"/>
      <c r="BB487" s="38"/>
      <c r="BC487" s="38"/>
      <c r="BD487" s="38"/>
      <c r="BE487" s="38"/>
      <c r="BF487" s="38"/>
      <c r="BG487" s="38"/>
      <c r="BH487" s="38"/>
      <c r="BI487" s="38"/>
      <c r="BJ487" s="38"/>
    </row>
    <row r="488" spans="1:62" ht="19" thickTop="1" thickBot="1">
      <c r="A488" s="5" t="e">
        <f>+U488&amp;#REF!</f>
        <v>#REF!</v>
      </c>
      <c r="B488" s="3"/>
      <c r="C488" s="38"/>
      <c r="D488" s="38"/>
      <c r="E488" s="38"/>
      <c r="F488" s="38"/>
      <c r="G488" s="38"/>
      <c r="H488" s="38"/>
      <c r="I488" s="38"/>
      <c r="J488" s="38"/>
      <c r="K488" s="38"/>
      <c r="L488" s="38"/>
      <c r="M488" s="38"/>
      <c r="N488" s="38"/>
      <c r="O488" s="38"/>
      <c r="P488" s="38"/>
      <c r="Q488" s="38"/>
      <c r="R488" s="38"/>
      <c r="S488" s="38"/>
      <c r="T488" s="38"/>
      <c r="U488" s="38"/>
      <c r="V488" s="1183" t="s">
        <v>3915</v>
      </c>
      <c r="W488" s="1184"/>
      <c r="X488" s="1185" t="s">
        <v>219</v>
      </c>
      <c r="Y488" s="1186">
        <f>Z488/Z406</f>
        <v>8.7617104249982213E-3</v>
      </c>
      <c r="Z488" s="1187">
        <f>Z489+Z415</f>
        <v>81589.218488817918</v>
      </c>
      <c r="AA488" s="1185"/>
      <c r="AB488" s="1186"/>
      <c r="AC488" s="534"/>
      <c r="AD488" s="1185" t="s">
        <v>219</v>
      </c>
      <c r="AE488" s="1186">
        <f>AF488/AF406</f>
        <v>1.0207436234669701E-2</v>
      </c>
      <c r="AF488" s="1187">
        <f>AF489+AF415</f>
        <v>82005.43999999993</v>
      </c>
      <c r="AG488" s="536"/>
      <c r="AH488" s="536">
        <f t="shared" ref="AH488" si="137">AF488-Z488</f>
        <v>416.22151118201145</v>
      </c>
      <c r="AI488" s="537">
        <f>AH488/Z488</f>
        <v>5.101427846610101E-3</v>
      </c>
      <c r="AJ488" s="1185" t="s">
        <v>219</v>
      </c>
      <c r="AK488" s="1186">
        <f>IF($AL$406=0,0,AL488/$AL$406)</f>
        <v>3.6424413078849664E-3</v>
      </c>
      <c r="AL488" s="1187">
        <f>AL489+AL415</f>
        <v>36748.529999998951</v>
      </c>
      <c r="AM488" s="539"/>
      <c r="AN488" s="1187">
        <f t="shared" ref="AN488" si="138">AF488-AL488</f>
        <v>45256.910000000978</v>
      </c>
      <c r="AO488" s="1188">
        <f t="shared" ref="AO488" si="139">IF(AL488=0,0,AN488/AL488)</f>
        <v>1.2315298054099653</v>
      </c>
      <c r="AP488" s="94"/>
      <c r="AQ488" s="633"/>
      <c r="AR488" s="634"/>
      <c r="AS488" s="38"/>
      <c r="AT488" s="38"/>
      <c r="AU488" s="38"/>
      <c r="AV488" s="38"/>
      <c r="AW488" s="38"/>
      <c r="AX488" s="38"/>
      <c r="AY488" s="38"/>
      <c r="AZ488" s="38"/>
      <c r="BA488" s="38"/>
      <c r="BB488" s="38"/>
      <c r="BC488" s="38"/>
      <c r="BD488" s="38"/>
      <c r="BE488" s="38"/>
      <c r="BF488" s="38"/>
      <c r="BG488" s="38"/>
      <c r="BH488" s="38"/>
      <c r="BI488" s="38"/>
      <c r="BJ488" s="38"/>
    </row>
    <row r="489" spans="1:62" ht="19" thickTop="1" thickBot="1">
      <c r="A489" s="5" t="str">
        <f t="shared" si="125"/>
        <v>BAIIA OPÉRATIONNEL</v>
      </c>
      <c r="B489" s="3"/>
      <c r="C489" s="38"/>
      <c r="D489" s="38"/>
      <c r="E489" s="38"/>
      <c r="F489" s="38"/>
      <c r="G489" s="38"/>
      <c r="H489" s="38"/>
      <c r="I489" s="38"/>
      <c r="J489" s="38"/>
      <c r="K489" s="38"/>
      <c r="L489" s="38"/>
      <c r="M489" s="38"/>
      <c r="N489" s="38"/>
      <c r="O489" s="38"/>
      <c r="P489" s="38"/>
      <c r="Q489" s="38"/>
      <c r="R489" s="38"/>
      <c r="S489" s="38"/>
      <c r="T489" s="38"/>
      <c r="U489" s="38"/>
      <c r="V489" s="530" t="s">
        <v>218</v>
      </c>
      <c r="W489" s="531"/>
      <c r="X489" s="532" t="s">
        <v>219</v>
      </c>
      <c r="Y489" s="533">
        <f>Z489/Z406</f>
        <v>-1.030146655295642E-4</v>
      </c>
      <c r="Z489" s="534">
        <f>Z483</f>
        <v>-959.27457605354721</v>
      </c>
      <c r="AA489" s="532"/>
      <c r="AB489" s="533"/>
      <c r="AC489" s="534"/>
      <c r="AD489" s="532" t="s">
        <v>219</v>
      </c>
      <c r="AE489" s="533">
        <f>AF489/AF406</f>
        <v>7.6764537325487514E-3</v>
      </c>
      <c r="AF489" s="534">
        <f>AF483</f>
        <v>61671.79999999993</v>
      </c>
      <c r="AG489" s="535"/>
      <c r="AH489" s="536">
        <f>AF489-Z489</f>
        <v>62631.074576053477</v>
      </c>
      <c r="AI489" s="537">
        <f>AH489/Z489</f>
        <v>-65.290039097791521</v>
      </c>
      <c r="AJ489" s="532" t="s">
        <v>219</v>
      </c>
      <c r="AK489" s="533">
        <f>IF($AL$406=0,0,AL489/$AL$406)</f>
        <v>-3.0804243277462746E-3</v>
      </c>
      <c r="AL489" s="543">
        <f>AL483</f>
        <v>-31078.350000001054</v>
      </c>
      <c r="AM489" s="544"/>
      <c r="AN489" s="545">
        <f>AF489-AL489</f>
        <v>92750.150000000984</v>
      </c>
      <c r="AO489" s="546">
        <f>IF(AL489=0,0,AN489/AL489)</f>
        <v>-2.9843974985801318</v>
      </c>
      <c r="AP489" s="94"/>
      <c r="AQ489" s="637">
        <v>2236846.7700000028</v>
      </c>
      <c r="AR489" s="543">
        <f>AF489-AQ489</f>
        <v>-2175174.970000003</v>
      </c>
      <c r="AS489" s="38"/>
      <c r="AT489" s="38"/>
      <c r="AU489" s="38"/>
      <c r="AV489" s="38"/>
      <c r="AW489" s="38"/>
      <c r="AX489" s="38"/>
      <c r="AY489" s="38"/>
      <c r="AZ489" s="38"/>
      <c r="BA489" s="38"/>
      <c r="BB489" s="38"/>
      <c r="BC489" s="38"/>
      <c r="BD489" s="38"/>
      <c r="BE489" s="38"/>
      <c r="BF489" s="38"/>
      <c r="BG489" s="38"/>
      <c r="BH489" s="38"/>
      <c r="BI489" s="38"/>
      <c r="BJ489" s="38"/>
    </row>
    <row r="490" spans="1:62" ht="15.75" customHeight="1" thickTop="1">
      <c r="A490" s="5" t="str">
        <f t="shared" si="125"/>
        <v/>
      </c>
      <c r="B490" s="3"/>
      <c r="C490" s="38"/>
      <c r="D490" s="38"/>
      <c r="E490" s="38"/>
      <c r="F490" s="94"/>
      <c r="G490" s="38"/>
      <c r="H490" s="38"/>
      <c r="I490" s="94"/>
      <c r="J490" s="38"/>
      <c r="K490" s="38"/>
      <c r="L490" s="38"/>
      <c r="M490" s="94"/>
      <c r="N490" s="38"/>
      <c r="O490" s="38"/>
      <c r="P490" s="38"/>
      <c r="Q490" s="94"/>
      <c r="R490" s="94"/>
      <c r="S490" s="94"/>
      <c r="T490" s="80"/>
      <c r="U490" s="80"/>
      <c r="V490" s="547"/>
      <c r="W490" s="38"/>
      <c r="X490" s="38"/>
      <c r="Y490" s="38"/>
      <c r="Z490" s="548"/>
      <c r="AA490" s="38"/>
      <c r="AB490" s="38"/>
      <c r="AC490" s="549"/>
      <c r="AD490" s="38"/>
      <c r="AE490" s="38"/>
      <c r="AF490" s="549"/>
      <c r="AG490" s="38"/>
      <c r="AH490" s="38"/>
      <c r="AI490" s="549"/>
      <c r="AJ490" s="38"/>
      <c r="AK490" s="38"/>
      <c r="AL490" s="550"/>
      <c r="AM490" s="551"/>
      <c r="AN490" s="38"/>
      <c r="AO490" s="552"/>
      <c r="AP490" s="94"/>
      <c r="AQ490" s="638"/>
      <c r="AR490" s="550"/>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tr">
        <f t="shared" si="125"/>
        <v>Amortissement</v>
      </c>
      <c r="B491" s="3"/>
      <c r="C491" s="38"/>
      <c r="D491" s="38"/>
      <c r="E491" s="38"/>
      <c r="F491" s="38"/>
      <c r="G491" s="38"/>
      <c r="H491" s="38"/>
      <c r="I491" s="38"/>
      <c r="J491" s="38"/>
      <c r="K491" s="38"/>
      <c r="L491" s="38"/>
      <c r="M491" s="38"/>
      <c r="N491" s="38"/>
      <c r="O491" s="38"/>
      <c r="P491" s="38"/>
      <c r="Q491" s="38"/>
      <c r="R491" s="38"/>
      <c r="S491" s="38"/>
      <c r="T491" s="38"/>
      <c r="U491" s="38"/>
      <c r="V491" s="312" t="s">
        <v>221</v>
      </c>
      <c r="W491" s="463"/>
      <c r="X491" s="456"/>
      <c r="Y491" s="464"/>
      <c r="Z491" s="457" cm="1">
        <f t="array" ref="Z491">+SUMPRODUCT(('Budget original'!$A$8:$A$501=$A491)*('Budget original'!$C$3:$AO$3=Z$2),'Budget original'!$C$8:$AO$501)</f>
        <v>85296</v>
      </c>
      <c r="AA491" s="456"/>
      <c r="AB491" s="464"/>
      <c r="AC491" s="457"/>
      <c r="AD491" s="456"/>
      <c r="AE491" s="464"/>
      <c r="AF491" s="457">
        <f>SUMIFS(BV_Data_An_Cour!$P:$P,BV_Data_An_Cour!$V:$V,$V491)</f>
        <v>85296</v>
      </c>
      <c r="AG491" s="456"/>
      <c r="AH491" s="459">
        <f t="shared" ref="AH491:AH498" si="140">AF491-Z491</f>
        <v>0</v>
      </c>
      <c r="AI491" s="479">
        <f t="shared" ref="AI491:AI497" si="141">IF(Z491=0,0,AH491/Z491)</f>
        <v>0</v>
      </c>
      <c r="AJ491" s="456"/>
      <c r="AK491" s="456"/>
      <c r="AL491" s="457" cm="1">
        <f t="array" ref="AL491">+SUMPRODUCT(('Réel 2024'!$A$8:$A$501=$A491)*('Réel 2024'!$C$3:$AO$3=Z$2),'Réel 2024'!$C$8:$AO$501)</f>
        <v>12630</v>
      </c>
      <c r="AM491" s="461"/>
      <c r="AN491" s="459">
        <f t="shared" ref="AN491:AN498" si="142">AF491-AL491</f>
        <v>72666</v>
      </c>
      <c r="AO491" s="466">
        <f t="shared" ref="AO491:AO498" si="143">IF(AL491=0,0,AN491/AL491)</f>
        <v>5.7534441805225649</v>
      </c>
      <c r="AP491" s="94"/>
      <c r="AQ491" s="622">
        <v>51774</v>
      </c>
      <c r="AR491" s="512">
        <f t="shared" ref="AR491:AR493" si="144">AF491-AQ491</f>
        <v>33522</v>
      </c>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tr">
        <f t="shared" si="125"/>
        <v>Intérêts sur marge</v>
      </c>
      <c r="B492" s="3"/>
      <c r="C492" s="38"/>
      <c r="D492" s="38"/>
      <c r="E492" s="38"/>
      <c r="F492" s="94"/>
      <c r="G492" s="38"/>
      <c r="H492" s="38"/>
      <c r="I492" s="94"/>
      <c r="J492" s="38"/>
      <c r="K492" s="38"/>
      <c r="L492" s="38"/>
      <c r="M492" s="94"/>
      <c r="N492" s="38"/>
      <c r="O492" s="38"/>
      <c r="P492" s="38"/>
      <c r="Q492" s="94"/>
      <c r="R492" s="94"/>
      <c r="S492" s="94"/>
      <c r="T492" s="38"/>
      <c r="U492" s="38"/>
      <c r="V492" s="312" t="s">
        <v>222</v>
      </c>
      <c r="W492" s="38"/>
      <c r="X492" s="38"/>
      <c r="Y492" s="38"/>
      <c r="Z492" s="457" cm="1">
        <f t="array" ref="Z492">+SUMPRODUCT(('Budget original'!$A$8:$A$501=$A492)*('Budget original'!$C$3:$AO$3=Z$2),'Budget original'!$C$8:$AO$501)</f>
        <v>0</v>
      </c>
      <c r="AA492" s="38"/>
      <c r="AB492" s="38"/>
      <c r="AC492" s="457"/>
      <c r="AD492" s="38"/>
      <c r="AE492" s="41"/>
      <c r="AF492" s="457">
        <f>SUMIFS(BV_Data_An_Cour!$P:$P,BV_Data_An_Cour!$V:$V,$V492)</f>
        <v>0</v>
      </c>
      <c r="AG492" s="38"/>
      <c r="AH492" s="459">
        <f t="shared" si="140"/>
        <v>0</v>
      </c>
      <c r="AI492" s="479">
        <f t="shared" si="141"/>
        <v>0</v>
      </c>
      <c r="AJ492" s="38"/>
      <c r="AK492" s="38"/>
      <c r="AL492" s="457" cm="1">
        <f t="array" ref="AL492">+SUMPRODUCT(('Réel 2024'!$A$8:$A$501=$A492)*('Réel 2024'!$C$3:$AO$3=Z$2),'Réel 2024'!$C$8:$AO$501)</f>
        <v>0</v>
      </c>
      <c r="AM492" s="551"/>
      <c r="AN492" s="459">
        <f t="shared" si="142"/>
        <v>0</v>
      </c>
      <c r="AO492" s="466">
        <f t="shared" si="143"/>
        <v>0</v>
      </c>
      <c r="AP492" s="94"/>
      <c r="AQ492" s="622">
        <v>0</v>
      </c>
      <c r="AR492" s="512">
        <f t="shared" si="144"/>
        <v>0</v>
      </c>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tr">
        <f t="shared" si="125"/>
        <v>Intérêts sur prêt</v>
      </c>
      <c r="B493" s="3"/>
      <c r="C493" s="38"/>
      <c r="D493" s="38"/>
      <c r="E493" s="38"/>
      <c r="F493" s="94"/>
      <c r="G493" s="38"/>
      <c r="H493" s="38"/>
      <c r="I493" s="94"/>
      <c r="J493" s="38"/>
      <c r="K493" s="38"/>
      <c r="L493" s="38"/>
      <c r="M493" s="94"/>
      <c r="N493" s="38"/>
      <c r="O493" s="38"/>
      <c r="P493" s="38"/>
      <c r="Q493" s="94"/>
      <c r="R493" s="94"/>
      <c r="S493" s="94"/>
      <c r="T493" s="38"/>
      <c r="U493" s="38"/>
      <c r="V493" s="312" t="s">
        <v>223</v>
      </c>
      <c r="W493" s="41"/>
      <c r="X493" s="41"/>
      <c r="Y493" s="41"/>
      <c r="Z493" s="457" cm="1">
        <f t="array" ref="Z493">+SUMPRODUCT(('Budget original'!$A$8:$A$501=$A493)*('Budget original'!$C$3:$AO$3=Z$2),'Budget original'!$C$8:$AO$501)</f>
        <v>0</v>
      </c>
      <c r="AA493" s="38"/>
      <c r="AB493" s="38"/>
      <c r="AC493" s="457"/>
      <c r="AD493" s="38"/>
      <c r="AE493" s="41"/>
      <c r="AF493" s="457">
        <f>SUMIFS(BV_Data_An_Cour!$P:$P,BV_Data_An_Cour!$V:$V,$V493)</f>
        <v>0</v>
      </c>
      <c r="AG493" s="38"/>
      <c r="AH493" s="459">
        <f t="shared" si="140"/>
        <v>0</v>
      </c>
      <c r="AI493" s="479">
        <f t="shared" si="141"/>
        <v>0</v>
      </c>
      <c r="AJ493" s="38"/>
      <c r="AK493" s="38"/>
      <c r="AL493" s="457" cm="1">
        <f t="array" ref="AL493">+SUMPRODUCT(('Réel 2024'!$A$8:$A$501=$A493)*('Réel 2024'!$C$3:$AO$3=Z$2),'Réel 2024'!$C$8:$AO$501)</f>
        <v>0</v>
      </c>
      <c r="AM493" s="551"/>
      <c r="AN493" s="459">
        <f t="shared" si="142"/>
        <v>0</v>
      </c>
      <c r="AO493" s="466">
        <f t="shared" si="143"/>
        <v>0</v>
      </c>
      <c r="AP493" s="94"/>
      <c r="AQ493" s="622">
        <v>5121.4799999999996</v>
      </c>
      <c r="AR493" s="512">
        <f t="shared" si="144"/>
        <v>-5121.4799999999996</v>
      </c>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tr">
        <f t="shared" si="125"/>
        <v>Intérêts sur avance</v>
      </c>
      <c r="B494" s="3"/>
      <c r="C494" s="38"/>
      <c r="D494" s="38"/>
      <c r="E494" s="38"/>
      <c r="F494" s="94"/>
      <c r="G494" s="38"/>
      <c r="H494" s="38"/>
      <c r="I494" s="94"/>
      <c r="J494" s="38"/>
      <c r="K494" s="38"/>
      <c r="L494" s="38"/>
      <c r="M494" s="94"/>
      <c r="N494" s="38"/>
      <c r="O494" s="38"/>
      <c r="P494" s="38"/>
      <c r="Q494" s="94"/>
      <c r="R494" s="94"/>
      <c r="S494" s="94"/>
      <c r="T494" s="38"/>
      <c r="U494" s="38"/>
      <c r="V494" s="312" t="s">
        <v>224</v>
      </c>
      <c r="W494" s="41"/>
      <c r="X494" s="41"/>
      <c r="Y494" s="41"/>
      <c r="Z494" s="457" cm="1">
        <f t="array" ref="Z494">+SUMPRODUCT(('Budget original'!$A$8:$A$501=$A494)*('Budget original'!$C$3:$AO$3=Z$2),'Budget original'!$C$8:$AO$501)</f>
        <v>0</v>
      </c>
      <c r="AA494" s="38"/>
      <c r="AB494" s="38"/>
      <c r="AC494" s="457"/>
      <c r="AD494" s="38"/>
      <c r="AE494" s="41"/>
      <c r="AF494" s="457">
        <f>SUMIFS(BV_Data_An_Cour!$P:$P,BV_Data_An_Cour!$V:$V,$V494)</f>
        <v>0</v>
      </c>
      <c r="AG494" s="38"/>
      <c r="AH494" s="459">
        <f t="shared" si="140"/>
        <v>0</v>
      </c>
      <c r="AI494" s="479">
        <f t="shared" si="141"/>
        <v>0</v>
      </c>
      <c r="AJ494" s="38"/>
      <c r="AK494" s="38"/>
      <c r="AL494" s="457" cm="1">
        <f t="array" ref="AL494">+SUMPRODUCT(('Réel 2024'!$A$8:$A$501=$A494)*('Réel 2024'!$C$3:$AO$3=Z$2),'Réel 2024'!$C$8:$AO$501)</f>
        <v>0</v>
      </c>
      <c r="AM494" s="551"/>
      <c r="AN494" s="459">
        <f t="shared" si="142"/>
        <v>0</v>
      </c>
      <c r="AO494" s="466">
        <f t="shared" si="143"/>
        <v>0</v>
      </c>
      <c r="AP494" s="94"/>
      <c r="AQ494" s="622">
        <v>0</v>
      </c>
      <c r="AR494" s="512"/>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tr">
        <f t="shared" si="125"/>
        <v>[...]</v>
      </c>
      <c r="B495" s="3"/>
      <c r="C495" s="38"/>
      <c r="D495" s="38"/>
      <c r="E495" s="38"/>
      <c r="F495" s="94"/>
      <c r="G495" s="38"/>
      <c r="H495" s="38"/>
      <c r="I495" s="94"/>
      <c r="J495" s="38"/>
      <c r="K495" s="38"/>
      <c r="L495" s="38"/>
      <c r="M495" s="94"/>
      <c r="N495" s="38"/>
      <c r="O495" s="38"/>
      <c r="P495" s="38"/>
      <c r="Q495" s="94"/>
      <c r="R495" s="94"/>
      <c r="S495" s="94"/>
      <c r="T495" s="38"/>
      <c r="U495" s="38"/>
      <c r="V495" s="312" t="s">
        <v>59</v>
      </c>
      <c r="W495" s="41"/>
      <c r="X495" s="41"/>
      <c r="Y495" s="41"/>
      <c r="Z495" s="457" cm="1">
        <f t="array" ref="Z495">+SUMPRODUCT(('Budget original'!$A$8:$A$501=$A495)*('Budget original'!$C$3:$AO$3=Z$2),'Budget original'!$C$8:$AO$501)</f>
        <v>0</v>
      </c>
      <c r="AA495" s="38"/>
      <c r="AB495" s="38"/>
      <c r="AC495" s="457"/>
      <c r="AD495" s="38"/>
      <c r="AE495" s="41"/>
      <c r="AF495" s="457">
        <f>SUMIFS(BV_Data_An_Cour!$P:$P,BV_Data_An_Cour!$V:$V,$V495)</f>
        <v>0</v>
      </c>
      <c r="AG495" s="38"/>
      <c r="AH495" s="459">
        <f t="shared" si="140"/>
        <v>0</v>
      </c>
      <c r="AI495" s="479">
        <f t="shared" si="141"/>
        <v>0</v>
      </c>
      <c r="AJ495" s="38"/>
      <c r="AK495" s="38"/>
      <c r="AL495" s="457"/>
      <c r="AM495" s="551"/>
      <c r="AN495" s="459">
        <f t="shared" si="142"/>
        <v>0</v>
      </c>
      <c r="AO495" s="466">
        <f t="shared" si="143"/>
        <v>0</v>
      </c>
      <c r="AP495" s="94"/>
      <c r="AQ495" s="622">
        <v>0</v>
      </c>
      <c r="AR495" s="550"/>
      <c r="AS495" s="38"/>
      <c r="AT495" s="38"/>
      <c r="AU495" s="38"/>
      <c r="AV495" s="38"/>
      <c r="AW495" s="38"/>
      <c r="AX495" s="38"/>
      <c r="AY495" s="38"/>
      <c r="AZ495" s="38"/>
      <c r="BA495" s="38"/>
      <c r="BB495" s="38"/>
      <c r="BC495" s="38"/>
      <c r="BD495" s="38"/>
      <c r="BE495" s="38"/>
      <c r="BF495" s="38"/>
      <c r="BG495" s="38"/>
      <c r="BH495" s="38"/>
      <c r="BI495" s="38"/>
      <c r="BJ495" s="38"/>
    </row>
    <row r="496" spans="1:62" ht="15.75" customHeight="1">
      <c r="A496" s="5" t="str">
        <f t="shared" si="125"/>
        <v>Revenus d'intérêts floor plan</v>
      </c>
      <c r="B496" s="3"/>
      <c r="C496" s="38"/>
      <c r="D496" s="38"/>
      <c r="E496" s="38"/>
      <c r="F496" s="94"/>
      <c r="G496" s="38"/>
      <c r="H496" s="38"/>
      <c r="I496" s="94"/>
      <c r="J496" s="38"/>
      <c r="K496" s="38"/>
      <c r="L496" s="38"/>
      <c r="M496" s="94"/>
      <c r="N496" s="38"/>
      <c r="O496" s="38"/>
      <c r="P496" s="38"/>
      <c r="Q496" s="94"/>
      <c r="R496" s="94"/>
      <c r="S496" s="94"/>
      <c r="T496" s="38"/>
      <c r="U496" s="38"/>
      <c r="V496" s="312" t="s">
        <v>3861</v>
      </c>
      <c r="W496" s="41"/>
      <c r="X496" s="41"/>
      <c r="Y496" s="41"/>
      <c r="Z496" s="457" cm="1">
        <f t="array" ref="Z496">+SUMPRODUCT(('Budget original'!$A$8:$A$501=$A496)*('Budget original'!$C$3:$AO$3=Z$2),'Budget original'!$C$8:$AO$501)</f>
        <v>-2158.3333333333335</v>
      </c>
      <c r="AA496" s="38"/>
      <c r="AB496" s="38"/>
      <c r="AC496" s="457"/>
      <c r="AD496" s="38"/>
      <c r="AE496" s="41"/>
      <c r="AF496" s="457">
        <f>SUMIFS(BV_Data_An_Cour!$P:$P,BV_Data_An_Cour!$V:$V,$V496)</f>
        <v>-2158</v>
      </c>
      <c r="AG496" s="38"/>
      <c r="AH496" s="459">
        <f t="shared" si="140"/>
        <v>0.33333333333348492</v>
      </c>
      <c r="AI496" s="479">
        <f t="shared" si="141"/>
        <v>-1.5444015444022465E-4</v>
      </c>
      <c r="AJ496" s="38"/>
      <c r="AK496" s="38"/>
      <c r="AL496" s="457" cm="1">
        <f t="array" ref="AL496">+SUMPRODUCT(('Réel 2024'!$A$8:$A$501=$A496)*('Réel 2024'!$C$3:$AO$3=Z$2),'Réel 2024'!$C$8:$AO$501)</f>
        <v>-11293.099999999999</v>
      </c>
      <c r="AM496" s="551"/>
      <c r="AN496" s="459">
        <f t="shared" si="142"/>
        <v>9135.0999999999985</v>
      </c>
      <c r="AO496" s="466">
        <f t="shared" si="143"/>
        <v>-0.80890986531598941</v>
      </c>
      <c r="AP496" s="94"/>
      <c r="AQ496" s="622">
        <v>0</v>
      </c>
      <c r="AR496" s="550"/>
      <c r="AS496" s="38"/>
      <c r="AT496" s="38"/>
      <c r="AU496" s="38"/>
      <c r="AV496" s="38"/>
      <c r="AW496" s="38"/>
      <c r="AX496" s="38"/>
      <c r="AY496" s="38"/>
      <c r="AZ496" s="38"/>
      <c r="BA496" s="38"/>
      <c r="BB496" s="38"/>
      <c r="BC496" s="38"/>
      <c r="BD496" s="38"/>
      <c r="BE496" s="38"/>
      <c r="BF496" s="38"/>
      <c r="BG496" s="38"/>
      <c r="BH496" s="38"/>
      <c r="BI496" s="38"/>
      <c r="BJ496" s="38"/>
    </row>
    <row r="497" spans="1:62" ht="15.75" customHeight="1">
      <c r="A497" s="5" t="str">
        <f t="shared" si="125"/>
        <v>[...]</v>
      </c>
      <c r="B497" s="3"/>
      <c r="C497" s="38"/>
      <c r="D497" s="38"/>
      <c r="E497" s="38"/>
      <c r="F497" s="94"/>
      <c r="G497" s="38"/>
      <c r="H497" s="38"/>
      <c r="I497" s="94"/>
      <c r="J497" s="38"/>
      <c r="K497" s="38"/>
      <c r="L497" s="38"/>
      <c r="M497" s="94"/>
      <c r="N497" s="38"/>
      <c r="O497" s="38"/>
      <c r="P497" s="38"/>
      <c r="Q497" s="94"/>
      <c r="R497" s="94"/>
      <c r="S497" s="94"/>
      <c r="T497" s="38"/>
      <c r="U497" s="38"/>
      <c r="V497" s="312" t="s">
        <v>59</v>
      </c>
      <c r="W497" s="41"/>
      <c r="X497" s="38"/>
      <c r="Y497" s="41"/>
      <c r="Z497" s="457">
        <f t="array" ref="Z497">+INDEX('Budget original'!$A$2:$AO$501,MATCH($A497,'Budget original'!$A$2:$A$501,0),MATCH(F$2,'Budget original'!$A$2:$AO$2,0))</f>
        <v>0</v>
      </c>
      <c r="AA497" s="38"/>
      <c r="AB497" s="38"/>
      <c r="AC497" s="457"/>
      <c r="AD497" s="38"/>
      <c r="AE497" s="41"/>
      <c r="AF497" s="457">
        <f>SUMIFS(BV_Data_An_Cour!$P:$P,BV_Data_An_Cour!$V:$V,$V497)</f>
        <v>0</v>
      </c>
      <c r="AG497" s="38"/>
      <c r="AH497" s="459">
        <f t="shared" si="140"/>
        <v>0</v>
      </c>
      <c r="AI497" s="479">
        <f t="shared" si="141"/>
        <v>0</v>
      </c>
      <c r="AJ497" s="38"/>
      <c r="AK497" s="38"/>
      <c r="AL497" s="457"/>
      <c r="AM497" s="551"/>
      <c r="AN497" s="459">
        <f t="shared" si="142"/>
        <v>0</v>
      </c>
      <c r="AO497" s="466">
        <f t="shared" si="143"/>
        <v>0</v>
      </c>
      <c r="AP497" s="94"/>
      <c r="AQ497" s="622">
        <v>0</v>
      </c>
      <c r="AR497" s="550"/>
      <c r="AS497" s="38"/>
      <c r="AT497" s="38"/>
      <c r="AU497" s="38"/>
      <c r="AV497" s="38"/>
      <c r="AW497" s="38"/>
      <c r="AX497" s="38"/>
      <c r="AY497" s="38"/>
      <c r="AZ497" s="38"/>
      <c r="BA497" s="38"/>
      <c r="BB497" s="38"/>
      <c r="BC497" s="38"/>
      <c r="BD497" s="38"/>
      <c r="BE497" s="38"/>
      <c r="BF497" s="38"/>
      <c r="BG497" s="38"/>
      <c r="BH497" s="38"/>
      <c r="BI497" s="38"/>
      <c r="BJ497" s="38"/>
    </row>
    <row r="498" spans="1:62" ht="15.75" customHeight="1" thickTop="1" thickBot="1">
      <c r="A498" s="5" t="str">
        <f t="shared" si="125"/>
        <v>Profit Net</v>
      </c>
      <c r="B498" s="3"/>
      <c r="C498" s="38"/>
      <c r="D498" s="38"/>
      <c r="E498" s="38"/>
      <c r="F498" s="94"/>
      <c r="G498" s="38"/>
      <c r="H498" s="38"/>
      <c r="I498" s="94"/>
      <c r="J498" s="38"/>
      <c r="K498" s="38"/>
      <c r="L498" s="38"/>
      <c r="M498" s="94"/>
      <c r="N498" s="38"/>
      <c r="O498" s="38"/>
      <c r="P498" s="38"/>
      <c r="Q498" s="94"/>
      <c r="R498" s="94"/>
      <c r="S498" s="94"/>
      <c r="T498" s="38"/>
      <c r="U498" s="38"/>
      <c r="V498" s="530" t="s">
        <v>225</v>
      </c>
      <c r="W498" s="531"/>
      <c r="X498" s="532" t="s">
        <v>219</v>
      </c>
      <c r="Y498" s="533">
        <f>Z498/Z406</f>
        <v>-9.0310099844600183E-3</v>
      </c>
      <c r="Z498" s="534">
        <f>Z489-Z491-Z492-Z493-Z497-Z496</f>
        <v>-84096.941242720219</v>
      </c>
      <c r="AA498" s="532"/>
      <c r="AB498" s="533"/>
      <c r="AC498" s="534"/>
      <c r="AD498" s="532" t="s">
        <v>219</v>
      </c>
      <c r="AE498" s="533">
        <f>AF498/AF406</f>
        <v>-2.6719552715120803E-3</v>
      </c>
      <c r="AF498" s="535">
        <f>AF489-AF491-AF492-AF493-AF497-AF496</f>
        <v>-21466.20000000007</v>
      </c>
      <c r="AG498" s="536"/>
      <c r="AH498" s="536">
        <f t="shared" si="140"/>
        <v>62630.741242720149</v>
      </c>
      <c r="AI498" s="537">
        <f>AH498/Z498</f>
        <v>-0.74474458068523064</v>
      </c>
      <c r="AJ498" s="538" t="s">
        <v>219</v>
      </c>
      <c r="AK498" s="533">
        <f>IF($AL$406=0,0,AL498/$AL$406)</f>
        <v>-3.212935200548848E-3</v>
      </c>
      <c r="AL498" s="535">
        <f>AL489-AL491-AL492-AL493-AL497-AL496</f>
        <v>-32415.250000001055</v>
      </c>
      <c r="AM498" s="539"/>
      <c r="AN498" s="535">
        <f t="shared" si="142"/>
        <v>10949.050000000985</v>
      </c>
      <c r="AO498" s="553">
        <f t="shared" si="143"/>
        <v>-0.33777465853265448</v>
      </c>
      <c r="AP498" s="94"/>
      <c r="AQ498" s="544">
        <v>2179951.2900000028</v>
      </c>
      <c r="AR498" s="639">
        <f>AF498-AQ498</f>
        <v>-2201417.490000003</v>
      </c>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c r="A499" s="5" t="str">
        <f>+U499&amp;V488</f>
        <v>BAIIA Corpo</v>
      </c>
      <c r="B499" s="3"/>
      <c r="C499" s="38"/>
      <c r="D499" s="38"/>
      <c r="E499" s="38"/>
      <c r="F499" s="94"/>
      <c r="G499" s="38"/>
      <c r="H499" s="38"/>
      <c r="I499" s="94"/>
      <c r="J499" s="38"/>
      <c r="K499" s="38"/>
      <c r="L499" s="38"/>
      <c r="M499" s="94"/>
      <c r="N499" s="38"/>
      <c r="O499" s="38"/>
      <c r="P499" s="38"/>
      <c r="Q499" s="94"/>
      <c r="R499" s="94"/>
      <c r="S499" s="94"/>
      <c r="T499" s="38"/>
      <c r="U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C500" s="38"/>
      <c r="D500" s="38"/>
      <c r="E500" s="38"/>
      <c r="F500" s="94"/>
      <c r="G500" s="38"/>
      <c r="H500" s="38"/>
      <c r="I500" s="94"/>
      <c r="J500" s="38"/>
      <c r="K500" s="38"/>
      <c r="L500" s="38"/>
      <c r="M500" s="94"/>
      <c r="N500" s="38"/>
      <c r="O500" s="38"/>
      <c r="P500" s="38"/>
      <c r="Q500" s="94"/>
      <c r="R500" s="94"/>
      <c r="S500" s="94"/>
      <c r="T500" s="38"/>
      <c r="U500" s="38"/>
      <c r="V500" s="38"/>
      <c r="W500" s="38"/>
      <c r="X500" s="38"/>
      <c r="Y500" s="38"/>
      <c r="Z500" s="94">
        <f>Z498</f>
        <v>-84096.941242720219</v>
      </c>
      <c r="AA500" s="38"/>
      <c r="AB500" s="38"/>
      <c r="AC500" s="94"/>
      <c r="AD500" s="38"/>
      <c r="AE500" s="960"/>
      <c r="AF500" s="960"/>
      <c r="AG500" s="960"/>
      <c r="AH500" s="960"/>
      <c r="AI500" s="38"/>
      <c r="AJ500" s="38"/>
      <c r="AK500" s="554"/>
      <c r="AL500" s="1003"/>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D501" s="38"/>
      <c r="E501" s="38"/>
      <c r="F501" s="94"/>
      <c r="G501" s="38"/>
      <c r="H501" s="38"/>
      <c r="I501" s="94"/>
      <c r="J501" s="38"/>
      <c r="K501" s="38"/>
      <c r="L501" s="38"/>
      <c r="M501" s="94"/>
      <c r="N501" s="38"/>
      <c r="O501" s="38"/>
      <c r="P501" s="38"/>
      <c r="Q501" s="94"/>
      <c r="R501" s="94"/>
      <c r="S501" s="94"/>
      <c r="T501" s="80"/>
      <c r="U501" s="80"/>
      <c r="V501" s="38"/>
      <c r="W501" s="38"/>
      <c r="X501" s="38"/>
      <c r="Y501" s="38"/>
      <c r="Z501" s="640">
        <f>+Z498-Z500</f>
        <v>0</v>
      </c>
      <c r="AA501" s="38"/>
      <c r="AB501" s="38"/>
      <c r="AC501" s="640"/>
      <c r="AD501" s="38"/>
      <c r="AE501" s="960"/>
      <c r="AF501" s="960"/>
      <c r="AG501" s="960"/>
      <c r="AH501" s="960"/>
      <c r="AI501" s="38"/>
      <c r="AJ501" s="38"/>
      <c r="AK501" s="38"/>
      <c r="AL501" s="960"/>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38"/>
      <c r="D502" s="38"/>
      <c r="E502" s="38"/>
      <c r="F502" s="94"/>
      <c r="G502" s="38"/>
      <c r="H502" s="38"/>
      <c r="I502" s="94"/>
      <c r="J502" s="38"/>
      <c r="K502" s="38"/>
      <c r="L502" s="38"/>
      <c r="M502" s="94"/>
      <c r="N502" s="38"/>
      <c r="O502" s="38"/>
      <c r="P502" s="38"/>
      <c r="Q502" s="94"/>
      <c r="R502" s="94"/>
      <c r="S502" s="94"/>
      <c r="T502" s="80"/>
      <c r="U502" s="80"/>
      <c r="V502" s="38"/>
      <c r="W502" s="38"/>
      <c r="X502" s="38"/>
      <c r="Y502" s="38"/>
      <c r="Z502" s="94"/>
      <c r="AA502" s="38"/>
      <c r="AB502" s="38"/>
      <c r="AC502" s="38"/>
      <c r="AD502" s="38"/>
      <c r="AE502" s="960"/>
      <c r="AF502" s="960"/>
      <c r="AG502" s="960"/>
      <c r="AH502" s="960"/>
      <c r="AI502" s="38"/>
      <c r="AJ502" s="38"/>
      <c r="AK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38"/>
      <c r="D503" s="38"/>
      <c r="E503" s="38"/>
      <c r="F503" s="94"/>
      <c r="G503" s="38"/>
      <c r="H503" s="38"/>
      <c r="I503" s="94"/>
      <c r="J503" s="38"/>
      <c r="K503" s="38"/>
      <c r="L503" s="38"/>
      <c r="M503" s="94"/>
      <c r="N503" s="38"/>
      <c r="O503" s="38"/>
      <c r="P503" s="38"/>
      <c r="Q503" s="94"/>
      <c r="R503" s="94"/>
      <c r="S503" s="94"/>
      <c r="T503" s="80"/>
      <c r="U503" s="80"/>
      <c r="V503" s="38"/>
      <c r="W503" s="38"/>
      <c r="X503" s="38"/>
      <c r="Y503" s="38"/>
      <c r="Z503" s="38"/>
      <c r="AA503" s="38"/>
      <c r="AB503" s="38"/>
      <c r="AC503" s="38"/>
      <c r="AD503" s="38"/>
      <c r="AE503" s="960"/>
      <c r="AF503" s="960"/>
      <c r="AG503" s="960"/>
      <c r="AH503" s="960"/>
      <c r="AI503" s="38"/>
      <c r="AJ503" s="38"/>
      <c r="AK503" s="1002"/>
      <c r="AL503" s="1003"/>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38"/>
      <c r="D504" s="38"/>
      <c r="E504" s="38"/>
      <c r="F504" s="94"/>
      <c r="G504" s="38"/>
      <c r="H504" s="38"/>
      <c r="I504" s="94"/>
      <c r="J504" s="38"/>
      <c r="K504" s="38"/>
      <c r="L504" s="38"/>
      <c r="M504" s="94"/>
      <c r="N504" s="38"/>
      <c r="O504" s="38"/>
      <c r="P504" s="38"/>
      <c r="Q504" s="94"/>
      <c r="R504" s="94"/>
      <c r="S504" s="94"/>
      <c r="T504" s="80"/>
      <c r="U504" s="80"/>
      <c r="V504" s="38"/>
      <c r="W504" s="38"/>
      <c r="X504" s="38"/>
      <c r="Y504" s="38"/>
      <c r="Z504" s="38"/>
      <c r="AA504" s="38"/>
      <c r="AB504" s="38"/>
      <c r="AC504" s="38"/>
      <c r="AD504" s="38"/>
      <c r="AE504" s="960"/>
      <c r="AF504" s="960"/>
      <c r="AG504" s="960"/>
      <c r="AH504" s="960"/>
      <c r="AI504" s="38"/>
      <c r="AJ504" s="38"/>
      <c r="AK504" s="1002"/>
      <c r="AL504" s="1003"/>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38"/>
      <c r="D505" s="38"/>
      <c r="E505" s="38"/>
      <c r="F505" s="94"/>
      <c r="G505" s="38"/>
      <c r="H505" s="38"/>
      <c r="I505" s="94"/>
      <c r="J505" s="38"/>
      <c r="K505" s="38"/>
      <c r="L505" s="38"/>
      <c r="M505" s="94"/>
      <c r="N505" s="38"/>
      <c r="O505" s="38"/>
      <c r="P505" s="38"/>
      <c r="Q505" s="94"/>
      <c r="R505" s="94"/>
      <c r="S505" s="94"/>
      <c r="T505" s="80"/>
      <c r="U505" s="80"/>
      <c r="V505" s="38"/>
      <c r="W505" s="38"/>
      <c r="X505" s="38"/>
      <c r="Y505" s="38"/>
      <c r="Z505" s="38"/>
      <c r="AA505" s="38"/>
      <c r="AB505" s="38"/>
      <c r="AC505" s="38"/>
      <c r="AD505" s="38"/>
      <c r="AE505" s="38"/>
      <c r="AF505" s="960"/>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38"/>
      <c r="D506" s="38"/>
      <c r="E506" s="38"/>
      <c r="F506" s="94"/>
      <c r="G506" s="38"/>
      <c r="H506" s="38"/>
      <c r="I506" s="94"/>
      <c r="J506" s="38"/>
      <c r="K506" s="38"/>
      <c r="L506" s="38"/>
      <c r="M506" s="94"/>
      <c r="N506" s="38"/>
      <c r="O506" s="38"/>
      <c r="P506" s="38"/>
      <c r="Q506" s="94"/>
      <c r="R506" s="94"/>
      <c r="S506" s="94"/>
      <c r="T506" s="80"/>
      <c r="U506" s="80"/>
      <c r="V506" s="38"/>
      <c r="W506" s="38"/>
      <c r="X506" s="38"/>
      <c r="Y506" s="38"/>
      <c r="Z506" s="38"/>
      <c r="AA506" s="38"/>
      <c r="AB506" s="38"/>
      <c r="AC506" s="38"/>
      <c r="AD506" s="38"/>
      <c r="AE506" s="38"/>
      <c r="AF506" s="1074"/>
      <c r="AG506" s="38"/>
      <c r="AH506" s="38"/>
      <c r="AI506" s="38"/>
      <c r="AJ506" s="38"/>
      <c r="AK506" s="1002"/>
      <c r="AL506" s="1003"/>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38"/>
      <c r="D507" s="38"/>
      <c r="E507" s="38"/>
      <c r="F507" s="94"/>
      <c r="G507" s="38"/>
      <c r="H507" s="38"/>
      <c r="I507" s="94"/>
      <c r="J507" s="38"/>
      <c r="K507" s="38"/>
      <c r="L507" s="38"/>
      <c r="M507" s="94"/>
      <c r="N507" s="38"/>
      <c r="O507" s="38"/>
      <c r="P507" s="38"/>
      <c r="Q507" s="94"/>
      <c r="R507" s="94"/>
      <c r="S507" s="94"/>
      <c r="T507" s="80"/>
      <c r="U507" s="80"/>
      <c r="V507" s="38"/>
      <c r="W507" s="38"/>
      <c r="X507" s="38"/>
      <c r="Y507" s="38"/>
      <c r="Z507" s="38"/>
      <c r="AA507" s="38"/>
      <c r="AB507" s="38"/>
      <c r="AC507" s="38"/>
      <c r="AD507" s="38"/>
      <c r="AE507" s="38"/>
      <c r="AF507" s="960"/>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38"/>
      <c r="D508" s="38"/>
      <c r="E508" s="38"/>
      <c r="F508" s="94"/>
      <c r="G508" s="38"/>
      <c r="H508" s="38"/>
      <c r="I508" s="94"/>
      <c r="J508" s="38"/>
      <c r="K508" s="38"/>
      <c r="L508" s="38"/>
      <c r="M508" s="94"/>
      <c r="N508" s="38"/>
      <c r="O508" s="38"/>
      <c r="P508" s="38"/>
      <c r="Q508" s="94"/>
      <c r="R508" s="94"/>
      <c r="S508" s="94"/>
      <c r="T508" s="80"/>
      <c r="U508" s="80"/>
      <c r="V508" s="38"/>
      <c r="W508" s="38"/>
      <c r="X508" s="38"/>
      <c r="Y508" s="38"/>
      <c r="Z508" s="38"/>
      <c r="AA508" s="38"/>
      <c r="AB508" s="38"/>
      <c r="AC508" s="38"/>
      <c r="AD508" s="38"/>
      <c r="AE508" s="38"/>
      <c r="AF508" s="1074"/>
      <c r="AG508" s="1075"/>
      <c r="AH508" s="1073"/>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38"/>
      <c r="D509" s="38"/>
      <c r="E509" s="38"/>
      <c r="F509" s="94"/>
      <c r="G509" s="38"/>
      <c r="H509" s="38"/>
      <c r="I509" s="94"/>
      <c r="J509" s="38"/>
      <c r="K509" s="38"/>
      <c r="L509" s="38"/>
      <c r="M509" s="94"/>
      <c r="N509" s="38"/>
      <c r="O509" s="38"/>
      <c r="P509" s="38"/>
      <c r="Q509" s="94"/>
      <c r="R509" s="94"/>
      <c r="S509" s="94"/>
      <c r="T509" s="80"/>
      <c r="U509" s="80"/>
      <c r="V509" s="38"/>
      <c r="W509" s="80"/>
      <c r="X509" s="80"/>
      <c r="Y509" s="38"/>
      <c r="Z509" s="38"/>
      <c r="AA509" s="38"/>
      <c r="AB509" s="38"/>
      <c r="AC509" s="38"/>
      <c r="AD509" s="38"/>
      <c r="AE509" s="38"/>
      <c r="AF509" s="960"/>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38"/>
      <c r="D510" s="38"/>
      <c r="E510" s="38"/>
      <c r="F510" s="94"/>
      <c r="G510" s="38"/>
      <c r="H510" s="38"/>
      <c r="I510" s="94"/>
      <c r="J510" s="38"/>
      <c r="K510" s="38"/>
      <c r="L510" s="38"/>
      <c r="M510" s="94"/>
      <c r="N510" s="38"/>
      <c r="O510" s="38"/>
      <c r="P510" s="38"/>
      <c r="Q510" s="94"/>
      <c r="R510" s="94"/>
      <c r="S510" s="94"/>
      <c r="T510" s="80"/>
      <c r="U510" s="80"/>
      <c r="V510" s="38"/>
      <c r="W510" s="80"/>
      <c r="X510" s="80"/>
      <c r="Y510" s="38"/>
      <c r="Z510" s="38"/>
      <c r="AA510" s="38"/>
      <c r="AB510" s="38"/>
      <c r="AC510" s="38"/>
      <c r="AD510" s="38"/>
      <c r="AE510" s="38"/>
      <c r="AF510" s="960"/>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38"/>
      <c r="D511" s="38"/>
      <c r="E511" s="38"/>
      <c r="F511" s="94"/>
      <c r="G511" s="38"/>
      <c r="H511" s="38"/>
      <c r="I511" s="94"/>
      <c r="J511" s="38"/>
      <c r="K511" s="38"/>
      <c r="L511" s="38"/>
      <c r="M511" s="94"/>
      <c r="N511" s="38"/>
      <c r="O511" s="38"/>
      <c r="P511" s="38"/>
      <c r="Q511" s="94"/>
      <c r="R511" s="94"/>
      <c r="S511" s="94"/>
      <c r="T511" s="80"/>
      <c r="U511" s="80"/>
      <c r="V511" s="38"/>
      <c r="W511" s="80"/>
      <c r="X511" s="80"/>
      <c r="Y511" s="38"/>
      <c r="Z511" s="38"/>
      <c r="AA511" s="38"/>
      <c r="AB511" s="38"/>
      <c r="AC511" s="38"/>
      <c r="AD511" s="38"/>
      <c r="AE511" s="38"/>
      <c r="AF511" s="960"/>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38"/>
      <c r="D512" s="38"/>
      <c r="E512" s="38"/>
      <c r="F512" s="94"/>
      <c r="G512" s="38"/>
      <c r="H512" s="38"/>
      <c r="I512" s="94"/>
      <c r="J512" s="38"/>
      <c r="K512" s="38"/>
      <c r="L512" s="38"/>
      <c r="M512" s="94"/>
      <c r="N512" s="38"/>
      <c r="O512" s="38"/>
      <c r="P512" s="38"/>
      <c r="Q512" s="94"/>
      <c r="R512" s="94"/>
      <c r="S512" s="94"/>
      <c r="T512" s="80"/>
      <c r="U512" s="80"/>
      <c r="V512" s="38"/>
      <c r="W512" s="80"/>
      <c r="X512" s="80"/>
      <c r="Y512" s="38"/>
      <c r="Z512" s="38"/>
      <c r="AA512" s="38"/>
      <c r="AB512" s="38"/>
      <c r="AC512" s="38"/>
      <c r="AD512" s="38"/>
      <c r="AE512" s="38"/>
      <c r="AF512" s="960"/>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38"/>
      <c r="D513" s="38"/>
      <c r="E513" s="38"/>
      <c r="F513" s="94"/>
      <c r="G513" s="38"/>
      <c r="H513" s="38"/>
      <c r="I513" s="94"/>
      <c r="J513" s="38"/>
      <c r="K513" s="38"/>
      <c r="L513" s="38"/>
      <c r="M513" s="94"/>
      <c r="N513" s="38"/>
      <c r="O513" s="38"/>
      <c r="P513" s="38"/>
      <c r="Q513" s="94"/>
      <c r="R513" s="94"/>
      <c r="S513" s="94"/>
      <c r="T513" s="80"/>
      <c r="U513" s="80"/>
      <c r="V513" s="38"/>
      <c r="W513" s="80"/>
      <c r="X513" s="80"/>
      <c r="Y513" s="38"/>
      <c r="Z513" s="38"/>
      <c r="AA513" s="38"/>
      <c r="AB513" s="38"/>
      <c r="AC513" s="38"/>
      <c r="AD513" s="38"/>
      <c r="AE513" s="38"/>
      <c r="AF513" s="960"/>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38"/>
      <c r="D514" s="38"/>
      <c r="E514" s="38"/>
      <c r="F514" s="94"/>
      <c r="G514" s="38"/>
      <c r="H514" s="38"/>
      <c r="I514" s="94"/>
      <c r="J514" s="38"/>
      <c r="K514" s="38"/>
      <c r="L514" s="38"/>
      <c r="M514" s="94"/>
      <c r="N514" s="38"/>
      <c r="O514" s="38"/>
      <c r="P514" s="38"/>
      <c r="Q514" s="94"/>
      <c r="R514" s="94"/>
      <c r="S514" s="94"/>
      <c r="T514" s="80"/>
      <c r="U514" s="80"/>
      <c r="V514" s="80"/>
      <c r="W514" s="80"/>
      <c r="X514" s="80"/>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79"/>
      <c r="D515" s="80"/>
      <c r="E515" s="80"/>
      <c r="F515" s="88"/>
      <c r="G515" s="80"/>
      <c r="H515" s="80"/>
      <c r="I515" s="88"/>
      <c r="J515" s="80"/>
      <c r="K515" s="80"/>
      <c r="L515" s="80"/>
      <c r="M515" s="88"/>
      <c r="N515" s="80"/>
      <c r="O515" s="80"/>
      <c r="P515" s="80"/>
      <c r="Q515" s="88"/>
      <c r="R515" s="88"/>
      <c r="S515" s="88"/>
      <c r="T515" s="80"/>
      <c r="U515" s="80"/>
      <c r="V515" s="80"/>
      <c r="W515" s="80"/>
      <c r="X515" s="80"/>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C516" s="81"/>
      <c r="D516" s="80"/>
      <c r="E516" s="80"/>
      <c r="F516" s="88"/>
      <c r="G516" s="80"/>
      <c r="H516" s="80"/>
      <c r="I516" s="88"/>
      <c r="J516" s="80"/>
      <c r="K516" s="80"/>
      <c r="L516" s="80"/>
      <c r="M516" s="88"/>
      <c r="N516" s="80"/>
      <c r="O516" s="80"/>
      <c r="P516" s="80"/>
      <c r="Q516" s="88"/>
      <c r="R516" s="88"/>
      <c r="S516" s="88"/>
      <c r="T516" s="80"/>
      <c r="U516" s="80"/>
      <c r="V516" s="80"/>
      <c r="W516" s="80"/>
      <c r="X516" s="80"/>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C517" s="80"/>
      <c r="D517" s="80"/>
      <c r="E517" s="80"/>
      <c r="F517" s="88"/>
      <c r="G517" s="80"/>
      <c r="H517" s="80"/>
      <c r="I517" s="88"/>
      <c r="J517" s="80"/>
      <c r="K517" s="80"/>
      <c r="L517" s="80"/>
      <c r="M517" s="88"/>
      <c r="N517" s="80"/>
      <c r="O517" s="80"/>
      <c r="P517" s="80"/>
      <c r="Q517" s="88"/>
      <c r="R517" s="88"/>
      <c r="S517" s="88"/>
      <c r="T517" s="80"/>
      <c r="U517" s="80"/>
      <c r="V517" s="80"/>
      <c r="W517" s="80"/>
      <c r="X517" s="80"/>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C518" s="80"/>
      <c r="D518" s="80"/>
      <c r="E518" s="80"/>
      <c r="F518" s="80"/>
      <c r="G518" s="80"/>
      <c r="H518" s="80"/>
      <c r="I518" s="80"/>
      <c r="J518" s="79"/>
      <c r="K518" s="79"/>
      <c r="L518" s="79"/>
      <c r="M518" s="88"/>
      <c r="N518" s="80"/>
      <c r="O518" s="80"/>
      <c r="P518" s="80"/>
      <c r="Q518" s="80"/>
      <c r="R518" s="80"/>
      <c r="S518" s="88"/>
      <c r="T518" s="80"/>
      <c r="U518" s="80"/>
      <c r="V518" s="80"/>
      <c r="W518" s="80"/>
      <c r="X518" s="80"/>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C519" s="80"/>
      <c r="D519" s="80"/>
      <c r="E519" s="80"/>
      <c r="F519" s="80"/>
      <c r="G519" s="80"/>
      <c r="H519" s="80"/>
      <c r="I519" s="80"/>
      <c r="J519" s="80"/>
      <c r="K519" s="80"/>
      <c r="L519" s="80"/>
      <c r="M519" s="88"/>
      <c r="N519" s="80"/>
      <c r="O519" s="80"/>
      <c r="P519" s="80"/>
      <c r="Q519" s="80"/>
      <c r="R519" s="80"/>
      <c r="S519" s="88"/>
      <c r="T519" s="80"/>
      <c r="U519" s="80"/>
      <c r="V519" s="80"/>
      <c r="W519" s="80"/>
      <c r="X519" s="80"/>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C520" s="80"/>
      <c r="D520" s="80"/>
      <c r="E520" s="80"/>
      <c r="F520" s="80"/>
      <c r="G520" s="80"/>
      <c r="H520" s="80"/>
      <c r="I520" s="80"/>
      <c r="J520" s="80"/>
      <c r="K520" s="80"/>
      <c r="L520" s="80"/>
      <c r="M520" s="88"/>
      <c r="N520" s="80"/>
      <c r="O520" s="80"/>
      <c r="P520" s="80"/>
      <c r="Q520" s="80"/>
      <c r="R520" s="80"/>
      <c r="S520" s="88"/>
      <c r="T520" s="80"/>
      <c r="U520" s="80"/>
      <c r="V520" s="80"/>
      <c r="W520" s="80"/>
      <c r="X520" s="80"/>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C521" s="80"/>
      <c r="D521" s="80"/>
      <c r="E521" s="80"/>
      <c r="F521" s="80"/>
      <c r="G521" s="80"/>
      <c r="H521" s="80"/>
      <c r="I521" s="80"/>
      <c r="J521" s="80"/>
      <c r="K521" s="80"/>
      <c r="L521" s="80"/>
      <c r="M521" s="88"/>
      <c r="N521" s="80"/>
      <c r="O521" s="80"/>
      <c r="P521" s="80"/>
      <c r="Q521" s="80"/>
      <c r="R521" s="80"/>
      <c r="S521" s="88"/>
      <c r="T521" s="80"/>
      <c r="U521" s="80"/>
      <c r="V521" s="80"/>
      <c r="W521" s="80"/>
      <c r="X521" s="80"/>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C522" s="80"/>
      <c r="D522" s="80"/>
      <c r="E522" s="80"/>
      <c r="F522" s="80"/>
      <c r="G522" s="80"/>
      <c r="H522" s="80"/>
      <c r="I522" s="80"/>
      <c r="J522" s="80"/>
      <c r="K522" s="80"/>
      <c r="L522" s="80"/>
      <c r="M522" s="88"/>
      <c r="N522" s="80"/>
      <c r="O522" s="80"/>
      <c r="P522" s="80"/>
      <c r="Q522" s="80"/>
      <c r="R522" s="80"/>
      <c r="S522" s="80"/>
      <c r="T522" s="80"/>
      <c r="U522" s="80"/>
      <c r="V522" s="80"/>
      <c r="W522" s="80"/>
      <c r="X522" s="80"/>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C523" s="80"/>
      <c r="D523" s="80"/>
      <c r="E523" s="80"/>
      <c r="F523" s="80"/>
      <c r="G523" s="80"/>
      <c r="H523" s="80"/>
      <c r="I523" s="80"/>
      <c r="J523" s="79"/>
      <c r="K523" s="79"/>
      <c r="L523" s="79"/>
      <c r="M523" s="90"/>
      <c r="N523" s="79"/>
      <c r="O523" s="79"/>
      <c r="P523" s="79"/>
      <c r="Q523" s="80"/>
      <c r="R523" s="80"/>
      <c r="S523" s="79"/>
      <c r="T523" s="80"/>
      <c r="U523" s="80"/>
      <c r="V523" s="80"/>
      <c r="W523" s="80"/>
      <c r="X523" s="80"/>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C524" s="80"/>
      <c r="D524" s="80"/>
      <c r="E524" s="80"/>
      <c r="F524" s="80"/>
      <c r="G524" s="80"/>
      <c r="H524" s="80"/>
      <c r="I524" s="80"/>
      <c r="J524" s="80"/>
      <c r="K524" s="80"/>
      <c r="L524" s="80"/>
      <c r="M524" s="80"/>
      <c r="N524" s="80"/>
      <c r="O524" s="80"/>
      <c r="P524" s="80"/>
      <c r="Q524" s="80"/>
      <c r="R524" s="80"/>
      <c r="S524" s="80"/>
      <c r="T524" s="80"/>
      <c r="U524" s="80"/>
      <c r="V524" s="80"/>
      <c r="W524" s="80"/>
      <c r="X524" s="80"/>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80"/>
      <c r="D525" s="80"/>
      <c r="E525" s="80"/>
      <c r="F525" s="80"/>
      <c r="G525" s="80"/>
      <c r="H525" s="80"/>
      <c r="I525" s="80"/>
      <c r="J525" s="80"/>
      <c r="K525" s="80"/>
      <c r="L525" s="80"/>
      <c r="M525" s="80"/>
      <c r="N525" s="80"/>
      <c r="O525" s="80"/>
      <c r="P525" s="80"/>
      <c r="Q525" s="80"/>
      <c r="R525" s="80"/>
      <c r="S525" s="80"/>
      <c r="T525" s="80"/>
      <c r="U525" s="80"/>
      <c r="V525" s="80"/>
      <c r="W525" s="80"/>
      <c r="X525" s="80"/>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80"/>
      <c r="D526" s="80"/>
      <c r="E526" s="80"/>
      <c r="F526" s="80"/>
      <c r="G526" s="80"/>
      <c r="H526" s="80"/>
      <c r="I526" s="80"/>
      <c r="J526" s="80"/>
      <c r="K526" s="80"/>
      <c r="L526" s="80"/>
      <c r="M526" s="80"/>
      <c r="N526" s="80"/>
      <c r="O526" s="80"/>
      <c r="P526" s="80"/>
      <c r="Q526" s="80"/>
      <c r="R526" s="80"/>
      <c r="S526" s="80"/>
      <c r="T526" s="80"/>
      <c r="U526" s="80"/>
      <c r="V526" s="80"/>
      <c r="W526" s="80"/>
      <c r="X526" s="80"/>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82"/>
      <c r="D527" s="83"/>
      <c r="E527" s="83"/>
      <c r="F527" s="83"/>
      <c r="G527" s="83"/>
      <c r="H527" s="83"/>
      <c r="I527" s="83"/>
      <c r="J527" s="83"/>
      <c r="K527" s="83"/>
      <c r="L527" s="83"/>
      <c r="M527" s="83"/>
      <c r="N527" s="83"/>
      <c r="O527" s="83"/>
      <c r="P527" s="83"/>
      <c r="Q527" s="83"/>
      <c r="R527" s="83"/>
      <c r="S527" s="83"/>
      <c r="T527" s="80"/>
      <c r="U527" s="80"/>
      <c r="V527" s="80"/>
      <c r="W527" s="80"/>
      <c r="X527" s="80"/>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80"/>
      <c r="D528" s="80"/>
      <c r="E528" s="80"/>
      <c r="F528" s="80"/>
      <c r="G528" s="80"/>
      <c r="H528" s="80"/>
      <c r="I528" s="80"/>
      <c r="J528" s="80"/>
      <c r="K528" s="80"/>
      <c r="L528" s="80"/>
      <c r="M528" s="80"/>
      <c r="N528" s="80"/>
      <c r="O528" s="80"/>
      <c r="P528" s="80"/>
      <c r="Q528" s="641"/>
      <c r="R528" s="80"/>
      <c r="S528" s="80"/>
      <c r="T528" s="80"/>
      <c r="U528" s="80"/>
      <c r="V528" s="80"/>
      <c r="W528" s="80"/>
      <c r="X528" s="80"/>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80"/>
      <c r="D529" s="80"/>
      <c r="E529" s="80"/>
      <c r="F529" s="80"/>
      <c r="G529" s="80"/>
      <c r="H529" s="80"/>
      <c r="I529" s="80"/>
      <c r="J529" s="80"/>
      <c r="K529" s="80"/>
      <c r="L529" s="84"/>
      <c r="M529" s="85"/>
      <c r="N529" s="85"/>
      <c r="O529" s="80"/>
      <c r="P529" s="84"/>
      <c r="Q529" s="85"/>
      <c r="R529" s="85"/>
      <c r="S529" s="84"/>
      <c r="T529" s="80"/>
      <c r="U529" s="80"/>
      <c r="V529" s="80"/>
      <c r="W529" s="80"/>
      <c r="X529" s="80"/>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80"/>
      <c r="D530" s="80"/>
      <c r="E530" s="84"/>
      <c r="F530" s="86"/>
      <c r="G530" s="80"/>
      <c r="H530" s="84"/>
      <c r="I530" s="86"/>
      <c r="J530" s="85"/>
      <c r="K530" s="79"/>
      <c r="L530" s="84"/>
      <c r="M530" s="85"/>
      <c r="N530" s="85"/>
      <c r="O530" s="79"/>
      <c r="P530" s="84"/>
      <c r="Q530" s="85"/>
      <c r="R530" s="85"/>
      <c r="S530" s="84"/>
      <c r="T530" s="80"/>
      <c r="U530" s="80"/>
      <c r="V530" s="80"/>
      <c r="W530" s="80"/>
      <c r="X530" s="80"/>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80"/>
      <c r="D531" s="642"/>
      <c r="E531" s="86"/>
      <c r="F531" s="86"/>
      <c r="G531" s="642"/>
      <c r="H531" s="86"/>
      <c r="I531" s="86"/>
      <c r="J531" s="86"/>
      <c r="K531" s="86"/>
      <c r="L531" s="86"/>
      <c r="M531" s="86"/>
      <c r="N531" s="86"/>
      <c r="O531" s="86"/>
      <c r="P531" s="86"/>
      <c r="Q531" s="86"/>
      <c r="R531" s="86"/>
      <c r="S531" s="86"/>
      <c r="T531" s="80"/>
      <c r="U531" s="80"/>
      <c r="V531" s="80"/>
      <c r="W531" s="80"/>
      <c r="X531" s="80"/>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79"/>
      <c r="D532" s="80"/>
      <c r="E532" s="80"/>
      <c r="F532" s="80"/>
      <c r="G532" s="80"/>
      <c r="H532" s="80"/>
      <c r="I532" s="80"/>
      <c r="J532" s="80"/>
      <c r="K532" s="80"/>
      <c r="L532" s="80"/>
      <c r="M532" s="80"/>
      <c r="N532" s="80"/>
      <c r="O532" s="80"/>
      <c r="P532" s="80"/>
      <c r="Q532" s="80"/>
      <c r="R532" s="80"/>
      <c r="S532" s="80"/>
      <c r="T532" s="80"/>
      <c r="U532" s="80"/>
      <c r="V532" s="80"/>
      <c r="W532" s="80"/>
      <c r="X532" s="80"/>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80"/>
      <c r="D533" s="80"/>
      <c r="E533" s="80"/>
      <c r="F533" s="80"/>
      <c r="G533" s="80"/>
      <c r="H533" s="80"/>
      <c r="I533" s="80"/>
      <c r="J533" s="80"/>
      <c r="K533" s="80"/>
      <c r="L533" s="80"/>
      <c r="M533" s="80"/>
      <c r="N533" s="80"/>
      <c r="O533" s="80"/>
      <c r="P533" s="80"/>
      <c r="Q533" s="80"/>
      <c r="R533" s="80"/>
      <c r="S533" s="80"/>
      <c r="T533" s="80"/>
      <c r="U533" s="80"/>
      <c r="V533" s="80"/>
      <c r="W533" s="80"/>
      <c r="X533" s="80"/>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80"/>
      <c r="D534" s="80"/>
      <c r="E534" s="88"/>
      <c r="F534" s="87"/>
      <c r="G534" s="80"/>
      <c r="H534" s="88"/>
      <c r="I534" s="87"/>
      <c r="J534" s="87"/>
      <c r="K534" s="88"/>
      <c r="L534" s="87"/>
      <c r="M534" s="88"/>
      <c r="N534" s="87"/>
      <c r="O534" s="88"/>
      <c r="P534" s="87"/>
      <c r="Q534" s="88"/>
      <c r="R534" s="88"/>
      <c r="S534" s="88"/>
      <c r="T534" s="80"/>
      <c r="U534" s="80"/>
      <c r="V534" s="80"/>
      <c r="W534" s="80"/>
      <c r="X534" s="80"/>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C535" s="80"/>
      <c r="D535" s="80"/>
      <c r="E535" s="88"/>
      <c r="F535" s="87"/>
      <c r="G535" s="80"/>
      <c r="H535" s="88"/>
      <c r="I535" s="87"/>
      <c r="J535" s="87"/>
      <c r="K535" s="88"/>
      <c r="L535" s="87"/>
      <c r="M535" s="88"/>
      <c r="N535" s="87"/>
      <c r="O535" s="88"/>
      <c r="P535" s="87"/>
      <c r="Q535" s="88"/>
      <c r="R535" s="88"/>
      <c r="S535" s="88"/>
      <c r="T535" s="80"/>
      <c r="U535" s="80"/>
      <c r="V535" s="80"/>
      <c r="W535" s="80"/>
      <c r="X535" s="80"/>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C536" s="80"/>
      <c r="D536" s="80"/>
      <c r="E536" s="88"/>
      <c r="F536" s="87"/>
      <c r="G536" s="80"/>
      <c r="H536" s="88"/>
      <c r="I536" s="87"/>
      <c r="J536" s="87"/>
      <c r="K536" s="88"/>
      <c r="L536" s="87"/>
      <c r="M536" s="88"/>
      <c r="N536" s="87"/>
      <c r="O536" s="88"/>
      <c r="P536" s="87"/>
      <c r="Q536" s="88"/>
      <c r="R536" s="88"/>
      <c r="S536" s="88"/>
      <c r="T536" s="80"/>
      <c r="U536" s="80"/>
      <c r="V536" s="80"/>
      <c r="W536" s="80"/>
      <c r="X536" s="80"/>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C537" s="80"/>
      <c r="D537" s="80"/>
      <c r="E537" s="88"/>
      <c r="F537" s="87"/>
      <c r="G537" s="80"/>
      <c r="H537" s="88"/>
      <c r="I537" s="87"/>
      <c r="J537" s="87"/>
      <c r="K537" s="88"/>
      <c r="L537" s="87"/>
      <c r="M537" s="88"/>
      <c r="N537" s="87"/>
      <c r="O537" s="88"/>
      <c r="P537" s="87"/>
      <c r="Q537" s="88"/>
      <c r="R537" s="88"/>
      <c r="S537" s="88"/>
      <c r="T537" s="80"/>
      <c r="U537" s="80"/>
      <c r="V537" s="80"/>
      <c r="W537" s="80"/>
      <c r="X537" s="80"/>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C538" s="80"/>
      <c r="D538" s="80"/>
      <c r="E538" s="88"/>
      <c r="F538" s="87"/>
      <c r="G538" s="80"/>
      <c r="H538" s="88"/>
      <c r="I538" s="87"/>
      <c r="J538" s="87"/>
      <c r="K538" s="88"/>
      <c r="L538" s="87"/>
      <c r="M538" s="88"/>
      <c r="N538" s="87"/>
      <c r="O538" s="88"/>
      <c r="P538" s="87"/>
      <c r="Q538" s="88"/>
      <c r="R538" s="88"/>
      <c r="S538" s="80"/>
      <c r="T538" s="80"/>
      <c r="U538" s="80"/>
      <c r="V538" s="80"/>
      <c r="W538" s="80"/>
      <c r="X538" s="80"/>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c r="B539" s="3"/>
      <c r="C539" s="80"/>
      <c r="D539" s="80"/>
      <c r="E539" s="88"/>
      <c r="F539" s="87"/>
      <c r="G539" s="80"/>
      <c r="H539" s="88"/>
      <c r="I539" s="87"/>
      <c r="J539" s="87"/>
      <c r="K539" s="88"/>
      <c r="L539" s="87"/>
      <c r="M539" s="88"/>
      <c r="N539" s="87"/>
      <c r="O539" s="88"/>
      <c r="P539" s="87"/>
      <c r="Q539" s="88"/>
      <c r="R539" s="88"/>
      <c r="S539" s="88"/>
      <c r="T539" s="80"/>
      <c r="U539" s="80"/>
      <c r="V539" s="80"/>
      <c r="W539" s="80"/>
      <c r="X539" s="80"/>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c r="BC539" s="38"/>
      <c r="BD539" s="38"/>
      <c r="BE539" s="38"/>
      <c r="BF539" s="38"/>
      <c r="BG539" s="38"/>
      <c r="BH539" s="38"/>
      <c r="BI539" s="38"/>
      <c r="BJ539" s="38"/>
    </row>
    <row r="540" spans="2:62" ht="15.75" customHeight="1">
      <c r="B540" s="3"/>
      <c r="C540" s="80"/>
      <c r="D540" s="80"/>
      <c r="E540" s="88"/>
      <c r="F540" s="643"/>
      <c r="G540" s="80"/>
      <c r="H540" s="88"/>
      <c r="I540" s="643"/>
      <c r="J540" s="87"/>
      <c r="K540" s="88"/>
      <c r="L540" s="87"/>
      <c r="M540" s="88"/>
      <c r="N540" s="87"/>
      <c r="O540" s="88"/>
      <c r="P540" s="80"/>
      <c r="Q540" s="80"/>
      <c r="R540" s="88"/>
      <c r="S540" s="88"/>
      <c r="T540" s="80"/>
      <c r="U540" s="80"/>
      <c r="V540" s="80"/>
      <c r="W540" s="80"/>
      <c r="X540" s="80"/>
      <c r="Y540" s="38"/>
      <c r="Z540" s="38"/>
      <c r="AA540" s="38"/>
      <c r="AB540" s="38"/>
      <c r="AC540" s="38"/>
      <c r="AD540" s="38"/>
      <c r="AE540" s="38"/>
      <c r="AF540" s="38"/>
      <c r="AG540" s="38"/>
      <c r="AH540" s="38"/>
      <c r="AI540" s="38"/>
      <c r="AJ540" s="38"/>
      <c r="AK540" s="38"/>
      <c r="AL540" s="38"/>
      <c r="AM540" s="38"/>
      <c r="AN540" s="38"/>
      <c r="AO540" s="38"/>
      <c r="AP540" s="38"/>
      <c r="AQ540" s="38"/>
      <c r="AR540" s="38"/>
      <c r="AS540" s="38"/>
      <c r="AT540" s="38"/>
      <c r="AU540" s="38"/>
      <c r="AV540" s="38"/>
      <c r="AW540" s="38"/>
      <c r="AX540" s="38"/>
      <c r="AY540" s="38"/>
      <c r="AZ540" s="38"/>
      <c r="BA540" s="38"/>
      <c r="BB540" s="38"/>
      <c r="BC540" s="38"/>
      <c r="BD540" s="38"/>
      <c r="BE540" s="38"/>
      <c r="BF540" s="38"/>
      <c r="BG540" s="38"/>
      <c r="BH540" s="38"/>
      <c r="BI540" s="38"/>
      <c r="BJ540" s="38"/>
    </row>
    <row r="541" spans="2:62" ht="15.75" customHeight="1">
      <c r="B541" s="3"/>
      <c r="C541" s="79"/>
      <c r="D541" s="79"/>
      <c r="E541" s="90"/>
      <c r="F541" s="89"/>
      <c r="G541" s="79"/>
      <c r="H541" s="90"/>
      <c r="I541" s="89"/>
      <c r="J541" s="89"/>
      <c r="K541" s="90"/>
      <c r="L541" s="89"/>
      <c r="M541" s="90"/>
      <c r="N541" s="89"/>
      <c r="O541" s="90"/>
      <c r="P541" s="89"/>
      <c r="Q541" s="90"/>
      <c r="R541" s="90"/>
      <c r="S541" s="79"/>
      <c r="T541" s="80"/>
      <c r="U541" s="80"/>
      <c r="V541" s="80"/>
      <c r="W541" s="80"/>
      <c r="X541" s="80"/>
      <c r="Y541" s="38"/>
      <c r="Z541" s="38"/>
      <c r="AA541" s="38"/>
      <c r="AB541" s="38"/>
      <c r="AC541" s="38"/>
      <c r="AD541" s="38"/>
      <c r="AE541" s="38"/>
      <c r="AF541" s="38"/>
      <c r="AG541" s="38"/>
      <c r="AH541" s="38"/>
      <c r="AI541" s="38"/>
      <c r="AJ541" s="38"/>
      <c r="AK541" s="38"/>
      <c r="AL541" s="38"/>
      <c r="AM541" s="38"/>
      <c r="AN541" s="38"/>
      <c r="AO541" s="38"/>
      <c r="AP541" s="38"/>
      <c r="AQ541" s="38"/>
      <c r="AR541" s="38"/>
      <c r="AS541" s="38"/>
      <c r="AT541" s="38"/>
      <c r="AU541" s="38"/>
      <c r="AV541" s="38"/>
      <c r="AW541" s="38"/>
      <c r="AX541" s="38"/>
      <c r="AY541" s="38"/>
      <c r="AZ541" s="38"/>
      <c r="BA541" s="38"/>
      <c r="BB541" s="38"/>
      <c r="BC541" s="38"/>
      <c r="BD541" s="38"/>
      <c r="BE541" s="38"/>
      <c r="BF541" s="38"/>
      <c r="BG541" s="38"/>
      <c r="BH541" s="38"/>
      <c r="BI541" s="38"/>
      <c r="BJ541" s="38"/>
    </row>
    <row r="542" spans="2:62" ht="15.75" customHeight="1">
      <c r="B542" s="3"/>
      <c r="C542" s="80"/>
      <c r="D542" s="80"/>
      <c r="E542" s="88"/>
      <c r="F542" s="80"/>
      <c r="G542" s="80"/>
      <c r="H542" s="88"/>
      <c r="I542" s="80"/>
      <c r="J542" s="87"/>
      <c r="K542" s="88"/>
      <c r="L542" s="87"/>
      <c r="M542" s="88"/>
      <c r="N542" s="87"/>
      <c r="O542" s="88"/>
      <c r="P542" s="79"/>
      <c r="Q542" s="89"/>
      <c r="R542" s="89"/>
      <c r="S542" s="80"/>
      <c r="T542" s="80"/>
      <c r="U542" s="80"/>
      <c r="V542" s="80"/>
      <c r="W542" s="80"/>
      <c r="X542" s="80"/>
      <c r="Y542" s="38"/>
      <c r="Z542" s="38"/>
      <c r="AA542" s="38"/>
      <c r="AB542" s="38"/>
      <c r="AC542" s="38"/>
      <c r="AD542" s="38"/>
      <c r="AE542" s="38"/>
      <c r="AF542" s="38"/>
      <c r="AG542" s="38"/>
      <c r="AH542" s="38"/>
      <c r="AI542" s="38"/>
      <c r="AJ542" s="38"/>
      <c r="AK542" s="38"/>
      <c r="AL542" s="38"/>
      <c r="AM542" s="38"/>
      <c r="AN542" s="38"/>
      <c r="AO542" s="38"/>
      <c r="AP542" s="38"/>
      <c r="AQ542" s="38"/>
      <c r="AR542" s="38"/>
      <c r="AS542" s="38"/>
      <c r="AT542" s="38"/>
      <c r="AU542" s="38"/>
      <c r="AV542" s="38"/>
      <c r="AW542" s="38"/>
      <c r="AX542" s="38"/>
      <c r="AY542" s="38"/>
      <c r="AZ542" s="38"/>
      <c r="BA542" s="38"/>
      <c r="BB542" s="38"/>
      <c r="BC542" s="38"/>
      <c r="BD542" s="38"/>
      <c r="BE542" s="38"/>
      <c r="BF542" s="38"/>
      <c r="BG542" s="38"/>
      <c r="BH542" s="38"/>
      <c r="BI542" s="38"/>
      <c r="BJ542" s="38"/>
    </row>
    <row r="543" spans="2:62" ht="15.75" customHeight="1">
      <c r="B543" s="3"/>
      <c r="C543" s="80"/>
      <c r="D543" s="80"/>
      <c r="E543" s="88"/>
      <c r="F543" s="80"/>
      <c r="G543" s="80"/>
      <c r="H543" s="88"/>
      <c r="I543" s="80"/>
      <c r="J543" s="87"/>
      <c r="K543" s="88"/>
      <c r="L543" s="87"/>
      <c r="M543" s="88"/>
      <c r="N543" s="87"/>
      <c r="O543" s="88"/>
      <c r="P543" s="80"/>
      <c r="Q543" s="80"/>
      <c r="R543" s="88"/>
      <c r="S543" s="80"/>
      <c r="T543" s="80"/>
      <c r="U543" s="80"/>
      <c r="V543" s="80"/>
      <c r="W543" s="80"/>
      <c r="X543" s="80"/>
      <c r="Y543" s="38"/>
      <c r="Z543" s="38"/>
      <c r="AA543" s="38"/>
      <c r="AB543" s="38"/>
      <c r="AC543" s="38"/>
      <c r="AD543" s="38"/>
      <c r="AE543" s="38"/>
      <c r="AF543" s="38"/>
      <c r="AG543" s="38"/>
      <c r="AH543" s="38"/>
      <c r="AI543" s="38"/>
      <c r="AJ543" s="38"/>
      <c r="AK543" s="38"/>
      <c r="AL543" s="38"/>
      <c r="AM543" s="38"/>
      <c r="AN543" s="38"/>
      <c r="AO543" s="38"/>
      <c r="AP543" s="38"/>
      <c r="AQ543" s="38"/>
      <c r="AR543" s="38"/>
      <c r="AS543" s="38"/>
      <c r="AT543" s="38"/>
      <c r="AU543" s="38"/>
      <c r="AV543" s="38"/>
      <c r="AW543" s="38"/>
      <c r="AX543" s="38"/>
      <c r="AY543" s="38"/>
      <c r="AZ543" s="38"/>
      <c r="BA543" s="38"/>
      <c r="BB543" s="38"/>
      <c r="BC543" s="38"/>
      <c r="BD543" s="38"/>
      <c r="BE543" s="38"/>
      <c r="BF543" s="38"/>
      <c r="BG543" s="38"/>
      <c r="BH543" s="38"/>
      <c r="BI543" s="38"/>
      <c r="BJ543" s="38"/>
    </row>
    <row r="544" spans="2:62" ht="15.75" customHeight="1">
      <c r="B544" s="3"/>
      <c r="C544" s="79"/>
      <c r="D544" s="80"/>
      <c r="E544" s="88"/>
      <c r="F544" s="80"/>
      <c r="G544" s="80"/>
      <c r="H544" s="88"/>
      <c r="I544" s="80"/>
      <c r="J544" s="87"/>
      <c r="K544" s="88"/>
      <c r="L544" s="87"/>
      <c r="M544" s="88"/>
      <c r="N544" s="87"/>
      <c r="O544" s="88"/>
      <c r="P544" s="80"/>
      <c r="Q544" s="80"/>
      <c r="R544" s="88"/>
      <c r="S544" s="80"/>
      <c r="T544" s="80"/>
      <c r="U544" s="80"/>
      <c r="V544" s="80"/>
      <c r="W544" s="80"/>
      <c r="X544" s="80"/>
      <c r="Y544" s="38"/>
      <c r="Z544" s="38"/>
      <c r="AA544" s="38"/>
      <c r="AB544" s="38"/>
      <c r="AC544" s="38"/>
      <c r="AD544" s="38"/>
      <c r="AE544" s="38"/>
      <c r="AF544" s="38"/>
      <c r="AG544" s="38"/>
      <c r="AH544" s="38"/>
      <c r="AI544" s="38"/>
      <c r="AJ544" s="38"/>
      <c r="AK544" s="38"/>
      <c r="AL544" s="38"/>
      <c r="AM544" s="38"/>
      <c r="AN544" s="38"/>
      <c r="AO544" s="38"/>
      <c r="AP544" s="38"/>
      <c r="AQ544" s="38"/>
      <c r="AR544" s="38"/>
      <c r="AS544" s="38"/>
      <c r="AT544" s="38"/>
      <c r="AU544" s="38"/>
      <c r="AV544" s="38"/>
      <c r="AW544" s="38"/>
      <c r="AX544" s="38"/>
      <c r="AY544" s="38"/>
      <c r="AZ544" s="38"/>
      <c r="BA544" s="38"/>
      <c r="BB544" s="38"/>
      <c r="BC544" s="38"/>
      <c r="BD544" s="38"/>
      <c r="BE544" s="38"/>
      <c r="BF544" s="38"/>
      <c r="BG544" s="38"/>
      <c r="BH544" s="38"/>
      <c r="BI544" s="38"/>
      <c r="BJ544" s="38"/>
    </row>
    <row r="545" spans="2:62" ht="15.75" customHeight="1">
      <c r="B545" s="3"/>
      <c r="C545" s="80"/>
      <c r="D545" s="80"/>
      <c r="E545" s="80"/>
      <c r="F545" s="80"/>
      <c r="G545" s="80"/>
      <c r="H545" s="80"/>
      <c r="I545" s="80"/>
      <c r="J545" s="80"/>
      <c r="K545" s="80"/>
      <c r="L545" s="80"/>
      <c r="M545" s="80"/>
      <c r="N545" s="80"/>
      <c r="O545" s="80"/>
      <c r="P545" s="80"/>
      <c r="Q545" s="80"/>
      <c r="R545" s="80"/>
      <c r="S545" s="80"/>
      <c r="T545" s="80"/>
      <c r="U545" s="80"/>
      <c r="V545" s="80"/>
      <c r="W545" s="80"/>
      <c r="X545" s="80"/>
      <c r="Y545" s="38"/>
      <c r="Z545" s="38"/>
      <c r="AA545" s="38"/>
      <c r="AB545" s="38"/>
      <c r="AC545" s="38"/>
      <c r="AD545" s="38"/>
      <c r="AE545" s="38"/>
      <c r="AF545" s="38"/>
      <c r="AG545" s="38"/>
      <c r="AH545" s="38"/>
      <c r="AI545" s="38"/>
      <c r="AJ545" s="38"/>
      <c r="AK545" s="38"/>
      <c r="AL545" s="38"/>
      <c r="AM545" s="38"/>
      <c r="AN545" s="38"/>
      <c r="AO545" s="38"/>
      <c r="AP545" s="38"/>
      <c r="AQ545" s="38"/>
      <c r="AR545" s="38"/>
      <c r="AS545" s="38"/>
      <c r="AT545" s="38"/>
      <c r="AU545" s="38"/>
      <c r="AV545" s="38"/>
      <c r="AW545" s="38"/>
      <c r="AX545" s="38"/>
      <c r="AY545" s="38"/>
      <c r="AZ545" s="38"/>
      <c r="BA545" s="38"/>
      <c r="BB545" s="38"/>
      <c r="BC545" s="38"/>
      <c r="BD545" s="38"/>
      <c r="BE545" s="38"/>
      <c r="BF545" s="38"/>
      <c r="BG545" s="38"/>
      <c r="BH545" s="38"/>
      <c r="BI545" s="38"/>
      <c r="BJ545" s="38"/>
    </row>
    <row r="546" spans="2:62" ht="15.75" customHeight="1">
      <c r="B546" s="3"/>
      <c r="C546" s="80"/>
      <c r="D546" s="80"/>
      <c r="E546" s="88"/>
      <c r="F546" s="87"/>
      <c r="G546" s="80"/>
      <c r="H546" s="88"/>
      <c r="I546" s="87"/>
      <c r="J546" s="87"/>
      <c r="K546" s="80"/>
      <c r="L546" s="87"/>
      <c r="M546" s="80"/>
      <c r="N546" s="87"/>
      <c r="O546" s="80"/>
      <c r="P546" s="87"/>
      <c r="Q546" s="88"/>
      <c r="R546" s="88"/>
      <c r="S546" s="80"/>
      <c r="T546" s="80"/>
      <c r="U546" s="80"/>
      <c r="V546" s="80"/>
      <c r="W546" s="80"/>
      <c r="X546" s="80"/>
      <c r="Y546" s="38"/>
      <c r="Z546" s="38"/>
      <c r="AA546" s="38"/>
      <c r="AB546" s="38"/>
      <c r="AC546" s="38"/>
      <c r="AD546" s="38"/>
      <c r="AE546" s="38"/>
      <c r="AF546" s="38"/>
      <c r="AG546" s="38"/>
      <c r="AH546" s="38"/>
      <c r="AI546" s="38"/>
      <c r="AJ546" s="38"/>
      <c r="AK546" s="38"/>
      <c r="AL546" s="38"/>
      <c r="AM546" s="38"/>
      <c r="AN546" s="38"/>
      <c r="AO546" s="38"/>
      <c r="AP546" s="38"/>
      <c r="AQ546" s="38"/>
      <c r="AR546" s="38"/>
      <c r="AS546" s="38"/>
      <c r="AT546" s="38"/>
      <c r="AU546" s="38"/>
      <c r="AV546" s="38"/>
      <c r="AW546" s="38"/>
      <c r="AX546" s="38"/>
      <c r="AY546" s="38"/>
      <c r="AZ546" s="38"/>
      <c r="BA546" s="38"/>
      <c r="BB546" s="38"/>
      <c r="BC546" s="38"/>
      <c r="BD546" s="38"/>
      <c r="BE546" s="38"/>
      <c r="BF546" s="38"/>
      <c r="BG546" s="38"/>
      <c r="BH546" s="38"/>
      <c r="BI546" s="38"/>
      <c r="BJ546" s="38"/>
    </row>
    <row r="547" spans="2:62" ht="15.75" customHeight="1">
      <c r="B547" s="3"/>
      <c r="C547" s="80"/>
      <c r="D547" s="80"/>
      <c r="E547" s="88"/>
      <c r="F547" s="643"/>
      <c r="G547" s="80"/>
      <c r="H547" s="88"/>
      <c r="I547" s="643"/>
      <c r="J547" s="87"/>
      <c r="K547" s="88"/>
      <c r="L547" s="87"/>
      <c r="M547" s="88"/>
      <c r="N547" s="87"/>
      <c r="O547" s="88"/>
      <c r="P547" s="80"/>
      <c r="Q547" s="87"/>
      <c r="R547" s="87"/>
      <c r="S547" s="88"/>
      <c r="T547" s="80"/>
      <c r="U547" s="80"/>
      <c r="V547" s="80"/>
      <c r="W547" s="80"/>
      <c r="X547" s="80"/>
      <c r="Y547" s="38"/>
      <c r="Z547" s="38"/>
      <c r="AA547" s="38"/>
      <c r="AB547" s="38"/>
      <c r="AC547" s="38"/>
      <c r="AD547" s="38"/>
      <c r="AE547" s="38"/>
      <c r="AF547" s="38"/>
      <c r="AG547" s="38"/>
      <c r="AH547" s="38"/>
      <c r="AI547" s="38"/>
      <c r="AJ547" s="38"/>
      <c r="AK547" s="38"/>
      <c r="AL547" s="38"/>
      <c r="AM547" s="38"/>
      <c r="AN547" s="38"/>
      <c r="AO547" s="38"/>
      <c r="AP547" s="38"/>
      <c r="AQ547" s="38"/>
      <c r="AR547" s="38"/>
      <c r="AS547" s="38"/>
      <c r="AT547" s="38"/>
      <c r="AU547" s="38"/>
      <c r="AV547" s="38"/>
      <c r="AW547" s="38"/>
      <c r="AX547" s="38"/>
      <c r="AY547" s="38"/>
      <c r="AZ547" s="38"/>
      <c r="BA547" s="38"/>
      <c r="BB547" s="38"/>
      <c r="BC547" s="38"/>
      <c r="BD547" s="38"/>
      <c r="BE547" s="38"/>
      <c r="BF547" s="38"/>
      <c r="BG547" s="38"/>
      <c r="BH547" s="38"/>
      <c r="BI547" s="38"/>
      <c r="BJ547" s="38"/>
    </row>
    <row r="548" spans="2:62" ht="15.75" customHeight="1">
      <c r="B548" s="3"/>
      <c r="C548" s="80"/>
      <c r="D548" s="80"/>
      <c r="E548" s="88"/>
      <c r="F548" s="643"/>
      <c r="G548" s="80"/>
      <c r="H548" s="88"/>
      <c r="I548" s="643"/>
      <c r="J548" s="87"/>
      <c r="K548" s="88"/>
      <c r="L548" s="87"/>
      <c r="M548" s="88"/>
      <c r="N548" s="87"/>
      <c r="O548" s="88"/>
      <c r="P548" s="80"/>
      <c r="Q548" s="80"/>
      <c r="R548" s="88"/>
      <c r="S548" s="88"/>
      <c r="T548" s="80"/>
      <c r="U548" s="80"/>
      <c r="V548" s="80"/>
      <c r="W548" s="80"/>
      <c r="X548" s="80"/>
      <c r="Y548" s="38"/>
      <c r="Z548" s="38"/>
      <c r="AA548" s="38"/>
      <c r="AB548" s="38"/>
      <c r="AC548" s="38"/>
      <c r="AD548" s="38"/>
      <c r="AE548" s="38"/>
      <c r="AF548" s="38"/>
      <c r="AG548" s="38"/>
      <c r="AH548" s="38"/>
      <c r="AI548" s="38"/>
      <c r="AJ548" s="38"/>
      <c r="AK548" s="38"/>
      <c r="AL548" s="38"/>
      <c r="AM548" s="38"/>
      <c r="AN548" s="38"/>
      <c r="AO548" s="38"/>
      <c r="AP548" s="38"/>
      <c r="AQ548" s="38"/>
      <c r="AR548" s="38"/>
      <c r="AS548" s="38"/>
      <c r="AT548" s="38"/>
      <c r="AU548" s="38"/>
      <c r="AV548" s="38"/>
      <c r="AW548" s="38"/>
      <c r="AX548" s="38"/>
      <c r="AY548" s="38"/>
      <c r="AZ548" s="38"/>
      <c r="BA548" s="38"/>
      <c r="BB548" s="38"/>
      <c r="BC548" s="38"/>
      <c r="BD548" s="38"/>
      <c r="BE548" s="38"/>
      <c r="BF548" s="38"/>
      <c r="BG548" s="38"/>
      <c r="BH548" s="38"/>
      <c r="BI548" s="38"/>
      <c r="BJ548" s="38"/>
    </row>
    <row r="549" spans="2:62" ht="15.75" customHeight="1">
      <c r="B549" s="3"/>
      <c r="C549" s="80"/>
      <c r="D549" s="80"/>
      <c r="E549" s="88"/>
      <c r="F549" s="87"/>
      <c r="G549" s="80"/>
      <c r="H549" s="88"/>
      <c r="I549" s="87"/>
      <c r="J549" s="87"/>
      <c r="K549" s="88"/>
      <c r="L549" s="87"/>
      <c r="M549" s="88"/>
      <c r="N549" s="87"/>
      <c r="O549" s="88"/>
      <c r="P549" s="80"/>
      <c r="Q549" s="80"/>
      <c r="R549" s="88"/>
      <c r="S549" s="80"/>
      <c r="T549" s="80"/>
      <c r="U549" s="80"/>
      <c r="V549" s="80"/>
      <c r="W549" s="80"/>
      <c r="X549" s="80"/>
      <c r="Y549" s="38"/>
      <c r="Z549" s="38"/>
      <c r="AA549" s="38"/>
      <c r="AB549" s="38"/>
      <c r="AC549" s="38"/>
      <c r="AD549" s="38"/>
      <c r="AE549" s="38"/>
      <c r="AF549" s="38"/>
      <c r="AG549" s="38"/>
      <c r="AH549" s="38"/>
      <c r="AI549" s="38"/>
      <c r="AJ549" s="38"/>
      <c r="AK549" s="38"/>
      <c r="AL549" s="38"/>
      <c r="AM549" s="38"/>
      <c r="AN549" s="38"/>
      <c r="AO549" s="38"/>
      <c r="AP549" s="38"/>
      <c r="AQ549" s="38"/>
      <c r="AR549" s="38"/>
      <c r="AS549" s="38"/>
      <c r="AT549" s="38"/>
      <c r="AU549" s="38"/>
      <c r="AV549" s="38"/>
      <c r="AW549" s="38"/>
      <c r="AX549" s="38"/>
      <c r="AY549" s="38"/>
      <c r="AZ549" s="38"/>
      <c r="BA549" s="38"/>
      <c r="BB549" s="38"/>
      <c r="BC549" s="38"/>
      <c r="BD549" s="38"/>
      <c r="BE549" s="38"/>
      <c r="BF549" s="38"/>
      <c r="BG549" s="38"/>
      <c r="BH549" s="38"/>
      <c r="BI549" s="38"/>
      <c r="BJ549" s="38"/>
    </row>
    <row r="550" spans="2:62" ht="15.75" customHeight="1">
      <c r="B550" s="3"/>
      <c r="C550" s="79"/>
      <c r="D550" s="79"/>
      <c r="E550" s="90"/>
      <c r="F550" s="89"/>
      <c r="G550" s="79"/>
      <c r="H550" s="90"/>
      <c r="I550" s="89"/>
      <c r="J550" s="89"/>
      <c r="K550" s="90"/>
      <c r="L550" s="89"/>
      <c r="M550" s="90"/>
      <c r="N550" s="89"/>
      <c r="O550" s="90"/>
      <c r="P550" s="89"/>
      <c r="Q550" s="79"/>
      <c r="R550" s="90"/>
      <c r="S550" s="79"/>
      <c r="T550" s="80"/>
      <c r="U550" s="80"/>
      <c r="V550" s="80"/>
      <c r="W550" s="80"/>
      <c r="X550" s="80"/>
      <c r="Y550" s="38"/>
      <c r="Z550" s="38"/>
      <c r="AA550" s="38"/>
      <c r="AB550" s="38"/>
      <c r="AC550" s="38"/>
      <c r="AD550" s="38"/>
      <c r="AE550" s="38"/>
      <c r="AF550" s="38"/>
      <c r="AG550" s="38"/>
      <c r="AH550" s="38"/>
      <c r="AI550" s="38"/>
      <c r="AJ550" s="38"/>
      <c r="AK550" s="38"/>
      <c r="AL550" s="38"/>
      <c r="AM550" s="38"/>
      <c r="AN550" s="38"/>
      <c r="AO550" s="38"/>
      <c r="AP550" s="38"/>
      <c r="AQ550" s="38"/>
      <c r="AR550" s="38"/>
      <c r="AS550" s="38"/>
      <c r="AT550" s="38"/>
      <c r="AU550" s="38"/>
      <c r="AV550" s="38"/>
      <c r="AW550" s="38"/>
      <c r="AX550" s="38"/>
      <c r="AY550" s="38"/>
      <c r="AZ550" s="38"/>
      <c r="BA550" s="38"/>
      <c r="BB550" s="38"/>
      <c r="BC550" s="38"/>
      <c r="BD550" s="38"/>
      <c r="BE550" s="38"/>
      <c r="BF550" s="38"/>
      <c r="BG550" s="38"/>
      <c r="BH550" s="38"/>
      <c r="BI550" s="38"/>
      <c r="BJ550" s="38"/>
    </row>
    <row r="551" spans="2:62" ht="15.75" customHeight="1">
      <c r="B551" s="3"/>
      <c r="C551" s="80"/>
      <c r="D551" s="80"/>
      <c r="E551" s="80"/>
      <c r="F551" s="80"/>
      <c r="G551" s="80"/>
      <c r="H551" s="80"/>
      <c r="I551" s="80"/>
      <c r="J551" s="80"/>
      <c r="K551" s="80"/>
      <c r="L551" s="80"/>
      <c r="M551" s="80"/>
      <c r="N551" s="80"/>
      <c r="O551" s="80"/>
      <c r="P551" s="79"/>
      <c r="Q551" s="89"/>
      <c r="R551" s="89"/>
      <c r="S551" s="80"/>
      <c r="T551" s="80"/>
      <c r="U551" s="80"/>
      <c r="V551" s="80"/>
      <c r="W551" s="80"/>
      <c r="X551" s="80"/>
      <c r="Y551" s="38"/>
      <c r="Z551" s="38"/>
      <c r="AA551" s="38"/>
      <c r="AB551" s="38"/>
      <c r="AC551" s="38"/>
      <c r="AD551" s="38"/>
      <c r="AE551" s="38"/>
      <c r="AF551" s="38"/>
      <c r="AG551" s="38"/>
      <c r="AH551" s="38"/>
      <c r="AI551" s="38"/>
      <c r="AJ551" s="38"/>
      <c r="AK551" s="38"/>
      <c r="AL551" s="38"/>
      <c r="AM551" s="38"/>
      <c r="AN551" s="38"/>
      <c r="AO551" s="38"/>
      <c r="AP551" s="38"/>
      <c r="AQ551" s="38"/>
      <c r="AR551" s="38"/>
      <c r="AS551" s="38"/>
      <c r="AT551" s="38"/>
      <c r="AU551" s="38"/>
      <c r="AV551" s="38"/>
      <c r="AW551" s="38"/>
      <c r="AX551" s="38"/>
      <c r="AY551" s="38"/>
      <c r="AZ551" s="38"/>
      <c r="BA551" s="38"/>
      <c r="BB551" s="38"/>
      <c r="BC551" s="38"/>
      <c r="BD551" s="38"/>
      <c r="BE551" s="38"/>
      <c r="BF551" s="38"/>
      <c r="BG551" s="38"/>
      <c r="BH551" s="38"/>
      <c r="BI551" s="38"/>
      <c r="BJ551" s="38"/>
    </row>
    <row r="552" spans="2:62" ht="15.75" customHeight="1">
      <c r="B552" s="3"/>
      <c r="C552" s="80"/>
      <c r="D552" s="80"/>
      <c r="E552" s="88"/>
      <c r="F552" s="87"/>
      <c r="G552" s="80"/>
      <c r="H552" s="88"/>
      <c r="I552" s="87"/>
      <c r="J552" s="87"/>
      <c r="K552" s="88"/>
      <c r="L552" s="87"/>
      <c r="M552" s="88"/>
      <c r="N552" s="87"/>
      <c r="O552" s="88"/>
      <c r="P552" s="80"/>
      <c r="Q552" s="80"/>
      <c r="R552" s="88"/>
      <c r="S552" s="80"/>
      <c r="T552" s="80"/>
      <c r="U552" s="80"/>
      <c r="V552" s="80"/>
      <c r="W552" s="80"/>
      <c r="X552" s="80"/>
      <c r="Y552" s="38"/>
      <c r="Z552" s="38"/>
      <c r="AA552" s="38"/>
      <c r="AB552" s="38"/>
      <c r="AC552" s="38"/>
      <c r="AD552" s="38"/>
      <c r="AE552" s="38"/>
      <c r="AF552" s="38"/>
      <c r="AG552" s="38"/>
      <c r="AH552" s="38"/>
      <c r="AI552" s="38"/>
      <c r="AJ552" s="38"/>
      <c r="AK552" s="38"/>
      <c r="AL552" s="38"/>
      <c r="AM552" s="38"/>
      <c r="AN552" s="38"/>
      <c r="AO552" s="38"/>
      <c r="AP552" s="38"/>
      <c r="AQ552" s="38"/>
      <c r="AR552" s="38"/>
      <c r="AS552" s="38"/>
      <c r="AT552" s="38"/>
      <c r="AU552" s="38"/>
      <c r="AV552" s="38"/>
      <c r="AW552" s="38"/>
      <c r="AX552" s="38"/>
      <c r="AY552" s="38"/>
      <c r="AZ552" s="38"/>
      <c r="BA552" s="38"/>
      <c r="BB552" s="38"/>
      <c r="BC552" s="38"/>
      <c r="BD552" s="38"/>
      <c r="BE552" s="38"/>
      <c r="BF552" s="38"/>
      <c r="BG552" s="38"/>
      <c r="BH552" s="38"/>
      <c r="BI552" s="38"/>
      <c r="BJ552" s="38"/>
    </row>
    <row r="553" spans="2:62" ht="15.75" customHeight="1">
      <c r="B553" s="3"/>
      <c r="C553" s="79"/>
      <c r="D553" s="80"/>
      <c r="E553" s="88"/>
      <c r="F553" s="87"/>
      <c r="G553" s="80"/>
      <c r="H553" s="88"/>
      <c r="I553" s="87"/>
      <c r="J553" s="87"/>
      <c r="K553" s="88"/>
      <c r="L553" s="87"/>
      <c r="M553" s="88"/>
      <c r="N553" s="87"/>
      <c r="O553" s="88"/>
      <c r="P553" s="80"/>
      <c r="Q553" s="80"/>
      <c r="R553" s="88"/>
      <c r="S553" s="80"/>
      <c r="T553" s="80"/>
      <c r="U553" s="80"/>
      <c r="V553" s="80"/>
      <c r="W553" s="80"/>
      <c r="X553" s="80"/>
      <c r="Y553" s="38"/>
      <c r="Z553" s="38"/>
      <c r="AA553" s="38"/>
      <c r="AB553" s="38"/>
      <c r="AC553" s="38"/>
      <c r="AD553" s="38"/>
      <c r="AE553" s="38"/>
      <c r="AF553" s="38"/>
      <c r="AG553" s="38"/>
      <c r="AH553" s="38"/>
      <c r="AI553" s="38"/>
      <c r="AJ553" s="38"/>
      <c r="AK553" s="38"/>
      <c r="AL553" s="38"/>
      <c r="AM553" s="38"/>
      <c r="AN553" s="38"/>
      <c r="AO553" s="38"/>
      <c r="AP553" s="38"/>
      <c r="AQ553" s="38"/>
      <c r="AR553" s="38"/>
      <c r="AS553" s="38"/>
      <c r="AT553" s="38"/>
      <c r="AU553" s="38"/>
      <c r="AV553" s="38"/>
      <c r="AW553" s="38"/>
      <c r="AX553" s="38"/>
      <c r="AY553" s="38"/>
      <c r="AZ553" s="38"/>
      <c r="BA553" s="38"/>
      <c r="BB553" s="38"/>
      <c r="BC553" s="38"/>
      <c r="BD553" s="38"/>
      <c r="BE553" s="38"/>
      <c r="BF553" s="38"/>
      <c r="BG553" s="38"/>
      <c r="BH553" s="38"/>
      <c r="BI553" s="38"/>
      <c r="BJ553" s="38"/>
    </row>
    <row r="554" spans="2:62" ht="15.75" customHeight="1">
      <c r="B554" s="3"/>
      <c r="C554" s="80"/>
      <c r="D554" s="80"/>
      <c r="E554" s="88"/>
      <c r="F554" s="87"/>
      <c r="G554" s="80"/>
      <c r="H554" s="88"/>
      <c r="I554" s="87"/>
      <c r="J554" s="87"/>
      <c r="K554" s="88"/>
      <c r="L554" s="87"/>
      <c r="M554" s="88"/>
      <c r="N554" s="87"/>
      <c r="O554" s="88"/>
      <c r="P554" s="80"/>
      <c r="Q554" s="80"/>
      <c r="R554" s="88"/>
      <c r="S554" s="80"/>
      <c r="T554" s="80"/>
      <c r="U554" s="80"/>
      <c r="V554" s="80"/>
      <c r="W554" s="80"/>
      <c r="X554" s="80"/>
      <c r="Y554" s="38"/>
      <c r="Z554" s="38"/>
      <c r="AA554" s="38"/>
      <c r="AB554" s="38"/>
      <c r="AC554" s="38"/>
      <c r="AD554" s="38"/>
      <c r="AE554" s="38"/>
      <c r="AF554" s="38"/>
      <c r="AG554" s="38"/>
      <c r="AH554" s="38"/>
      <c r="AI554" s="38"/>
      <c r="AJ554" s="38"/>
      <c r="AK554" s="38"/>
      <c r="AL554" s="38"/>
      <c r="AM554" s="38"/>
      <c r="AN554" s="38"/>
      <c r="AO554" s="38"/>
      <c r="AP554" s="38"/>
      <c r="AQ554" s="38"/>
      <c r="AR554" s="38"/>
      <c r="AS554" s="38"/>
      <c r="AT554" s="38"/>
      <c r="AU554" s="38"/>
      <c r="AV554" s="38"/>
      <c r="AW554" s="38"/>
      <c r="AX554" s="38"/>
      <c r="AY554" s="38"/>
      <c r="AZ554" s="38"/>
      <c r="BA554" s="38"/>
      <c r="BB554" s="38"/>
      <c r="BC554" s="38"/>
      <c r="BD554" s="38"/>
      <c r="BE554" s="38"/>
      <c r="BF554" s="38"/>
      <c r="BG554" s="38"/>
      <c r="BH554" s="38"/>
      <c r="BI554" s="38"/>
      <c r="BJ554" s="38"/>
    </row>
    <row r="555" spans="2:62" ht="15.75" customHeight="1">
      <c r="B555" s="3"/>
      <c r="C555" s="80"/>
      <c r="D555" s="80"/>
      <c r="E555" s="80"/>
      <c r="F555" s="80"/>
      <c r="G555" s="80"/>
      <c r="H555" s="80"/>
      <c r="I555" s="80"/>
      <c r="J555" s="80"/>
      <c r="K555" s="80"/>
      <c r="L555" s="80"/>
      <c r="M555" s="80"/>
      <c r="N555" s="80"/>
      <c r="O555" s="80"/>
      <c r="P555" s="87"/>
      <c r="Q555" s="88"/>
      <c r="R555" s="80"/>
      <c r="S555" s="88"/>
      <c r="T555" s="80"/>
      <c r="U555" s="80"/>
      <c r="V555" s="80"/>
      <c r="W555" s="80"/>
      <c r="X555" s="80"/>
      <c r="Y555" s="38"/>
      <c r="Z555" s="38"/>
      <c r="AA555" s="38"/>
      <c r="AB555" s="38"/>
      <c r="AC555" s="38"/>
      <c r="AD555" s="38"/>
      <c r="AE555" s="38"/>
      <c r="AF555" s="38"/>
      <c r="AG555" s="38"/>
      <c r="AH555" s="38"/>
      <c r="AI555" s="38"/>
      <c r="AJ555" s="38"/>
      <c r="AK555" s="38"/>
      <c r="AL555" s="38"/>
      <c r="AM555" s="38"/>
      <c r="AN555" s="38"/>
      <c r="AO555" s="38"/>
      <c r="AP555" s="38"/>
      <c r="AQ555" s="38"/>
      <c r="AR555" s="38"/>
      <c r="AS555" s="38"/>
      <c r="AT555" s="38"/>
      <c r="AU555" s="38"/>
      <c r="AV555" s="38"/>
      <c r="AW555" s="38"/>
      <c r="AX555" s="38"/>
      <c r="AY555" s="38"/>
      <c r="AZ555" s="38"/>
      <c r="BA555" s="38"/>
      <c r="BB555" s="38"/>
      <c r="BC555" s="38"/>
      <c r="BD555" s="38"/>
      <c r="BE555" s="38"/>
      <c r="BF555" s="38"/>
      <c r="BG555" s="38"/>
      <c r="BH555" s="38"/>
      <c r="BI555" s="38"/>
      <c r="BJ555" s="38"/>
    </row>
    <row r="556" spans="2:62" ht="15.75" customHeight="1">
      <c r="B556" s="3"/>
      <c r="C556" s="80"/>
      <c r="D556" s="80"/>
      <c r="E556" s="80"/>
      <c r="F556" s="80"/>
      <c r="G556" s="80"/>
      <c r="H556" s="80"/>
      <c r="I556" s="80"/>
      <c r="J556" s="80"/>
      <c r="K556" s="80"/>
      <c r="L556" s="80"/>
      <c r="M556" s="80"/>
      <c r="N556" s="80"/>
      <c r="O556" s="80"/>
      <c r="P556" s="87"/>
      <c r="Q556" s="88"/>
      <c r="R556" s="80"/>
      <c r="S556" s="88"/>
      <c r="T556" s="80"/>
      <c r="U556" s="80"/>
      <c r="V556" s="80"/>
      <c r="W556" s="80"/>
      <c r="X556" s="80"/>
      <c r="Y556" s="38"/>
      <c r="Z556" s="38"/>
      <c r="AA556" s="38"/>
      <c r="AB556" s="38"/>
      <c r="AC556" s="38"/>
      <c r="AD556" s="38"/>
      <c r="AE556" s="38"/>
      <c r="AF556" s="38"/>
      <c r="AG556" s="38"/>
      <c r="AH556" s="38"/>
      <c r="AI556" s="38"/>
      <c r="AJ556" s="38"/>
      <c r="AK556" s="38"/>
      <c r="AL556" s="38"/>
      <c r="AM556" s="38"/>
      <c r="AN556" s="38"/>
      <c r="AO556" s="38"/>
      <c r="AP556" s="38"/>
      <c r="AQ556" s="38"/>
      <c r="AR556" s="38"/>
      <c r="AS556" s="38"/>
      <c r="AT556" s="38"/>
      <c r="AU556" s="38"/>
      <c r="AV556" s="38"/>
      <c r="AW556" s="38"/>
      <c r="AX556" s="38"/>
      <c r="AY556" s="38"/>
      <c r="AZ556" s="38"/>
      <c r="BA556" s="38"/>
      <c r="BB556" s="38"/>
      <c r="BC556" s="38"/>
      <c r="BD556" s="38"/>
      <c r="BE556" s="38"/>
      <c r="BF556" s="38"/>
      <c r="BG556" s="38"/>
      <c r="BH556" s="38"/>
      <c r="BI556" s="38"/>
      <c r="BJ556" s="38"/>
    </row>
    <row r="557" spans="2:62" ht="15.75" customHeight="1">
      <c r="B557" s="3"/>
      <c r="C557" s="80"/>
      <c r="D557" s="80"/>
      <c r="E557" s="80"/>
      <c r="F557" s="80"/>
      <c r="G557" s="80"/>
      <c r="H557" s="80"/>
      <c r="I557" s="80"/>
      <c r="J557" s="80"/>
      <c r="K557" s="80"/>
      <c r="L557" s="80"/>
      <c r="M557" s="80"/>
      <c r="N557" s="80"/>
      <c r="O557" s="80"/>
      <c r="P557" s="87"/>
      <c r="Q557" s="88"/>
      <c r="R557" s="80"/>
      <c r="S557" s="88"/>
      <c r="T557" s="80"/>
      <c r="U557" s="80"/>
      <c r="V557" s="80"/>
      <c r="W557" s="80"/>
      <c r="X557" s="80"/>
      <c r="Y557" s="38"/>
      <c r="Z557" s="38"/>
      <c r="AA557" s="38"/>
      <c r="AB557" s="38"/>
      <c r="AC557" s="38"/>
      <c r="AD557" s="38"/>
      <c r="AE557" s="38"/>
      <c r="AF557" s="38"/>
      <c r="AG557" s="38"/>
      <c r="AH557" s="38"/>
      <c r="AI557" s="38"/>
      <c r="AJ557" s="38"/>
      <c r="AK557" s="38"/>
      <c r="AL557" s="38"/>
      <c r="AM557" s="38"/>
      <c r="AN557" s="38"/>
      <c r="AO557" s="38"/>
      <c r="AP557" s="38"/>
      <c r="AQ557" s="38"/>
      <c r="AR557" s="38"/>
      <c r="AS557" s="38"/>
      <c r="AT557" s="38"/>
      <c r="AU557" s="38"/>
      <c r="AV557" s="38"/>
      <c r="AW557" s="38"/>
      <c r="AX557" s="38"/>
      <c r="AY557" s="38"/>
      <c r="AZ557" s="38"/>
      <c r="BA557" s="38"/>
      <c r="BB557" s="38"/>
      <c r="BC557" s="38"/>
      <c r="BD557" s="38"/>
      <c r="BE557" s="38"/>
      <c r="BF557" s="38"/>
      <c r="BG557" s="38"/>
      <c r="BH557" s="38"/>
      <c r="BI557" s="38"/>
      <c r="BJ557" s="38"/>
    </row>
    <row r="558" spans="2:62" ht="15.75" customHeight="1">
      <c r="B558" s="3"/>
      <c r="C558" s="80"/>
      <c r="D558" s="80"/>
      <c r="E558" s="80"/>
      <c r="F558" s="80"/>
      <c r="G558" s="80"/>
      <c r="H558" s="80"/>
      <c r="I558" s="80"/>
      <c r="J558" s="80"/>
      <c r="K558" s="80"/>
      <c r="L558" s="80"/>
      <c r="M558" s="80"/>
      <c r="N558" s="80"/>
      <c r="O558" s="80"/>
      <c r="P558" s="87"/>
      <c r="Q558" s="88"/>
      <c r="R558" s="80"/>
      <c r="S558" s="88"/>
      <c r="T558" s="80"/>
      <c r="U558" s="80"/>
      <c r="V558" s="80"/>
      <c r="W558" s="80"/>
      <c r="X558" s="80"/>
      <c r="Y558" s="38"/>
      <c r="Z558" s="38"/>
      <c r="AA558" s="38"/>
      <c r="AB558" s="38"/>
      <c r="AC558" s="38"/>
      <c r="AD558" s="38"/>
      <c r="AE558" s="38"/>
      <c r="AF558" s="38"/>
      <c r="AG558" s="38"/>
      <c r="AH558" s="38"/>
      <c r="AI558" s="38"/>
      <c r="AJ558" s="38"/>
      <c r="AK558" s="38"/>
      <c r="AL558" s="38"/>
      <c r="AM558" s="38"/>
      <c r="AN558" s="38"/>
      <c r="AO558" s="38"/>
      <c r="AP558" s="38"/>
      <c r="AQ558" s="38"/>
      <c r="AR558" s="38"/>
      <c r="AS558" s="38"/>
      <c r="AT558" s="38"/>
      <c r="AU558" s="38"/>
      <c r="AV558" s="38"/>
      <c r="AW558" s="38"/>
      <c r="AX558" s="38"/>
      <c r="AY558" s="38"/>
      <c r="AZ558" s="38"/>
      <c r="BA558" s="38"/>
      <c r="BB558" s="38"/>
      <c r="BC558" s="38"/>
      <c r="BD558" s="38"/>
      <c r="BE558" s="38"/>
      <c r="BF558" s="38"/>
      <c r="BG558" s="38"/>
      <c r="BH558" s="38"/>
      <c r="BI558" s="38"/>
      <c r="BJ558" s="38"/>
    </row>
    <row r="559" spans="2:62" ht="15.75" customHeight="1">
      <c r="B559" s="3"/>
      <c r="C559" s="80"/>
      <c r="D559" s="80"/>
      <c r="E559" s="80"/>
      <c r="F559" s="80"/>
      <c r="G559" s="80"/>
      <c r="H559" s="80"/>
      <c r="I559" s="80"/>
      <c r="J559" s="80"/>
      <c r="K559" s="80"/>
      <c r="L559" s="80"/>
      <c r="M559" s="80"/>
      <c r="N559" s="80"/>
      <c r="O559" s="80"/>
      <c r="P559" s="87"/>
      <c r="Q559" s="88"/>
      <c r="R559" s="80"/>
      <c r="S559" s="88"/>
      <c r="T559" s="80"/>
      <c r="U559" s="80"/>
      <c r="V559" s="80"/>
      <c r="W559" s="80"/>
      <c r="X559" s="80"/>
      <c r="Y559" s="38"/>
      <c r="Z559" s="38"/>
      <c r="AA559" s="38"/>
      <c r="AB559" s="38"/>
      <c r="AC559" s="38"/>
      <c r="AD559" s="38"/>
      <c r="AE559" s="38"/>
      <c r="AF559" s="38"/>
      <c r="AG559" s="38"/>
      <c r="AH559" s="38"/>
      <c r="AI559" s="38"/>
      <c r="AJ559" s="38"/>
      <c r="AK559" s="38"/>
      <c r="AL559" s="38"/>
      <c r="AM559" s="38"/>
      <c r="AN559" s="38"/>
      <c r="AO559" s="38"/>
      <c r="AP559" s="38"/>
      <c r="AQ559" s="38"/>
      <c r="AR559" s="38"/>
      <c r="AS559" s="38"/>
      <c r="AT559" s="38"/>
      <c r="AU559" s="38"/>
      <c r="AV559" s="38"/>
      <c r="AW559" s="38"/>
      <c r="AX559" s="38"/>
      <c r="AY559" s="38"/>
      <c r="AZ559" s="38"/>
      <c r="BA559" s="38"/>
      <c r="BB559" s="38"/>
      <c r="BC559" s="38"/>
      <c r="BD559" s="38"/>
      <c r="BE559" s="38"/>
      <c r="BF559" s="38"/>
      <c r="BG559" s="38"/>
      <c r="BH559" s="38"/>
      <c r="BI559" s="38"/>
      <c r="BJ559" s="38"/>
    </row>
    <row r="560" spans="2:62" ht="15.75" customHeight="1">
      <c r="B560" s="3"/>
      <c r="C560" s="80"/>
      <c r="D560" s="80"/>
      <c r="E560" s="80"/>
      <c r="F560" s="80"/>
      <c r="G560" s="80"/>
      <c r="H560" s="80"/>
      <c r="I560" s="80"/>
      <c r="J560" s="80"/>
      <c r="K560" s="80"/>
      <c r="L560" s="80"/>
      <c r="M560" s="80"/>
      <c r="N560" s="80"/>
      <c r="O560" s="80"/>
      <c r="P560" s="87"/>
      <c r="Q560" s="88"/>
      <c r="R560" s="80"/>
      <c r="S560" s="88"/>
      <c r="T560" s="80"/>
      <c r="U560" s="80"/>
      <c r="V560" s="80"/>
      <c r="W560" s="80"/>
      <c r="X560" s="80"/>
      <c r="Y560" s="38"/>
      <c r="Z560" s="38"/>
      <c r="AA560" s="38"/>
      <c r="AB560" s="38"/>
      <c r="AC560" s="38"/>
      <c r="AD560" s="38"/>
      <c r="AE560" s="38"/>
      <c r="AF560" s="38"/>
      <c r="AG560" s="38"/>
      <c r="AH560" s="38"/>
      <c r="AI560" s="38"/>
      <c r="AJ560" s="38"/>
      <c r="AK560" s="38"/>
      <c r="AL560" s="38"/>
      <c r="AM560" s="38"/>
      <c r="AN560" s="38"/>
      <c r="AO560" s="38"/>
      <c r="AP560" s="38"/>
      <c r="AQ560" s="38"/>
      <c r="AR560" s="38"/>
      <c r="AS560" s="38"/>
      <c r="AT560" s="38"/>
      <c r="AU560" s="38"/>
      <c r="AV560" s="38"/>
      <c r="AW560" s="38"/>
      <c r="AX560" s="38"/>
      <c r="AY560" s="38"/>
      <c r="AZ560" s="38"/>
      <c r="BA560" s="38"/>
      <c r="BB560" s="38"/>
      <c r="BC560" s="38"/>
      <c r="BD560" s="38"/>
      <c r="BE560" s="38"/>
      <c r="BF560" s="38"/>
      <c r="BG560" s="38"/>
      <c r="BH560" s="38"/>
      <c r="BI560" s="38"/>
      <c r="BJ560" s="38"/>
    </row>
    <row r="561" spans="2:62" ht="15.75" customHeight="1">
      <c r="B561" s="3"/>
      <c r="C561" s="80"/>
      <c r="D561" s="80"/>
      <c r="E561" s="80"/>
      <c r="F561" s="80"/>
      <c r="G561" s="80"/>
      <c r="H561" s="80"/>
      <c r="I561" s="80"/>
      <c r="J561" s="80"/>
      <c r="K561" s="80"/>
      <c r="L561" s="80"/>
      <c r="M561" s="80"/>
      <c r="N561" s="80"/>
      <c r="O561" s="80"/>
      <c r="P561" s="87"/>
      <c r="Q561" s="88"/>
      <c r="R561" s="80"/>
      <c r="S561" s="88"/>
      <c r="T561" s="80"/>
      <c r="U561" s="80"/>
      <c r="V561" s="80"/>
      <c r="W561" s="80"/>
      <c r="X561" s="80"/>
      <c r="Y561" s="38"/>
      <c r="Z561" s="38"/>
      <c r="AA561" s="38"/>
      <c r="AB561" s="38"/>
      <c r="AC561" s="38"/>
      <c r="AD561" s="38"/>
      <c r="AE561" s="38"/>
      <c r="AF561" s="38"/>
      <c r="AG561" s="38"/>
      <c r="AH561" s="38"/>
      <c r="AI561" s="38"/>
      <c r="AJ561" s="38"/>
      <c r="AK561" s="38"/>
      <c r="AL561" s="38"/>
      <c r="AM561" s="38"/>
      <c r="AN561" s="38"/>
      <c r="AO561" s="38"/>
      <c r="AP561" s="38"/>
      <c r="AQ561" s="38"/>
      <c r="AR561" s="38"/>
      <c r="AS561" s="38"/>
      <c r="AT561" s="38"/>
      <c r="AU561" s="38"/>
      <c r="AV561" s="38"/>
      <c r="AW561" s="38"/>
      <c r="AX561" s="38"/>
      <c r="AY561" s="38"/>
      <c r="AZ561" s="38"/>
      <c r="BA561" s="38"/>
      <c r="BB561" s="38"/>
      <c r="BC561" s="38"/>
      <c r="BD561" s="38"/>
      <c r="BE561" s="38"/>
      <c r="BF561" s="38"/>
      <c r="BG561" s="38"/>
      <c r="BH561" s="38"/>
      <c r="BI561" s="38"/>
      <c r="BJ561" s="38"/>
    </row>
    <row r="562" spans="2:62" ht="15.75" customHeight="1">
      <c r="B562" s="3"/>
      <c r="C562" s="80"/>
      <c r="D562" s="80"/>
      <c r="E562" s="80"/>
      <c r="F562" s="80"/>
      <c r="G562" s="80"/>
      <c r="H562" s="80"/>
      <c r="I562" s="80"/>
      <c r="J562" s="80"/>
      <c r="K562" s="80"/>
      <c r="L562" s="80"/>
      <c r="M562" s="80"/>
      <c r="N562" s="80"/>
      <c r="O562" s="80"/>
      <c r="P562" s="87"/>
      <c r="Q562" s="88"/>
      <c r="R562" s="80"/>
      <c r="S562" s="88"/>
      <c r="T562" s="80"/>
      <c r="U562" s="80"/>
      <c r="V562" s="80"/>
      <c r="W562" s="80"/>
      <c r="X562" s="80"/>
      <c r="Y562" s="38"/>
      <c r="Z562" s="38"/>
      <c r="AA562" s="38"/>
      <c r="AB562" s="38"/>
      <c r="AC562" s="38"/>
      <c r="AD562" s="38"/>
      <c r="AE562" s="38"/>
      <c r="AF562" s="38"/>
      <c r="AG562" s="38"/>
      <c r="AH562" s="38"/>
      <c r="AI562" s="38"/>
      <c r="AJ562" s="38"/>
      <c r="AK562" s="38"/>
      <c r="AL562" s="38"/>
      <c r="AM562" s="38"/>
      <c r="AN562" s="38"/>
      <c r="AO562" s="38"/>
      <c r="AP562" s="38"/>
      <c r="AQ562" s="38"/>
      <c r="AR562" s="38"/>
      <c r="AS562" s="38"/>
      <c r="AT562" s="38"/>
      <c r="AU562" s="38"/>
      <c r="AV562" s="38"/>
      <c r="AW562" s="38"/>
      <c r="AX562" s="38"/>
      <c r="AY562" s="38"/>
      <c r="AZ562" s="38"/>
      <c r="BA562" s="38"/>
      <c r="BB562" s="38"/>
      <c r="BC562" s="38"/>
      <c r="BD562" s="38"/>
      <c r="BE562" s="38"/>
      <c r="BF562" s="38"/>
      <c r="BG562" s="38"/>
      <c r="BH562" s="38"/>
      <c r="BI562" s="38"/>
      <c r="BJ562" s="38"/>
    </row>
    <row r="563" spans="2:62" ht="15.75" customHeight="1">
      <c r="B563" s="3"/>
      <c r="C563" s="79"/>
      <c r="D563" s="79"/>
      <c r="E563" s="80"/>
      <c r="F563" s="80"/>
      <c r="G563" s="79"/>
      <c r="H563" s="80"/>
      <c r="I563" s="80"/>
      <c r="J563" s="80"/>
      <c r="K563" s="80"/>
      <c r="L563" s="80"/>
      <c r="M563" s="80"/>
      <c r="N563" s="80"/>
      <c r="O563" s="80"/>
      <c r="P563" s="89"/>
      <c r="Q563" s="90"/>
      <c r="R563" s="80"/>
      <c r="S563" s="90"/>
      <c r="T563" s="80"/>
      <c r="U563" s="80"/>
      <c r="V563" s="80"/>
      <c r="W563" s="80"/>
      <c r="X563" s="80"/>
      <c r="Y563" s="38"/>
      <c r="Z563" s="38"/>
      <c r="AA563" s="38"/>
      <c r="AB563" s="38"/>
      <c r="AC563" s="38"/>
      <c r="AD563" s="38"/>
      <c r="AE563" s="38"/>
      <c r="AF563" s="38"/>
      <c r="AG563" s="38"/>
      <c r="AH563" s="38"/>
      <c r="AI563" s="38"/>
      <c r="AJ563" s="38"/>
      <c r="AK563" s="38"/>
      <c r="AL563" s="38"/>
      <c r="AM563" s="38"/>
      <c r="AN563" s="38"/>
      <c r="AO563" s="38"/>
      <c r="AP563" s="38"/>
      <c r="AQ563" s="38"/>
      <c r="AR563" s="38"/>
      <c r="AS563" s="38"/>
      <c r="AT563" s="38"/>
      <c r="AU563" s="38"/>
      <c r="AV563" s="38"/>
      <c r="AW563" s="38"/>
      <c r="AX563" s="38"/>
      <c r="AY563" s="38"/>
      <c r="AZ563" s="38"/>
      <c r="BA563" s="38"/>
      <c r="BB563" s="38"/>
      <c r="BC563" s="38"/>
      <c r="BD563" s="38"/>
      <c r="BE563" s="38"/>
      <c r="BF563" s="38"/>
      <c r="BG563" s="38"/>
      <c r="BH563" s="38"/>
      <c r="BI563" s="38"/>
      <c r="BJ563" s="38"/>
    </row>
    <row r="564" spans="2:62" ht="15.75" customHeight="1">
      <c r="B564" s="3"/>
      <c r="C564" s="80"/>
      <c r="D564" s="80"/>
      <c r="E564" s="80"/>
      <c r="F564" s="80"/>
      <c r="G564" s="80"/>
      <c r="H564" s="80"/>
      <c r="I564" s="80"/>
      <c r="J564" s="80"/>
      <c r="K564" s="80"/>
      <c r="L564" s="80"/>
      <c r="M564" s="80"/>
      <c r="N564" s="80"/>
      <c r="O564" s="80"/>
      <c r="P564" s="89"/>
      <c r="Q564" s="89"/>
      <c r="R564" s="80"/>
      <c r="S564" s="80"/>
      <c r="T564" s="80"/>
      <c r="U564" s="80"/>
      <c r="V564" s="80"/>
      <c r="W564" s="80"/>
      <c r="X564" s="80"/>
      <c r="Y564" s="38"/>
      <c r="Z564" s="38"/>
      <c r="AA564" s="38"/>
      <c r="AB564" s="38"/>
      <c r="AC564" s="38"/>
      <c r="AD564" s="38"/>
      <c r="AE564" s="38"/>
      <c r="AF564" s="38"/>
      <c r="AG564" s="38"/>
      <c r="AH564" s="38"/>
      <c r="AI564" s="38"/>
      <c r="AJ564" s="38"/>
      <c r="AK564" s="38"/>
      <c r="AL564" s="38"/>
      <c r="AM564" s="38"/>
      <c r="AN564" s="38"/>
      <c r="AO564" s="38"/>
      <c r="AP564" s="38"/>
      <c r="AQ564" s="38"/>
      <c r="AR564" s="38"/>
      <c r="AS564" s="38"/>
      <c r="AT564" s="38"/>
      <c r="AU564" s="38"/>
      <c r="AV564" s="38"/>
      <c r="AW564" s="38"/>
      <c r="AX564" s="38"/>
      <c r="AY564" s="38"/>
      <c r="AZ564" s="38"/>
      <c r="BA564" s="38"/>
      <c r="BB564" s="38"/>
      <c r="BC564" s="38"/>
      <c r="BD564" s="38"/>
      <c r="BE564" s="38"/>
      <c r="BF564" s="38"/>
      <c r="BG564" s="38"/>
      <c r="BH564" s="38"/>
      <c r="BI564" s="38"/>
      <c r="BJ564" s="38"/>
    </row>
    <row r="565" spans="2:62" ht="15.75" customHeight="1">
      <c r="B565" s="3"/>
      <c r="C565" s="80"/>
      <c r="D565" s="80"/>
      <c r="E565" s="80"/>
      <c r="F565" s="80"/>
      <c r="G565" s="80"/>
      <c r="H565" s="80"/>
      <c r="I565" s="80"/>
      <c r="J565" s="80"/>
      <c r="K565" s="80"/>
      <c r="L565" s="80"/>
      <c r="M565" s="80"/>
      <c r="N565" s="80"/>
      <c r="O565" s="80"/>
      <c r="P565" s="87"/>
      <c r="Q565" s="88"/>
      <c r="R565" s="80"/>
      <c r="S565" s="88"/>
      <c r="T565" s="80"/>
      <c r="U565" s="80"/>
      <c r="V565" s="80"/>
      <c r="W565" s="80"/>
      <c r="X565" s="80"/>
      <c r="Y565" s="38"/>
      <c r="Z565" s="38"/>
      <c r="AA565" s="38"/>
      <c r="AB565" s="38"/>
      <c r="AC565" s="38"/>
      <c r="AD565" s="38"/>
      <c r="AE565" s="38"/>
      <c r="AF565" s="38"/>
      <c r="AG565" s="38"/>
      <c r="AH565" s="38"/>
      <c r="AI565" s="38"/>
      <c r="AJ565" s="38"/>
      <c r="AK565" s="38"/>
      <c r="AL565" s="38"/>
      <c r="AM565" s="38"/>
      <c r="AN565" s="38"/>
      <c r="AO565" s="38"/>
      <c r="AP565" s="38"/>
      <c r="AQ565" s="38"/>
      <c r="AR565" s="38"/>
      <c r="AS565" s="38"/>
      <c r="AT565" s="38"/>
      <c r="AU565" s="38"/>
      <c r="AV565" s="38"/>
      <c r="AW565" s="38"/>
      <c r="AX565" s="38"/>
      <c r="AY565" s="38"/>
      <c r="AZ565" s="38"/>
      <c r="BA565" s="38"/>
      <c r="BB565" s="38"/>
      <c r="BC565" s="38"/>
      <c r="BD565" s="38"/>
      <c r="BE565" s="38"/>
      <c r="BF565" s="38"/>
      <c r="BG565" s="38"/>
      <c r="BH565" s="38"/>
      <c r="BI565" s="38"/>
      <c r="BJ565" s="38"/>
    </row>
    <row r="566" spans="2:62" ht="15.75" customHeight="1">
      <c r="B566" s="3"/>
      <c r="C566" s="80"/>
      <c r="D566" s="80"/>
      <c r="E566" s="80"/>
      <c r="F566" s="80"/>
      <c r="G566" s="80"/>
      <c r="H566" s="80"/>
      <c r="I566" s="80"/>
      <c r="J566" s="80"/>
      <c r="K566" s="80"/>
      <c r="L566" s="80"/>
      <c r="M566" s="80"/>
      <c r="N566" s="80"/>
      <c r="O566" s="80"/>
      <c r="P566" s="87"/>
      <c r="Q566" s="88"/>
      <c r="R566" s="80"/>
      <c r="S566" s="88"/>
      <c r="T566" s="80"/>
      <c r="U566" s="80"/>
      <c r="V566" s="80"/>
      <c r="W566" s="80"/>
      <c r="X566" s="80"/>
      <c r="Y566" s="38"/>
      <c r="Z566" s="38"/>
      <c r="AA566" s="38"/>
      <c r="AB566" s="38"/>
      <c r="AC566" s="38"/>
      <c r="AD566" s="38"/>
      <c r="AE566" s="38"/>
      <c r="AF566" s="38"/>
      <c r="AG566" s="38"/>
      <c r="AH566" s="38"/>
      <c r="AI566" s="38"/>
      <c r="AJ566" s="38"/>
      <c r="AK566" s="38"/>
      <c r="AL566" s="38"/>
      <c r="AM566" s="38"/>
      <c r="AN566" s="38"/>
      <c r="AO566" s="38"/>
      <c r="AP566" s="38"/>
      <c r="AQ566" s="38"/>
      <c r="AR566" s="38"/>
      <c r="AS566" s="38"/>
      <c r="AT566" s="38"/>
      <c r="AU566" s="38"/>
      <c r="AV566" s="38"/>
      <c r="AW566" s="38"/>
      <c r="AX566" s="38"/>
      <c r="AY566" s="38"/>
      <c r="AZ566" s="38"/>
      <c r="BA566" s="38"/>
      <c r="BB566" s="38"/>
      <c r="BC566" s="38"/>
      <c r="BD566" s="38"/>
      <c r="BE566" s="38"/>
      <c r="BF566" s="38"/>
      <c r="BG566" s="38"/>
      <c r="BH566" s="38"/>
      <c r="BI566" s="38"/>
      <c r="BJ566" s="38"/>
    </row>
    <row r="567" spans="2:62" ht="15.75" customHeight="1">
      <c r="B567" s="3"/>
      <c r="C567" s="79"/>
      <c r="D567" s="80"/>
      <c r="E567" s="80"/>
      <c r="F567" s="80"/>
      <c r="G567" s="80"/>
      <c r="H567" s="80"/>
      <c r="I567" s="80"/>
      <c r="J567" s="80"/>
      <c r="K567" s="80"/>
      <c r="L567" s="80"/>
      <c r="M567" s="80"/>
      <c r="N567" s="80"/>
      <c r="O567" s="80"/>
      <c r="P567" s="89"/>
      <c r="Q567" s="90"/>
      <c r="R567" s="80"/>
      <c r="S567" s="90"/>
      <c r="T567" s="80"/>
      <c r="U567" s="80"/>
      <c r="V567" s="80"/>
      <c r="W567" s="80"/>
      <c r="X567" s="80"/>
      <c r="Y567" s="38"/>
      <c r="Z567" s="38"/>
      <c r="AA567" s="38"/>
      <c r="AB567" s="38"/>
      <c r="AC567" s="38"/>
      <c r="AD567" s="38"/>
      <c r="AE567" s="38"/>
      <c r="AF567" s="38"/>
      <c r="AG567" s="38"/>
      <c r="AH567" s="38"/>
      <c r="AI567" s="38"/>
      <c r="AJ567" s="38"/>
      <c r="AK567" s="38"/>
      <c r="AL567" s="38"/>
      <c r="AM567" s="38"/>
      <c r="AN567" s="38"/>
      <c r="AO567" s="38"/>
      <c r="AP567" s="38"/>
      <c r="AQ567" s="38"/>
      <c r="AR567" s="38"/>
      <c r="AS567" s="38"/>
      <c r="AT567" s="38"/>
      <c r="AU567" s="38"/>
      <c r="AV567" s="38"/>
      <c r="AW567" s="38"/>
      <c r="AX567" s="38"/>
      <c r="AY567" s="38"/>
      <c r="AZ567" s="38"/>
      <c r="BA567" s="38"/>
      <c r="BB567" s="38"/>
      <c r="BC567" s="38"/>
      <c r="BD567" s="38"/>
      <c r="BE567" s="38"/>
      <c r="BF567" s="38"/>
      <c r="BG567" s="38"/>
      <c r="BH567" s="38"/>
      <c r="BI567" s="38"/>
      <c r="BJ567" s="38"/>
    </row>
    <row r="568" spans="2:62" ht="15.75" customHeight="1">
      <c r="B568" s="3"/>
      <c r="C568" s="80"/>
      <c r="D568" s="80"/>
      <c r="E568" s="80"/>
      <c r="F568" s="80"/>
      <c r="G568" s="80"/>
      <c r="H568" s="80"/>
      <c r="I568" s="80"/>
      <c r="J568" s="80"/>
      <c r="K568" s="80"/>
      <c r="L568" s="80"/>
      <c r="M568" s="80"/>
      <c r="N568" s="80"/>
      <c r="O568" s="80"/>
      <c r="P568" s="89"/>
      <c r="Q568" s="89"/>
      <c r="R568" s="80"/>
      <c r="S568" s="80"/>
      <c r="T568" s="80"/>
      <c r="U568" s="80"/>
      <c r="V568" s="80"/>
      <c r="W568" s="80"/>
      <c r="X568" s="80"/>
      <c r="Y568" s="38"/>
      <c r="Z568" s="38"/>
      <c r="AA568" s="38"/>
      <c r="AB568" s="38"/>
      <c r="AC568" s="38"/>
      <c r="AD568" s="38"/>
      <c r="AE568" s="38"/>
      <c r="AF568" s="38"/>
      <c r="AG568" s="38"/>
      <c r="AH568" s="38"/>
      <c r="AI568" s="38"/>
      <c r="AJ568" s="38"/>
      <c r="AK568" s="38"/>
      <c r="AL568" s="38"/>
      <c r="AM568" s="38"/>
      <c r="AN568" s="38"/>
      <c r="AO568" s="38"/>
      <c r="AP568" s="38"/>
      <c r="AQ568" s="38"/>
      <c r="AR568" s="38"/>
      <c r="AS568" s="38"/>
      <c r="AT568" s="38"/>
      <c r="AU568" s="38"/>
      <c r="AV568" s="38"/>
      <c r="AW568" s="38"/>
      <c r="AX568" s="38"/>
      <c r="AY568" s="38"/>
      <c r="AZ568" s="38"/>
      <c r="BA568" s="38"/>
      <c r="BB568" s="38"/>
      <c r="BC568" s="38"/>
      <c r="BD568" s="38"/>
      <c r="BE568" s="38"/>
      <c r="BF568" s="38"/>
      <c r="BG568" s="38"/>
      <c r="BH568" s="38"/>
      <c r="BI568" s="38"/>
      <c r="BJ568" s="38"/>
    </row>
    <row r="569" spans="2:62" ht="15.75" customHeight="1">
      <c r="B569" s="3"/>
      <c r="C569" s="80"/>
      <c r="D569" s="80"/>
      <c r="E569" s="80"/>
      <c r="F569" s="80"/>
      <c r="G569" s="80"/>
      <c r="H569" s="80"/>
      <c r="I569" s="80"/>
      <c r="J569" s="80"/>
      <c r="K569" s="80"/>
      <c r="L569" s="80"/>
      <c r="M569" s="80"/>
      <c r="N569" s="80"/>
      <c r="O569" s="80"/>
      <c r="P569" s="87"/>
      <c r="Q569" s="88"/>
      <c r="R569" s="80"/>
      <c r="S569" s="88"/>
      <c r="T569" s="80"/>
      <c r="U569" s="80"/>
      <c r="V569" s="80"/>
      <c r="W569" s="80"/>
      <c r="X569" s="80"/>
      <c r="Y569" s="38"/>
      <c r="Z569" s="38"/>
      <c r="AA569" s="38"/>
      <c r="AB569" s="38"/>
      <c r="AC569" s="38"/>
      <c r="AD569" s="38"/>
      <c r="AE569" s="38"/>
      <c r="AF569" s="38"/>
      <c r="AG569" s="38"/>
      <c r="AH569" s="38"/>
      <c r="AI569" s="38"/>
      <c r="AJ569" s="38"/>
      <c r="AK569" s="38"/>
      <c r="AL569" s="38"/>
      <c r="AM569" s="38"/>
      <c r="AN569" s="38"/>
      <c r="AO569" s="38"/>
      <c r="AP569" s="38"/>
      <c r="AQ569" s="38"/>
      <c r="AR569" s="38"/>
      <c r="AS569" s="38"/>
      <c r="AT569" s="38"/>
      <c r="AU569" s="38"/>
      <c r="AV569" s="38"/>
      <c r="AW569" s="38"/>
      <c r="AX569" s="38"/>
      <c r="AY569" s="38"/>
      <c r="AZ569" s="38"/>
      <c r="BA569" s="38"/>
      <c r="BB569" s="38"/>
      <c r="BC569" s="38"/>
      <c r="BD569" s="38"/>
      <c r="BE569" s="38"/>
      <c r="BF569" s="38"/>
      <c r="BG569" s="38"/>
      <c r="BH569" s="38"/>
      <c r="BI569" s="38"/>
      <c r="BJ569" s="38"/>
    </row>
    <row r="570" spans="2:62" ht="15.75" customHeight="1">
      <c r="B570" s="3"/>
      <c r="C570" s="79"/>
      <c r="D570" s="79"/>
      <c r="E570" s="80"/>
      <c r="F570" s="80"/>
      <c r="G570" s="79"/>
      <c r="H570" s="80"/>
      <c r="I570" s="80"/>
      <c r="J570" s="80"/>
      <c r="K570" s="80"/>
      <c r="L570" s="80"/>
      <c r="M570" s="80"/>
      <c r="N570" s="80"/>
      <c r="O570" s="80"/>
      <c r="P570" s="89"/>
      <c r="Q570" s="90"/>
      <c r="R570" s="80"/>
      <c r="S570" s="90"/>
      <c r="T570" s="80"/>
      <c r="U570" s="80"/>
      <c r="V570" s="80"/>
      <c r="W570" s="80"/>
      <c r="X570" s="80"/>
      <c r="Y570" s="38"/>
      <c r="Z570" s="38"/>
      <c r="AA570" s="38"/>
      <c r="AB570" s="38"/>
      <c r="AC570" s="38"/>
      <c r="AD570" s="38"/>
      <c r="AE570" s="38"/>
      <c r="AF570" s="38"/>
      <c r="AG570" s="38"/>
      <c r="AH570" s="38"/>
      <c r="AI570" s="38"/>
      <c r="AJ570" s="38"/>
      <c r="AK570" s="38"/>
      <c r="AL570" s="38"/>
      <c r="AM570" s="38"/>
      <c r="AN570" s="38"/>
      <c r="AO570" s="38"/>
      <c r="AP570" s="38"/>
      <c r="AQ570" s="38"/>
      <c r="AR570" s="38"/>
      <c r="AS570" s="38"/>
      <c r="AT570" s="38"/>
      <c r="AU570" s="38"/>
      <c r="AV570" s="38"/>
      <c r="AW570" s="38"/>
      <c r="AX570" s="38"/>
      <c r="AY570" s="38"/>
      <c r="AZ570" s="38"/>
      <c r="BA570" s="38"/>
      <c r="BB570" s="38"/>
      <c r="BC570" s="38"/>
      <c r="BD570" s="38"/>
      <c r="BE570" s="38"/>
      <c r="BF570" s="38"/>
      <c r="BG570" s="38"/>
      <c r="BH570" s="38"/>
      <c r="BI570" s="38"/>
      <c r="BJ570" s="38"/>
    </row>
    <row r="571" spans="2:62" ht="15.75" customHeight="1">
      <c r="B571" s="3"/>
      <c r="C571" s="80"/>
      <c r="D571" s="80"/>
      <c r="E571" s="80"/>
      <c r="F571" s="80"/>
      <c r="G571" s="80"/>
      <c r="H571" s="80"/>
      <c r="I571" s="80"/>
      <c r="J571" s="80"/>
      <c r="K571" s="80"/>
      <c r="L571" s="80"/>
      <c r="M571" s="80"/>
      <c r="N571" s="80"/>
      <c r="O571" s="80"/>
      <c r="P571" s="89"/>
      <c r="Q571" s="89"/>
      <c r="R571" s="80"/>
      <c r="S571" s="80"/>
      <c r="T571" s="80"/>
      <c r="U571" s="80"/>
      <c r="V571" s="80"/>
      <c r="W571" s="80"/>
      <c r="X571" s="80"/>
      <c r="Y571" s="38"/>
      <c r="Z571" s="38"/>
      <c r="AA571" s="38"/>
      <c r="AB571" s="38"/>
      <c r="AC571" s="38"/>
      <c r="AD571" s="38"/>
      <c r="AE571" s="38"/>
      <c r="AF571" s="38"/>
      <c r="AG571" s="38"/>
      <c r="AH571" s="38"/>
      <c r="AI571" s="38"/>
      <c r="AJ571" s="38"/>
      <c r="AK571" s="38"/>
      <c r="AL571" s="38"/>
      <c r="AM571" s="38"/>
      <c r="AN571" s="38"/>
      <c r="AO571" s="38"/>
      <c r="AP571" s="38"/>
      <c r="AQ571" s="38"/>
      <c r="AR571" s="38"/>
      <c r="AS571" s="38"/>
      <c r="AT571" s="38"/>
      <c r="AU571" s="38"/>
      <c r="AV571" s="38"/>
      <c r="AW571" s="38"/>
      <c r="AX571" s="38"/>
      <c r="AY571" s="38"/>
      <c r="AZ571" s="38"/>
      <c r="BA571" s="38"/>
      <c r="BB571" s="38"/>
      <c r="BC571" s="38"/>
      <c r="BD571" s="38"/>
      <c r="BE571" s="38"/>
      <c r="BF571" s="38"/>
      <c r="BG571" s="38"/>
      <c r="BH571" s="38"/>
      <c r="BI571" s="38"/>
      <c r="BJ571" s="38"/>
    </row>
    <row r="572" spans="2:62" ht="15.75" customHeight="1">
      <c r="B572" s="3"/>
      <c r="C572" s="80"/>
      <c r="D572" s="80"/>
      <c r="E572" s="88"/>
      <c r="F572" s="87"/>
      <c r="G572" s="80"/>
      <c r="H572" s="88"/>
      <c r="I572" s="87"/>
      <c r="J572" s="87"/>
      <c r="K572" s="88"/>
      <c r="L572" s="87"/>
      <c r="M572" s="88"/>
      <c r="N572" s="87"/>
      <c r="O572" s="88"/>
      <c r="P572" s="87"/>
      <c r="Q572" s="88"/>
      <c r="R572" s="88"/>
      <c r="S572" s="80"/>
      <c r="T572" s="80"/>
      <c r="U572" s="80"/>
      <c r="V572" s="80"/>
      <c r="W572" s="80"/>
      <c r="X572" s="80"/>
      <c r="Y572" s="38"/>
      <c r="Z572" s="38"/>
      <c r="AA572" s="38"/>
      <c r="AB572" s="38"/>
      <c r="AC572" s="38"/>
      <c r="AD572" s="38"/>
      <c r="AE572" s="38"/>
      <c r="AF572" s="38"/>
      <c r="AG572" s="38"/>
      <c r="AH572" s="38"/>
      <c r="AI572" s="38"/>
      <c r="AJ572" s="38"/>
      <c r="AK572" s="38"/>
      <c r="AL572" s="38"/>
      <c r="AM572" s="38"/>
      <c r="AN572" s="38"/>
      <c r="AO572" s="38"/>
      <c r="AP572" s="38"/>
      <c r="AQ572" s="38"/>
      <c r="AR572" s="38"/>
      <c r="AS572" s="38"/>
      <c r="AT572" s="38"/>
      <c r="AU572" s="38"/>
      <c r="AV572" s="38"/>
      <c r="AW572" s="38"/>
      <c r="AX572" s="38"/>
      <c r="AY572" s="38"/>
      <c r="AZ572" s="38"/>
      <c r="BA572" s="38"/>
      <c r="BB572" s="38"/>
      <c r="BC572" s="38"/>
      <c r="BD572" s="38"/>
      <c r="BE572" s="38"/>
      <c r="BF572" s="38"/>
      <c r="BG572" s="38"/>
      <c r="BH572" s="38"/>
      <c r="BI572" s="38"/>
      <c r="BJ572" s="38"/>
    </row>
    <row r="573" spans="2:62" ht="15.75" customHeight="1">
      <c r="B573" s="3"/>
      <c r="C573" s="79"/>
      <c r="D573" s="79"/>
      <c r="E573" s="90"/>
      <c r="F573" s="89"/>
      <c r="G573" s="79"/>
      <c r="H573" s="90"/>
      <c r="I573" s="89"/>
      <c r="J573" s="89"/>
      <c r="K573" s="90"/>
      <c r="L573" s="89"/>
      <c r="M573" s="90"/>
      <c r="N573" s="89"/>
      <c r="O573" s="90"/>
      <c r="P573" s="89"/>
      <c r="Q573" s="90"/>
      <c r="R573" s="90"/>
      <c r="S573" s="90"/>
      <c r="T573" s="80"/>
      <c r="U573" s="80"/>
      <c r="V573" s="80"/>
      <c r="W573" s="80"/>
      <c r="X573" s="80"/>
      <c r="Y573" s="38"/>
      <c r="Z573" s="38"/>
      <c r="AA573" s="38"/>
      <c r="AB573" s="38"/>
      <c r="AC573" s="38"/>
      <c r="AD573" s="38"/>
      <c r="AE573" s="38"/>
      <c r="AF573" s="38"/>
      <c r="AG573" s="38"/>
      <c r="AH573" s="38"/>
      <c r="AI573" s="38"/>
      <c r="AJ573" s="38"/>
      <c r="AK573" s="38"/>
      <c r="AL573" s="38"/>
      <c r="AM573" s="38"/>
      <c r="AN573" s="38"/>
      <c r="AO573" s="38"/>
      <c r="AP573" s="38"/>
      <c r="AQ573" s="38"/>
      <c r="AR573" s="38"/>
      <c r="AS573" s="38"/>
      <c r="AT573" s="38"/>
      <c r="AU573" s="38"/>
      <c r="AV573" s="38"/>
      <c r="AW573" s="38"/>
      <c r="AX573" s="38"/>
      <c r="AY573" s="38"/>
      <c r="AZ573" s="38"/>
      <c r="BA573" s="38"/>
      <c r="BB573" s="38"/>
      <c r="BC573" s="38"/>
      <c r="BD573" s="38"/>
      <c r="BE573" s="38"/>
      <c r="BF573" s="38"/>
      <c r="BG573" s="38"/>
      <c r="BH573" s="38"/>
      <c r="BI573" s="38"/>
      <c r="BJ573" s="38"/>
    </row>
    <row r="574" spans="2:62" ht="15.75" customHeight="1">
      <c r="B574" s="3"/>
      <c r="C574" s="80"/>
      <c r="D574" s="80"/>
      <c r="E574" s="88"/>
      <c r="F574" s="87"/>
      <c r="G574" s="80"/>
      <c r="H574" s="88"/>
      <c r="I574" s="87"/>
      <c r="J574" s="88"/>
      <c r="K574" s="87"/>
      <c r="L574" s="88"/>
      <c r="M574" s="80"/>
      <c r="N574" s="88"/>
      <c r="O574" s="87"/>
      <c r="P574" s="90"/>
      <c r="Q574" s="89"/>
      <c r="R574" s="89"/>
      <c r="S574" s="88"/>
      <c r="T574" s="80"/>
      <c r="U574" s="80"/>
      <c r="V574" s="80"/>
      <c r="W574" s="80"/>
      <c r="X574" s="80"/>
      <c r="Y574" s="38"/>
      <c r="Z574" s="38"/>
      <c r="AA574" s="38"/>
      <c r="AB574" s="38"/>
      <c r="AC574" s="38"/>
      <c r="AD574" s="38"/>
      <c r="AE574" s="38"/>
      <c r="AF574" s="38"/>
      <c r="AG574" s="38"/>
      <c r="AH574" s="38"/>
      <c r="AI574" s="38"/>
      <c r="AJ574" s="38"/>
      <c r="AK574" s="38"/>
      <c r="AL574" s="38"/>
      <c r="AM574" s="38"/>
      <c r="AN574" s="38"/>
      <c r="AO574" s="38"/>
      <c r="AP574" s="38"/>
      <c r="AQ574" s="38"/>
      <c r="AR574" s="38"/>
      <c r="AS574" s="38"/>
      <c r="AT574" s="38"/>
      <c r="AU574" s="38"/>
      <c r="AV574" s="38"/>
      <c r="AW574" s="38"/>
      <c r="AX574" s="38"/>
      <c r="AY574" s="38"/>
      <c r="AZ574" s="38"/>
      <c r="BA574" s="38"/>
      <c r="BB574" s="38"/>
      <c r="BC574" s="38"/>
      <c r="BD574" s="38"/>
      <c r="BE574" s="38"/>
      <c r="BF574" s="38"/>
      <c r="BG574" s="38"/>
      <c r="BH574" s="38"/>
      <c r="BI574" s="38"/>
      <c r="BJ574" s="38"/>
    </row>
    <row r="575" spans="2:62" ht="15.75" customHeight="1">
      <c r="B575" s="3"/>
      <c r="C575" s="80"/>
      <c r="D575" s="80"/>
      <c r="E575" s="88"/>
      <c r="F575" s="87"/>
      <c r="G575" s="80"/>
      <c r="H575" s="88"/>
      <c r="I575" s="87"/>
      <c r="J575" s="88"/>
      <c r="K575" s="87"/>
      <c r="L575" s="88"/>
      <c r="M575" s="80"/>
      <c r="N575" s="88"/>
      <c r="O575" s="87"/>
      <c r="P575" s="88"/>
      <c r="Q575" s="80"/>
      <c r="R575" s="87"/>
      <c r="S575" s="88"/>
      <c r="T575" s="80"/>
      <c r="U575" s="80"/>
      <c r="V575" s="80"/>
      <c r="W575" s="80"/>
      <c r="X575" s="80"/>
      <c r="Y575" s="38"/>
      <c r="Z575" s="38"/>
      <c r="AA575" s="38"/>
      <c r="AB575" s="38"/>
      <c r="AC575" s="38"/>
      <c r="AD575" s="38"/>
      <c r="AE575" s="38"/>
      <c r="AF575" s="38"/>
      <c r="AG575" s="38"/>
      <c r="AH575" s="38"/>
      <c r="AI575" s="38"/>
      <c r="AJ575" s="38"/>
      <c r="AK575" s="38"/>
      <c r="AL575" s="38"/>
      <c r="AM575" s="38"/>
      <c r="AN575" s="38"/>
      <c r="AO575" s="38"/>
      <c r="AP575" s="38"/>
      <c r="AQ575" s="38"/>
      <c r="AR575" s="38"/>
      <c r="AS575" s="38"/>
      <c r="AT575" s="38"/>
      <c r="AU575" s="38"/>
      <c r="AV575" s="38"/>
      <c r="AW575" s="38"/>
      <c r="AX575" s="38"/>
      <c r="AY575" s="38"/>
      <c r="AZ575" s="38"/>
      <c r="BA575" s="38"/>
      <c r="BB575" s="38"/>
      <c r="BC575" s="38"/>
      <c r="BD575" s="38"/>
      <c r="BE575" s="38"/>
      <c r="BF575" s="38"/>
      <c r="BG575" s="38"/>
      <c r="BH575" s="38"/>
      <c r="BI575" s="38"/>
      <c r="BJ575" s="38"/>
    </row>
    <row r="576" spans="2:62" ht="15.75" customHeight="1">
      <c r="B576" s="3"/>
      <c r="C576" s="80"/>
      <c r="D576" s="80"/>
      <c r="E576" s="80"/>
      <c r="F576" s="80"/>
      <c r="G576" s="80"/>
      <c r="H576" s="80"/>
      <c r="I576" s="80"/>
      <c r="J576" s="80"/>
      <c r="K576" s="80"/>
      <c r="L576" s="80"/>
      <c r="M576" s="80"/>
      <c r="N576" s="80"/>
      <c r="O576" s="80"/>
      <c r="P576" s="80"/>
      <c r="Q576" s="80"/>
      <c r="R576" s="87"/>
      <c r="S576" s="88"/>
      <c r="T576" s="80"/>
      <c r="U576" s="80"/>
      <c r="V576" s="80"/>
      <c r="W576" s="80"/>
      <c r="X576" s="80"/>
      <c r="Y576" s="38"/>
      <c r="Z576" s="38"/>
      <c r="AA576" s="38"/>
      <c r="AB576" s="38"/>
      <c r="AC576" s="38"/>
      <c r="AD576" s="38"/>
      <c r="AE576" s="38"/>
      <c r="AF576" s="38"/>
      <c r="AG576" s="38"/>
      <c r="AH576" s="38"/>
      <c r="AI576" s="38"/>
      <c r="AJ576" s="38"/>
      <c r="AK576" s="38"/>
      <c r="AL576" s="38"/>
      <c r="AM576" s="38"/>
      <c r="AN576" s="38"/>
      <c r="AO576" s="38"/>
      <c r="AP576" s="38"/>
      <c r="AQ576" s="38"/>
      <c r="AR576" s="38"/>
      <c r="AS576" s="38"/>
      <c r="AT576" s="38"/>
      <c r="AU576" s="38"/>
      <c r="AV576" s="38"/>
      <c r="AW576" s="38"/>
      <c r="AX576" s="38"/>
      <c r="AY576" s="38"/>
      <c r="AZ576" s="38"/>
      <c r="BA576" s="38"/>
      <c r="BB576" s="38"/>
      <c r="BC576" s="38"/>
      <c r="BD576" s="38"/>
      <c r="BE576" s="38"/>
      <c r="BF576" s="38"/>
      <c r="BG576" s="38"/>
      <c r="BH576" s="38"/>
      <c r="BI576" s="38"/>
      <c r="BJ576" s="38"/>
    </row>
    <row r="577" spans="2:62" ht="15.75" customHeight="1">
      <c r="B577" s="3"/>
      <c r="C577" s="80"/>
      <c r="D577" s="80"/>
      <c r="E577" s="88"/>
      <c r="F577" s="87"/>
      <c r="G577" s="80"/>
      <c r="H577" s="88"/>
      <c r="I577" s="87"/>
      <c r="J577" s="88"/>
      <c r="K577" s="87"/>
      <c r="L577" s="88"/>
      <c r="M577" s="80"/>
      <c r="N577" s="88"/>
      <c r="O577" s="87"/>
      <c r="P577" s="88"/>
      <c r="Q577" s="80"/>
      <c r="R577" s="87"/>
      <c r="S577" s="88"/>
      <c r="T577" s="80"/>
      <c r="U577" s="80"/>
      <c r="V577" s="80"/>
      <c r="W577" s="80"/>
      <c r="X577" s="80"/>
      <c r="Y577" s="38"/>
      <c r="Z577" s="38"/>
      <c r="AA577" s="38"/>
      <c r="AB577" s="38"/>
      <c r="AC577" s="38"/>
      <c r="AD577" s="38"/>
      <c r="AE577" s="38"/>
      <c r="AF577" s="38"/>
      <c r="AG577" s="38"/>
      <c r="AH577" s="38"/>
      <c r="AI577" s="38"/>
      <c r="AJ577" s="38"/>
      <c r="AK577" s="38"/>
      <c r="AL577" s="38"/>
      <c r="AM577" s="38"/>
      <c r="AN577" s="38"/>
      <c r="AO577" s="38"/>
      <c r="AP577" s="38"/>
      <c r="AQ577" s="38"/>
      <c r="AR577" s="38"/>
      <c r="AS577" s="38"/>
      <c r="AT577" s="38"/>
      <c r="AU577" s="38"/>
      <c r="AV577" s="38"/>
      <c r="AW577" s="38"/>
      <c r="AX577" s="38"/>
      <c r="AY577" s="38"/>
      <c r="AZ577" s="38"/>
      <c r="BA577" s="38"/>
      <c r="BB577" s="38"/>
      <c r="BC577" s="38"/>
      <c r="BD577" s="38"/>
      <c r="BE577" s="38"/>
      <c r="BF577" s="38"/>
      <c r="BG577" s="38"/>
      <c r="BH577" s="38"/>
      <c r="BI577" s="38"/>
      <c r="BJ577" s="38"/>
    </row>
    <row r="578" spans="2:62" ht="15.75" customHeight="1">
      <c r="B578" s="3"/>
      <c r="C578" s="80"/>
      <c r="D578" s="80"/>
      <c r="E578" s="88"/>
      <c r="F578" s="87"/>
      <c r="G578" s="80"/>
      <c r="H578" s="88"/>
      <c r="I578" s="87"/>
      <c r="J578" s="88"/>
      <c r="K578" s="87"/>
      <c r="L578" s="88"/>
      <c r="M578" s="80"/>
      <c r="N578" s="88"/>
      <c r="O578" s="87"/>
      <c r="P578" s="88"/>
      <c r="Q578" s="80"/>
      <c r="R578" s="87"/>
      <c r="S578" s="88"/>
      <c r="T578" s="80"/>
      <c r="U578" s="80"/>
      <c r="V578" s="80"/>
      <c r="W578" s="80"/>
      <c r="X578" s="80"/>
      <c r="Y578" s="38"/>
      <c r="Z578" s="38"/>
      <c r="AA578" s="38"/>
      <c r="AB578" s="38"/>
      <c r="AC578" s="38"/>
      <c r="AD578" s="38"/>
      <c r="AE578" s="38"/>
      <c r="AF578" s="38"/>
      <c r="AG578" s="38"/>
      <c r="AH578" s="38"/>
      <c r="AI578" s="38"/>
      <c r="AJ578" s="38"/>
      <c r="AK578" s="38"/>
      <c r="AL578" s="38"/>
      <c r="AM578" s="38"/>
      <c r="AN578" s="38"/>
      <c r="AO578" s="38"/>
      <c r="AP578" s="38"/>
      <c r="AQ578" s="38"/>
      <c r="AR578" s="38"/>
      <c r="AS578" s="38"/>
      <c r="AT578" s="38"/>
      <c r="AU578" s="38"/>
      <c r="AV578" s="38"/>
      <c r="AW578" s="38"/>
      <c r="AX578" s="38"/>
      <c r="AY578" s="38"/>
      <c r="AZ578" s="38"/>
      <c r="BA578" s="38"/>
      <c r="BB578" s="38"/>
      <c r="BC578" s="38"/>
      <c r="BD578" s="38"/>
      <c r="BE578" s="38"/>
      <c r="BF578" s="38"/>
      <c r="BG578" s="38"/>
      <c r="BH578" s="38"/>
      <c r="BI578" s="38"/>
      <c r="BJ578" s="38"/>
    </row>
    <row r="579" spans="2:62" ht="15.75" customHeight="1">
      <c r="B579" s="3"/>
      <c r="C579" s="80"/>
      <c r="D579" s="80"/>
      <c r="E579" s="88"/>
      <c r="F579" s="87"/>
      <c r="G579" s="80"/>
      <c r="H579" s="88"/>
      <c r="I579" s="87"/>
      <c r="J579" s="88"/>
      <c r="K579" s="87"/>
      <c r="L579" s="88"/>
      <c r="M579" s="80"/>
      <c r="N579" s="88"/>
      <c r="O579" s="87"/>
      <c r="P579" s="88"/>
      <c r="Q579" s="80"/>
      <c r="R579" s="87"/>
      <c r="S579" s="88"/>
      <c r="T579" s="80"/>
      <c r="U579" s="80"/>
      <c r="V579" s="80"/>
      <c r="W579" s="80"/>
      <c r="X579" s="80"/>
      <c r="Y579" s="38"/>
      <c r="Z579" s="38"/>
      <c r="AA579" s="38"/>
      <c r="AB579" s="38"/>
      <c r="AC579" s="38"/>
      <c r="AD579" s="38"/>
      <c r="AE579" s="38"/>
      <c r="AF579" s="38"/>
      <c r="AG579" s="38"/>
      <c r="AH579" s="38"/>
      <c r="AI579" s="38"/>
      <c r="AJ579" s="38"/>
      <c r="AK579" s="38"/>
      <c r="AL579" s="38"/>
      <c r="AM579" s="38"/>
      <c r="AN579" s="38"/>
      <c r="AO579" s="38"/>
      <c r="AP579" s="38"/>
      <c r="AQ579" s="38"/>
      <c r="AR579" s="38"/>
      <c r="AS579" s="38"/>
      <c r="AT579" s="38"/>
      <c r="AU579" s="38"/>
      <c r="AV579" s="38"/>
      <c r="AW579" s="38"/>
      <c r="AX579" s="38"/>
      <c r="AY579" s="38"/>
      <c r="AZ579" s="38"/>
      <c r="BA579" s="38"/>
      <c r="BB579" s="38"/>
      <c r="BC579" s="38"/>
      <c r="BD579" s="38"/>
      <c r="BE579" s="38"/>
      <c r="BF579" s="38"/>
      <c r="BG579" s="38"/>
      <c r="BH579" s="38"/>
      <c r="BI579" s="38"/>
      <c r="BJ579" s="38"/>
    </row>
    <row r="580" spans="2:62" ht="15.75" customHeight="1">
      <c r="B580" s="3"/>
      <c r="C580" s="80"/>
      <c r="D580" s="80"/>
      <c r="E580" s="88"/>
      <c r="F580" s="87"/>
      <c r="G580" s="80"/>
      <c r="H580" s="88"/>
      <c r="I580" s="87"/>
      <c r="J580" s="88"/>
      <c r="K580" s="87"/>
      <c r="L580" s="88"/>
      <c r="M580" s="80"/>
      <c r="N580" s="88"/>
      <c r="O580" s="87"/>
      <c r="P580" s="88"/>
      <c r="Q580" s="80"/>
      <c r="R580" s="87"/>
      <c r="S580" s="88"/>
      <c r="T580" s="80"/>
      <c r="U580" s="80"/>
      <c r="V580" s="80"/>
      <c r="W580" s="80"/>
      <c r="X580" s="80"/>
      <c r="Y580" s="38"/>
      <c r="Z580" s="38"/>
      <c r="AA580" s="38"/>
      <c r="AB580" s="38"/>
      <c r="AC580" s="38"/>
      <c r="AD580" s="38"/>
      <c r="AE580" s="38"/>
      <c r="AF580" s="38"/>
      <c r="AG580" s="38"/>
      <c r="AH580" s="38"/>
      <c r="AI580" s="38"/>
      <c r="AJ580" s="38"/>
      <c r="AK580" s="38"/>
      <c r="AL580" s="38"/>
      <c r="AM580" s="38"/>
      <c r="AN580" s="38"/>
      <c r="AO580" s="38"/>
      <c r="AP580" s="38"/>
      <c r="AQ580" s="38"/>
      <c r="AR580" s="38"/>
      <c r="AS580" s="38"/>
      <c r="AT580" s="38"/>
      <c r="AU580" s="38"/>
      <c r="AV580" s="38"/>
      <c r="AW580" s="38"/>
      <c r="AX580" s="38"/>
      <c r="AY580" s="38"/>
      <c r="AZ580" s="38"/>
      <c r="BA580" s="38"/>
      <c r="BB580" s="38"/>
      <c r="BC580" s="38"/>
      <c r="BD580" s="38"/>
      <c r="BE580" s="38"/>
      <c r="BF580" s="38"/>
      <c r="BG580" s="38"/>
      <c r="BH580" s="38"/>
      <c r="BI580" s="38"/>
      <c r="BJ580" s="38"/>
    </row>
    <row r="581" spans="2:62" ht="15.75" customHeight="1">
      <c r="B581" s="3"/>
      <c r="C581" s="80"/>
      <c r="D581" s="80"/>
      <c r="E581" s="88"/>
      <c r="F581" s="87"/>
      <c r="G581" s="80"/>
      <c r="H581" s="88"/>
      <c r="I581" s="87"/>
      <c r="J581" s="88"/>
      <c r="K581" s="87"/>
      <c r="L581" s="88"/>
      <c r="M581" s="80"/>
      <c r="N581" s="88"/>
      <c r="O581" s="87"/>
      <c r="P581" s="88"/>
      <c r="Q581" s="80"/>
      <c r="R581" s="87"/>
      <c r="S581" s="88"/>
      <c r="T581" s="80"/>
      <c r="U581" s="80"/>
      <c r="V581" s="80"/>
      <c r="W581" s="80"/>
      <c r="X581" s="80"/>
      <c r="Y581" s="38"/>
      <c r="Z581" s="38"/>
      <c r="AA581" s="38"/>
      <c r="AB581" s="38"/>
      <c r="AC581" s="38"/>
      <c r="AD581" s="38"/>
      <c r="AE581" s="38"/>
      <c r="AF581" s="38"/>
      <c r="AG581" s="38"/>
      <c r="AH581" s="38"/>
      <c r="AI581" s="38"/>
      <c r="AJ581" s="38"/>
      <c r="AK581" s="38"/>
      <c r="AL581" s="38"/>
      <c r="AM581" s="38"/>
      <c r="AN581" s="38"/>
      <c r="AO581" s="38"/>
      <c r="AP581" s="38"/>
      <c r="AQ581" s="38"/>
      <c r="AR581" s="38"/>
      <c r="AS581" s="38"/>
      <c r="AT581" s="38"/>
      <c r="AU581" s="38"/>
      <c r="AV581" s="38"/>
      <c r="AW581" s="38"/>
      <c r="AX581" s="38"/>
      <c r="AY581" s="38"/>
      <c r="AZ581" s="38"/>
      <c r="BA581" s="38"/>
      <c r="BB581" s="38"/>
      <c r="BC581" s="38"/>
      <c r="BD581" s="38"/>
      <c r="BE581" s="38"/>
      <c r="BF581" s="38"/>
      <c r="BG581" s="38"/>
      <c r="BH581" s="38"/>
      <c r="BI581" s="38"/>
      <c r="BJ581" s="38"/>
    </row>
    <row r="582" spans="2:62" ht="15.75" customHeight="1">
      <c r="B582" s="3"/>
      <c r="C582" s="80"/>
      <c r="D582" s="80"/>
      <c r="E582" s="88"/>
      <c r="F582" s="87"/>
      <c r="G582" s="80"/>
      <c r="H582" s="88"/>
      <c r="I582" s="87"/>
      <c r="J582" s="88"/>
      <c r="K582" s="87"/>
      <c r="L582" s="88"/>
      <c r="M582" s="80"/>
      <c r="N582" s="88"/>
      <c r="O582" s="87"/>
      <c r="P582" s="88"/>
      <c r="Q582" s="80"/>
      <c r="R582" s="87"/>
      <c r="S582" s="88"/>
      <c r="T582" s="80"/>
      <c r="U582" s="80"/>
      <c r="V582" s="80"/>
      <c r="W582" s="80"/>
      <c r="X582" s="80"/>
      <c r="Y582" s="38"/>
      <c r="Z582" s="38"/>
      <c r="AA582" s="38"/>
      <c r="AB582" s="38"/>
      <c r="AC582" s="38"/>
      <c r="AD582" s="38"/>
      <c r="AE582" s="38"/>
      <c r="AF582" s="38"/>
      <c r="AG582" s="38"/>
      <c r="AH582" s="38"/>
      <c r="AI582" s="38"/>
      <c r="AJ582" s="38"/>
      <c r="AK582" s="38"/>
      <c r="AL582" s="38"/>
      <c r="AM582" s="38"/>
      <c r="AN582" s="38"/>
      <c r="AO582" s="38"/>
      <c r="AP582" s="38"/>
      <c r="AQ582" s="38"/>
      <c r="AR582" s="38"/>
      <c r="AS582" s="38"/>
      <c r="AT582" s="38"/>
      <c r="AU582" s="38"/>
      <c r="AV582" s="38"/>
      <c r="AW582" s="38"/>
      <c r="AX582" s="38"/>
      <c r="AY582" s="38"/>
      <c r="AZ582" s="38"/>
      <c r="BA582" s="38"/>
      <c r="BB582" s="38"/>
      <c r="BC582" s="38"/>
      <c r="BD582" s="38"/>
      <c r="BE582" s="38"/>
      <c r="BF582" s="38"/>
      <c r="BG582" s="38"/>
      <c r="BH582" s="38"/>
      <c r="BI582" s="38"/>
      <c r="BJ582" s="38"/>
    </row>
    <row r="583" spans="2:62" ht="15.75" customHeight="1">
      <c r="B583" s="3"/>
      <c r="C583" s="80"/>
      <c r="D583" s="80"/>
      <c r="E583" s="88"/>
      <c r="F583" s="87"/>
      <c r="G583" s="80"/>
      <c r="H583" s="88"/>
      <c r="I583" s="87"/>
      <c r="J583" s="88"/>
      <c r="K583" s="87"/>
      <c r="L583" s="88"/>
      <c r="M583" s="80"/>
      <c r="N583" s="88"/>
      <c r="O583" s="87"/>
      <c r="P583" s="88"/>
      <c r="Q583" s="80"/>
      <c r="R583" s="87"/>
      <c r="S583" s="88"/>
      <c r="T583" s="80"/>
      <c r="U583" s="80"/>
      <c r="V583" s="80"/>
      <c r="W583" s="80"/>
      <c r="X583" s="80"/>
      <c r="Y583" s="38"/>
      <c r="Z583" s="38"/>
      <c r="AA583" s="38"/>
      <c r="AB583" s="38"/>
      <c r="AC583" s="38"/>
      <c r="AD583" s="38"/>
      <c r="AE583" s="38"/>
      <c r="AF583" s="38"/>
      <c r="AG583" s="38"/>
      <c r="AH583" s="38"/>
      <c r="AI583" s="38"/>
      <c r="AJ583" s="38"/>
      <c r="AK583" s="38"/>
      <c r="AL583" s="38"/>
      <c r="AM583" s="38"/>
      <c r="AN583" s="38"/>
      <c r="AO583" s="38"/>
      <c r="AP583" s="38"/>
      <c r="AQ583" s="38"/>
      <c r="AR583" s="38"/>
      <c r="AS583" s="38"/>
      <c r="AT583" s="38"/>
      <c r="AU583" s="38"/>
      <c r="AV583" s="38"/>
      <c r="AW583" s="38"/>
      <c r="AX583" s="38"/>
      <c r="AY583" s="38"/>
      <c r="AZ583" s="38"/>
      <c r="BA583" s="38"/>
      <c r="BB583" s="38"/>
      <c r="BC583" s="38"/>
      <c r="BD583" s="38"/>
      <c r="BE583" s="38"/>
      <c r="BF583" s="38"/>
      <c r="BG583" s="38"/>
      <c r="BH583" s="38"/>
      <c r="BI583" s="38"/>
      <c r="BJ583" s="38"/>
    </row>
    <row r="584" spans="2:62" ht="15.75" customHeight="1">
      <c r="B584" s="3"/>
      <c r="C584" s="80"/>
      <c r="D584" s="80"/>
      <c r="E584" s="80"/>
      <c r="F584" s="80"/>
      <c r="G584" s="80"/>
      <c r="H584" s="80"/>
      <c r="I584" s="80"/>
      <c r="J584" s="80"/>
      <c r="K584" s="80"/>
      <c r="L584" s="80"/>
      <c r="M584" s="80"/>
      <c r="N584" s="80"/>
      <c r="O584" s="80"/>
      <c r="P584" s="80"/>
      <c r="Q584" s="80"/>
      <c r="R584" s="80"/>
      <c r="S584" s="80"/>
      <c r="T584" s="80"/>
      <c r="U584" s="80"/>
      <c r="V584" s="80"/>
      <c r="W584" s="80"/>
      <c r="X584" s="80"/>
      <c r="Y584" s="38"/>
      <c r="Z584" s="38"/>
      <c r="AA584" s="38"/>
      <c r="AB584" s="38"/>
      <c r="AC584" s="38"/>
      <c r="AD584" s="38"/>
      <c r="AE584" s="38"/>
      <c r="AF584" s="38"/>
      <c r="AG584" s="38"/>
      <c r="AH584" s="38"/>
      <c r="AI584" s="38"/>
      <c r="AJ584" s="38"/>
      <c r="AK584" s="38"/>
      <c r="AL584" s="38"/>
      <c r="AM584" s="38"/>
      <c r="AN584" s="38"/>
      <c r="AO584" s="38"/>
      <c r="AP584" s="38"/>
      <c r="AQ584" s="38"/>
      <c r="AR584" s="38"/>
      <c r="AS584" s="38"/>
      <c r="AT584" s="38"/>
      <c r="AU584" s="38"/>
      <c r="AV584" s="38"/>
      <c r="AW584" s="38"/>
      <c r="AX584" s="38"/>
      <c r="AY584" s="38"/>
      <c r="AZ584" s="38"/>
      <c r="BA584" s="38"/>
      <c r="BB584" s="38"/>
      <c r="BC584" s="38"/>
      <c r="BD584" s="38"/>
      <c r="BE584" s="38"/>
      <c r="BF584" s="38"/>
      <c r="BG584" s="38"/>
      <c r="BH584" s="38"/>
      <c r="BI584" s="38"/>
      <c r="BJ584" s="38"/>
    </row>
    <row r="585" spans="2:62" ht="15.75" customHeight="1">
      <c r="B585" s="3"/>
      <c r="C585" s="80"/>
      <c r="D585" s="80"/>
      <c r="E585" s="80"/>
      <c r="F585" s="80"/>
      <c r="G585" s="80"/>
      <c r="H585" s="80"/>
      <c r="I585" s="80"/>
      <c r="J585" s="80"/>
      <c r="K585" s="80"/>
      <c r="L585" s="80"/>
      <c r="M585" s="80"/>
      <c r="N585" s="80"/>
      <c r="O585" s="80"/>
      <c r="P585" s="80"/>
      <c r="Q585" s="80"/>
      <c r="R585" s="80"/>
      <c r="S585" s="80"/>
      <c r="T585" s="80"/>
      <c r="U585" s="80"/>
      <c r="V585" s="80"/>
      <c r="W585" s="80"/>
      <c r="X585" s="80"/>
      <c r="Y585" s="38"/>
      <c r="Z585" s="38"/>
      <c r="AA585" s="38"/>
      <c r="AB585" s="38"/>
      <c r="AC585" s="38"/>
      <c r="AD585" s="38"/>
      <c r="AE585" s="38"/>
      <c r="AF585" s="38"/>
      <c r="AG585" s="38"/>
      <c r="AH585" s="38"/>
      <c r="AI585" s="38"/>
      <c r="AJ585" s="38"/>
      <c r="AK585" s="38"/>
      <c r="AL585" s="38"/>
      <c r="AM585" s="38"/>
      <c r="AN585" s="38"/>
      <c r="AO585" s="38"/>
      <c r="AP585" s="38"/>
      <c r="AQ585" s="38"/>
      <c r="AR585" s="38"/>
      <c r="AS585" s="38"/>
      <c r="AT585" s="38"/>
      <c r="AU585" s="38"/>
      <c r="AV585" s="38"/>
      <c r="AW585" s="38"/>
      <c r="AX585" s="38"/>
      <c r="AY585" s="38"/>
      <c r="AZ585" s="38"/>
      <c r="BA585" s="38"/>
      <c r="BB585" s="38"/>
      <c r="BC585" s="38"/>
      <c r="BD585" s="38"/>
      <c r="BE585" s="38"/>
      <c r="BF585" s="38"/>
      <c r="BG585" s="38"/>
      <c r="BH585" s="38"/>
      <c r="BI585" s="38"/>
      <c r="BJ585" s="38"/>
    </row>
    <row r="586" spans="2:62" ht="15.75" customHeight="1">
      <c r="B586" s="3"/>
      <c r="C586" s="80"/>
      <c r="D586" s="80"/>
      <c r="E586" s="80"/>
      <c r="F586" s="80"/>
      <c r="G586" s="80"/>
      <c r="H586" s="80"/>
      <c r="I586" s="80"/>
      <c r="J586" s="80"/>
      <c r="K586" s="80"/>
      <c r="L586" s="80"/>
      <c r="M586" s="80"/>
      <c r="N586" s="80"/>
      <c r="O586" s="80"/>
      <c r="P586" s="80"/>
      <c r="Q586" s="80"/>
      <c r="R586" s="80"/>
      <c r="S586" s="80"/>
      <c r="T586" s="80"/>
      <c r="U586" s="80"/>
      <c r="V586" s="80"/>
      <c r="W586" s="80"/>
      <c r="X586" s="80"/>
      <c r="Y586" s="38"/>
      <c r="Z586" s="38"/>
      <c r="AA586" s="38"/>
      <c r="AB586" s="38"/>
      <c r="AC586" s="38"/>
      <c r="AD586" s="38"/>
      <c r="AE586" s="38"/>
      <c r="AF586" s="38"/>
      <c r="AG586" s="38"/>
      <c r="AH586" s="38"/>
      <c r="AI586" s="38"/>
      <c r="AJ586" s="38"/>
      <c r="AK586" s="38"/>
      <c r="AL586" s="38"/>
      <c r="AM586" s="38"/>
      <c r="AN586" s="38"/>
      <c r="AO586" s="38"/>
      <c r="AP586" s="38"/>
      <c r="AQ586" s="38"/>
      <c r="AR586" s="38"/>
      <c r="AS586" s="38"/>
      <c r="AT586" s="38"/>
      <c r="AU586" s="38"/>
      <c r="AV586" s="38"/>
      <c r="AW586" s="38"/>
      <c r="AX586" s="38"/>
      <c r="AY586" s="38"/>
      <c r="AZ586" s="38"/>
      <c r="BA586" s="38"/>
      <c r="BB586" s="38"/>
      <c r="BC586" s="38"/>
      <c r="BD586" s="38"/>
      <c r="BE586" s="38"/>
      <c r="BF586" s="38"/>
      <c r="BG586" s="38"/>
      <c r="BH586" s="38"/>
      <c r="BI586" s="38"/>
      <c r="BJ586" s="38"/>
    </row>
    <row r="587" spans="2:62" ht="15.75" customHeight="1">
      <c r="B587" s="3"/>
      <c r="C587" s="80"/>
      <c r="D587" s="80"/>
      <c r="E587" s="80"/>
      <c r="F587" s="80"/>
      <c r="G587" s="80"/>
      <c r="H587" s="80"/>
      <c r="I587" s="80"/>
      <c r="J587" s="80"/>
      <c r="K587" s="80"/>
      <c r="L587" s="80"/>
      <c r="M587" s="80"/>
      <c r="N587" s="80"/>
      <c r="O587" s="80"/>
      <c r="P587" s="80"/>
      <c r="Q587" s="80"/>
      <c r="R587" s="80"/>
      <c r="S587" s="80"/>
      <c r="T587" s="80"/>
      <c r="U587" s="80"/>
      <c r="V587" s="80"/>
      <c r="W587" s="80"/>
      <c r="X587" s="80"/>
      <c r="Y587" s="38"/>
      <c r="Z587" s="38"/>
      <c r="AA587" s="38"/>
      <c r="AB587" s="38"/>
      <c r="AC587" s="38"/>
      <c r="AD587" s="38"/>
      <c r="AE587" s="38"/>
      <c r="AF587" s="38"/>
      <c r="AG587" s="38"/>
      <c r="AH587" s="38"/>
      <c r="AI587" s="38"/>
      <c r="AJ587" s="38"/>
      <c r="AK587" s="38"/>
      <c r="AL587" s="38"/>
      <c r="AM587" s="38"/>
      <c r="AN587" s="38"/>
      <c r="AO587" s="38"/>
      <c r="AP587" s="38"/>
      <c r="AQ587" s="38"/>
      <c r="AR587" s="38"/>
      <c r="AS587" s="38"/>
      <c r="AT587" s="38"/>
      <c r="AU587" s="38"/>
      <c r="AV587" s="38"/>
      <c r="AW587" s="38"/>
      <c r="AX587" s="38"/>
      <c r="AY587" s="38"/>
      <c r="AZ587" s="38"/>
      <c r="BA587" s="38"/>
      <c r="BB587" s="38"/>
      <c r="BC587" s="38"/>
      <c r="BD587" s="38"/>
      <c r="BE587" s="38"/>
      <c r="BF587" s="38"/>
      <c r="BG587" s="38"/>
      <c r="BH587" s="38"/>
      <c r="BI587" s="38"/>
      <c r="BJ587" s="38"/>
    </row>
    <row r="588" spans="2:62" ht="15.75" customHeight="1">
      <c r="B588" s="3"/>
      <c r="C588" s="80"/>
      <c r="D588" s="80"/>
      <c r="E588" s="80"/>
      <c r="F588" s="80"/>
      <c r="G588" s="80"/>
      <c r="H588" s="80"/>
      <c r="I588" s="80"/>
      <c r="J588" s="80"/>
      <c r="K588" s="80"/>
      <c r="L588" s="80"/>
      <c r="M588" s="80"/>
      <c r="N588" s="80"/>
      <c r="O588" s="80"/>
      <c r="P588" s="80"/>
      <c r="Q588" s="80"/>
      <c r="R588" s="80"/>
      <c r="S588" s="80"/>
      <c r="T588" s="80"/>
      <c r="U588" s="80"/>
      <c r="V588" s="80"/>
      <c r="W588" s="80"/>
      <c r="X588" s="80"/>
      <c r="Y588" s="38"/>
      <c r="Z588" s="38"/>
      <c r="AA588" s="38"/>
      <c r="AB588" s="38"/>
      <c r="AC588" s="38"/>
      <c r="AD588" s="38"/>
      <c r="AE588" s="38"/>
      <c r="AF588" s="38"/>
      <c r="AG588" s="38"/>
      <c r="AH588" s="38"/>
      <c r="AI588" s="38"/>
      <c r="AJ588" s="38"/>
      <c r="AK588" s="38"/>
      <c r="AL588" s="38"/>
      <c r="AM588" s="38"/>
      <c r="AN588" s="38"/>
      <c r="AO588" s="38"/>
      <c r="AP588" s="38"/>
      <c r="AQ588" s="38"/>
      <c r="AR588" s="38"/>
      <c r="AS588" s="38"/>
      <c r="AT588" s="38"/>
      <c r="AU588" s="38"/>
      <c r="AV588" s="38"/>
      <c r="AW588" s="38"/>
      <c r="AX588" s="38"/>
      <c r="AY588" s="38"/>
      <c r="AZ588" s="38"/>
      <c r="BA588" s="38"/>
      <c r="BB588" s="38"/>
      <c r="BC588" s="38"/>
      <c r="BD588" s="38"/>
      <c r="BE588" s="38"/>
      <c r="BF588" s="38"/>
      <c r="BG588" s="38"/>
      <c r="BH588" s="38"/>
      <c r="BI588" s="38"/>
      <c r="BJ588" s="38"/>
    </row>
    <row r="589" spans="2:62" ht="15.75" customHeight="1">
      <c r="B589" s="3"/>
      <c r="C589" s="80"/>
      <c r="D589" s="80"/>
      <c r="E589" s="80"/>
      <c r="F589" s="80"/>
      <c r="G589" s="80"/>
      <c r="H589" s="80"/>
      <c r="I589" s="80"/>
      <c r="J589" s="80"/>
      <c r="K589" s="80"/>
      <c r="L589" s="80"/>
      <c r="M589" s="80"/>
      <c r="N589" s="80"/>
      <c r="O589" s="80"/>
      <c r="P589" s="80"/>
      <c r="Q589" s="80"/>
      <c r="R589" s="80"/>
      <c r="S589" s="80"/>
      <c r="T589" s="80"/>
      <c r="U589" s="80"/>
      <c r="V589" s="80"/>
      <c r="W589" s="80"/>
      <c r="X589" s="80"/>
      <c r="Y589" s="38"/>
      <c r="Z589" s="38"/>
      <c r="AA589" s="38"/>
      <c r="AB589" s="38"/>
      <c r="AC589" s="38"/>
      <c r="AD589" s="38"/>
      <c r="AE589" s="38"/>
      <c r="AF589" s="38"/>
      <c r="AG589" s="38"/>
      <c r="AH589" s="38"/>
      <c r="AI589" s="38"/>
      <c r="AJ589" s="38"/>
      <c r="AK589" s="38"/>
      <c r="AL589" s="38"/>
      <c r="AM589" s="38"/>
      <c r="AN589" s="38"/>
      <c r="AO589" s="38"/>
      <c r="AP589" s="38"/>
      <c r="AQ589" s="38"/>
      <c r="AR589" s="38"/>
      <c r="AS589" s="38"/>
      <c r="AT589" s="38"/>
      <c r="AU589" s="38"/>
      <c r="AV589" s="38"/>
      <c r="AW589" s="38"/>
      <c r="AX589" s="38"/>
      <c r="AY589" s="38"/>
      <c r="AZ589" s="38"/>
      <c r="BA589" s="38"/>
      <c r="BB589" s="38"/>
      <c r="BC589" s="38"/>
      <c r="BD589" s="38"/>
      <c r="BE589" s="38"/>
      <c r="BF589" s="38"/>
      <c r="BG589" s="38"/>
      <c r="BH589" s="38"/>
      <c r="BI589" s="38"/>
      <c r="BJ589" s="38"/>
    </row>
    <row r="590" spans="2:62" ht="15.75" customHeight="1">
      <c r="B590" s="3"/>
      <c r="C590" s="80"/>
      <c r="D590" s="80"/>
      <c r="E590" s="80"/>
      <c r="F590" s="80"/>
      <c r="G590" s="80"/>
      <c r="H590" s="80"/>
      <c r="I590" s="80"/>
      <c r="J590" s="80"/>
      <c r="K590" s="80"/>
      <c r="L590" s="80"/>
      <c r="M590" s="80"/>
      <c r="N590" s="80"/>
      <c r="O590" s="80"/>
      <c r="P590" s="80"/>
      <c r="Q590" s="80"/>
      <c r="R590" s="80"/>
      <c r="S590" s="80"/>
      <c r="T590" s="80"/>
      <c r="U590" s="80"/>
      <c r="V590" s="80"/>
      <c r="W590" s="80"/>
      <c r="X590" s="80"/>
      <c r="Y590" s="38"/>
      <c r="Z590" s="38"/>
      <c r="AA590" s="38"/>
      <c r="AB590" s="38"/>
      <c r="AC590" s="38"/>
      <c r="AD590" s="38"/>
      <c r="AE590" s="38"/>
      <c r="AF590" s="38"/>
      <c r="AG590" s="38"/>
      <c r="AH590" s="38"/>
      <c r="AI590" s="38"/>
      <c r="AJ590" s="38"/>
      <c r="AK590" s="38"/>
      <c r="AL590" s="38"/>
      <c r="AM590" s="38"/>
      <c r="AN590" s="38"/>
      <c r="AO590" s="38"/>
      <c r="AP590" s="38"/>
      <c r="AQ590" s="38"/>
      <c r="AR590" s="38"/>
      <c r="AS590" s="38"/>
      <c r="AT590" s="38"/>
      <c r="AU590" s="38"/>
      <c r="AV590" s="38"/>
      <c r="AW590" s="38"/>
      <c r="AX590" s="38"/>
      <c r="AY590" s="38"/>
      <c r="AZ590" s="38"/>
      <c r="BA590" s="38"/>
      <c r="BB590" s="38"/>
      <c r="BC590" s="38"/>
      <c r="BD590" s="38"/>
      <c r="BE590" s="38"/>
      <c r="BF590" s="38"/>
      <c r="BG590" s="38"/>
      <c r="BH590" s="38"/>
      <c r="BI590" s="38"/>
      <c r="BJ590" s="38"/>
    </row>
    <row r="591" spans="2:62" ht="15.75" customHeight="1">
      <c r="B591" s="3"/>
      <c r="C591" s="80"/>
      <c r="D591" s="80"/>
      <c r="E591" s="80"/>
      <c r="F591" s="80"/>
      <c r="G591" s="80"/>
      <c r="H591" s="80"/>
      <c r="I591" s="80"/>
      <c r="J591" s="80"/>
      <c r="K591" s="80"/>
      <c r="L591" s="80"/>
      <c r="M591" s="80"/>
      <c r="N591" s="80"/>
      <c r="O591" s="80"/>
      <c r="P591" s="80"/>
      <c r="Q591" s="80"/>
      <c r="R591" s="80"/>
      <c r="S591" s="80"/>
      <c r="T591" s="80"/>
      <c r="U591" s="80"/>
      <c r="V591" s="80"/>
      <c r="W591" s="80"/>
      <c r="X591" s="80"/>
      <c r="Y591" s="38"/>
      <c r="Z591" s="38"/>
      <c r="AA591" s="38"/>
      <c r="AB591" s="38"/>
      <c r="AC591" s="38"/>
      <c r="AD591" s="38"/>
      <c r="AE591" s="38"/>
      <c r="AF591" s="38"/>
      <c r="AG591" s="38"/>
      <c r="AH591" s="38"/>
      <c r="AI591" s="38"/>
      <c r="AJ591" s="38"/>
      <c r="AK591" s="38"/>
      <c r="AL591" s="38"/>
      <c r="AM591" s="38"/>
      <c r="AN591" s="38"/>
      <c r="AO591" s="38"/>
      <c r="AP591" s="38"/>
      <c r="AQ591" s="38"/>
      <c r="AR591" s="38"/>
      <c r="AS591" s="38"/>
      <c r="AT591" s="38"/>
      <c r="AU591" s="38"/>
      <c r="AV591" s="38"/>
      <c r="AW591" s="38"/>
      <c r="AX591" s="38"/>
      <c r="AY591" s="38"/>
      <c r="AZ591" s="38"/>
      <c r="BA591" s="38"/>
      <c r="BB591" s="38"/>
      <c r="BC591" s="38"/>
      <c r="BD591" s="38"/>
      <c r="BE591" s="38"/>
      <c r="BF591" s="38"/>
      <c r="BG591" s="38"/>
      <c r="BH591" s="38"/>
      <c r="BI591" s="38"/>
      <c r="BJ591" s="38"/>
    </row>
    <row r="592" spans="2:62" ht="15.75" customHeight="1">
      <c r="B592" s="3"/>
      <c r="C592" s="80"/>
      <c r="D592" s="80"/>
      <c r="E592" s="80"/>
      <c r="F592" s="80"/>
      <c r="G592" s="80"/>
      <c r="H592" s="80"/>
      <c r="I592" s="80"/>
      <c r="J592" s="80"/>
      <c r="K592" s="80"/>
      <c r="L592" s="80"/>
      <c r="M592" s="80"/>
      <c r="N592" s="80"/>
      <c r="O592" s="80"/>
      <c r="P592" s="80"/>
      <c r="Q592" s="80"/>
      <c r="R592" s="80"/>
      <c r="S592" s="80"/>
      <c r="T592" s="80"/>
      <c r="U592" s="80"/>
      <c r="V592" s="80"/>
      <c r="W592" s="80"/>
      <c r="X592" s="80"/>
      <c r="Y592" s="38"/>
      <c r="Z592" s="38"/>
      <c r="AA592" s="38"/>
      <c r="AB592" s="38"/>
      <c r="AC592" s="38"/>
      <c r="AD592" s="38"/>
      <c r="AE592" s="38"/>
      <c r="AF592" s="38"/>
      <c r="AG592" s="38"/>
      <c r="AH592" s="38"/>
      <c r="AI592" s="38"/>
      <c r="AJ592" s="38"/>
      <c r="AK592" s="38"/>
      <c r="AL592" s="38"/>
      <c r="AM592" s="38"/>
      <c r="AN592" s="38"/>
      <c r="AO592" s="38"/>
      <c r="AP592" s="38"/>
      <c r="AQ592" s="38"/>
      <c r="AR592" s="38"/>
      <c r="AS592" s="38"/>
      <c r="AT592" s="38"/>
      <c r="AU592" s="38"/>
      <c r="AV592" s="38"/>
      <c r="AW592" s="38"/>
      <c r="AX592" s="38"/>
      <c r="AY592" s="38"/>
      <c r="AZ592" s="38"/>
      <c r="BA592" s="38"/>
      <c r="BB592" s="38"/>
      <c r="BC592" s="38"/>
      <c r="BD592" s="38"/>
      <c r="BE592" s="38"/>
      <c r="BF592" s="38"/>
      <c r="BG592" s="38"/>
      <c r="BH592" s="38"/>
      <c r="BI592" s="38"/>
      <c r="BJ592" s="38"/>
    </row>
    <row r="593" spans="2:62" ht="15.75" customHeight="1">
      <c r="B593" s="3"/>
      <c r="C593" s="80"/>
      <c r="D593" s="80"/>
      <c r="E593" s="80"/>
      <c r="F593" s="80"/>
      <c r="G593" s="80"/>
      <c r="H593" s="80"/>
      <c r="I593" s="80"/>
      <c r="J593" s="80"/>
      <c r="K593" s="80"/>
      <c r="L593" s="80"/>
      <c r="M593" s="80"/>
      <c r="N593" s="80"/>
      <c r="O593" s="80"/>
      <c r="P593" s="80"/>
      <c r="Q593" s="80"/>
      <c r="R593" s="80"/>
      <c r="S593" s="80"/>
      <c r="T593" s="80"/>
      <c r="U593" s="80"/>
      <c r="V593" s="80"/>
      <c r="W593" s="80"/>
      <c r="X593" s="80"/>
      <c r="Y593" s="38"/>
      <c r="Z593" s="38"/>
      <c r="AA593" s="38"/>
      <c r="AB593" s="38"/>
      <c r="AC593" s="38"/>
      <c r="AD593" s="38"/>
      <c r="AE593" s="38"/>
      <c r="AF593" s="38"/>
      <c r="AG593" s="38"/>
      <c r="AH593" s="38"/>
      <c r="AI593" s="38"/>
      <c r="AJ593" s="38"/>
      <c r="AK593" s="38"/>
      <c r="AL593" s="38"/>
      <c r="AM593" s="38"/>
      <c r="AN593" s="38"/>
      <c r="AO593" s="38"/>
      <c r="AP593" s="38"/>
      <c r="AQ593" s="38"/>
      <c r="AR593" s="38"/>
      <c r="AS593" s="38"/>
      <c r="AT593" s="38"/>
      <c r="AU593" s="38"/>
      <c r="AV593" s="38"/>
      <c r="AW593" s="38"/>
      <c r="AX593" s="38"/>
      <c r="AY593" s="38"/>
      <c r="AZ593" s="38"/>
      <c r="BA593" s="38"/>
      <c r="BB593" s="38"/>
      <c r="BC593" s="38"/>
      <c r="BD593" s="38"/>
      <c r="BE593" s="38"/>
      <c r="BF593" s="38"/>
      <c r="BG593" s="38"/>
      <c r="BH593" s="38"/>
      <c r="BI593" s="38"/>
      <c r="BJ593" s="38"/>
    </row>
    <row r="594" spans="2:62" ht="15.75" customHeight="1">
      <c r="B594" s="3"/>
      <c r="C594" s="80"/>
      <c r="D594" s="80"/>
      <c r="E594" s="80"/>
      <c r="F594" s="80"/>
      <c r="G594" s="80"/>
      <c r="H594" s="80"/>
      <c r="I594" s="80"/>
      <c r="J594" s="80"/>
      <c r="K594" s="80"/>
      <c r="L594" s="80"/>
      <c r="M594" s="80"/>
      <c r="N594" s="80"/>
      <c r="O594" s="80"/>
      <c r="P594" s="80"/>
      <c r="Q594" s="80"/>
      <c r="R594" s="80"/>
      <c r="S594" s="80"/>
      <c r="T594" s="80"/>
      <c r="U594" s="80"/>
      <c r="V594" s="80"/>
      <c r="W594" s="80"/>
      <c r="X594" s="80"/>
      <c r="Y594" s="38"/>
      <c r="Z594" s="38"/>
      <c r="AA594" s="38"/>
      <c r="AB594" s="38"/>
      <c r="AC594" s="38"/>
      <c r="AD594" s="38"/>
      <c r="AE594" s="38"/>
      <c r="AF594" s="38"/>
      <c r="AG594" s="38"/>
      <c r="AH594" s="38"/>
      <c r="AI594" s="38"/>
      <c r="AJ594" s="38"/>
      <c r="AK594" s="38"/>
      <c r="AL594" s="38"/>
      <c r="AM594" s="38"/>
      <c r="AN594" s="38"/>
      <c r="AO594" s="38"/>
      <c r="AP594" s="38"/>
      <c r="AQ594" s="38"/>
      <c r="AR594" s="38"/>
      <c r="AS594" s="38"/>
      <c r="AT594" s="38"/>
      <c r="AU594" s="38"/>
      <c r="AV594" s="38"/>
      <c r="AW594" s="38"/>
      <c r="AX594" s="38"/>
      <c r="AY594" s="38"/>
      <c r="AZ594" s="38"/>
      <c r="BA594" s="38"/>
      <c r="BB594" s="38"/>
      <c r="BC594" s="38"/>
      <c r="BD594" s="38"/>
      <c r="BE594" s="38"/>
      <c r="BF594" s="38"/>
      <c r="BG594" s="38"/>
      <c r="BH594" s="38"/>
      <c r="BI594" s="38"/>
      <c r="BJ594" s="38"/>
    </row>
    <row r="595" spans="2:62" ht="15.75" customHeight="1">
      <c r="B595" s="3"/>
      <c r="C595" s="80"/>
      <c r="D595" s="80"/>
      <c r="E595" s="80"/>
      <c r="F595" s="80"/>
      <c r="G595" s="80"/>
      <c r="H595" s="80"/>
      <c r="I595" s="80"/>
      <c r="J595" s="80"/>
      <c r="K595" s="80"/>
      <c r="L595" s="80"/>
      <c r="M595" s="80"/>
      <c r="N595" s="80"/>
      <c r="O595" s="80"/>
      <c r="P595" s="80"/>
      <c r="Q595" s="80"/>
      <c r="R595" s="80"/>
      <c r="S595" s="80"/>
      <c r="T595" s="80"/>
      <c r="U595" s="80"/>
      <c r="V595" s="80"/>
      <c r="W595" s="80"/>
      <c r="X595" s="80"/>
      <c r="Y595" s="38"/>
      <c r="Z595" s="38"/>
      <c r="AA595" s="38"/>
      <c r="AB595" s="38"/>
      <c r="AC595" s="38"/>
      <c r="AD595" s="38"/>
      <c r="AE595" s="38"/>
      <c r="AF595" s="38"/>
      <c r="AG595" s="38"/>
      <c r="AH595" s="38"/>
      <c r="AI595" s="38"/>
      <c r="AJ595" s="38"/>
      <c r="AK595" s="38"/>
      <c r="AL595" s="38"/>
      <c r="AM595" s="38"/>
      <c r="AN595" s="38"/>
      <c r="AO595" s="38"/>
      <c r="AP595" s="38"/>
      <c r="AQ595" s="38"/>
      <c r="AR595" s="38"/>
      <c r="AS595" s="38"/>
      <c r="AT595" s="38"/>
      <c r="AU595" s="38"/>
      <c r="AV595" s="38"/>
      <c r="AW595" s="38"/>
      <c r="AX595" s="38"/>
      <c r="AY595" s="38"/>
      <c r="AZ595" s="38"/>
      <c r="BA595" s="38"/>
      <c r="BB595" s="38"/>
      <c r="BC595" s="38"/>
      <c r="BD595" s="38"/>
      <c r="BE595" s="38"/>
      <c r="BF595" s="38"/>
      <c r="BG595" s="38"/>
      <c r="BH595" s="38"/>
      <c r="BI595" s="38"/>
      <c r="BJ595" s="38"/>
    </row>
    <row r="596" spans="2:62" ht="15.75" customHeight="1">
      <c r="B596" s="3"/>
      <c r="C596" s="80"/>
      <c r="D596" s="80"/>
      <c r="E596" s="80"/>
      <c r="F596" s="80"/>
      <c r="G596" s="80"/>
      <c r="H596" s="80"/>
      <c r="I596" s="80"/>
      <c r="J596" s="80"/>
      <c r="K596" s="80"/>
      <c r="L596" s="80"/>
      <c r="M596" s="80"/>
      <c r="N596" s="80"/>
      <c r="O596" s="80"/>
      <c r="P596" s="80"/>
      <c r="Q596" s="80"/>
      <c r="R596" s="80"/>
      <c r="S596" s="80"/>
      <c r="T596" s="80"/>
      <c r="U596" s="80"/>
      <c r="V596" s="80"/>
      <c r="W596" s="80"/>
      <c r="X596" s="80"/>
      <c r="Y596" s="38"/>
      <c r="Z596" s="38"/>
      <c r="AA596" s="38"/>
      <c r="AB596" s="38"/>
      <c r="AC596" s="38"/>
      <c r="AD596" s="38"/>
      <c r="AE596" s="38"/>
      <c r="AF596" s="38"/>
      <c r="AG596" s="38"/>
      <c r="AH596" s="38"/>
      <c r="AI596" s="38"/>
      <c r="AJ596" s="38"/>
      <c r="AK596" s="38"/>
      <c r="AL596" s="38"/>
      <c r="AM596" s="38"/>
      <c r="AN596" s="38"/>
      <c r="AO596" s="38"/>
      <c r="AP596" s="38"/>
      <c r="AQ596" s="38"/>
      <c r="AR596" s="38"/>
      <c r="AS596" s="38"/>
      <c r="AT596" s="38"/>
      <c r="AU596" s="38"/>
      <c r="AV596" s="38"/>
      <c r="AW596" s="38"/>
      <c r="AX596" s="38"/>
      <c r="AY596" s="38"/>
      <c r="AZ596" s="38"/>
      <c r="BA596" s="38"/>
      <c r="BB596" s="38"/>
      <c r="BC596" s="38"/>
      <c r="BD596" s="38"/>
      <c r="BE596" s="38"/>
      <c r="BF596" s="38"/>
      <c r="BG596" s="38"/>
      <c r="BH596" s="38"/>
      <c r="BI596" s="38"/>
      <c r="BJ596" s="38"/>
    </row>
    <row r="597" spans="2:62" ht="15.75" customHeight="1">
      <c r="B597" s="3"/>
      <c r="C597" s="80"/>
      <c r="D597" s="80"/>
      <c r="E597" s="80"/>
      <c r="F597" s="80"/>
      <c r="G597" s="80"/>
      <c r="H597" s="80"/>
      <c r="I597" s="80"/>
      <c r="J597" s="80"/>
      <c r="K597" s="80"/>
      <c r="L597" s="80"/>
      <c r="M597" s="80"/>
      <c r="N597" s="80"/>
      <c r="O597" s="80"/>
      <c r="P597" s="80"/>
      <c r="Q597" s="80"/>
      <c r="R597" s="80"/>
      <c r="S597" s="80"/>
      <c r="T597" s="80"/>
      <c r="U597" s="80"/>
      <c r="V597" s="80"/>
      <c r="W597" s="80"/>
      <c r="X597" s="80"/>
      <c r="Y597" s="38"/>
      <c r="Z597" s="38"/>
      <c r="AA597" s="38"/>
      <c r="AB597" s="38"/>
      <c r="AC597" s="38"/>
      <c r="AD597" s="38"/>
      <c r="AE597" s="38"/>
      <c r="AF597" s="38"/>
      <c r="AG597" s="38"/>
      <c r="AH597" s="38"/>
      <c r="AI597" s="38"/>
      <c r="AJ597" s="38"/>
      <c r="AK597" s="38"/>
      <c r="AL597" s="38"/>
      <c r="AM597" s="38"/>
      <c r="AN597" s="38"/>
      <c r="AO597" s="38"/>
      <c r="AP597" s="38"/>
      <c r="AQ597" s="38"/>
      <c r="AR597" s="38"/>
      <c r="AS597" s="38"/>
      <c r="AT597" s="38"/>
      <c r="AU597" s="38"/>
      <c r="AV597" s="38"/>
      <c r="AW597" s="38"/>
      <c r="AX597" s="38"/>
      <c r="AY597" s="38"/>
      <c r="AZ597" s="38"/>
      <c r="BA597" s="38"/>
      <c r="BB597" s="38"/>
      <c r="BC597" s="38"/>
      <c r="BD597" s="38"/>
      <c r="BE597" s="38"/>
      <c r="BF597" s="38"/>
      <c r="BG597" s="38"/>
      <c r="BH597" s="38"/>
      <c r="BI597" s="38"/>
      <c r="BJ597" s="38"/>
    </row>
    <row r="598" spans="2:62" ht="15.75" customHeight="1">
      <c r="B598" s="3"/>
      <c r="C598" s="80"/>
      <c r="D598" s="80"/>
      <c r="E598" s="80"/>
      <c r="F598" s="80"/>
      <c r="G598" s="80"/>
      <c r="H598" s="80"/>
      <c r="I598" s="80"/>
      <c r="J598" s="80"/>
      <c r="K598" s="80"/>
      <c r="L598" s="80"/>
      <c r="M598" s="80"/>
      <c r="N598" s="80"/>
      <c r="O598" s="80"/>
      <c r="P598" s="80"/>
      <c r="Q598" s="80"/>
      <c r="R598" s="80"/>
      <c r="S598" s="80"/>
      <c r="T598" s="80"/>
      <c r="U598" s="80"/>
      <c r="V598" s="80"/>
      <c r="W598" s="80"/>
      <c r="X598" s="80"/>
      <c r="Y598" s="38"/>
      <c r="Z598" s="38"/>
      <c r="AA598" s="38"/>
      <c r="AB598" s="38"/>
      <c r="AC598" s="38"/>
      <c r="AD598" s="38"/>
      <c r="AE598" s="38"/>
      <c r="AF598" s="38"/>
      <c r="AG598" s="38"/>
      <c r="AH598" s="38"/>
      <c r="AI598" s="38"/>
      <c r="AJ598" s="38"/>
      <c r="AK598" s="38"/>
      <c r="AL598" s="38"/>
      <c r="AM598" s="38"/>
      <c r="AN598" s="38"/>
      <c r="AO598" s="38"/>
      <c r="AP598" s="38"/>
      <c r="AQ598" s="38"/>
      <c r="AR598" s="38"/>
      <c r="AS598" s="38"/>
      <c r="AT598" s="38"/>
      <c r="AU598" s="38"/>
      <c r="AV598" s="38"/>
      <c r="AW598" s="38"/>
      <c r="AX598" s="38"/>
      <c r="AY598" s="38"/>
      <c r="AZ598" s="38"/>
      <c r="BA598" s="38"/>
      <c r="BB598" s="38"/>
      <c r="BC598" s="38"/>
      <c r="BD598" s="38"/>
      <c r="BE598" s="38"/>
      <c r="BF598" s="38"/>
      <c r="BG598" s="38"/>
      <c r="BH598" s="38"/>
      <c r="BI598" s="38"/>
      <c r="BJ598" s="38"/>
    </row>
    <row r="599" spans="2:62" ht="15.75" customHeight="1">
      <c r="B599" s="3"/>
      <c r="C599" s="80"/>
      <c r="D599" s="80"/>
      <c r="E599" s="80"/>
      <c r="F599" s="80"/>
      <c r="G599" s="80"/>
      <c r="H599" s="80"/>
      <c r="I599" s="80"/>
      <c r="J599" s="80"/>
      <c r="K599" s="80"/>
      <c r="L599" s="80"/>
      <c r="M599" s="80"/>
      <c r="N599" s="80"/>
      <c r="O599" s="80"/>
      <c r="P599" s="80"/>
      <c r="Q599" s="80"/>
      <c r="R599" s="80"/>
      <c r="S599" s="80"/>
      <c r="T599" s="80"/>
      <c r="U599" s="80"/>
      <c r="V599" s="80"/>
      <c r="W599" s="80"/>
      <c r="X599" s="80"/>
      <c r="Y599" s="38"/>
      <c r="Z599" s="38"/>
      <c r="AA599" s="38"/>
      <c r="AB599" s="38"/>
      <c r="AC599" s="38"/>
      <c r="AD599" s="38"/>
      <c r="AE599" s="38"/>
      <c r="AF599" s="38"/>
      <c r="AG599" s="38"/>
      <c r="AH599" s="38"/>
      <c r="AI599" s="38"/>
      <c r="AJ599" s="38"/>
      <c r="AK599" s="38"/>
      <c r="AL599" s="38"/>
      <c r="AM599" s="38"/>
      <c r="AN599" s="38"/>
      <c r="AO599" s="38"/>
      <c r="AP599" s="38"/>
      <c r="AQ599" s="38"/>
      <c r="AR599" s="38"/>
      <c r="AS599" s="38"/>
      <c r="AT599" s="38"/>
      <c r="AU599" s="38"/>
      <c r="AV599" s="38"/>
      <c r="AW599" s="38"/>
      <c r="AX599" s="38"/>
      <c r="AY599" s="38"/>
      <c r="AZ599" s="38"/>
      <c r="BA599" s="38"/>
      <c r="BB599" s="38"/>
      <c r="BC599" s="38"/>
      <c r="BD599" s="38"/>
      <c r="BE599" s="38"/>
      <c r="BF599" s="38"/>
      <c r="BG599" s="38"/>
      <c r="BH599" s="38"/>
      <c r="BI599" s="38"/>
      <c r="BJ599" s="38"/>
    </row>
    <row r="600" spans="2:62" ht="15.75" customHeight="1">
      <c r="B600" s="3"/>
      <c r="C600" s="80"/>
      <c r="D600" s="80"/>
      <c r="E600" s="80"/>
      <c r="F600" s="80"/>
      <c r="G600" s="80"/>
      <c r="H600" s="80"/>
      <c r="I600" s="80"/>
      <c r="J600" s="80"/>
      <c r="K600" s="80"/>
      <c r="L600" s="80"/>
      <c r="M600" s="80"/>
      <c r="N600" s="80"/>
      <c r="O600" s="80"/>
      <c r="P600" s="80"/>
      <c r="Q600" s="80"/>
      <c r="R600" s="80"/>
      <c r="S600" s="80"/>
      <c r="T600" s="80"/>
      <c r="U600" s="80"/>
      <c r="V600" s="80"/>
      <c r="W600" s="80"/>
      <c r="X600" s="80"/>
      <c r="Y600" s="38"/>
      <c r="Z600" s="38"/>
      <c r="AA600" s="38"/>
      <c r="AB600" s="38"/>
      <c r="AC600" s="38"/>
      <c r="AD600" s="38"/>
      <c r="AE600" s="38"/>
      <c r="AF600" s="38"/>
      <c r="AG600" s="38"/>
      <c r="AH600" s="38"/>
      <c r="AI600" s="38"/>
      <c r="AJ600" s="38"/>
      <c r="AK600" s="38"/>
      <c r="AL600" s="38"/>
      <c r="AM600" s="38"/>
      <c r="AN600" s="38"/>
      <c r="AO600" s="38"/>
      <c r="AP600" s="38"/>
      <c r="AQ600" s="38"/>
      <c r="AR600" s="38"/>
      <c r="AS600" s="38"/>
      <c r="AT600" s="38"/>
      <c r="AU600" s="38"/>
      <c r="AV600" s="38"/>
      <c r="AW600" s="38"/>
      <c r="AX600" s="38"/>
      <c r="AY600" s="38"/>
      <c r="AZ600" s="38"/>
      <c r="BA600" s="38"/>
      <c r="BB600" s="38"/>
      <c r="BC600" s="38"/>
      <c r="BD600" s="38"/>
      <c r="BE600" s="38"/>
      <c r="BF600" s="38"/>
      <c r="BG600" s="38"/>
      <c r="BH600" s="38"/>
      <c r="BI600" s="38"/>
      <c r="BJ600" s="38"/>
    </row>
    <row r="601" spans="2:62" ht="15.75" customHeight="1">
      <c r="B601" s="3"/>
      <c r="C601" s="80"/>
      <c r="D601" s="80"/>
      <c r="E601" s="80"/>
      <c r="F601" s="80"/>
      <c r="G601" s="80"/>
      <c r="H601" s="80"/>
      <c r="I601" s="80"/>
      <c r="J601" s="80"/>
      <c r="K601" s="80"/>
      <c r="L601" s="80"/>
      <c r="M601" s="80"/>
      <c r="N601" s="80"/>
      <c r="O601" s="80"/>
      <c r="P601" s="80"/>
      <c r="Q601" s="80"/>
      <c r="R601" s="80"/>
      <c r="S601" s="80"/>
      <c r="T601" s="80"/>
      <c r="U601" s="80"/>
      <c r="V601" s="80"/>
      <c r="W601" s="80"/>
      <c r="X601" s="80"/>
      <c r="Y601" s="38"/>
      <c r="Z601" s="38"/>
      <c r="AA601" s="38"/>
      <c r="AB601" s="38"/>
      <c r="AC601" s="38"/>
      <c r="AD601" s="38"/>
      <c r="AE601" s="38"/>
      <c r="AF601" s="38"/>
      <c r="AG601" s="38"/>
      <c r="AH601" s="38"/>
      <c r="AI601" s="38"/>
      <c r="AJ601" s="38"/>
      <c r="AK601" s="38"/>
      <c r="AL601" s="38"/>
      <c r="AM601" s="38"/>
      <c r="AN601" s="38"/>
      <c r="AO601" s="38"/>
      <c r="AP601" s="38"/>
      <c r="AQ601" s="38"/>
      <c r="AR601" s="38"/>
      <c r="AS601" s="38"/>
      <c r="AT601" s="38"/>
      <c r="AU601" s="38"/>
      <c r="AV601" s="38"/>
      <c r="AW601" s="38"/>
      <c r="AX601" s="38"/>
      <c r="AY601" s="38"/>
      <c r="AZ601" s="38"/>
      <c r="BA601" s="38"/>
      <c r="BB601" s="38"/>
      <c r="BC601" s="38"/>
      <c r="BD601" s="38"/>
      <c r="BE601" s="38"/>
      <c r="BF601" s="38"/>
      <c r="BG601" s="38"/>
      <c r="BH601" s="38"/>
      <c r="BI601" s="38"/>
      <c r="BJ601" s="38"/>
    </row>
    <row r="602" spans="2:62" ht="15.75" customHeight="1">
      <c r="B602" s="3"/>
      <c r="C602" s="80"/>
      <c r="D602" s="80"/>
      <c r="E602" s="80"/>
      <c r="F602" s="80"/>
      <c r="G602" s="80"/>
      <c r="H602" s="80"/>
      <c r="I602" s="80"/>
      <c r="J602" s="80"/>
      <c r="K602" s="80"/>
      <c r="L602" s="80"/>
      <c r="M602" s="80"/>
      <c r="N602" s="80"/>
      <c r="O602" s="80"/>
      <c r="P602" s="80"/>
      <c r="Q602" s="80"/>
      <c r="R602" s="80"/>
      <c r="S602" s="80"/>
      <c r="T602" s="80"/>
      <c r="U602" s="80"/>
      <c r="V602" s="80"/>
      <c r="W602" s="80"/>
      <c r="X602" s="80"/>
      <c r="Y602" s="38"/>
      <c r="Z602" s="38"/>
      <c r="AA602" s="38"/>
      <c r="AB602" s="38"/>
      <c r="AC602" s="38"/>
      <c r="AD602" s="38"/>
      <c r="AE602" s="38"/>
      <c r="AF602" s="38"/>
      <c r="AG602" s="38"/>
      <c r="AH602" s="38"/>
      <c r="AI602" s="38"/>
      <c r="AJ602" s="38"/>
      <c r="AK602" s="38"/>
      <c r="AL602" s="38"/>
      <c r="AM602" s="38"/>
      <c r="AN602" s="38"/>
      <c r="AO602" s="38"/>
      <c r="AP602" s="38"/>
      <c r="AQ602" s="38"/>
      <c r="AR602" s="38"/>
      <c r="AS602" s="38"/>
      <c r="AT602" s="38"/>
      <c r="AU602" s="38"/>
      <c r="AV602" s="38"/>
      <c r="AW602" s="38"/>
      <c r="AX602" s="38"/>
      <c r="AY602" s="38"/>
      <c r="AZ602" s="38"/>
      <c r="BA602" s="38"/>
      <c r="BB602" s="38"/>
      <c r="BC602" s="38"/>
      <c r="BD602" s="38"/>
      <c r="BE602" s="38"/>
      <c r="BF602" s="38"/>
      <c r="BG602" s="38"/>
      <c r="BH602" s="38"/>
      <c r="BI602" s="38"/>
      <c r="BJ602" s="38"/>
    </row>
    <row r="603" spans="2:62" ht="15.75" customHeight="1">
      <c r="B603" s="3"/>
      <c r="C603" s="80"/>
      <c r="D603" s="80"/>
      <c r="E603" s="80"/>
      <c r="F603" s="80"/>
      <c r="G603" s="80"/>
      <c r="H603" s="80"/>
      <c r="I603" s="80"/>
      <c r="J603" s="80"/>
      <c r="K603" s="80"/>
      <c r="L603" s="80"/>
      <c r="M603" s="80"/>
      <c r="N603" s="80"/>
      <c r="O603" s="80"/>
      <c r="P603" s="80"/>
      <c r="Q603" s="80"/>
      <c r="R603" s="80"/>
      <c r="S603" s="80"/>
      <c r="T603" s="80"/>
      <c r="U603" s="80"/>
      <c r="V603" s="80"/>
      <c r="W603" s="80"/>
      <c r="X603" s="80"/>
      <c r="Y603" s="38"/>
      <c r="Z603" s="38"/>
      <c r="AA603" s="38"/>
      <c r="AB603" s="38"/>
      <c r="AC603" s="38"/>
      <c r="AD603" s="38"/>
      <c r="AE603" s="38"/>
      <c r="AF603" s="38"/>
      <c r="AG603" s="38"/>
      <c r="AH603" s="38"/>
      <c r="AI603" s="38"/>
      <c r="AJ603" s="38"/>
      <c r="AK603" s="38"/>
      <c r="AL603" s="38"/>
      <c r="AM603" s="38"/>
      <c r="AN603" s="38"/>
      <c r="AO603" s="38"/>
      <c r="AP603" s="38"/>
      <c r="AQ603" s="38"/>
      <c r="AR603" s="38"/>
      <c r="AS603" s="38"/>
      <c r="AT603" s="38"/>
      <c r="AU603" s="38"/>
      <c r="AV603" s="38"/>
      <c r="AW603" s="38"/>
      <c r="AX603" s="38"/>
      <c r="AY603" s="38"/>
      <c r="AZ603" s="38"/>
      <c r="BA603" s="38"/>
      <c r="BB603" s="38"/>
      <c r="BC603" s="38"/>
      <c r="BD603" s="38"/>
      <c r="BE603" s="38"/>
      <c r="BF603" s="38"/>
      <c r="BG603" s="38"/>
      <c r="BH603" s="38"/>
      <c r="BI603" s="38"/>
      <c r="BJ603" s="38"/>
    </row>
    <row r="604" spans="2:62" ht="15.75" customHeight="1">
      <c r="B604" s="3"/>
      <c r="C604" s="80"/>
      <c r="D604" s="80"/>
      <c r="E604" s="80"/>
      <c r="F604" s="80"/>
      <c r="G604" s="80"/>
      <c r="H604" s="80"/>
      <c r="I604" s="80"/>
      <c r="J604" s="80"/>
      <c r="K604" s="80"/>
      <c r="L604" s="80"/>
      <c r="M604" s="80"/>
      <c r="N604" s="80"/>
      <c r="O604" s="80"/>
      <c r="P604" s="80"/>
      <c r="Q604" s="80"/>
      <c r="R604" s="80"/>
      <c r="S604" s="80"/>
      <c r="T604" s="80"/>
      <c r="U604" s="80"/>
      <c r="V604" s="80"/>
      <c r="W604" s="80"/>
      <c r="X604" s="80"/>
      <c r="Y604" s="38"/>
      <c r="Z604" s="38"/>
      <c r="AA604" s="38"/>
      <c r="AB604" s="38"/>
      <c r="AC604" s="38"/>
      <c r="AD604" s="38"/>
      <c r="AE604" s="38"/>
      <c r="AF604" s="38"/>
      <c r="AG604" s="38"/>
      <c r="AH604" s="38"/>
      <c r="AI604" s="38"/>
      <c r="AJ604" s="38"/>
      <c r="AK604" s="38"/>
      <c r="AL604" s="38"/>
      <c r="AM604" s="38"/>
      <c r="AN604" s="38"/>
      <c r="AO604" s="38"/>
      <c r="AP604" s="38"/>
      <c r="AQ604" s="38"/>
      <c r="AR604" s="38"/>
      <c r="AS604" s="38"/>
      <c r="AT604" s="38"/>
      <c r="AU604" s="38"/>
      <c r="AV604" s="38"/>
      <c r="AW604" s="38"/>
      <c r="AX604" s="38"/>
      <c r="AY604" s="38"/>
      <c r="AZ604" s="38"/>
      <c r="BA604" s="38"/>
      <c r="BB604" s="38"/>
      <c r="BC604" s="38"/>
      <c r="BD604" s="38"/>
      <c r="BE604" s="38"/>
      <c r="BF604" s="38"/>
      <c r="BG604" s="38"/>
      <c r="BH604" s="38"/>
      <c r="BI604" s="38"/>
      <c r="BJ604" s="38"/>
    </row>
    <row r="605" spans="2:62" ht="15.75" customHeight="1">
      <c r="B605" s="3"/>
      <c r="C605" s="80"/>
      <c r="D605" s="80"/>
      <c r="E605" s="80"/>
      <c r="F605" s="80"/>
      <c r="G605" s="80"/>
      <c r="H605" s="80"/>
      <c r="I605" s="80"/>
      <c r="J605" s="80"/>
      <c r="K605" s="80"/>
      <c r="L605" s="80"/>
      <c r="M605" s="80"/>
      <c r="N605" s="80"/>
      <c r="O605" s="80"/>
      <c r="P605" s="80"/>
      <c r="Q605" s="80"/>
      <c r="R605" s="80"/>
      <c r="S605" s="80"/>
      <c r="T605" s="80"/>
      <c r="U605" s="80"/>
      <c r="V605" s="80"/>
      <c r="W605" s="80"/>
      <c r="X605" s="80"/>
      <c r="Y605" s="38"/>
      <c r="Z605" s="38"/>
      <c r="AA605" s="38"/>
      <c r="AB605" s="38"/>
      <c r="AC605" s="38"/>
      <c r="AD605" s="38"/>
      <c r="AE605" s="38"/>
      <c r="AF605" s="38"/>
      <c r="AG605" s="38"/>
      <c r="AH605" s="38"/>
      <c r="AI605" s="38"/>
      <c r="AJ605" s="38"/>
      <c r="AK605" s="38"/>
      <c r="AL605" s="38"/>
      <c r="AM605" s="38"/>
      <c r="AN605" s="38"/>
      <c r="AO605" s="38"/>
      <c r="AP605" s="38"/>
      <c r="AQ605" s="38"/>
      <c r="AR605" s="38"/>
      <c r="AS605" s="38"/>
      <c r="AT605" s="38"/>
      <c r="AU605" s="38"/>
      <c r="AV605" s="38"/>
      <c r="AW605" s="38"/>
      <c r="AX605" s="38"/>
      <c r="AY605" s="38"/>
      <c r="AZ605" s="38"/>
      <c r="BA605" s="38"/>
      <c r="BB605" s="38"/>
      <c r="BC605" s="38"/>
      <c r="BD605" s="38"/>
      <c r="BE605" s="38"/>
      <c r="BF605" s="38"/>
      <c r="BG605" s="38"/>
      <c r="BH605" s="38"/>
      <c r="BI605" s="38"/>
      <c r="BJ605" s="38"/>
    </row>
    <row r="606" spans="2:62" ht="15.75" customHeight="1">
      <c r="B606" s="3"/>
      <c r="C606" s="80"/>
      <c r="D606" s="80"/>
      <c r="E606" s="80"/>
      <c r="F606" s="80"/>
      <c r="G606" s="80"/>
      <c r="H606" s="80"/>
      <c r="I606" s="80"/>
      <c r="J606" s="80"/>
      <c r="K606" s="80"/>
      <c r="L606" s="80"/>
      <c r="M606" s="80"/>
      <c r="N606" s="80"/>
      <c r="O606" s="80"/>
      <c r="P606" s="80"/>
      <c r="Q606" s="80"/>
      <c r="R606" s="80"/>
      <c r="S606" s="80"/>
      <c r="T606" s="80"/>
      <c r="U606" s="80"/>
      <c r="V606" s="80"/>
      <c r="W606" s="80"/>
      <c r="X606" s="80"/>
      <c r="Y606" s="38"/>
      <c r="Z606" s="38"/>
      <c r="AA606" s="38"/>
      <c r="AB606" s="38"/>
      <c r="AC606" s="38"/>
      <c r="AD606" s="38"/>
      <c r="AE606" s="38"/>
      <c r="AF606" s="38"/>
      <c r="AG606" s="38"/>
      <c r="AH606" s="38"/>
      <c r="AI606" s="38"/>
      <c r="AJ606" s="38"/>
      <c r="AK606" s="38"/>
      <c r="AL606" s="38"/>
      <c r="AM606" s="38"/>
      <c r="AN606" s="38"/>
      <c r="AO606" s="38"/>
      <c r="AP606" s="38"/>
      <c r="AQ606" s="38"/>
      <c r="AR606" s="38"/>
      <c r="AS606" s="38"/>
      <c r="AT606" s="38"/>
      <c r="AU606" s="38"/>
      <c r="AV606" s="38"/>
      <c r="AW606" s="38"/>
      <c r="AX606" s="38"/>
      <c r="AY606" s="38"/>
      <c r="AZ606" s="38"/>
      <c r="BA606" s="38"/>
      <c r="BB606" s="38"/>
      <c r="BC606" s="38"/>
      <c r="BD606" s="38"/>
      <c r="BE606" s="38"/>
      <c r="BF606" s="38"/>
      <c r="BG606" s="38"/>
      <c r="BH606" s="38"/>
      <c r="BI606" s="38"/>
      <c r="BJ606" s="38"/>
    </row>
    <row r="607" spans="2:62" ht="15.75" customHeight="1">
      <c r="B607" s="3"/>
      <c r="C607" s="80"/>
      <c r="D607" s="80"/>
      <c r="E607" s="80"/>
      <c r="F607" s="80"/>
      <c r="G607" s="80"/>
      <c r="H607" s="80"/>
      <c r="I607" s="80"/>
      <c r="J607" s="80"/>
      <c r="K607" s="80"/>
      <c r="L607" s="80"/>
      <c r="M607" s="80"/>
      <c r="N607" s="80"/>
      <c r="O607" s="80"/>
      <c r="P607" s="80"/>
      <c r="Q607" s="80"/>
      <c r="R607" s="80"/>
      <c r="S607" s="80"/>
      <c r="T607" s="80"/>
      <c r="U607" s="80"/>
      <c r="V607" s="80"/>
      <c r="W607" s="80"/>
      <c r="X607" s="80"/>
      <c r="Y607" s="38"/>
      <c r="Z607" s="38"/>
      <c r="AA607" s="38"/>
      <c r="AB607" s="38"/>
      <c r="AC607" s="38"/>
      <c r="AD607" s="38"/>
      <c r="AE607" s="38"/>
      <c r="AF607" s="38"/>
      <c r="AG607" s="38"/>
      <c r="AH607" s="38"/>
      <c r="AI607" s="38"/>
      <c r="AJ607" s="38"/>
      <c r="AK607" s="38"/>
      <c r="AL607" s="38"/>
      <c r="AM607" s="38"/>
      <c r="AN607" s="38"/>
      <c r="AO607" s="38"/>
      <c r="AP607" s="38"/>
      <c r="AQ607" s="38"/>
      <c r="AR607" s="38"/>
      <c r="AS607" s="38"/>
      <c r="AT607" s="38"/>
      <c r="AU607" s="38"/>
      <c r="AV607" s="38"/>
      <c r="AW607" s="38"/>
      <c r="AX607" s="38"/>
      <c r="AY607" s="38"/>
      <c r="AZ607" s="38"/>
      <c r="BA607" s="38"/>
      <c r="BB607" s="38"/>
      <c r="BC607" s="38"/>
      <c r="BD607" s="38"/>
      <c r="BE607" s="38"/>
      <c r="BF607" s="38"/>
      <c r="BG607" s="38"/>
      <c r="BH607" s="38"/>
      <c r="BI607" s="38"/>
      <c r="BJ607" s="38"/>
    </row>
    <row r="608" spans="2:62" ht="15.75" customHeight="1">
      <c r="B608" s="3"/>
      <c r="C608" s="80"/>
      <c r="D608" s="80"/>
      <c r="E608" s="80"/>
      <c r="F608" s="80"/>
      <c r="G608" s="80"/>
      <c r="H608" s="80"/>
      <c r="I608" s="80"/>
      <c r="J608" s="80"/>
      <c r="K608" s="80"/>
      <c r="L608" s="80"/>
      <c r="M608" s="80"/>
      <c r="N608" s="80"/>
      <c r="O608" s="80"/>
      <c r="P608" s="80"/>
      <c r="Q608" s="80"/>
      <c r="R608" s="80"/>
      <c r="S608" s="80"/>
      <c r="T608" s="80"/>
      <c r="U608" s="80"/>
      <c r="V608" s="80"/>
      <c r="W608" s="80"/>
      <c r="X608" s="80"/>
      <c r="Y608" s="38"/>
      <c r="Z608" s="38"/>
      <c r="AA608" s="38"/>
      <c r="AB608" s="38"/>
      <c r="AC608" s="38"/>
      <c r="AD608" s="38"/>
      <c r="AE608" s="38"/>
      <c r="AF608" s="38"/>
      <c r="AG608" s="38"/>
      <c r="AH608" s="38"/>
      <c r="AI608" s="38"/>
      <c r="AJ608" s="38"/>
      <c r="AK608" s="38"/>
      <c r="AL608" s="38"/>
      <c r="AM608" s="38"/>
      <c r="AN608" s="38"/>
      <c r="AO608" s="38"/>
      <c r="AP608" s="38"/>
      <c r="AQ608" s="38"/>
      <c r="AR608" s="38"/>
      <c r="AS608" s="38"/>
      <c r="AT608" s="38"/>
      <c r="AU608" s="38"/>
      <c r="AV608" s="38"/>
      <c r="AW608" s="38"/>
      <c r="AX608" s="38"/>
      <c r="AY608" s="38"/>
      <c r="AZ608" s="38"/>
      <c r="BA608" s="38"/>
      <c r="BB608" s="38"/>
      <c r="BC608" s="38"/>
      <c r="BD608" s="38"/>
      <c r="BE608" s="38"/>
      <c r="BF608" s="38"/>
      <c r="BG608" s="38"/>
      <c r="BH608" s="38"/>
      <c r="BI608" s="38"/>
      <c r="BJ608" s="38"/>
    </row>
    <row r="609" spans="2:62" ht="15.75" customHeight="1">
      <c r="B609" s="3"/>
      <c r="C609" s="80"/>
      <c r="D609" s="80"/>
      <c r="E609" s="80"/>
      <c r="F609" s="80"/>
      <c r="G609" s="80"/>
      <c r="H609" s="80"/>
      <c r="I609" s="80"/>
      <c r="J609" s="80"/>
      <c r="K609" s="80"/>
      <c r="L609" s="80"/>
      <c r="M609" s="80"/>
      <c r="N609" s="80"/>
      <c r="O609" s="80"/>
      <c r="P609" s="80"/>
      <c r="Q609" s="80"/>
      <c r="R609" s="80"/>
      <c r="S609" s="80"/>
      <c r="T609" s="80"/>
      <c r="U609" s="80"/>
      <c r="V609" s="80"/>
      <c r="W609" s="80"/>
      <c r="X609" s="80"/>
      <c r="Y609" s="38"/>
      <c r="Z609" s="38"/>
      <c r="AA609" s="38"/>
      <c r="AB609" s="38"/>
      <c r="AC609" s="38"/>
      <c r="AD609" s="38"/>
      <c r="AE609" s="38"/>
      <c r="AF609" s="38"/>
      <c r="AG609" s="38"/>
      <c r="AH609" s="38"/>
      <c r="AI609" s="38"/>
      <c r="AJ609" s="38"/>
      <c r="AK609" s="38"/>
      <c r="AL609" s="38"/>
      <c r="AM609" s="38"/>
      <c r="AN609" s="38"/>
      <c r="AO609" s="38"/>
      <c r="AP609" s="38"/>
      <c r="AQ609" s="38"/>
      <c r="AR609" s="38"/>
      <c r="AS609" s="38"/>
      <c r="AT609" s="38"/>
      <c r="AU609" s="38"/>
      <c r="AV609" s="38"/>
      <c r="AW609" s="38"/>
      <c r="AX609" s="38"/>
      <c r="AY609" s="38"/>
      <c r="AZ609" s="38"/>
      <c r="BA609" s="38"/>
      <c r="BB609" s="38"/>
      <c r="BC609" s="38"/>
      <c r="BD609" s="38"/>
      <c r="BE609" s="38"/>
      <c r="BF609" s="38"/>
      <c r="BG609" s="38"/>
      <c r="BH609" s="38"/>
      <c r="BI609" s="38"/>
      <c r="BJ609" s="38"/>
    </row>
    <row r="610" spans="2:62" ht="15.75" customHeight="1">
      <c r="B610" s="3"/>
      <c r="C610" s="80"/>
      <c r="D610" s="80"/>
      <c r="E610" s="80"/>
      <c r="F610" s="80"/>
      <c r="G610" s="80"/>
      <c r="H610" s="80"/>
      <c r="I610" s="80"/>
      <c r="J610" s="80"/>
      <c r="K610" s="80"/>
      <c r="L610" s="80"/>
      <c r="M610" s="80"/>
      <c r="N610" s="80"/>
      <c r="O610" s="80"/>
      <c r="P610" s="80"/>
      <c r="Q610" s="80"/>
      <c r="R610" s="80"/>
      <c r="S610" s="80"/>
      <c r="T610" s="80"/>
      <c r="U610" s="80"/>
      <c r="V610" s="80"/>
      <c r="W610" s="80"/>
      <c r="X610" s="80"/>
      <c r="Y610" s="38"/>
      <c r="Z610" s="38"/>
      <c r="AA610" s="38"/>
      <c r="AB610" s="38"/>
      <c r="AC610" s="38"/>
      <c r="AD610" s="38"/>
      <c r="AE610" s="38"/>
      <c r="AF610" s="38"/>
      <c r="AG610" s="38"/>
      <c r="AH610" s="38"/>
      <c r="AI610" s="38"/>
      <c r="AJ610" s="38"/>
      <c r="AK610" s="38"/>
      <c r="AL610" s="38"/>
      <c r="AM610" s="38"/>
      <c r="AN610" s="38"/>
      <c r="AO610" s="38"/>
      <c r="AP610" s="38"/>
      <c r="AQ610" s="38"/>
      <c r="AR610" s="38"/>
      <c r="AS610" s="38"/>
      <c r="AT610" s="38"/>
      <c r="AU610" s="38"/>
      <c r="AV610" s="38"/>
      <c r="AW610" s="38"/>
      <c r="AX610" s="38"/>
      <c r="AY610" s="38"/>
      <c r="AZ610" s="38"/>
      <c r="BA610" s="38"/>
      <c r="BB610" s="38"/>
      <c r="BC610" s="38"/>
      <c r="BD610" s="38"/>
      <c r="BE610" s="38"/>
      <c r="BF610" s="38"/>
      <c r="BG610" s="38"/>
      <c r="BH610" s="38"/>
      <c r="BI610" s="38"/>
      <c r="BJ610" s="38"/>
    </row>
    <row r="611" spans="2:62" ht="15.75" customHeight="1">
      <c r="B611" s="3"/>
      <c r="C611" s="80"/>
      <c r="D611" s="80"/>
      <c r="E611" s="80"/>
      <c r="F611" s="80"/>
      <c r="G611" s="80"/>
      <c r="H611" s="80"/>
      <c r="I611" s="80"/>
      <c r="J611" s="80"/>
      <c r="K611" s="80"/>
      <c r="L611" s="80"/>
      <c r="M611" s="80"/>
      <c r="N611" s="80"/>
      <c r="O611" s="80"/>
      <c r="P611" s="80"/>
      <c r="Q611" s="80"/>
      <c r="R611" s="80"/>
      <c r="S611" s="80"/>
      <c r="T611" s="80"/>
      <c r="U611" s="80"/>
      <c r="V611" s="80"/>
      <c r="W611" s="80"/>
      <c r="X611" s="80"/>
      <c r="Y611" s="38"/>
      <c r="Z611" s="38"/>
      <c r="AA611" s="38"/>
      <c r="AB611" s="38"/>
      <c r="AC611" s="38"/>
      <c r="AD611" s="38"/>
      <c r="AE611" s="38"/>
      <c r="AF611" s="38"/>
      <c r="AG611" s="38"/>
      <c r="AH611" s="38"/>
      <c r="AI611" s="38"/>
      <c r="AJ611" s="38"/>
      <c r="AK611" s="38"/>
      <c r="AL611" s="38"/>
      <c r="AM611" s="38"/>
      <c r="AN611" s="38"/>
      <c r="AO611" s="38"/>
      <c r="AP611" s="38"/>
      <c r="AQ611" s="38"/>
      <c r="AR611" s="38"/>
      <c r="AS611" s="38"/>
      <c r="AT611" s="38"/>
      <c r="AU611" s="38"/>
      <c r="AV611" s="38"/>
      <c r="AW611" s="38"/>
      <c r="AX611" s="38"/>
      <c r="AY611" s="38"/>
      <c r="AZ611" s="38"/>
      <c r="BA611" s="38"/>
      <c r="BB611" s="38"/>
      <c r="BC611" s="38"/>
      <c r="BD611" s="38"/>
      <c r="BE611" s="38"/>
      <c r="BF611" s="38"/>
      <c r="BG611" s="38"/>
      <c r="BH611" s="38"/>
      <c r="BI611" s="38"/>
      <c r="BJ611" s="38"/>
    </row>
    <row r="612" spans="2:62" ht="15.75" customHeight="1">
      <c r="B612" s="3"/>
      <c r="C612" s="80"/>
      <c r="D612" s="80"/>
      <c r="E612" s="80"/>
      <c r="F612" s="80"/>
      <c r="G612" s="80"/>
      <c r="H612" s="80"/>
      <c r="I612" s="80"/>
      <c r="J612" s="80"/>
      <c r="K612" s="80"/>
      <c r="L612" s="80"/>
      <c r="M612" s="80"/>
      <c r="N612" s="80"/>
      <c r="O612" s="80"/>
      <c r="P612" s="80"/>
      <c r="Q612" s="80"/>
      <c r="R612" s="80"/>
      <c r="S612" s="80"/>
      <c r="T612" s="80"/>
      <c r="U612" s="80"/>
      <c r="V612" s="80"/>
      <c r="W612" s="80"/>
      <c r="X612" s="80"/>
      <c r="Y612" s="38"/>
      <c r="Z612" s="38"/>
      <c r="AA612" s="38"/>
      <c r="AB612" s="38"/>
      <c r="AC612" s="38"/>
      <c r="AD612" s="38"/>
      <c r="AE612" s="38"/>
      <c r="AF612" s="38"/>
      <c r="AG612" s="38"/>
      <c r="AH612" s="38"/>
      <c r="AI612" s="38"/>
      <c r="AJ612" s="38"/>
      <c r="AK612" s="38"/>
      <c r="AL612" s="38"/>
      <c r="AM612" s="38"/>
      <c r="AN612" s="38"/>
      <c r="AO612" s="38"/>
      <c r="AP612" s="38"/>
      <c r="AQ612" s="38"/>
      <c r="AR612" s="38"/>
      <c r="AS612" s="38"/>
      <c r="AT612" s="38"/>
      <c r="AU612" s="38"/>
      <c r="AV612" s="38"/>
      <c r="AW612" s="38"/>
      <c r="AX612" s="38"/>
      <c r="AY612" s="38"/>
      <c r="AZ612" s="38"/>
      <c r="BA612" s="38"/>
      <c r="BB612" s="38"/>
      <c r="BC612" s="38"/>
      <c r="BD612" s="38"/>
      <c r="BE612" s="38"/>
      <c r="BF612" s="38"/>
      <c r="BG612" s="38"/>
      <c r="BH612" s="38"/>
      <c r="BI612" s="38"/>
      <c r="BJ612" s="38"/>
    </row>
    <row r="613" spans="2:62" ht="15.75" customHeight="1">
      <c r="B613" s="3"/>
      <c r="C613" s="80"/>
      <c r="D613" s="80"/>
      <c r="E613" s="80"/>
      <c r="F613" s="80"/>
      <c r="G613" s="80"/>
      <c r="H613" s="80"/>
      <c r="I613" s="80"/>
      <c r="J613" s="80"/>
      <c r="K613" s="80"/>
      <c r="L613" s="80"/>
      <c r="M613" s="80"/>
      <c r="N613" s="80"/>
      <c r="O613" s="80"/>
      <c r="P613" s="80"/>
      <c r="Q613" s="80"/>
      <c r="R613" s="80"/>
      <c r="S613" s="80"/>
      <c r="T613" s="80"/>
      <c r="U613" s="80"/>
      <c r="V613" s="80"/>
      <c r="W613" s="80"/>
      <c r="X613" s="80"/>
      <c r="Y613" s="38"/>
      <c r="Z613" s="38"/>
      <c r="AA613" s="38"/>
      <c r="AB613" s="38"/>
      <c r="AC613" s="38"/>
      <c r="AD613" s="38"/>
      <c r="AE613" s="38"/>
      <c r="AF613" s="38"/>
      <c r="AG613" s="38"/>
      <c r="AH613" s="38"/>
      <c r="AI613" s="38"/>
      <c r="AJ613" s="38"/>
      <c r="AK613" s="38"/>
      <c r="AL613" s="38"/>
      <c r="AM613" s="38"/>
      <c r="AN613" s="38"/>
      <c r="AO613" s="38"/>
      <c r="AP613" s="38"/>
      <c r="AQ613" s="38"/>
      <c r="AR613" s="38"/>
      <c r="AS613" s="38"/>
      <c r="AT613" s="38"/>
      <c r="AU613" s="38"/>
      <c r="AV613" s="38"/>
      <c r="AW613" s="38"/>
      <c r="AX613" s="38"/>
      <c r="AY613" s="38"/>
      <c r="AZ613" s="38"/>
      <c r="BA613" s="38"/>
      <c r="BB613" s="38"/>
      <c r="BC613" s="38"/>
      <c r="BD613" s="38"/>
      <c r="BE613" s="38"/>
      <c r="BF613" s="38"/>
      <c r="BG613" s="38"/>
      <c r="BH613" s="38"/>
      <c r="BI613" s="38"/>
      <c r="BJ613" s="38"/>
    </row>
    <row r="614" spans="2:62" ht="15.75" customHeight="1">
      <c r="B614" s="3"/>
      <c r="C614" s="80"/>
      <c r="D614" s="80"/>
      <c r="E614" s="80"/>
      <c r="F614" s="80"/>
      <c r="G614" s="80"/>
      <c r="H614" s="80"/>
      <c r="I614" s="80"/>
      <c r="J614" s="80"/>
      <c r="K614" s="80"/>
      <c r="L614" s="80"/>
      <c r="M614" s="80"/>
      <c r="N614" s="80"/>
      <c r="O614" s="80"/>
      <c r="P614" s="80"/>
      <c r="Q614" s="80"/>
      <c r="R614" s="80"/>
      <c r="S614" s="80"/>
      <c r="T614" s="80"/>
      <c r="U614" s="80"/>
      <c r="V614" s="80"/>
      <c r="W614" s="80"/>
      <c r="X614" s="80"/>
      <c r="Y614" s="38"/>
      <c r="Z614" s="38"/>
      <c r="AA614" s="38"/>
      <c r="AB614" s="38"/>
      <c r="AC614" s="38"/>
      <c r="AD614" s="38"/>
      <c r="AE614" s="38"/>
      <c r="AF614" s="38"/>
      <c r="AG614" s="38"/>
      <c r="AH614" s="38"/>
      <c r="AI614" s="38"/>
      <c r="AJ614" s="38"/>
      <c r="AK614" s="38"/>
      <c r="AL614" s="38"/>
      <c r="AM614" s="38"/>
      <c r="AN614" s="38"/>
      <c r="AO614" s="38"/>
      <c r="AP614" s="38"/>
      <c r="AQ614" s="38"/>
      <c r="AR614" s="38"/>
      <c r="AS614" s="38"/>
      <c r="AT614" s="38"/>
      <c r="AU614" s="38"/>
      <c r="AV614" s="38"/>
      <c r="AW614" s="38"/>
      <c r="AX614" s="38"/>
      <c r="AY614" s="38"/>
      <c r="AZ614" s="38"/>
      <c r="BA614" s="38"/>
      <c r="BB614" s="38"/>
      <c r="BC614" s="38"/>
      <c r="BD614" s="38"/>
      <c r="BE614" s="38"/>
      <c r="BF614" s="38"/>
      <c r="BG614" s="38"/>
      <c r="BH614" s="38"/>
      <c r="BI614" s="38"/>
      <c r="BJ614" s="38"/>
    </row>
    <row r="615" spans="2:62" ht="15.75" customHeight="1">
      <c r="B615" s="3"/>
      <c r="C615" s="80"/>
      <c r="D615" s="80"/>
      <c r="E615" s="80"/>
      <c r="F615" s="80"/>
      <c r="G615" s="80"/>
      <c r="H615" s="80"/>
      <c r="I615" s="80"/>
      <c r="J615" s="80"/>
      <c r="K615" s="80"/>
      <c r="L615" s="80"/>
      <c r="M615" s="80"/>
      <c r="N615" s="80"/>
      <c r="O615" s="80"/>
      <c r="P615" s="80"/>
      <c r="Q615" s="80"/>
      <c r="R615" s="80"/>
      <c r="S615" s="80"/>
      <c r="T615" s="80"/>
      <c r="U615" s="80"/>
      <c r="V615" s="80"/>
      <c r="W615" s="80"/>
      <c r="X615" s="80"/>
      <c r="Y615" s="38"/>
      <c r="Z615" s="38"/>
      <c r="AA615" s="38"/>
      <c r="AB615" s="38"/>
      <c r="AC615" s="38"/>
      <c r="AD615" s="38"/>
      <c r="AE615" s="38"/>
      <c r="AF615" s="38"/>
      <c r="AG615" s="38"/>
      <c r="AH615" s="38"/>
      <c r="AI615" s="38"/>
      <c r="AJ615" s="38"/>
      <c r="AK615" s="38"/>
      <c r="AL615" s="38"/>
      <c r="AM615" s="38"/>
      <c r="AN615" s="38"/>
      <c r="AO615" s="38"/>
      <c r="AP615" s="38"/>
      <c r="AQ615" s="38"/>
      <c r="AR615" s="38"/>
      <c r="AS615" s="38"/>
      <c r="AT615" s="38"/>
      <c r="AU615" s="38"/>
      <c r="AV615" s="38"/>
      <c r="AW615" s="38"/>
      <c r="AX615" s="38"/>
      <c r="AY615" s="38"/>
      <c r="AZ615" s="38"/>
      <c r="BA615" s="38"/>
      <c r="BB615" s="38"/>
      <c r="BC615" s="38"/>
      <c r="BD615" s="38"/>
      <c r="BE615" s="38"/>
      <c r="BF615" s="38"/>
      <c r="BG615" s="38"/>
      <c r="BH615" s="38"/>
      <c r="BI615" s="38"/>
      <c r="BJ615" s="38"/>
    </row>
    <row r="616" spans="2:62" ht="15.75" customHeight="1">
      <c r="B616" s="3"/>
      <c r="C616" s="80"/>
      <c r="D616" s="80"/>
      <c r="E616" s="80"/>
      <c r="F616" s="80"/>
      <c r="G616" s="80"/>
      <c r="H616" s="80"/>
      <c r="I616" s="80"/>
      <c r="J616" s="80"/>
      <c r="K616" s="80"/>
      <c r="L616" s="80"/>
      <c r="M616" s="80"/>
      <c r="N616" s="80"/>
      <c r="O616" s="80"/>
      <c r="P616" s="80"/>
      <c r="Q616" s="80"/>
      <c r="R616" s="80"/>
      <c r="S616" s="80"/>
      <c r="T616" s="80"/>
      <c r="U616" s="80"/>
      <c r="V616" s="80"/>
      <c r="W616" s="80"/>
      <c r="X616" s="80"/>
      <c r="Y616" s="38"/>
      <c r="Z616" s="38"/>
      <c r="AA616" s="38"/>
      <c r="AB616" s="38"/>
      <c r="AC616" s="38"/>
      <c r="AD616" s="38"/>
      <c r="AE616" s="38"/>
      <c r="AF616" s="38"/>
      <c r="AG616" s="38"/>
      <c r="AH616" s="38"/>
      <c r="AI616" s="38"/>
      <c r="AJ616" s="38"/>
      <c r="AK616" s="38"/>
      <c r="AL616" s="38"/>
      <c r="AM616" s="38"/>
      <c r="AN616" s="38"/>
      <c r="AO616" s="38"/>
      <c r="AP616" s="38"/>
      <c r="AQ616" s="38"/>
      <c r="AR616" s="38"/>
      <c r="AS616" s="38"/>
      <c r="AT616" s="38"/>
      <c r="AU616" s="38"/>
      <c r="AV616" s="38"/>
      <c r="AW616" s="38"/>
      <c r="AX616" s="38"/>
      <c r="AY616" s="38"/>
      <c r="AZ616" s="38"/>
      <c r="BA616" s="38"/>
      <c r="BB616" s="38"/>
      <c r="BC616" s="38"/>
      <c r="BD616" s="38"/>
      <c r="BE616" s="38"/>
      <c r="BF616" s="38"/>
      <c r="BG616" s="38"/>
      <c r="BH616" s="38"/>
      <c r="BI616" s="38"/>
      <c r="BJ616" s="38"/>
    </row>
    <row r="617" spans="2:62" ht="15.75" customHeight="1">
      <c r="B617" s="3"/>
      <c r="C617" s="80"/>
      <c r="D617" s="80"/>
      <c r="E617" s="80"/>
      <c r="F617" s="80"/>
      <c r="G617" s="80"/>
      <c r="H617" s="80"/>
      <c r="I617" s="80"/>
      <c r="J617" s="80"/>
      <c r="K617" s="80"/>
      <c r="L617" s="80"/>
      <c r="M617" s="80"/>
      <c r="N617" s="80"/>
      <c r="O617" s="80"/>
      <c r="P617" s="80"/>
      <c r="Q617" s="80"/>
      <c r="R617" s="80"/>
      <c r="S617" s="80"/>
      <c r="T617" s="80"/>
      <c r="U617" s="80"/>
      <c r="V617" s="80"/>
      <c r="W617" s="80"/>
      <c r="X617" s="80"/>
      <c r="Y617" s="38"/>
      <c r="Z617" s="38"/>
      <c r="AA617" s="38"/>
      <c r="AB617" s="38"/>
      <c r="AC617" s="38"/>
      <c r="AD617" s="38"/>
      <c r="AE617" s="38"/>
      <c r="AF617" s="38"/>
      <c r="AG617" s="38"/>
      <c r="AH617" s="38"/>
      <c r="AI617" s="38"/>
      <c r="AJ617" s="38"/>
      <c r="AK617" s="38"/>
      <c r="AL617" s="38"/>
      <c r="AM617" s="38"/>
      <c r="AN617" s="38"/>
      <c r="AO617" s="38"/>
      <c r="AP617" s="38"/>
      <c r="AQ617" s="38"/>
      <c r="AR617" s="38"/>
      <c r="AS617" s="38"/>
      <c r="AT617" s="38"/>
      <c r="AU617" s="38"/>
      <c r="AV617" s="38"/>
      <c r="AW617" s="38"/>
      <c r="AX617" s="38"/>
      <c r="AY617" s="38"/>
      <c r="AZ617" s="38"/>
      <c r="BA617" s="38"/>
      <c r="BB617" s="38"/>
      <c r="BC617" s="38"/>
      <c r="BD617" s="38"/>
      <c r="BE617" s="38"/>
      <c r="BF617" s="38"/>
      <c r="BG617" s="38"/>
      <c r="BH617" s="38"/>
      <c r="BI617" s="38"/>
      <c r="BJ617" s="38"/>
    </row>
    <row r="618" spans="2:62" ht="15.75" customHeight="1">
      <c r="B618" s="3"/>
      <c r="C618" s="80"/>
      <c r="D618" s="80"/>
      <c r="E618" s="80"/>
      <c r="F618" s="80"/>
      <c r="G618" s="80"/>
      <c r="H618" s="80"/>
      <c r="I618" s="80"/>
      <c r="J618" s="80"/>
      <c r="K618" s="80"/>
      <c r="L618" s="80"/>
      <c r="M618" s="80"/>
      <c r="N618" s="80"/>
      <c r="O618" s="80"/>
      <c r="P618" s="80"/>
      <c r="Q618" s="80"/>
      <c r="R618" s="80"/>
      <c r="S618" s="80"/>
      <c r="T618" s="80"/>
      <c r="U618" s="80"/>
      <c r="V618" s="80"/>
      <c r="W618" s="80"/>
      <c r="X618" s="80"/>
      <c r="Y618" s="38"/>
      <c r="Z618" s="38"/>
      <c r="AA618" s="38"/>
      <c r="AB618" s="38"/>
      <c r="AC618" s="38"/>
      <c r="AD618" s="38"/>
      <c r="AE618" s="38"/>
      <c r="AF618" s="38"/>
      <c r="AG618" s="38"/>
      <c r="AH618" s="38"/>
      <c r="AI618" s="38"/>
      <c r="AJ618" s="38"/>
      <c r="AK618" s="38"/>
      <c r="AL618" s="38"/>
      <c r="AM618" s="38"/>
      <c r="AN618" s="38"/>
      <c r="AO618" s="38"/>
      <c r="AP618" s="38"/>
      <c r="AQ618" s="38"/>
      <c r="AR618" s="38"/>
      <c r="AS618" s="38"/>
      <c r="AT618" s="38"/>
      <c r="AU618" s="38"/>
      <c r="AV618" s="38"/>
      <c r="AW618" s="38"/>
      <c r="AX618" s="38"/>
      <c r="AY618" s="38"/>
      <c r="AZ618" s="38"/>
      <c r="BA618" s="38"/>
      <c r="BB618" s="38"/>
      <c r="BC618" s="38"/>
      <c r="BD618" s="38"/>
      <c r="BE618" s="38"/>
      <c r="BF618" s="38"/>
      <c r="BG618" s="38"/>
      <c r="BH618" s="38"/>
      <c r="BI618" s="38"/>
      <c r="BJ618" s="38"/>
    </row>
    <row r="619" spans="2:62" ht="15.75" customHeight="1">
      <c r="B619" s="3"/>
      <c r="C619" s="80"/>
      <c r="D619" s="80"/>
      <c r="E619" s="80"/>
      <c r="F619" s="80"/>
      <c r="G619" s="80"/>
      <c r="H619" s="80"/>
      <c r="I619" s="80"/>
      <c r="J619" s="80"/>
      <c r="K619" s="80"/>
      <c r="L619" s="80"/>
      <c r="M619" s="80"/>
      <c r="N619" s="80"/>
      <c r="O619" s="80"/>
      <c r="P619" s="80"/>
      <c r="Q619" s="80"/>
      <c r="R619" s="80"/>
      <c r="S619" s="80"/>
      <c r="T619" s="80"/>
      <c r="U619" s="80"/>
      <c r="V619" s="80"/>
      <c r="W619" s="80"/>
      <c r="X619" s="80"/>
      <c r="Y619" s="38"/>
      <c r="Z619" s="38"/>
      <c r="AA619" s="38"/>
      <c r="AB619" s="38"/>
      <c r="AC619" s="38"/>
      <c r="AD619" s="38"/>
      <c r="AE619" s="38"/>
      <c r="AF619" s="38"/>
      <c r="AG619" s="38"/>
      <c r="AH619" s="38"/>
      <c r="AI619" s="38"/>
      <c r="AJ619" s="38"/>
      <c r="AK619" s="38"/>
      <c r="AL619" s="38"/>
      <c r="AM619" s="38"/>
      <c r="AN619" s="38"/>
      <c r="AO619" s="38"/>
      <c r="AP619" s="38"/>
      <c r="AQ619" s="38"/>
      <c r="AR619" s="38"/>
      <c r="AS619" s="38"/>
      <c r="AT619" s="38"/>
      <c r="AU619" s="38"/>
      <c r="AV619" s="38"/>
      <c r="AW619" s="38"/>
      <c r="AX619" s="38"/>
      <c r="AY619" s="38"/>
      <c r="AZ619" s="38"/>
      <c r="BA619" s="38"/>
      <c r="BB619" s="38"/>
      <c r="BC619" s="38"/>
      <c r="BD619" s="38"/>
      <c r="BE619" s="38"/>
      <c r="BF619" s="38"/>
      <c r="BG619" s="38"/>
      <c r="BH619" s="38"/>
      <c r="BI619" s="38"/>
      <c r="BJ619" s="38"/>
    </row>
    <row r="620" spans="2:62" ht="15.75" customHeight="1">
      <c r="B620" s="3"/>
      <c r="C620" s="80"/>
      <c r="D620" s="80"/>
      <c r="E620" s="80"/>
      <c r="F620" s="80"/>
      <c r="G620" s="80"/>
      <c r="H620" s="80"/>
      <c r="I620" s="80"/>
      <c r="J620" s="80"/>
      <c r="K620" s="80"/>
      <c r="L620" s="80"/>
      <c r="M620" s="80"/>
      <c r="N620" s="80"/>
      <c r="O620" s="80"/>
      <c r="P620" s="80"/>
      <c r="Q620" s="80"/>
      <c r="R620" s="80"/>
      <c r="S620" s="80"/>
      <c r="T620" s="80"/>
      <c r="U620" s="80"/>
      <c r="V620" s="80"/>
      <c r="W620" s="80"/>
      <c r="X620" s="80"/>
      <c r="Y620" s="38"/>
      <c r="Z620" s="38"/>
      <c r="AA620" s="38"/>
      <c r="AB620" s="38"/>
      <c r="AC620" s="38"/>
      <c r="AD620" s="38"/>
      <c r="AE620" s="38"/>
      <c r="AF620" s="38"/>
      <c r="AG620" s="38"/>
      <c r="AH620" s="38"/>
      <c r="AI620" s="38"/>
      <c r="AJ620" s="38"/>
      <c r="AK620" s="38"/>
      <c r="AL620" s="38"/>
      <c r="AM620" s="38"/>
      <c r="AN620" s="38"/>
      <c r="AO620" s="38"/>
      <c r="AP620" s="38"/>
      <c r="AQ620" s="38"/>
      <c r="AR620" s="38"/>
      <c r="AS620" s="38"/>
      <c r="AT620" s="38"/>
      <c r="AU620" s="38"/>
      <c r="AV620" s="38"/>
      <c r="AW620" s="38"/>
      <c r="AX620" s="38"/>
      <c r="AY620" s="38"/>
      <c r="AZ620" s="38"/>
      <c r="BA620" s="38"/>
      <c r="BB620" s="38"/>
      <c r="BC620" s="38"/>
      <c r="BD620" s="38"/>
      <c r="BE620" s="38"/>
      <c r="BF620" s="38"/>
      <c r="BG620" s="38"/>
      <c r="BH620" s="38"/>
      <c r="BI620" s="38"/>
      <c r="BJ620" s="38"/>
    </row>
    <row r="621" spans="2:62" ht="15.75" customHeight="1">
      <c r="B621" s="3"/>
      <c r="C621" s="80"/>
      <c r="D621" s="80"/>
      <c r="E621" s="80"/>
      <c r="F621" s="80"/>
      <c r="G621" s="80"/>
      <c r="H621" s="80"/>
      <c r="I621" s="80"/>
      <c r="J621" s="80"/>
      <c r="K621" s="80"/>
      <c r="L621" s="80"/>
      <c r="M621" s="80"/>
      <c r="N621" s="80"/>
      <c r="O621" s="80"/>
      <c r="P621" s="80"/>
      <c r="Q621" s="80"/>
      <c r="R621" s="80"/>
      <c r="S621" s="80"/>
      <c r="T621" s="80"/>
      <c r="U621" s="80"/>
      <c r="V621" s="80"/>
      <c r="W621" s="80"/>
      <c r="X621" s="80"/>
      <c r="Y621" s="38"/>
      <c r="Z621" s="38"/>
      <c r="AA621" s="38"/>
      <c r="AB621" s="38"/>
      <c r="AC621" s="38"/>
      <c r="AD621" s="38"/>
      <c r="AE621" s="38"/>
      <c r="AF621" s="38"/>
      <c r="AG621" s="38"/>
      <c r="AH621" s="38"/>
      <c r="AI621" s="38"/>
      <c r="AJ621" s="38"/>
      <c r="AK621" s="38"/>
      <c r="AL621" s="38"/>
      <c r="AM621" s="38"/>
      <c r="AN621" s="38"/>
      <c r="AO621" s="38"/>
      <c r="AP621" s="38"/>
      <c r="AQ621" s="38"/>
      <c r="AR621" s="38"/>
      <c r="AS621" s="38"/>
      <c r="AT621" s="38"/>
      <c r="AU621" s="38"/>
      <c r="AV621" s="38"/>
      <c r="AW621" s="38"/>
      <c r="AX621" s="38"/>
      <c r="AY621" s="38"/>
      <c r="AZ621" s="38"/>
      <c r="BA621" s="38"/>
      <c r="BB621" s="38"/>
      <c r="BC621" s="38"/>
      <c r="BD621" s="38"/>
      <c r="BE621" s="38"/>
      <c r="BF621" s="38"/>
      <c r="BG621" s="38"/>
      <c r="BH621" s="38"/>
      <c r="BI621" s="38"/>
      <c r="BJ621" s="38"/>
    </row>
    <row r="622" spans="2:62" ht="15.75" customHeight="1">
      <c r="B622" s="3"/>
      <c r="C622" s="80"/>
      <c r="D622" s="80"/>
      <c r="E622" s="80"/>
      <c r="F622" s="80"/>
      <c r="G622" s="80"/>
      <c r="H622" s="80"/>
      <c r="I622" s="80"/>
      <c r="J622" s="80"/>
      <c r="K622" s="80"/>
      <c r="L622" s="80"/>
      <c r="M622" s="80"/>
      <c r="N622" s="80"/>
      <c r="O622" s="80"/>
      <c r="P622" s="80"/>
      <c r="Q622" s="80"/>
      <c r="R622" s="80"/>
      <c r="S622" s="80"/>
      <c r="T622" s="80"/>
      <c r="U622" s="80"/>
      <c r="V622" s="80"/>
      <c r="W622" s="80"/>
      <c r="X622" s="80"/>
      <c r="Y622" s="38"/>
      <c r="Z622" s="38"/>
      <c r="AA622" s="38"/>
      <c r="AB622" s="38"/>
      <c r="AC622" s="38"/>
      <c r="AD622" s="38"/>
      <c r="AE622" s="38"/>
      <c r="AF622" s="38"/>
      <c r="AG622" s="38"/>
      <c r="AH622" s="38"/>
      <c r="AI622" s="38"/>
      <c r="AJ622" s="38"/>
      <c r="AK622" s="38"/>
      <c r="AL622" s="38"/>
      <c r="AM622" s="38"/>
      <c r="AN622" s="38"/>
      <c r="AO622" s="38"/>
      <c r="AP622" s="38"/>
      <c r="AQ622" s="38"/>
      <c r="AR622" s="38"/>
      <c r="AS622" s="38"/>
      <c r="AT622" s="38"/>
      <c r="AU622" s="38"/>
      <c r="AV622" s="38"/>
      <c r="AW622" s="38"/>
      <c r="AX622" s="38"/>
      <c r="AY622" s="38"/>
      <c r="AZ622" s="38"/>
      <c r="BA622" s="38"/>
      <c r="BB622" s="38"/>
      <c r="BC622" s="38"/>
      <c r="BD622" s="38"/>
      <c r="BE622" s="38"/>
      <c r="BF622" s="38"/>
      <c r="BG622" s="38"/>
      <c r="BH622" s="38"/>
      <c r="BI622" s="38"/>
      <c r="BJ622" s="38"/>
    </row>
    <row r="623" spans="2:62" ht="15.75" customHeight="1">
      <c r="B623" s="3"/>
      <c r="C623" s="80"/>
      <c r="D623" s="80"/>
      <c r="E623" s="80"/>
      <c r="F623" s="80"/>
      <c r="G623" s="80"/>
      <c r="H623" s="80"/>
      <c r="I623" s="80"/>
      <c r="J623" s="80"/>
      <c r="K623" s="80"/>
      <c r="L623" s="80"/>
      <c r="M623" s="80"/>
      <c r="N623" s="80"/>
      <c r="O623" s="80"/>
      <c r="P623" s="80"/>
      <c r="Q623" s="80"/>
      <c r="R623" s="80"/>
      <c r="S623" s="80"/>
      <c r="T623" s="80"/>
      <c r="U623" s="80"/>
      <c r="V623" s="80"/>
      <c r="W623" s="80"/>
      <c r="X623" s="80"/>
      <c r="Y623" s="38"/>
      <c r="Z623" s="38"/>
      <c r="AA623" s="38"/>
      <c r="AB623" s="38"/>
      <c r="AC623" s="38"/>
      <c r="AD623" s="38"/>
      <c r="AE623" s="38"/>
      <c r="AF623" s="38"/>
      <c r="AG623" s="38"/>
      <c r="AH623" s="38"/>
      <c r="AI623" s="38"/>
      <c r="AJ623" s="38"/>
      <c r="AK623" s="38"/>
      <c r="AL623" s="38"/>
      <c r="AM623" s="38"/>
      <c r="AN623" s="38"/>
      <c r="AO623" s="38"/>
      <c r="AP623" s="38"/>
      <c r="AQ623" s="38"/>
      <c r="AR623" s="38"/>
      <c r="AS623" s="38"/>
      <c r="AT623" s="38"/>
      <c r="AU623" s="38"/>
      <c r="AV623" s="38"/>
      <c r="AW623" s="38"/>
      <c r="AX623" s="38"/>
      <c r="AY623" s="38"/>
      <c r="AZ623" s="38"/>
      <c r="BA623" s="38"/>
      <c r="BB623" s="38"/>
      <c r="BC623" s="38"/>
      <c r="BD623" s="38"/>
      <c r="BE623" s="38"/>
      <c r="BF623" s="38"/>
      <c r="BG623" s="38"/>
      <c r="BH623" s="38"/>
      <c r="BI623" s="38"/>
      <c r="BJ623" s="38"/>
    </row>
    <row r="624" spans="2:62" ht="15.75" customHeight="1">
      <c r="B624" s="3"/>
      <c r="C624" s="80"/>
      <c r="D624" s="80"/>
      <c r="E624" s="80"/>
      <c r="F624" s="80"/>
      <c r="G624" s="80"/>
      <c r="H624" s="80"/>
      <c r="I624" s="80"/>
      <c r="J624" s="80"/>
      <c r="K624" s="80"/>
      <c r="L624" s="80"/>
      <c r="M624" s="80"/>
      <c r="N624" s="80"/>
      <c r="O624" s="80"/>
      <c r="P624" s="80"/>
      <c r="Q624" s="80"/>
      <c r="R624" s="80"/>
      <c r="S624" s="80"/>
      <c r="T624" s="80"/>
      <c r="U624" s="80"/>
      <c r="V624" s="80"/>
      <c r="W624" s="80"/>
      <c r="X624" s="80"/>
      <c r="Y624" s="38"/>
      <c r="Z624" s="38"/>
      <c r="AA624" s="38"/>
      <c r="AB624" s="38"/>
      <c r="AC624" s="38"/>
      <c r="AD624" s="38"/>
      <c r="AE624" s="38"/>
      <c r="AF624" s="38"/>
      <c r="AG624" s="38"/>
      <c r="AH624" s="38"/>
      <c r="AI624" s="38"/>
      <c r="AJ624" s="38"/>
      <c r="AK624" s="38"/>
      <c r="AL624" s="38"/>
      <c r="AM624" s="38"/>
      <c r="AN624" s="38"/>
      <c r="AO624" s="38"/>
      <c r="AP624" s="38"/>
      <c r="AQ624" s="38"/>
      <c r="AR624" s="38"/>
      <c r="AS624" s="38"/>
      <c r="AT624" s="38"/>
      <c r="AU624" s="38"/>
      <c r="AV624" s="38"/>
      <c r="AW624" s="38"/>
      <c r="AX624" s="38"/>
      <c r="AY624" s="38"/>
      <c r="AZ624" s="38"/>
      <c r="BA624" s="38"/>
      <c r="BB624" s="38"/>
      <c r="BC624" s="38"/>
      <c r="BD624" s="38"/>
      <c r="BE624" s="38"/>
      <c r="BF624" s="38"/>
      <c r="BG624" s="38"/>
      <c r="BH624" s="38"/>
      <c r="BI624" s="38"/>
      <c r="BJ624" s="38"/>
    </row>
    <row r="625" spans="2:62" ht="15.75" customHeight="1">
      <c r="B625" s="3"/>
      <c r="C625" s="80"/>
      <c r="D625" s="80"/>
      <c r="E625" s="80"/>
      <c r="F625" s="80"/>
      <c r="G625" s="80"/>
      <c r="H625" s="80"/>
      <c r="I625" s="80"/>
      <c r="J625" s="80"/>
      <c r="K625" s="80"/>
      <c r="L625" s="80"/>
      <c r="M625" s="80"/>
      <c r="N625" s="80"/>
      <c r="O625" s="80"/>
      <c r="P625" s="80"/>
      <c r="Q625" s="80"/>
      <c r="R625" s="80"/>
      <c r="S625" s="80"/>
      <c r="T625" s="80"/>
      <c r="U625" s="80"/>
      <c r="V625" s="80"/>
      <c r="W625" s="80"/>
      <c r="X625" s="80"/>
      <c r="Y625" s="38"/>
      <c r="Z625" s="38"/>
      <c r="AA625" s="38"/>
      <c r="AB625" s="38"/>
      <c r="AC625" s="38"/>
      <c r="AD625" s="38"/>
      <c r="AE625" s="38"/>
      <c r="AF625" s="38"/>
      <c r="AG625" s="38"/>
      <c r="AH625" s="38"/>
      <c r="AI625" s="38"/>
      <c r="AJ625" s="38"/>
      <c r="AK625" s="38"/>
      <c r="AL625" s="38"/>
      <c r="AM625" s="38"/>
      <c r="AN625" s="38"/>
      <c r="AO625" s="38"/>
      <c r="AP625" s="38"/>
      <c r="AQ625" s="38"/>
      <c r="AR625" s="38"/>
      <c r="AS625" s="38"/>
      <c r="AT625" s="38"/>
      <c r="AU625" s="38"/>
      <c r="AV625" s="38"/>
      <c r="AW625" s="38"/>
      <c r="AX625" s="38"/>
      <c r="AY625" s="38"/>
      <c r="AZ625" s="38"/>
      <c r="BA625" s="38"/>
      <c r="BB625" s="38"/>
      <c r="BC625" s="38"/>
      <c r="BD625" s="38"/>
      <c r="BE625" s="38"/>
      <c r="BF625" s="38"/>
      <c r="BG625" s="38"/>
      <c r="BH625" s="38"/>
      <c r="BI625" s="38"/>
      <c r="BJ625" s="38"/>
    </row>
    <row r="626" spans="2:62" ht="15.75" customHeight="1">
      <c r="B626" s="3"/>
      <c r="C626" s="80"/>
      <c r="D626" s="80"/>
      <c r="E626" s="80"/>
      <c r="F626" s="80"/>
      <c r="G626" s="80"/>
      <c r="H626" s="80"/>
      <c r="I626" s="80"/>
      <c r="J626" s="80"/>
      <c r="K626" s="80"/>
      <c r="L626" s="80"/>
      <c r="M626" s="80"/>
      <c r="N626" s="80"/>
      <c r="O626" s="80"/>
      <c r="P626" s="80"/>
      <c r="Q626" s="80"/>
      <c r="R626" s="80"/>
      <c r="S626" s="80"/>
      <c r="T626" s="80"/>
      <c r="U626" s="80"/>
      <c r="V626" s="80"/>
      <c r="W626" s="80"/>
      <c r="X626" s="80"/>
      <c r="Y626" s="38"/>
      <c r="Z626" s="38"/>
      <c r="AA626" s="38"/>
      <c r="AB626" s="38"/>
      <c r="AC626" s="38"/>
      <c r="AD626" s="38"/>
      <c r="AE626" s="38"/>
      <c r="AF626" s="38"/>
      <c r="AG626" s="38"/>
      <c r="AH626" s="38"/>
      <c r="AI626" s="38"/>
      <c r="AJ626" s="38"/>
      <c r="AK626" s="38"/>
      <c r="AL626" s="38"/>
      <c r="AM626" s="38"/>
      <c r="AN626" s="38"/>
      <c r="AO626" s="38"/>
      <c r="AP626" s="38"/>
      <c r="AQ626" s="38"/>
      <c r="AR626" s="38"/>
      <c r="AS626" s="38"/>
      <c r="AT626" s="38"/>
      <c r="AU626" s="38"/>
      <c r="AV626" s="38"/>
      <c r="AW626" s="38"/>
      <c r="AX626" s="38"/>
      <c r="AY626" s="38"/>
      <c r="AZ626" s="38"/>
      <c r="BA626" s="38"/>
      <c r="BB626" s="38"/>
      <c r="BC626" s="38"/>
      <c r="BD626" s="38"/>
      <c r="BE626" s="38"/>
      <c r="BF626" s="38"/>
      <c r="BG626" s="38"/>
      <c r="BH626" s="38"/>
      <c r="BI626" s="38"/>
      <c r="BJ626" s="38"/>
    </row>
    <row r="627" spans="2:62" ht="15.75" customHeight="1">
      <c r="B627" s="3"/>
      <c r="C627" s="80"/>
      <c r="D627" s="80"/>
      <c r="E627" s="80"/>
      <c r="F627" s="80"/>
      <c r="G627" s="80"/>
      <c r="H627" s="80"/>
      <c r="I627" s="80"/>
      <c r="J627" s="80"/>
      <c r="K627" s="80"/>
      <c r="L627" s="80"/>
      <c r="M627" s="80"/>
      <c r="N627" s="80"/>
      <c r="O627" s="80"/>
      <c r="P627" s="80"/>
      <c r="Q627" s="80"/>
      <c r="R627" s="80"/>
      <c r="S627" s="80"/>
      <c r="T627" s="80"/>
      <c r="U627" s="80"/>
      <c r="V627" s="80"/>
      <c r="W627" s="80"/>
      <c r="X627" s="80"/>
      <c r="Y627" s="38"/>
      <c r="Z627" s="38"/>
      <c r="AA627" s="38"/>
      <c r="AB627" s="38"/>
      <c r="AC627" s="38"/>
      <c r="AD627" s="38"/>
      <c r="AE627" s="38"/>
      <c r="AF627" s="38"/>
      <c r="AG627" s="38"/>
      <c r="AH627" s="38"/>
      <c r="AI627" s="38"/>
      <c r="AJ627" s="38"/>
      <c r="AK627" s="38"/>
      <c r="AL627" s="38"/>
      <c r="AM627" s="38"/>
      <c r="AN627" s="38"/>
      <c r="AO627" s="38"/>
      <c r="AP627" s="38"/>
      <c r="AQ627" s="38"/>
      <c r="AR627" s="38"/>
      <c r="AS627" s="38"/>
      <c r="AT627" s="38"/>
      <c r="AU627" s="38"/>
      <c r="AV627" s="38"/>
      <c r="AW627" s="38"/>
      <c r="AX627" s="38"/>
      <c r="AY627" s="38"/>
      <c r="AZ627" s="38"/>
      <c r="BA627" s="38"/>
      <c r="BB627" s="38"/>
      <c r="BC627" s="38"/>
      <c r="BD627" s="38"/>
      <c r="BE627" s="38"/>
      <c r="BF627" s="38"/>
      <c r="BG627" s="38"/>
      <c r="BH627" s="38"/>
      <c r="BI627" s="38"/>
      <c r="BJ627" s="38"/>
    </row>
    <row r="628" spans="2:62" ht="15.75" customHeight="1">
      <c r="B628" s="3"/>
      <c r="C628" s="80"/>
      <c r="D628" s="80"/>
      <c r="E628" s="80"/>
      <c r="F628" s="80"/>
      <c r="G628" s="80"/>
      <c r="H628" s="80"/>
      <c r="I628" s="80"/>
      <c r="J628" s="80"/>
      <c r="K628" s="80"/>
      <c r="L628" s="80"/>
      <c r="M628" s="80"/>
      <c r="N628" s="80"/>
      <c r="O628" s="80"/>
      <c r="P628" s="80"/>
      <c r="Q628" s="80"/>
      <c r="R628" s="80"/>
      <c r="S628" s="80"/>
      <c r="T628" s="80"/>
      <c r="U628" s="80"/>
      <c r="V628" s="80"/>
      <c r="W628" s="80"/>
      <c r="X628" s="80"/>
      <c r="Y628" s="38"/>
      <c r="Z628" s="38"/>
      <c r="AA628" s="38"/>
      <c r="AB628" s="38"/>
      <c r="AC628" s="38"/>
      <c r="AD628" s="38"/>
      <c r="AE628" s="38"/>
      <c r="AF628" s="38"/>
      <c r="AG628" s="38"/>
      <c r="AH628" s="38"/>
      <c r="AI628" s="38"/>
      <c r="AJ628" s="38"/>
      <c r="AK628" s="38"/>
      <c r="AL628" s="38"/>
      <c r="AM628" s="38"/>
      <c r="AN628" s="38"/>
      <c r="AO628" s="38"/>
      <c r="AP628" s="38"/>
      <c r="AQ628" s="38"/>
      <c r="AR628" s="38"/>
      <c r="AS628" s="38"/>
      <c r="AT628" s="38"/>
      <c r="AU628" s="38"/>
      <c r="AV628" s="38"/>
      <c r="AW628" s="38"/>
      <c r="AX628" s="38"/>
      <c r="AY628" s="38"/>
      <c r="AZ628" s="38"/>
      <c r="BA628" s="38"/>
      <c r="BB628" s="38"/>
      <c r="BC628" s="38"/>
      <c r="BD628" s="38"/>
      <c r="BE628" s="38"/>
      <c r="BF628" s="38"/>
      <c r="BG628" s="38"/>
      <c r="BH628" s="38"/>
      <c r="BI628" s="38"/>
      <c r="BJ628" s="38"/>
    </row>
    <row r="629" spans="2:62" ht="15.75" customHeight="1">
      <c r="B629" s="3"/>
      <c r="C629" s="80"/>
      <c r="D629" s="80"/>
      <c r="E629" s="80"/>
      <c r="F629" s="80"/>
      <c r="G629" s="80"/>
      <c r="H629" s="80"/>
      <c r="I629" s="80"/>
      <c r="J629" s="80"/>
      <c r="K629" s="80"/>
      <c r="L629" s="80"/>
      <c r="M629" s="80"/>
      <c r="N629" s="80"/>
      <c r="O629" s="80"/>
      <c r="P629" s="80"/>
      <c r="Q629" s="80"/>
      <c r="R629" s="80"/>
      <c r="S629" s="80"/>
      <c r="T629" s="80"/>
      <c r="U629" s="80"/>
      <c r="V629" s="80"/>
      <c r="W629" s="80"/>
      <c r="X629" s="80"/>
      <c r="Y629" s="38"/>
      <c r="Z629" s="38"/>
      <c r="AA629" s="38"/>
      <c r="AB629" s="38"/>
      <c r="AC629" s="38"/>
      <c r="AD629" s="38"/>
      <c r="AE629" s="38"/>
      <c r="AF629" s="38"/>
      <c r="AG629" s="38"/>
      <c r="AH629" s="38"/>
      <c r="AI629" s="38"/>
      <c r="AJ629" s="38"/>
      <c r="AK629" s="38"/>
      <c r="AL629" s="38"/>
      <c r="AM629" s="38"/>
      <c r="AN629" s="38"/>
      <c r="AO629" s="38"/>
      <c r="AP629" s="38"/>
      <c r="AQ629" s="38"/>
      <c r="AR629" s="38"/>
      <c r="AS629" s="38"/>
      <c r="AT629" s="38"/>
      <c r="AU629" s="38"/>
      <c r="AV629" s="38"/>
      <c r="AW629" s="38"/>
      <c r="AX629" s="38"/>
      <c r="AY629" s="38"/>
      <c r="AZ629" s="38"/>
      <c r="BA629" s="38"/>
      <c r="BB629" s="38"/>
      <c r="BC629" s="38"/>
      <c r="BD629" s="38"/>
      <c r="BE629" s="38"/>
      <c r="BF629" s="38"/>
      <c r="BG629" s="38"/>
      <c r="BH629" s="38"/>
      <c r="BI629" s="38"/>
      <c r="BJ629" s="38"/>
    </row>
    <row r="630" spans="2:62" ht="15.75" customHeight="1">
      <c r="B630" s="3"/>
      <c r="C630" s="80"/>
      <c r="D630" s="80"/>
      <c r="E630" s="80"/>
      <c r="F630" s="80"/>
      <c r="G630" s="80"/>
      <c r="H630" s="80"/>
      <c r="I630" s="80"/>
      <c r="J630" s="80"/>
      <c r="K630" s="80"/>
      <c r="L630" s="80"/>
      <c r="M630" s="80"/>
      <c r="N630" s="80"/>
      <c r="O630" s="80"/>
      <c r="P630" s="80"/>
      <c r="Q630" s="80"/>
      <c r="R630" s="80"/>
      <c r="S630" s="80"/>
      <c r="T630" s="80"/>
      <c r="U630" s="80"/>
      <c r="V630" s="80"/>
      <c r="W630" s="80"/>
      <c r="X630" s="80"/>
      <c r="Y630" s="38"/>
      <c r="Z630" s="38"/>
      <c r="AA630" s="38"/>
      <c r="AB630" s="38"/>
      <c r="AC630" s="38"/>
      <c r="AD630" s="38"/>
      <c r="AE630" s="38"/>
      <c r="AF630" s="38"/>
      <c r="AG630" s="38"/>
      <c r="AH630" s="38"/>
      <c r="AI630" s="38"/>
      <c r="AJ630" s="38"/>
      <c r="AK630" s="38"/>
      <c r="AL630" s="38"/>
      <c r="AM630" s="38"/>
      <c r="AN630" s="38"/>
      <c r="AO630" s="38"/>
      <c r="AP630" s="38"/>
      <c r="AQ630" s="38"/>
      <c r="AR630" s="38"/>
      <c r="AS630" s="38"/>
      <c r="AT630" s="38"/>
      <c r="AU630" s="38"/>
      <c r="AV630" s="38"/>
      <c r="AW630" s="38"/>
      <c r="AX630" s="38"/>
      <c r="AY630" s="38"/>
      <c r="AZ630" s="38"/>
      <c r="BA630" s="38"/>
      <c r="BB630" s="38"/>
      <c r="BC630" s="38"/>
      <c r="BD630" s="38"/>
      <c r="BE630" s="38"/>
      <c r="BF630" s="38"/>
      <c r="BG630" s="38"/>
      <c r="BH630" s="38"/>
      <c r="BI630" s="38"/>
      <c r="BJ630" s="38"/>
    </row>
    <row r="631" spans="2:62" ht="15.75" customHeight="1">
      <c r="B631" s="3"/>
      <c r="C631" s="80"/>
      <c r="D631" s="80"/>
      <c r="E631" s="80"/>
      <c r="F631" s="80"/>
      <c r="G631" s="80"/>
      <c r="H631" s="80"/>
      <c r="I631" s="80"/>
      <c r="J631" s="80"/>
      <c r="K631" s="80"/>
      <c r="L631" s="80"/>
      <c r="M631" s="80"/>
      <c r="N631" s="80"/>
      <c r="O631" s="80"/>
      <c r="P631" s="80"/>
      <c r="Q631" s="80"/>
      <c r="R631" s="80"/>
      <c r="S631" s="80"/>
      <c r="T631" s="80"/>
      <c r="U631" s="80"/>
      <c r="V631" s="80"/>
      <c r="W631" s="80"/>
      <c r="X631" s="80"/>
      <c r="Y631" s="38"/>
      <c r="Z631" s="38"/>
      <c r="AA631" s="38"/>
      <c r="AB631" s="38"/>
      <c r="AC631" s="38"/>
      <c r="AD631" s="38"/>
      <c r="AE631" s="38"/>
      <c r="AF631" s="38"/>
      <c r="AG631" s="38"/>
      <c r="AH631" s="38"/>
      <c r="AI631" s="38"/>
      <c r="AJ631" s="38"/>
      <c r="AK631" s="38"/>
      <c r="AL631" s="38"/>
      <c r="AM631" s="38"/>
      <c r="AN631" s="38"/>
      <c r="AO631" s="38"/>
      <c r="AP631" s="38"/>
      <c r="AQ631" s="38"/>
      <c r="AR631" s="38"/>
      <c r="AS631" s="38"/>
      <c r="AT631" s="38"/>
      <c r="AU631" s="38"/>
      <c r="AV631" s="38"/>
      <c r="AW631" s="38"/>
      <c r="AX631" s="38"/>
      <c r="AY631" s="38"/>
      <c r="AZ631" s="38"/>
      <c r="BA631" s="38"/>
      <c r="BB631" s="38"/>
      <c r="BC631" s="38"/>
      <c r="BD631" s="38"/>
      <c r="BE631" s="38"/>
      <c r="BF631" s="38"/>
      <c r="BG631" s="38"/>
      <c r="BH631" s="38"/>
      <c r="BI631" s="38"/>
      <c r="BJ631" s="38"/>
    </row>
    <row r="632" spans="2:62" ht="15.75" customHeight="1">
      <c r="B632" s="3"/>
      <c r="C632" s="80"/>
      <c r="D632" s="80"/>
      <c r="E632" s="80"/>
      <c r="F632" s="80"/>
      <c r="G632" s="80"/>
      <c r="H632" s="80"/>
      <c r="I632" s="80"/>
      <c r="J632" s="80"/>
      <c r="K632" s="80"/>
      <c r="L632" s="80"/>
      <c r="M632" s="80"/>
      <c r="N632" s="80"/>
      <c r="O632" s="80"/>
      <c r="P632" s="80"/>
      <c r="Q632" s="80"/>
      <c r="R632" s="80"/>
      <c r="S632" s="80"/>
      <c r="T632" s="80"/>
      <c r="U632" s="80"/>
      <c r="V632" s="80"/>
      <c r="W632" s="80"/>
      <c r="X632" s="80"/>
      <c r="Y632" s="38"/>
      <c r="Z632" s="38"/>
      <c r="AA632" s="38"/>
      <c r="AB632" s="38"/>
      <c r="AC632" s="38"/>
      <c r="AD632" s="38"/>
      <c r="AE632" s="38"/>
      <c r="AF632" s="38"/>
      <c r="AG632" s="38"/>
      <c r="AH632" s="38"/>
      <c r="AI632" s="38"/>
      <c r="AJ632" s="38"/>
      <c r="AK632" s="38"/>
      <c r="AL632" s="38"/>
      <c r="AM632" s="38"/>
      <c r="AN632" s="38"/>
      <c r="AO632" s="38"/>
      <c r="AP632" s="38"/>
      <c r="AQ632" s="38"/>
      <c r="AR632" s="38"/>
      <c r="AS632" s="38"/>
      <c r="AT632" s="38"/>
      <c r="AU632" s="38"/>
      <c r="AV632" s="38"/>
      <c r="AW632" s="38"/>
      <c r="AX632" s="38"/>
      <c r="AY632" s="38"/>
      <c r="AZ632" s="38"/>
      <c r="BA632" s="38"/>
      <c r="BB632" s="38"/>
      <c r="BC632" s="38"/>
      <c r="BD632" s="38"/>
      <c r="BE632" s="38"/>
      <c r="BF632" s="38"/>
      <c r="BG632" s="38"/>
      <c r="BH632" s="38"/>
      <c r="BI632" s="38"/>
      <c r="BJ632" s="38"/>
    </row>
    <row r="633" spans="2:62" ht="15.75" customHeight="1">
      <c r="B633" s="3"/>
      <c r="C633" s="80"/>
      <c r="D633" s="80"/>
      <c r="E633" s="80"/>
      <c r="F633" s="80"/>
      <c r="G633" s="80"/>
      <c r="H633" s="80"/>
      <c r="I633" s="80"/>
      <c r="J633" s="80"/>
      <c r="K633" s="80"/>
      <c r="L633" s="80"/>
      <c r="M633" s="80"/>
      <c r="N633" s="80"/>
      <c r="O633" s="80"/>
      <c r="P633" s="80"/>
      <c r="Q633" s="80"/>
      <c r="R633" s="80"/>
      <c r="S633" s="80"/>
      <c r="T633" s="80"/>
      <c r="U633" s="80"/>
      <c r="V633" s="80"/>
      <c r="W633" s="80"/>
      <c r="X633" s="80"/>
      <c r="Y633" s="38"/>
      <c r="Z633" s="38"/>
      <c r="AA633" s="38"/>
      <c r="AB633" s="38"/>
      <c r="AC633" s="38"/>
      <c r="AD633" s="38"/>
      <c r="AE633" s="38"/>
      <c r="AF633" s="38"/>
      <c r="AG633" s="38"/>
      <c r="AH633" s="38"/>
      <c r="AI633" s="38"/>
      <c r="AJ633" s="38"/>
      <c r="AK633" s="38"/>
      <c r="AL633" s="38"/>
      <c r="AM633" s="38"/>
      <c r="AN633" s="38"/>
      <c r="AO633" s="38"/>
      <c r="AP633" s="38"/>
      <c r="AQ633" s="38"/>
      <c r="AR633" s="38"/>
      <c r="AS633" s="38"/>
      <c r="AT633" s="38"/>
      <c r="AU633" s="38"/>
      <c r="AV633" s="38"/>
      <c r="AW633" s="38"/>
      <c r="AX633" s="38"/>
      <c r="AY633" s="38"/>
      <c r="AZ633" s="38"/>
      <c r="BA633" s="38"/>
      <c r="BB633" s="38"/>
      <c r="BC633" s="38"/>
      <c r="BD633" s="38"/>
      <c r="BE633" s="38"/>
      <c r="BF633" s="38"/>
      <c r="BG633" s="38"/>
      <c r="BH633" s="38"/>
      <c r="BI633" s="38"/>
      <c r="BJ633" s="38"/>
    </row>
    <row r="634" spans="2:62" ht="15.75" customHeight="1">
      <c r="B634" s="3"/>
      <c r="C634" s="80"/>
      <c r="D634" s="80"/>
      <c r="E634" s="80"/>
      <c r="F634" s="80"/>
      <c r="G634" s="80"/>
      <c r="H634" s="80"/>
      <c r="I634" s="80"/>
      <c r="J634" s="80"/>
      <c r="K634" s="80"/>
      <c r="L634" s="80"/>
      <c r="M634" s="80"/>
      <c r="N634" s="80"/>
      <c r="O634" s="80"/>
      <c r="P634" s="80"/>
      <c r="Q634" s="80"/>
      <c r="R634" s="80"/>
      <c r="S634" s="80"/>
      <c r="T634" s="80"/>
      <c r="U634" s="80"/>
      <c r="V634" s="80"/>
      <c r="W634" s="80"/>
      <c r="X634" s="80"/>
      <c r="Y634" s="38"/>
      <c r="Z634" s="38"/>
      <c r="AA634" s="38"/>
      <c r="AB634" s="38"/>
      <c r="AC634" s="38"/>
      <c r="AD634" s="38"/>
      <c r="AE634" s="38"/>
      <c r="AF634" s="38"/>
      <c r="AG634" s="38"/>
      <c r="AH634" s="38"/>
      <c r="AI634" s="38"/>
      <c r="AJ634" s="38"/>
      <c r="AK634" s="38"/>
      <c r="AL634" s="38"/>
      <c r="AM634" s="38"/>
      <c r="AN634" s="38"/>
      <c r="AO634" s="38"/>
      <c r="AP634" s="38"/>
      <c r="AQ634" s="38"/>
      <c r="AR634" s="38"/>
      <c r="AS634" s="38"/>
      <c r="AT634" s="38"/>
      <c r="AU634" s="38"/>
      <c r="AV634" s="38"/>
      <c r="AW634" s="38"/>
      <c r="AX634" s="38"/>
      <c r="AY634" s="38"/>
      <c r="AZ634" s="38"/>
      <c r="BA634" s="38"/>
      <c r="BB634" s="38"/>
      <c r="BC634" s="38"/>
      <c r="BD634" s="38"/>
      <c r="BE634" s="38"/>
      <c r="BF634" s="38"/>
      <c r="BG634" s="38"/>
      <c r="BH634" s="38"/>
      <c r="BI634" s="38"/>
      <c r="BJ634" s="38"/>
    </row>
    <row r="635" spans="2:62" ht="15.75" customHeight="1">
      <c r="B635" s="3"/>
      <c r="C635" s="80"/>
      <c r="D635" s="80"/>
      <c r="E635" s="80"/>
      <c r="F635" s="80"/>
      <c r="G635" s="80"/>
      <c r="H635" s="80"/>
      <c r="I635" s="80"/>
      <c r="J635" s="80"/>
      <c r="K635" s="80"/>
      <c r="L635" s="80"/>
      <c r="M635" s="80"/>
      <c r="N635" s="80"/>
      <c r="O635" s="80"/>
      <c r="P635" s="80"/>
      <c r="Q635" s="80"/>
      <c r="R635" s="80"/>
      <c r="S635" s="80"/>
      <c r="T635" s="80"/>
      <c r="U635" s="80"/>
      <c r="V635" s="80"/>
      <c r="W635" s="80"/>
      <c r="X635" s="80"/>
      <c r="Y635" s="38"/>
      <c r="Z635" s="38"/>
      <c r="AA635" s="38"/>
      <c r="AB635" s="38"/>
      <c r="AC635" s="38"/>
      <c r="AD635" s="38"/>
      <c r="AE635" s="38"/>
      <c r="AF635" s="38"/>
      <c r="AG635" s="38"/>
      <c r="AH635" s="38"/>
      <c r="AI635" s="38"/>
      <c r="AJ635" s="38"/>
      <c r="AK635" s="38"/>
      <c r="AL635" s="38"/>
      <c r="AM635" s="38"/>
      <c r="AN635" s="38"/>
      <c r="AO635" s="38"/>
      <c r="AP635" s="38"/>
      <c r="AQ635" s="38"/>
      <c r="AR635" s="38"/>
      <c r="AS635" s="38"/>
      <c r="AT635" s="38"/>
      <c r="AU635" s="38"/>
      <c r="AV635" s="38"/>
      <c r="AW635" s="38"/>
      <c r="AX635" s="38"/>
      <c r="AY635" s="38"/>
      <c r="AZ635" s="38"/>
      <c r="BA635" s="38"/>
      <c r="BB635" s="38"/>
      <c r="BC635" s="38"/>
      <c r="BD635" s="38"/>
      <c r="BE635" s="38"/>
      <c r="BF635" s="38"/>
      <c r="BG635" s="38"/>
      <c r="BH635" s="38"/>
      <c r="BI635" s="38"/>
      <c r="BJ635" s="38"/>
    </row>
    <row r="636" spans="2:62" ht="15.75" customHeight="1">
      <c r="B636" s="3"/>
      <c r="C636" s="80"/>
      <c r="D636" s="80"/>
      <c r="E636" s="80"/>
      <c r="F636" s="80"/>
      <c r="G636" s="80"/>
      <c r="H636" s="80"/>
      <c r="I636" s="80"/>
      <c r="J636" s="80"/>
      <c r="K636" s="80"/>
      <c r="L636" s="80"/>
      <c r="M636" s="80"/>
      <c r="N636" s="80"/>
      <c r="O636" s="80"/>
      <c r="P636" s="80"/>
      <c r="Q636" s="80"/>
      <c r="R636" s="80"/>
      <c r="S636" s="80"/>
      <c r="T636" s="80"/>
      <c r="U636" s="80"/>
      <c r="V636" s="80"/>
      <c r="W636" s="80"/>
      <c r="X636" s="80"/>
      <c r="Y636" s="38"/>
      <c r="Z636" s="38"/>
      <c r="AA636" s="38"/>
      <c r="AB636" s="38"/>
      <c r="AC636" s="38"/>
      <c r="AD636" s="38"/>
      <c r="AE636" s="38"/>
      <c r="AF636" s="38"/>
      <c r="AG636" s="38"/>
      <c r="AH636" s="38"/>
      <c r="AI636" s="38"/>
      <c r="AJ636" s="38"/>
      <c r="AK636" s="38"/>
      <c r="AL636" s="38"/>
      <c r="AM636" s="38"/>
      <c r="AN636" s="38"/>
      <c r="AO636" s="38"/>
      <c r="AP636" s="38"/>
      <c r="AQ636" s="38"/>
      <c r="AR636" s="38"/>
      <c r="AS636" s="38"/>
      <c r="AT636" s="38"/>
      <c r="AU636" s="38"/>
      <c r="AV636" s="38"/>
      <c r="AW636" s="38"/>
      <c r="AX636" s="38"/>
      <c r="AY636" s="38"/>
      <c r="AZ636" s="38"/>
      <c r="BA636" s="38"/>
      <c r="BB636" s="38"/>
      <c r="BC636" s="38"/>
      <c r="BD636" s="38"/>
      <c r="BE636" s="38"/>
      <c r="BF636" s="38"/>
      <c r="BG636" s="38"/>
      <c r="BH636" s="38"/>
      <c r="BI636" s="38"/>
      <c r="BJ636" s="38"/>
    </row>
    <row r="637" spans="2:62" ht="15.75" customHeight="1">
      <c r="B637" s="3"/>
      <c r="C637" s="80"/>
      <c r="D637" s="80"/>
      <c r="E637" s="80"/>
      <c r="F637" s="80"/>
      <c r="G637" s="80"/>
      <c r="H637" s="80"/>
      <c r="I637" s="80"/>
      <c r="J637" s="80"/>
      <c r="K637" s="80"/>
      <c r="L637" s="80"/>
      <c r="M637" s="80"/>
      <c r="N637" s="80"/>
      <c r="O637" s="80"/>
      <c r="P637" s="80"/>
      <c r="Q637" s="80"/>
      <c r="R637" s="80"/>
      <c r="S637" s="80"/>
      <c r="T637" s="80"/>
      <c r="U637" s="80"/>
      <c r="V637" s="80"/>
      <c r="W637" s="80"/>
      <c r="X637" s="80"/>
      <c r="Y637" s="38"/>
      <c r="Z637" s="38"/>
      <c r="AA637" s="38"/>
      <c r="AB637" s="38"/>
      <c r="AC637" s="38"/>
      <c r="AD637" s="38"/>
      <c r="AE637" s="38"/>
      <c r="AF637" s="38"/>
      <c r="AG637" s="38"/>
      <c r="AH637" s="38"/>
      <c r="AI637" s="38"/>
      <c r="AJ637" s="38"/>
      <c r="AK637" s="38"/>
      <c r="AL637" s="38"/>
      <c r="AM637" s="38"/>
      <c r="AN637" s="38"/>
      <c r="AO637" s="38"/>
      <c r="AP637" s="38"/>
      <c r="AQ637" s="38"/>
      <c r="AR637" s="38"/>
      <c r="AS637" s="38"/>
      <c r="AT637" s="38"/>
      <c r="AU637" s="38"/>
      <c r="AV637" s="38"/>
      <c r="AW637" s="38"/>
      <c r="AX637" s="38"/>
      <c r="AY637" s="38"/>
      <c r="AZ637" s="38"/>
      <c r="BA637" s="38"/>
      <c r="BB637" s="38"/>
      <c r="BC637" s="38"/>
      <c r="BD637" s="38"/>
      <c r="BE637" s="38"/>
      <c r="BF637" s="38"/>
      <c r="BG637" s="38"/>
      <c r="BH637" s="38"/>
      <c r="BI637" s="38"/>
      <c r="BJ637" s="38"/>
    </row>
    <row r="638" spans="2:62" ht="15.75" customHeight="1">
      <c r="B638" s="3"/>
      <c r="C638" s="80"/>
      <c r="D638" s="80"/>
      <c r="E638" s="80"/>
      <c r="F638" s="80"/>
      <c r="G638" s="80"/>
      <c r="H638" s="80"/>
      <c r="I638" s="80"/>
      <c r="J638" s="80"/>
      <c r="K638" s="80"/>
      <c r="L638" s="80"/>
      <c r="M638" s="80"/>
      <c r="N638" s="80"/>
      <c r="O638" s="80"/>
      <c r="P638" s="80"/>
      <c r="Q638" s="80"/>
      <c r="R638" s="80"/>
      <c r="S638" s="80"/>
      <c r="T638" s="80"/>
      <c r="U638" s="80"/>
      <c r="V638" s="80"/>
      <c r="W638" s="80"/>
      <c r="X638" s="80"/>
      <c r="Y638" s="38"/>
      <c r="Z638" s="38"/>
      <c r="AA638" s="38"/>
      <c r="AB638" s="38"/>
      <c r="AC638" s="38"/>
      <c r="AD638" s="38"/>
      <c r="AE638" s="38"/>
      <c r="AF638" s="38"/>
      <c r="AG638" s="38"/>
      <c r="AH638" s="38"/>
      <c r="AI638" s="38"/>
      <c r="AJ638" s="38"/>
      <c r="AK638" s="38"/>
      <c r="AL638" s="38"/>
      <c r="AM638" s="38"/>
      <c r="AN638" s="38"/>
      <c r="AO638" s="38"/>
      <c r="AP638" s="38"/>
      <c r="AQ638" s="38"/>
      <c r="AR638" s="38"/>
      <c r="AS638" s="38"/>
      <c r="AT638" s="38"/>
      <c r="AU638" s="38"/>
      <c r="AV638" s="38"/>
      <c r="AW638" s="38"/>
      <c r="AX638" s="38"/>
      <c r="AY638" s="38"/>
      <c r="AZ638" s="38"/>
      <c r="BA638" s="38"/>
      <c r="BB638" s="38"/>
      <c r="BC638" s="38"/>
      <c r="BD638" s="38"/>
      <c r="BE638" s="38"/>
      <c r="BF638" s="38"/>
      <c r="BG638" s="38"/>
      <c r="BH638" s="38"/>
      <c r="BI638" s="38"/>
      <c r="BJ638" s="38"/>
    </row>
    <row r="639" spans="2:62" ht="15.75" customHeight="1">
      <c r="B639" s="3"/>
      <c r="C639" s="80"/>
      <c r="D639" s="80"/>
      <c r="E639" s="80"/>
      <c r="F639" s="80"/>
      <c r="G639" s="80"/>
      <c r="H639" s="80"/>
      <c r="I639" s="80"/>
      <c r="J639" s="80"/>
      <c r="K639" s="80"/>
      <c r="L639" s="80"/>
      <c r="M639" s="80"/>
      <c r="N639" s="80"/>
      <c r="O639" s="80"/>
      <c r="P639" s="80"/>
      <c r="Q639" s="80"/>
      <c r="R639" s="80"/>
      <c r="S639" s="80"/>
      <c r="T639" s="80"/>
      <c r="U639" s="80"/>
      <c r="V639" s="80"/>
      <c r="W639" s="80"/>
      <c r="X639" s="80"/>
      <c r="Y639" s="38"/>
      <c r="Z639" s="38"/>
      <c r="AA639" s="38"/>
      <c r="AB639" s="38"/>
      <c r="AC639" s="38"/>
      <c r="AD639" s="38"/>
      <c r="AE639" s="38"/>
      <c r="AF639" s="38"/>
      <c r="AG639" s="38"/>
      <c r="AH639" s="38"/>
      <c r="AI639" s="38"/>
      <c r="AJ639" s="38"/>
      <c r="AK639" s="38"/>
      <c r="AL639" s="38"/>
      <c r="AM639" s="38"/>
      <c r="AN639" s="38"/>
      <c r="AO639" s="38"/>
      <c r="AP639" s="38"/>
      <c r="AQ639" s="38"/>
      <c r="AR639" s="38"/>
      <c r="AS639" s="38"/>
      <c r="AT639" s="38"/>
      <c r="AU639" s="38"/>
      <c r="AV639" s="38"/>
      <c r="AW639" s="38"/>
      <c r="AX639" s="38"/>
      <c r="AY639" s="38"/>
      <c r="AZ639" s="38"/>
      <c r="BA639" s="38"/>
      <c r="BB639" s="38"/>
      <c r="BC639" s="38"/>
      <c r="BD639" s="38"/>
      <c r="BE639" s="38"/>
      <c r="BF639" s="38"/>
      <c r="BG639" s="38"/>
      <c r="BH639" s="38"/>
      <c r="BI639" s="38"/>
      <c r="BJ639" s="38"/>
    </row>
    <row r="640" spans="2:62" ht="15.75" customHeight="1">
      <c r="B640" s="3"/>
      <c r="C640" s="80"/>
      <c r="D640" s="80"/>
      <c r="E640" s="80"/>
      <c r="F640" s="80"/>
      <c r="G640" s="80"/>
      <c r="H640" s="80"/>
      <c r="I640" s="80"/>
      <c r="J640" s="80"/>
      <c r="K640" s="80"/>
      <c r="L640" s="80"/>
      <c r="M640" s="80"/>
      <c r="N640" s="80"/>
      <c r="O640" s="80"/>
      <c r="P640" s="80"/>
      <c r="Q640" s="80"/>
      <c r="R640" s="80"/>
      <c r="S640" s="80"/>
      <c r="T640" s="80"/>
      <c r="U640" s="80"/>
      <c r="V640" s="80"/>
      <c r="W640" s="80"/>
      <c r="X640" s="80"/>
      <c r="Y640" s="38"/>
      <c r="Z640" s="38"/>
      <c r="AA640" s="38"/>
      <c r="AB640" s="38"/>
      <c r="AC640" s="38"/>
      <c r="AD640" s="38"/>
      <c r="AE640" s="38"/>
      <c r="AF640" s="38"/>
      <c r="AG640" s="38"/>
      <c r="AH640" s="38"/>
      <c r="AI640" s="38"/>
      <c r="AJ640" s="38"/>
      <c r="AK640" s="38"/>
      <c r="AL640" s="38"/>
      <c r="AM640" s="38"/>
      <c r="AN640" s="38"/>
      <c r="AO640" s="38"/>
      <c r="AP640" s="38"/>
      <c r="AQ640" s="38"/>
      <c r="AR640" s="38"/>
      <c r="AS640" s="38"/>
      <c r="AT640" s="38"/>
      <c r="AU640" s="38"/>
      <c r="AV640" s="38"/>
      <c r="AW640" s="38"/>
      <c r="AX640" s="38"/>
      <c r="AY640" s="38"/>
      <c r="AZ640" s="38"/>
      <c r="BA640" s="38"/>
      <c r="BB640" s="38"/>
      <c r="BC640" s="38"/>
      <c r="BD640" s="38"/>
      <c r="BE640" s="38"/>
      <c r="BF640" s="38"/>
      <c r="BG640" s="38"/>
      <c r="BH640" s="38"/>
      <c r="BI640" s="38"/>
      <c r="BJ640" s="38"/>
    </row>
    <row r="641" spans="2:62" ht="15.75" customHeight="1">
      <c r="B641" s="3"/>
      <c r="C641" s="80"/>
      <c r="D641" s="80"/>
      <c r="E641" s="80"/>
      <c r="F641" s="80"/>
      <c r="G641" s="80"/>
      <c r="H641" s="80"/>
      <c r="I641" s="80"/>
      <c r="J641" s="80"/>
      <c r="K641" s="80"/>
      <c r="L641" s="80"/>
      <c r="M641" s="80"/>
      <c r="N641" s="80"/>
      <c r="O641" s="80"/>
      <c r="P641" s="80"/>
      <c r="Q641" s="80"/>
      <c r="R641" s="80"/>
      <c r="S641" s="80"/>
      <c r="T641" s="80"/>
      <c r="U641" s="80"/>
      <c r="V641" s="80"/>
      <c r="W641" s="80"/>
      <c r="X641" s="80"/>
      <c r="Y641" s="38"/>
      <c r="Z641" s="38"/>
      <c r="AA641" s="38"/>
      <c r="AB641" s="38"/>
      <c r="AC641" s="38"/>
      <c r="AD641" s="38"/>
      <c r="AE641" s="38"/>
      <c r="AF641" s="38"/>
      <c r="AG641" s="38"/>
      <c r="AH641" s="38"/>
      <c r="AI641" s="38"/>
      <c r="AJ641" s="38"/>
      <c r="AK641" s="38"/>
      <c r="AL641" s="38"/>
      <c r="AM641" s="38"/>
      <c r="AN641" s="38"/>
      <c r="AO641" s="38"/>
      <c r="AP641" s="38"/>
      <c r="AQ641" s="38"/>
      <c r="AR641" s="38"/>
      <c r="AS641" s="38"/>
      <c r="AT641" s="38"/>
      <c r="AU641" s="38"/>
      <c r="AV641" s="38"/>
      <c r="AW641" s="38"/>
      <c r="AX641" s="38"/>
      <c r="AY641" s="38"/>
      <c r="AZ641" s="38"/>
      <c r="BA641" s="38"/>
      <c r="BB641" s="38"/>
      <c r="BC641" s="38"/>
      <c r="BD641" s="38"/>
      <c r="BE641" s="38"/>
      <c r="BF641" s="38"/>
      <c r="BG641" s="38"/>
      <c r="BH641" s="38"/>
      <c r="BI641" s="38"/>
      <c r="BJ641" s="38"/>
    </row>
    <row r="642" spans="2:62" ht="15.75" customHeight="1">
      <c r="B642" s="3"/>
      <c r="C642" s="80"/>
      <c r="D642" s="80"/>
      <c r="E642" s="80"/>
      <c r="F642" s="80"/>
      <c r="G642" s="80"/>
      <c r="H642" s="80"/>
      <c r="I642" s="80"/>
      <c r="J642" s="80"/>
      <c r="K642" s="80"/>
      <c r="L642" s="80"/>
      <c r="M642" s="80"/>
      <c r="N642" s="80"/>
      <c r="O642" s="80"/>
      <c r="P642" s="80"/>
      <c r="Q642" s="80"/>
      <c r="R642" s="80"/>
      <c r="S642" s="80"/>
      <c r="T642" s="80"/>
      <c r="U642" s="80"/>
      <c r="V642" s="80"/>
      <c r="W642" s="80"/>
      <c r="X642" s="80"/>
      <c r="Y642" s="38"/>
      <c r="Z642" s="38"/>
      <c r="AA642" s="38"/>
      <c r="AB642" s="38"/>
      <c r="AC642" s="38"/>
      <c r="AD642" s="38"/>
      <c r="AE642" s="38"/>
      <c r="AF642" s="38"/>
      <c r="AG642" s="38"/>
      <c r="AH642" s="38"/>
      <c r="AI642" s="38"/>
      <c r="AJ642" s="38"/>
      <c r="AK642" s="38"/>
      <c r="AL642" s="38"/>
      <c r="AM642" s="38"/>
      <c r="AN642" s="38"/>
      <c r="AO642" s="38"/>
      <c r="AP642" s="38"/>
      <c r="AQ642" s="38"/>
      <c r="AR642" s="38"/>
      <c r="AS642" s="38"/>
      <c r="AT642" s="38"/>
      <c r="AU642" s="38"/>
      <c r="AV642" s="38"/>
      <c r="AW642" s="38"/>
      <c r="AX642" s="38"/>
      <c r="AY642" s="38"/>
      <c r="AZ642" s="38"/>
      <c r="BA642" s="38"/>
      <c r="BB642" s="38"/>
      <c r="BC642" s="38"/>
      <c r="BD642" s="38"/>
      <c r="BE642" s="38"/>
      <c r="BF642" s="38"/>
      <c r="BG642" s="38"/>
      <c r="BH642" s="38"/>
      <c r="BI642" s="38"/>
      <c r="BJ642" s="38"/>
    </row>
    <row r="643" spans="2:62" ht="15.75" customHeight="1">
      <c r="B643" s="3"/>
      <c r="C643" s="80"/>
      <c r="D643" s="80"/>
      <c r="E643" s="80"/>
      <c r="F643" s="80"/>
      <c r="G643" s="80"/>
      <c r="H643" s="80"/>
      <c r="I643" s="80"/>
      <c r="J643" s="80"/>
      <c r="K643" s="80"/>
      <c r="L643" s="80"/>
      <c r="M643" s="80"/>
      <c r="N643" s="80"/>
      <c r="O643" s="80"/>
      <c r="P643" s="80"/>
      <c r="Q643" s="80"/>
      <c r="R643" s="80"/>
      <c r="S643" s="80"/>
      <c r="T643" s="80"/>
      <c r="U643" s="80"/>
      <c r="V643" s="80"/>
      <c r="W643" s="80"/>
      <c r="X643" s="80"/>
      <c r="Y643" s="38"/>
      <c r="Z643" s="38"/>
      <c r="AA643" s="38"/>
      <c r="AB643" s="38"/>
      <c r="AC643" s="38"/>
      <c r="AD643" s="38"/>
      <c r="AE643" s="38"/>
      <c r="AF643" s="38"/>
      <c r="AG643" s="38"/>
      <c r="AH643" s="38"/>
      <c r="AI643" s="38"/>
      <c r="AJ643" s="38"/>
      <c r="AK643" s="38"/>
      <c r="AL643" s="38"/>
      <c r="AM643" s="38"/>
      <c r="AN643" s="38"/>
      <c r="AO643" s="38"/>
      <c r="AP643" s="38"/>
      <c r="AQ643" s="38"/>
      <c r="AR643" s="38"/>
      <c r="AS643" s="38"/>
      <c r="AT643" s="38"/>
      <c r="AU643" s="38"/>
      <c r="AV643" s="38"/>
      <c r="AW643" s="38"/>
      <c r="AX643" s="38"/>
      <c r="AY643" s="38"/>
      <c r="AZ643" s="38"/>
      <c r="BA643" s="38"/>
      <c r="BB643" s="38"/>
      <c r="BC643" s="38"/>
      <c r="BD643" s="38"/>
      <c r="BE643" s="38"/>
      <c r="BF643" s="38"/>
      <c r="BG643" s="38"/>
      <c r="BH643" s="38"/>
      <c r="BI643" s="38"/>
      <c r="BJ643" s="38"/>
    </row>
    <row r="644" spans="2:62" ht="15.75" customHeight="1">
      <c r="B644" s="3"/>
      <c r="C644" s="80"/>
      <c r="D644" s="80"/>
      <c r="E644" s="80"/>
      <c r="F644" s="80"/>
      <c r="G644" s="80"/>
      <c r="H644" s="80"/>
      <c r="I644" s="80"/>
      <c r="J644" s="80"/>
      <c r="K644" s="80"/>
      <c r="L644" s="80"/>
      <c r="M644" s="80"/>
      <c r="N644" s="80"/>
      <c r="O644" s="80"/>
      <c r="P644" s="80"/>
      <c r="Q644" s="80"/>
      <c r="R644" s="80"/>
      <c r="S644" s="80"/>
      <c r="T644" s="80"/>
      <c r="U644" s="80"/>
      <c r="V644" s="80"/>
      <c r="W644" s="80"/>
      <c r="X644" s="80"/>
      <c r="Y644" s="38"/>
      <c r="Z644" s="38"/>
      <c r="AA644" s="38"/>
      <c r="AB644" s="38"/>
      <c r="AC644" s="38"/>
      <c r="AD644" s="38"/>
      <c r="AE644" s="38"/>
      <c r="AF644" s="38"/>
      <c r="AG644" s="38"/>
      <c r="AH644" s="38"/>
      <c r="AI644" s="38"/>
      <c r="AJ644" s="38"/>
      <c r="AK644" s="38"/>
      <c r="AL644" s="38"/>
      <c r="AM644" s="38"/>
      <c r="AN644" s="38"/>
      <c r="AO644" s="38"/>
      <c r="AP644" s="38"/>
      <c r="AQ644" s="38"/>
      <c r="AR644" s="38"/>
      <c r="AS644" s="38"/>
      <c r="AT644" s="38"/>
      <c r="AU644" s="38"/>
      <c r="AV644" s="38"/>
      <c r="AW644" s="38"/>
      <c r="AX644" s="38"/>
      <c r="AY644" s="38"/>
      <c r="AZ644" s="38"/>
      <c r="BA644" s="38"/>
      <c r="BB644" s="38"/>
      <c r="BC644" s="38"/>
      <c r="BD644" s="38"/>
      <c r="BE644" s="38"/>
      <c r="BF644" s="38"/>
      <c r="BG644" s="38"/>
      <c r="BH644" s="38"/>
      <c r="BI644" s="38"/>
      <c r="BJ644" s="38"/>
    </row>
    <row r="645" spans="2:62" ht="15.75" customHeight="1">
      <c r="B645" s="3"/>
      <c r="C645" s="80"/>
      <c r="D645" s="80"/>
      <c r="E645" s="80"/>
      <c r="F645" s="80"/>
      <c r="G645" s="80"/>
      <c r="H645" s="80"/>
      <c r="I645" s="80"/>
      <c r="J645" s="80"/>
      <c r="K645" s="80"/>
      <c r="L645" s="80"/>
      <c r="M645" s="80"/>
      <c r="N645" s="80"/>
      <c r="O645" s="80"/>
      <c r="P645" s="80"/>
      <c r="Q645" s="80"/>
      <c r="R645" s="80"/>
      <c r="S645" s="80"/>
      <c r="T645" s="80"/>
      <c r="U645" s="80"/>
      <c r="V645" s="80"/>
      <c r="W645" s="80"/>
      <c r="X645" s="80"/>
      <c r="Y645" s="38"/>
      <c r="Z645" s="38"/>
      <c r="AA645" s="38"/>
      <c r="AB645" s="38"/>
      <c r="AC645" s="38"/>
      <c r="AD645" s="38"/>
      <c r="AE645" s="38"/>
      <c r="AF645" s="38"/>
      <c r="AG645" s="38"/>
      <c r="AH645" s="38"/>
      <c r="AI645" s="38"/>
      <c r="AJ645" s="38"/>
      <c r="AK645" s="38"/>
      <c r="AL645" s="38"/>
      <c r="AM645" s="38"/>
      <c r="AN645" s="38"/>
      <c r="AO645" s="38"/>
      <c r="AP645" s="38"/>
      <c r="AQ645" s="38"/>
      <c r="AR645" s="38"/>
      <c r="AS645" s="38"/>
      <c r="AT645" s="38"/>
      <c r="AU645" s="38"/>
      <c r="AV645" s="38"/>
      <c r="AW645" s="38"/>
      <c r="AX645" s="38"/>
      <c r="AY645" s="38"/>
      <c r="AZ645" s="38"/>
      <c r="BA645" s="38"/>
      <c r="BB645" s="38"/>
      <c r="BC645" s="38"/>
      <c r="BD645" s="38"/>
      <c r="BE645" s="38"/>
      <c r="BF645" s="38"/>
      <c r="BG645" s="38"/>
      <c r="BH645" s="38"/>
      <c r="BI645" s="38"/>
      <c r="BJ645" s="38"/>
    </row>
    <row r="646" spans="2:62" ht="15.75" customHeight="1">
      <c r="B646" s="3"/>
      <c r="C646" s="80"/>
      <c r="D646" s="80"/>
      <c r="E646" s="80"/>
      <c r="F646" s="80"/>
      <c r="G646" s="80"/>
      <c r="H646" s="80"/>
      <c r="I646" s="80"/>
      <c r="J646" s="80"/>
      <c r="K646" s="80"/>
      <c r="L646" s="80"/>
      <c r="M646" s="80"/>
      <c r="N646" s="80"/>
      <c r="O646" s="80"/>
      <c r="P646" s="80"/>
      <c r="Q646" s="80"/>
      <c r="R646" s="80"/>
      <c r="S646" s="80"/>
      <c r="T646" s="80"/>
      <c r="U646" s="80"/>
      <c r="V646" s="80"/>
      <c r="W646" s="80"/>
      <c r="X646" s="80"/>
      <c r="Y646" s="38"/>
      <c r="Z646" s="38"/>
      <c r="AA646" s="38"/>
      <c r="AB646" s="38"/>
      <c r="AC646" s="38"/>
      <c r="AD646" s="38"/>
      <c r="AE646" s="38"/>
      <c r="AF646" s="38"/>
      <c r="AG646" s="38"/>
      <c r="AH646" s="38"/>
      <c r="AI646" s="38"/>
      <c r="AJ646" s="38"/>
      <c r="AK646" s="38"/>
      <c r="AL646" s="38"/>
      <c r="AM646" s="38"/>
      <c r="AN646" s="38"/>
      <c r="AO646" s="38"/>
      <c r="AP646" s="38"/>
      <c r="AQ646" s="38"/>
      <c r="AR646" s="38"/>
      <c r="AS646" s="38"/>
      <c r="AT646" s="38"/>
      <c r="AU646" s="38"/>
      <c r="AV646" s="38"/>
      <c r="AW646" s="38"/>
      <c r="AX646" s="38"/>
      <c r="AY646" s="38"/>
      <c r="AZ646" s="38"/>
      <c r="BA646" s="38"/>
      <c r="BB646" s="38"/>
      <c r="BC646" s="38"/>
      <c r="BD646" s="38"/>
      <c r="BE646" s="38"/>
      <c r="BF646" s="38"/>
      <c r="BG646" s="38"/>
      <c r="BH646" s="38"/>
      <c r="BI646" s="38"/>
      <c r="BJ646" s="38"/>
    </row>
    <row r="647" spans="2:62" ht="15.75" customHeight="1">
      <c r="B647" s="3"/>
      <c r="C647" s="91"/>
      <c r="D647" s="80"/>
      <c r="E647" s="80"/>
      <c r="F647" s="80"/>
      <c r="G647" s="80"/>
      <c r="H647" s="80"/>
      <c r="I647" s="80"/>
      <c r="J647" s="80"/>
      <c r="K647" s="80"/>
      <c r="L647" s="80"/>
      <c r="M647" s="80"/>
      <c r="N647" s="80"/>
      <c r="O647" s="644"/>
      <c r="P647" s="80"/>
      <c r="Q647" s="80"/>
      <c r="R647" s="80"/>
      <c r="S647" s="80"/>
      <c r="T647" s="80"/>
      <c r="U647" s="80"/>
      <c r="V647" s="80"/>
      <c r="W647" s="80"/>
      <c r="X647" s="80"/>
      <c r="Y647" s="38"/>
      <c r="Z647" s="38"/>
      <c r="AA647" s="38"/>
      <c r="AB647" s="38"/>
      <c r="AC647" s="38"/>
      <c r="AD647" s="38"/>
      <c r="AE647" s="38"/>
      <c r="AF647" s="38"/>
      <c r="AG647" s="38"/>
      <c r="AH647" s="38"/>
      <c r="AI647" s="38"/>
      <c r="AJ647" s="38"/>
      <c r="AK647" s="38"/>
      <c r="AL647" s="38"/>
      <c r="AM647" s="38"/>
      <c r="AN647" s="38"/>
      <c r="AO647" s="38"/>
      <c r="AP647" s="38"/>
      <c r="AQ647" s="38"/>
      <c r="AR647" s="38"/>
      <c r="AS647" s="38"/>
      <c r="AT647" s="38"/>
      <c r="AU647" s="38"/>
      <c r="AV647" s="38"/>
      <c r="AW647" s="38"/>
      <c r="AX647" s="38"/>
      <c r="AY647" s="38"/>
      <c r="AZ647" s="38"/>
      <c r="BA647" s="38"/>
      <c r="BB647" s="38"/>
      <c r="BC647" s="38"/>
      <c r="BD647" s="38"/>
      <c r="BE647" s="38"/>
      <c r="BF647" s="38"/>
      <c r="BG647" s="38"/>
      <c r="BH647" s="38"/>
      <c r="BI647" s="38"/>
      <c r="BJ647" s="38"/>
    </row>
    <row r="648" spans="2:62" ht="15.75" customHeight="1">
      <c r="B648" s="3"/>
      <c r="C648" s="82"/>
      <c r="D648" s="85"/>
      <c r="E648" s="85"/>
      <c r="F648" s="85"/>
      <c r="G648" s="85"/>
      <c r="H648" s="85"/>
      <c r="I648" s="85"/>
      <c r="J648" s="85"/>
      <c r="K648" s="85"/>
      <c r="L648" s="85"/>
      <c r="M648" s="85"/>
      <c r="N648" s="85"/>
      <c r="O648" s="85"/>
      <c r="P648" s="85"/>
      <c r="Q648" s="645"/>
      <c r="R648" s="85"/>
      <c r="S648" s="85"/>
      <c r="T648" s="80"/>
      <c r="U648" s="80"/>
      <c r="V648" s="80"/>
      <c r="W648" s="80"/>
      <c r="X648" s="80"/>
      <c r="Y648" s="38"/>
      <c r="Z648" s="38"/>
      <c r="AA648" s="38"/>
      <c r="AB648" s="38"/>
      <c r="AC648" s="38"/>
      <c r="AD648" s="38"/>
      <c r="AE648" s="38"/>
      <c r="AF648" s="38"/>
      <c r="AG648" s="38"/>
      <c r="AH648" s="38"/>
      <c r="AI648" s="38"/>
      <c r="AJ648" s="38"/>
      <c r="AK648" s="38"/>
      <c r="AL648" s="38"/>
      <c r="AM648" s="38"/>
      <c r="AN648" s="38"/>
      <c r="AO648" s="38"/>
      <c r="AP648" s="38"/>
      <c r="AQ648" s="38"/>
      <c r="AR648" s="38"/>
      <c r="AS648" s="38"/>
      <c r="AT648" s="38"/>
      <c r="AU648" s="38"/>
      <c r="AV648" s="38"/>
      <c r="AW648" s="38"/>
      <c r="AX648" s="38"/>
      <c r="AY648" s="38"/>
      <c r="AZ648" s="38"/>
      <c r="BA648" s="38"/>
      <c r="BB648" s="38"/>
      <c r="BC648" s="38"/>
      <c r="BD648" s="38"/>
      <c r="BE648" s="38"/>
      <c r="BF648" s="38"/>
      <c r="BG648" s="38"/>
      <c r="BH648" s="38"/>
      <c r="BI648" s="38"/>
      <c r="BJ648" s="38"/>
    </row>
    <row r="649" spans="2:62" ht="15.75" customHeight="1">
      <c r="B649" s="3"/>
      <c r="C649" s="80"/>
      <c r="D649" s="83"/>
      <c r="E649" s="83"/>
      <c r="F649" s="646"/>
      <c r="G649" s="83"/>
      <c r="H649" s="83"/>
      <c r="I649" s="646"/>
      <c r="J649" s="86"/>
      <c r="K649" s="86"/>
      <c r="L649" s="92"/>
      <c r="M649" s="86"/>
      <c r="N649" s="86"/>
      <c r="O649" s="86"/>
      <c r="P649" s="86"/>
      <c r="Q649" s="641"/>
      <c r="R649" s="83"/>
      <c r="S649" s="646"/>
      <c r="T649" s="80"/>
      <c r="U649" s="80"/>
      <c r="V649" s="80"/>
      <c r="W649" s="80"/>
      <c r="X649" s="80"/>
      <c r="Y649" s="38"/>
      <c r="Z649" s="38"/>
      <c r="AA649" s="38"/>
      <c r="AB649" s="38"/>
      <c r="AC649" s="38"/>
      <c r="AD649" s="38"/>
      <c r="AE649" s="38"/>
      <c r="AF649" s="38"/>
      <c r="AG649" s="38"/>
      <c r="AH649" s="38"/>
      <c r="AI649" s="38"/>
      <c r="AJ649" s="38"/>
      <c r="AK649" s="38"/>
      <c r="AL649" s="38"/>
      <c r="AM649" s="38"/>
      <c r="AN649" s="38"/>
      <c r="AO649" s="38"/>
      <c r="AP649" s="38"/>
      <c r="AQ649" s="38"/>
      <c r="AR649" s="38"/>
      <c r="AS649" s="38"/>
      <c r="AT649" s="38"/>
      <c r="AU649" s="38"/>
      <c r="AV649" s="38"/>
      <c r="AW649" s="38"/>
      <c r="AX649" s="38"/>
      <c r="AY649" s="38"/>
      <c r="AZ649" s="38"/>
      <c r="BA649" s="38"/>
      <c r="BB649" s="38"/>
      <c r="BC649" s="38"/>
      <c r="BD649" s="38"/>
      <c r="BE649" s="38"/>
      <c r="BF649" s="38"/>
      <c r="BG649" s="38"/>
      <c r="BH649" s="38"/>
      <c r="BI649" s="38"/>
      <c r="BJ649" s="38"/>
    </row>
    <row r="650" spans="2:62" ht="15.75" customHeight="1">
      <c r="B650" s="3"/>
      <c r="C650" s="93"/>
      <c r="D650" s="80"/>
      <c r="E650" s="80"/>
      <c r="F650" s="85"/>
      <c r="G650" s="80"/>
      <c r="H650" s="80"/>
      <c r="I650" s="85"/>
      <c r="J650" s="85"/>
      <c r="K650" s="85"/>
      <c r="L650" s="80"/>
      <c r="M650" s="85"/>
      <c r="N650" s="85"/>
      <c r="O650" s="80"/>
      <c r="P650" s="85"/>
      <c r="Q650" s="85"/>
      <c r="R650" s="80"/>
      <c r="S650" s="85"/>
      <c r="T650" s="80"/>
      <c r="U650" s="80"/>
      <c r="V650" s="80"/>
      <c r="W650" s="80"/>
      <c r="X650" s="80"/>
      <c r="Y650" s="38"/>
      <c r="Z650" s="38"/>
      <c r="AA650" s="38"/>
      <c r="AB650" s="38"/>
      <c r="AC650" s="38"/>
      <c r="AD650" s="38"/>
      <c r="AE650" s="38"/>
      <c r="AF650" s="38"/>
      <c r="AG650" s="38"/>
      <c r="AH650" s="38"/>
      <c r="AI650" s="38"/>
      <c r="AJ650" s="38"/>
      <c r="AK650" s="38"/>
      <c r="AL650" s="38"/>
      <c r="AM650" s="38"/>
      <c r="AN650" s="38"/>
      <c r="AO650" s="38"/>
      <c r="AP650" s="38"/>
      <c r="AQ650" s="38"/>
      <c r="AR650" s="38"/>
      <c r="AS650" s="38"/>
      <c r="AT650" s="38"/>
      <c r="AU650" s="38"/>
      <c r="AV650" s="38"/>
      <c r="AW650" s="38"/>
      <c r="AX650" s="38"/>
      <c r="AY650" s="38"/>
      <c r="AZ650" s="38"/>
      <c r="BA650" s="38"/>
      <c r="BB650" s="38"/>
      <c r="BC650" s="38"/>
      <c r="BD650" s="38"/>
      <c r="BE650" s="38"/>
      <c r="BF650" s="38"/>
      <c r="BG650" s="38"/>
      <c r="BH650" s="38"/>
      <c r="BI650" s="38"/>
      <c r="BJ650" s="38"/>
    </row>
    <row r="651" spans="2:62" ht="15.75" customHeight="1">
      <c r="B651" s="3"/>
      <c r="C651" s="80"/>
      <c r="D651" s="80"/>
      <c r="E651" s="80"/>
      <c r="F651" s="88"/>
      <c r="G651" s="80"/>
      <c r="H651" s="80"/>
      <c r="I651" s="88"/>
      <c r="J651" s="88"/>
      <c r="K651" s="88"/>
      <c r="L651" s="88"/>
      <c r="M651" s="88"/>
      <c r="N651" s="88"/>
      <c r="O651" s="88"/>
      <c r="P651" s="88"/>
      <c r="Q651" s="88"/>
      <c r="R651" s="88"/>
      <c r="S651" s="88"/>
      <c r="T651" s="80"/>
      <c r="U651" s="80"/>
      <c r="V651" s="80"/>
      <c r="W651" s="80"/>
      <c r="X651" s="80"/>
      <c r="Y651" s="38"/>
      <c r="Z651" s="38"/>
      <c r="AA651" s="38"/>
      <c r="AB651" s="38"/>
      <c r="AC651" s="38"/>
      <c r="AD651" s="38"/>
      <c r="AE651" s="38"/>
      <c r="AF651" s="38"/>
      <c r="AG651" s="38"/>
      <c r="AH651" s="38"/>
      <c r="AI651" s="38"/>
      <c r="AJ651" s="38"/>
      <c r="AK651" s="38"/>
      <c r="AL651" s="38"/>
      <c r="AM651" s="38"/>
      <c r="AN651" s="38"/>
      <c r="AO651" s="38"/>
      <c r="AP651" s="38"/>
      <c r="AQ651" s="38"/>
      <c r="AR651" s="38"/>
      <c r="AS651" s="38"/>
      <c r="AT651" s="38"/>
      <c r="AU651" s="38"/>
      <c r="AV651" s="38"/>
      <c r="AW651" s="38"/>
      <c r="AX651" s="38"/>
      <c r="AY651" s="38"/>
      <c r="AZ651" s="38"/>
      <c r="BA651" s="38"/>
      <c r="BB651" s="38"/>
      <c r="BC651" s="38"/>
      <c r="BD651" s="38"/>
      <c r="BE651" s="38"/>
      <c r="BF651" s="38"/>
      <c r="BG651" s="38"/>
      <c r="BH651" s="38"/>
      <c r="BI651" s="38"/>
      <c r="BJ651" s="38"/>
    </row>
    <row r="652" spans="2:62" ht="15.75" customHeight="1">
      <c r="B652" s="3"/>
      <c r="C652" s="79"/>
      <c r="D652" s="79"/>
      <c r="E652" s="79"/>
      <c r="F652" s="90"/>
      <c r="G652" s="79"/>
      <c r="H652" s="79"/>
      <c r="I652" s="90"/>
      <c r="J652" s="90"/>
      <c r="K652" s="90"/>
      <c r="L652" s="90"/>
      <c r="M652" s="90"/>
      <c r="N652" s="90"/>
      <c r="O652" s="90"/>
      <c r="P652" s="90"/>
      <c r="Q652" s="90"/>
      <c r="R652" s="90"/>
      <c r="S652" s="90"/>
      <c r="T652" s="80"/>
      <c r="U652" s="80"/>
      <c r="V652" s="80"/>
      <c r="W652" s="80"/>
      <c r="X652" s="80"/>
      <c r="Y652" s="38"/>
      <c r="Z652" s="38"/>
      <c r="AA652" s="38"/>
      <c r="AB652" s="38"/>
      <c r="AC652" s="38"/>
      <c r="AD652" s="38"/>
      <c r="AE652" s="38"/>
      <c r="AF652" s="38"/>
      <c r="AG652" s="38"/>
      <c r="AH652" s="38"/>
      <c r="AI652" s="38"/>
      <c r="AJ652" s="38"/>
      <c r="AK652" s="38"/>
      <c r="AL652" s="38"/>
      <c r="AM652" s="38"/>
      <c r="AN652" s="38"/>
      <c r="AO652" s="38"/>
      <c r="AP652" s="38"/>
      <c r="AQ652" s="38"/>
      <c r="AR652" s="38"/>
      <c r="AS652" s="38"/>
      <c r="AT652" s="38"/>
      <c r="AU652" s="38"/>
      <c r="AV652" s="38"/>
      <c r="AW652" s="38"/>
      <c r="AX652" s="38"/>
      <c r="AY652" s="38"/>
      <c r="AZ652" s="38"/>
      <c r="BA652" s="38"/>
      <c r="BB652" s="38"/>
      <c r="BC652" s="38"/>
      <c r="BD652" s="38"/>
      <c r="BE652" s="38"/>
      <c r="BF652" s="38"/>
      <c r="BG652" s="38"/>
      <c r="BH652" s="38"/>
      <c r="BI652" s="38"/>
      <c r="BJ652" s="38"/>
    </row>
    <row r="653" spans="2:62" ht="15.75" customHeight="1">
      <c r="B653" s="3"/>
      <c r="C653" s="80"/>
      <c r="D653" s="80"/>
      <c r="E653" s="80"/>
      <c r="F653" s="80"/>
      <c r="G653" s="80"/>
      <c r="H653" s="80"/>
      <c r="I653" s="80"/>
      <c r="J653" s="88"/>
      <c r="K653" s="88"/>
      <c r="L653" s="88"/>
      <c r="M653" s="88"/>
      <c r="N653" s="88"/>
      <c r="O653" s="88"/>
      <c r="P653" s="88"/>
      <c r="Q653" s="88"/>
      <c r="R653" s="88"/>
      <c r="S653" s="88"/>
      <c r="T653" s="80"/>
      <c r="U653" s="80"/>
      <c r="V653" s="80"/>
      <c r="W653" s="80"/>
      <c r="X653" s="80"/>
      <c r="Y653" s="38"/>
      <c r="Z653" s="38"/>
      <c r="AA653" s="38"/>
      <c r="AB653" s="38"/>
      <c r="AC653" s="38"/>
      <c r="AD653" s="38"/>
      <c r="AE653" s="38"/>
      <c r="AF653" s="38"/>
      <c r="AG653" s="38"/>
      <c r="AH653" s="38"/>
      <c r="AI653" s="38"/>
      <c r="AJ653" s="38"/>
      <c r="AK653" s="38"/>
      <c r="AL653" s="38"/>
      <c r="AM653" s="38"/>
      <c r="AN653" s="38"/>
      <c r="AO653" s="38"/>
      <c r="AP653" s="38"/>
      <c r="AQ653" s="38"/>
      <c r="AR653" s="38"/>
      <c r="AS653" s="38"/>
      <c r="AT653" s="38"/>
      <c r="AU653" s="38"/>
      <c r="AV653" s="38"/>
      <c r="AW653" s="38"/>
      <c r="AX653" s="38"/>
      <c r="AY653" s="38"/>
      <c r="AZ653" s="38"/>
      <c r="BA653" s="38"/>
      <c r="BB653" s="38"/>
      <c r="BC653" s="38"/>
      <c r="BD653" s="38"/>
      <c r="BE653" s="38"/>
      <c r="BF653" s="38"/>
      <c r="BG653" s="38"/>
      <c r="BH653" s="38"/>
      <c r="BI653" s="38"/>
      <c r="BJ653" s="38"/>
    </row>
    <row r="654" spans="2:62" ht="15.75" customHeight="1">
      <c r="B654" s="3"/>
      <c r="C654" s="80"/>
      <c r="D654" s="80"/>
      <c r="E654" s="80"/>
      <c r="F654" s="80"/>
      <c r="G654" s="80"/>
      <c r="H654" s="80"/>
      <c r="I654" s="80"/>
      <c r="J654" s="80"/>
      <c r="K654" s="88"/>
      <c r="L654" s="88"/>
      <c r="M654" s="80"/>
      <c r="N654" s="88"/>
      <c r="O654" s="88"/>
      <c r="P654" s="80"/>
      <c r="Q654" s="88"/>
      <c r="R654" s="88"/>
      <c r="S654" s="80"/>
      <c r="T654" s="80"/>
      <c r="U654" s="80"/>
      <c r="V654" s="80"/>
      <c r="W654" s="80"/>
      <c r="X654" s="80"/>
      <c r="Y654" s="38"/>
      <c r="Z654" s="38"/>
      <c r="AA654" s="38"/>
      <c r="AB654" s="38"/>
      <c r="AC654" s="38"/>
      <c r="AD654" s="38"/>
      <c r="AE654" s="38"/>
      <c r="AF654" s="38"/>
      <c r="AG654" s="38"/>
      <c r="AH654" s="38"/>
      <c r="AI654" s="38"/>
      <c r="AJ654" s="38"/>
      <c r="AK654" s="38"/>
      <c r="AL654" s="38"/>
      <c r="AM654" s="38"/>
      <c r="AN654" s="38"/>
      <c r="AO654" s="38"/>
      <c r="AP654" s="38"/>
      <c r="AQ654" s="38"/>
      <c r="AR654" s="38"/>
      <c r="AS654" s="38"/>
      <c r="AT654" s="38"/>
      <c r="AU654" s="38"/>
      <c r="AV654" s="38"/>
      <c r="AW654" s="38"/>
      <c r="AX654" s="38"/>
      <c r="AY654" s="38"/>
      <c r="AZ654" s="38"/>
      <c r="BA654" s="38"/>
      <c r="BB654" s="38"/>
      <c r="BC654" s="38"/>
      <c r="BD654" s="38"/>
      <c r="BE654" s="38"/>
      <c r="BF654" s="38"/>
      <c r="BG654" s="38"/>
      <c r="BH654" s="38"/>
      <c r="BI654" s="38"/>
      <c r="BJ654" s="38"/>
    </row>
    <row r="655" spans="2:62" ht="15.75" customHeight="1">
      <c r="B655" s="3"/>
      <c r="C655" s="80"/>
      <c r="D655" s="80"/>
      <c r="E655" s="80"/>
      <c r="F655" s="80"/>
      <c r="G655" s="80"/>
      <c r="H655" s="80"/>
      <c r="I655" s="80"/>
      <c r="J655" s="80"/>
      <c r="K655" s="88"/>
      <c r="L655" s="88"/>
      <c r="M655" s="80"/>
      <c r="N655" s="88"/>
      <c r="O655" s="88"/>
      <c r="P655" s="80"/>
      <c r="Q655" s="88"/>
      <c r="R655" s="88"/>
      <c r="S655" s="80"/>
      <c r="T655" s="80"/>
      <c r="U655" s="80"/>
      <c r="V655" s="80"/>
      <c r="W655" s="80"/>
      <c r="X655" s="80"/>
      <c r="Y655" s="38"/>
      <c r="Z655" s="38"/>
      <c r="AA655" s="38"/>
      <c r="AB655" s="38"/>
      <c r="AC655" s="38"/>
      <c r="AD655" s="38"/>
      <c r="AE655" s="38"/>
      <c r="AF655" s="38"/>
      <c r="AG655" s="38"/>
      <c r="AH655" s="38"/>
      <c r="AI655" s="38"/>
      <c r="AJ655" s="38"/>
      <c r="AK655" s="38"/>
      <c r="AL655" s="38"/>
      <c r="AM655" s="38"/>
      <c r="AN655" s="38"/>
      <c r="AO655" s="38"/>
      <c r="AP655" s="38"/>
      <c r="AQ655" s="38"/>
      <c r="AR655" s="38"/>
      <c r="AS655" s="38"/>
      <c r="AT655" s="38"/>
      <c r="AU655" s="38"/>
      <c r="AV655" s="38"/>
      <c r="AW655" s="38"/>
      <c r="AX655" s="38"/>
      <c r="AY655" s="38"/>
      <c r="AZ655" s="38"/>
      <c r="BA655" s="38"/>
      <c r="BB655" s="38"/>
      <c r="BC655" s="38"/>
      <c r="BD655" s="38"/>
      <c r="BE655" s="38"/>
      <c r="BF655" s="38"/>
      <c r="BG655" s="38"/>
      <c r="BH655" s="38"/>
      <c r="BI655" s="38"/>
      <c r="BJ655" s="38"/>
    </row>
    <row r="656" spans="2:62" ht="15.75" customHeight="1">
      <c r="B656" s="3"/>
      <c r="C656" s="80"/>
      <c r="D656" s="80"/>
      <c r="E656" s="80"/>
      <c r="F656" s="80"/>
      <c r="G656" s="80"/>
      <c r="H656" s="80"/>
      <c r="I656" s="80"/>
      <c r="J656" s="80"/>
      <c r="K656" s="88"/>
      <c r="L656" s="88"/>
      <c r="M656" s="80"/>
      <c r="N656" s="88"/>
      <c r="O656" s="88"/>
      <c r="P656" s="80"/>
      <c r="Q656" s="88"/>
      <c r="R656" s="88"/>
      <c r="S656" s="80"/>
      <c r="T656" s="80"/>
      <c r="U656" s="80"/>
      <c r="V656" s="80"/>
      <c r="W656" s="80"/>
      <c r="X656" s="80"/>
      <c r="Y656" s="38"/>
      <c r="Z656" s="38"/>
      <c r="AA656" s="38"/>
      <c r="AB656" s="38"/>
      <c r="AC656" s="38"/>
      <c r="AD656" s="38"/>
      <c r="AE656" s="38"/>
      <c r="AF656" s="38"/>
      <c r="AG656" s="38"/>
      <c r="AH656" s="38"/>
      <c r="AI656" s="38"/>
      <c r="AJ656" s="38"/>
      <c r="AK656" s="38"/>
      <c r="AL656" s="38"/>
      <c r="AM656" s="38"/>
      <c r="AN656" s="38"/>
      <c r="AO656" s="38"/>
      <c r="AP656" s="38"/>
      <c r="AQ656" s="38"/>
      <c r="AR656" s="38"/>
      <c r="AS656" s="38"/>
      <c r="AT656" s="38"/>
      <c r="AU656" s="38"/>
      <c r="AV656" s="38"/>
      <c r="AW656" s="38"/>
      <c r="AX656" s="38"/>
      <c r="AY656" s="38"/>
      <c r="AZ656" s="38"/>
      <c r="BA656" s="38"/>
      <c r="BB656" s="38"/>
      <c r="BC656" s="38"/>
      <c r="BD656" s="38"/>
      <c r="BE656" s="38"/>
      <c r="BF656" s="38"/>
      <c r="BG656" s="38"/>
      <c r="BH656" s="38"/>
      <c r="BI656" s="38"/>
      <c r="BJ656" s="38"/>
    </row>
    <row r="657" spans="2:62" ht="15.75" customHeight="1">
      <c r="B657" s="3"/>
      <c r="C657" s="80"/>
      <c r="D657" s="80"/>
      <c r="E657" s="80"/>
      <c r="F657" s="80"/>
      <c r="G657" s="80"/>
      <c r="H657" s="80"/>
      <c r="I657" s="80"/>
      <c r="J657" s="80"/>
      <c r="K657" s="88"/>
      <c r="L657" s="88"/>
      <c r="M657" s="80"/>
      <c r="N657" s="88"/>
      <c r="O657" s="88"/>
      <c r="P657" s="80"/>
      <c r="Q657" s="88"/>
      <c r="R657" s="88"/>
      <c r="S657" s="80"/>
      <c r="T657" s="80"/>
      <c r="U657" s="80"/>
      <c r="V657" s="80"/>
      <c r="W657" s="80"/>
      <c r="X657" s="80"/>
      <c r="Y657" s="38"/>
      <c r="Z657" s="38"/>
      <c r="AA657" s="38"/>
      <c r="AB657" s="38"/>
      <c r="AC657" s="38"/>
      <c r="AD657" s="38"/>
      <c r="AE657" s="38"/>
      <c r="AF657" s="38"/>
      <c r="AG657" s="38"/>
      <c r="AH657" s="38"/>
      <c r="AI657" s="38"/>
      <c r="AJ657" s="38"/>
      <c r="AK657" s="38"/>
      <c r="AL657" s="38"/>
      <c r="AM657" s="38"/>
      <c r="AN657" s="38"/>
      <c r="AO657" s="38"/>
      <c r="AP657" s="38"/>
      <c r="AQ657" s="38"/>
      <c r="AR657" s="38"/>
      <c r="AS657" s="38"/>
      <c r="AT657" s="38"/>
      <c r="AU657" s="38"/>
      <c r="AV657" s="38"/>
      <c r="AW657" s="38"/>
      <c r="AX657" s="38"/>
      <c r="AY657" s="38"/>
      <c r="AZ657" s="38"/>
      <c r="BA657" s="38"/>
      <c r="BB657" s="38"/>
      <c r="BC657" s="38"/>
      <c r="BD657" s="38"/>
      <c r="BE657" s="38"/>
      <c r="BF657" s="38"/>
      <c r="BG657" s="38"/>
      <c r="BH657" s="38"/>
      <c r="BI657" s="38"/>
      <c r="BJ657" s="38"/>
    </row>
    <row r="658" spans="2:62" ht="15.75" customHeight="1">
      <c r="B658" s="3"/>
      <c r="C658" s="80"/>
      <c r="D658" s="80"/>
      <c r="E658" s="80"/>
      <c r="F658" s="80"/>
      <c r="G658" s="80"/>
      <c r="H658" s="80"/>
      <c r="I658" s="80"/>
      <c r="J658" s="80"/>
      <c r="K658" s="88"/>
      <c r="L658" s="88"/>
      <c r="M658" s="80"/>
      <c r="N658" s="88"/>
      <c r="O658" s="88"/>
      <c r="P658" s="80"/>
      <c r="Q658" s="88"/>
      <c r="R658" s="88"/>
      <c r="S658" s="80"/>
      <c r="T658" s="80"/>
      <c r="U658" s="80"/>
      <c r="V658" s="80"/>
      <c r="W658" s="80"/>
      <c r="X658" s="80"/>
      <c r="Y658" s="38"/>
      <c r="Z658" s="38"/>
      <c r="AA658" s="38"/>
      <c r="AB658" s="38"/>
      <c r="AC658" s="38"/>
      <c r="AD658" s="38"/>
      <c r="AE658" s="38"/>
      <c r="AF658" s="38"/>
      <c r="AG658" s="38"/>
      <c r="AH658" s="38"/>
      <c r="AI658" s="38"/>
      <c r="AJ658" s="38"/>
      <c r="AK658" s="38"/>
      <c r="AL658" s="38"/>
      <c r="AM658" s="38"/>
      <c r="AN658" s="38"/>
      <c r="AO658" s="38"/>
      <c r="AP658" s="38"/>
      <c r="AQ658" s="38"/>
      <c r="AR658" s="38"/>
      <c r="AS658" s="38"/>
      <c r="AT658" s="38"/>
      <c r="AU658" s="38"/>
      <c r="AV658" s="38"/>
      <c r="AW658" s="38"/>
      <c r="AX658" s="38"/>
      <c r="AY658" s="38"/>
      <c r="AZ658" s="38"/>
      <c r="BA658" s="38"/>
      <c r="BB658" s="38"/>
      <c r="BC658" s="38"/>
      <c r="BD658" s="38"/>
      <c r="BE658" s="38"/>
      <c r="BF658" s="38"/>
      <c r="BG658" s="38"/>
      <c r="BH658" s="38"/>
      <c r="BI658" s="38"/>
      <c r="BJ658" s="38"/>
    </row>
    <row r="659" spans="2:62" ht="15.75" customHeight="1">
      <c r="B659" s="3"/>
      <c r="C659" s="80"/>
      <c r="D659" s="80"/>
      <c r="E659" s="80"/>
      <c r="F659" s="80"/>
      <c r="G659" s="80"/>
      <c r="H659" s="80"/>
      <c r="I659" s="80"/>
      <c r="J659" s="80"/>
      <c r="K659" s="88"/>
      <c r="L659" s="90"/>
      <c r="M659" s="80"/>
      <c r="N659" s="88"/>
      <c r="O659" s="88"/>
      <c r="P659" s="80"/>
      <c r="Q659" s="88"/>
      <c r="R659" s="90"/>
      <c r="S659" s="80"/>
      <c r="T659" s="80"/>
      <c r="U659" s="80"/>
      <c r="V659" s="80"/>
      <c r="W659" s="80"/>
      <c r="X659" s="80"/>
      <c r="Y659" s="38"/>
      <c r="Z659" s="38"/>
      <c r="AA659" s="38"/>
      <c r="AB659" s="38"/>
      <c r="AC659" s="38"/>
      <c r="AD659" s="38"/>
      <c r="AE659" s="38"/>
      <c r="AF659" s="38"/>
      <c r="AG659" s="38"/>
      <c r="AH659" s="38"/>
      <c r="AI659" s="38"/>
      <c r="AJ659" s="38"/>
      <c r="AK659" s="38"/>
      <c r="AL659" s="38"/>
      <c r="AM659" s="38"/>
      <c r="AN659" s="38"/>
      <c r="AO659" s="38"/>
      <c r="AP659" s="38"/>
      <c r="AQ659" s="38"/>
      <c r="AR659" s="38"/>
      <c r="AS659" s="38"/>
      <c r="AT659" s="38"/>
      <c r="AU659" s="38"/>
      <c r="AV659" s="38"/>
      <c r="AW659" s="38"/>
      <c r="AX659" s="38"/>
      <c r="AY659" s="38"/>
      <c r="AZ659" s="38"/>
      <c r="BA659" s="38"/>
      <c r="BB659" s="38"/>
      <c r="BC659" s="38"/>
      <c r="BD659" s="38"/>
      <c r="BE659" s="38"/>
      <c r="BF659" s="38"/>
      <c r="BG659" s="38"/>
      <c r="BH659" s="38"/>
      <c r="BI659" s="38"/>
      <c r="BJ659" s="38"/>
    </row>
    <row r="660" spans="2:62" ht="15.75" customHeight="1">
      <c r="B660" s="3"/>
      <c r="C660" s="80"/>
      <c r="D660" s="80"/>
      <c r="E660" s="80"/>
      <c r="F660" s="80"/>
      <c r="G660" s="80"/>
      <c r="H660" s="80"/>
      <c r="I660" s="80"/>
      <c r="J660" s="80"/>
      <c r="K660" s="88"/>
      <c r="L660" s="88"/>
      <c r="M660" s="80"/>
      <c r="N660" s="88"/>
      <c r="O660" s="88"/>
      <c r="P660" s="80"/>
      <c r="Q660" s="88"/>
      <c r="R660" s="88"/>
      <c r="S660" s="80"/>
      <c r="T660" s="80"/>
      <c r="U660" s="80"/>
      <c r="V660" s="80"/>
      <c r="W660" s="80"/>
      <c r="X660" s="80"/>
      <c r="Y660" s="38"/>
      <c r="Z660" s="38"/>
      <c r="AA660" s="38"/>
      <c r="AB660" s="38"/>
      <c r="AC660" s="38"/>
      <c r="AD660" s="38"/>
      <c r="AE660" s="38"/>
      <c r="AF660" s="38"/>
      <c r="AG660" s="38"/>
      <c r="AH660" s="38"/>
      <c r="AI660" s="38"/>
      <c r="AJ660" s="38"/>
      <c r="AK660" s="38"/>
      <c r="AL660" s="38"/>
      <c r="AM660" s="38"/>
      <c r="AN660" s="38"/>
      <c r="AO660" s="38"/>
      <c r="AP660" s="38"/>
      <c r="AQ660" s="38"/>
      <c r="AR660" s="38"/>
      <c r="AS660" s="38"/>
      <c r="AT660" s="38"/>
      <c r="AU660" s="38"/>
      <c r="AV660" s="38"/>
      <c r="AW660" s="38"/>
      <c r="AX660" s="38"/>
      <c r="AY660" s="38"/>
      <c r="AZ660" s="38"/>
      <c r="BA660" s="38"/>
      <c r="BB660" s="38"/>
      <c r="BC660" s="38"/>
      <c r="BD660" s="38"/>
      <c r="BE660" s="38"/>
      <c r="BF660" s="38"/>
      <c r="BG660" s="38"/>
      <c r="BH660" s="38"/>
      <c r="BI660" s="38"/>
      <c r="BJ660" s="38"/>
    </row>
    <row r="661" spans="2:62" ht="15.75" customHeight="1">
      <c r="B661" s="3"/>
      <c r="C661" s="80"/>
      <c r="D661" s="80"/>
      <c r="E661" s="80"/>
      <c r="F661" s="80"/>
      <c r="G661" s="80"/>
      <c r="H661" s="80"/>
      <c r="I661" s="80"/>
      <c r="J661" s="80"/>
      <c r="K661" s="80"/>
      <c r="L661" s="80"/>
      <c r="M661" s="80"/>
      <c r="N661" s="90"/>
      <c r="O661" s="90"/>
      <c r="P661" s="80"/>
      <c r="Q661" s="90"/>
      <c r="R661" s="80"/>
      <c r="S661" s="80"/>
      <c r="T661" s="80"/>
      <c r="U661" s="80"/>
      <c r="V661" s="80"/>
      <c r="W661" s="80"/>
      <c r="X661" s="80"/>
      <c r="Y661" s="38"/>
      <c r="Z661" s="38"/>
      <c r="AA661" s="38"/>
      <c r="AB661" s="38"/>
      <c r="AC661" s="38"/>
      <c r="AD661" s="38"/>
      <c r="AE661" s="38"/>
      <c r="AF661" s="38"/>
      <c r="AG661" s="38"/>
      <c r="AH661" s="38"/>
      <c r="AI661" s="38"/>
      <c r="AJ661" s="38"/>
      <c r="AK661" s="38"/>
      <c r="AL661" s="38"/>
      <c r="AM661" s="38"/>
      <c r="AN661" s="38"/>
      <c r="AO661" s="38"/>
      <c r="AP661" s="38"/>
      <c r="AQ661" s="38"/>
      <c r="AR661" s="38"/>
      <c r="AS661" s="38"/>
      <c r="AT661" s="38"/>
      <c r="AU661" s="38"/>
      <c r="AV661" s="38"/>
      <c r="AW661" s="38"/>
      <c r="AX661" s="38"/>
      <c r="AY661" s="38"/>
      <c r="AZ661" s="38"/>
      <c r="BA661" s="38"/>
      <c r="BB661" s="38"/>
      <c r="BC661" s="38"/>
      <c r="BD661" s="38"/>
      <c r="BE661" s="38"/>
      <c r="BF661" s="38"/>
      <c r="BG661" s="38"/>
      <c r="BH661" s="38"/>
      <c r="BI661" s="38"/>
      <c r="BJ661" s="38"/>
    </row>
    <row r="662" spans="2:62" ht="15.75" customHeight="1">
      <c r="B662" s="3"/>
      <c r="C662" s="80"/>
      <c r="D662" s="80"/>
      <c r="E662" s="80"/>
      <c r="F662" s="80"/>
      <c r="G662" s="80"/>
      <c r="H662" s="80"/>
      <c r="I662" s="80"/>
      <c r="J662" s="80"/>
      <c r="K662" s="90"/>
      <c r="L662" s="90"/>
      <c r="M662" s="80"/>
      <c r="N662" s="88"/>
      <c r="O662" s="88"/>
      <c r="P662" s="80"/>
      <c r="Q662" s="88"/>
      <c r="R662" s="90"/>
      <c r="S662" s="80"/>
      <c r="T662" s="80"/>
      <c r="U662" s="80"/>
      <c r="V662" s="80"/>
      <c r="W662" s="80"/>
      <c r="X662" s="80"/>
      <c r="Y662" s="38"/>
      <c r="Z662" s="38"/>
      <c r="AA662" s="38"/>
      <c r="AB662" s="38"/>
      <c r="AC662" s="38"/>
      <c r="AD662" s="38"/>
      <c r="AE662" s="38"/>
      <c r="AF662" s="38"/>
      <c r="AG662" s="38"/>
      <c r="AH662" s="38"/>
      <c r="AI662" s="38"/>
      <c r="AJ662" s="38"/>
      <c r="AK662" s="38"/>
      <c r="AL662" s="38"/>
      <c r="AM662" s="38"/>
      <c r="AN662" s="38"/>
      <c r="AO662" s="38"/>
      <c r="AP662" s="38"/>
      <c r="AQ662" s="38"/>
      <c r="AR662" s="38"/>
      <c r="AS662" s="38"/>
      <c r="AT662" s="38"/>
      <c r="AU662" s="38"/>
      <c r="AV662" s="38"/>
      <c r="AW662" s="38"/>
      <c r="AX662" s="38"/>
      <c r="AY662" s="38"/>
      <c r="AZ662" s="38"/>
      <c r="BA662" s="38"/>
      <c r="BB662" s="38"/>
      <c r="BC662" s="38"/>
      <c r="BD662" s="38"/>
      <c r="BE662" s="38"/>
      <c r="BF662" s="38"/>
      <c r="BG662" s="38"/>
      <c r="BH662" s="38"/>
      <c r="BI662" s="38"/>
      <c r="BJ662" s="38"/>
    </row>
    <row r="663" spans="2:62" ht="15.75" customHeight="1">
      <c r="B663" s="3"/>
      <c r="C663" s="80"/>
      <c r="D663" s="80"/>
      <c r="E663" s="80"/>
      <c r="F663" s="80"/>
      <c r="G663" s="80"/>
      <c r="H663" s="80"/>
      <c r="I663" s="80"/>
      <c r="J663" s="80"/>
      <c r="K663" s="88"/>
      <c r="L663" s="88"/>
      <c r="M663" s="80"/>
      <c r="N663" s="88"/>
      <c r="O663" s="88"/>
      <c r="P663" s="80"/>
      <c r="Q663" s="88"/>
      <c r="R663" s="88"/>
      <c r="S663" s="80"/>
      <c r="T663" s="80"/>
      <c r="U663" s="80"/>
      <c r="V663" s="80"/>
      <c r="W663" s="80"/>
      <c r="X663" s="80"/>
      <c r="Y663" s="38"/>
      <c r="Z663" s="38"/>
      <c r="AA663" s="38"/>
      <c r="AB663" s="38"/>
      <c r="AC663" s="38"/>
      <c r="AD663" s="38"/>
      <c r="AE663" s="38"/>
      <c r="AF663" s="38"/>
      <c r="AG663" s="38"/>
      <c r="AH663" s="38"/>
      <c r="AI663" s="38"/>
      <c r="AJ663" s="38"/>
      <c r="AK663" s="38"/>
      <c r="AL663" s="38"/>
      <c r="AM663" s="38"/>
      <c r="AN663" s="38"/>
      <c r="AO663" s="38"/>
      <c r="AP663" s="38"/>
      <c r="AQ663" s="38"/>
      <c r="AR663" s="38"/>
      <c r="AS663" s="38"/>
      <c r="AT663" s="38"/>
      <c r="AU663" s="38"/>
      <c r="AV663" s="38"/>
      <c r="AW663" s="38"/>
      <c r="AX663" s="38"/>
      <c r="AY663" s="38"/>
      <c r="AZ663" s="38"/>
      <c r="BA663" s="38"/>
      <c r="BB663" s="38"/>
      <c r="BC663" s="38"/>
      <c r="BD663" s="38"/>
      <c r="BE663" s="38"/>
      <c r="BF663" s="38"/>
      <c r="BG663" s="38"/>
      <c r="BH663" s="38"/>
      <c r="BI663" s="38"/>
      <c r="BJ663" s="38"/>
    </row>
    <row r="664" spans="2:62" ht="15.75" customHeight="1">
      <c r="B664" s="3"/>
      <c r="C664" s="80"/>
      <c r="D664" s="80"/>
      <c r="E664" s="80"/>
      <c r="F664" s="80"/>
      <c r="G664" s="80"/>
      <c r="H664" s="80"/>
      <c r="I664" s="80"/>
      <c r="J664" s="80"/>
      <c r="K664" s="88"/>
      <c r="L664" s="88"/>
      <c r="M664" s="80"/>
      <c r="N664" s="88"/>
      <c r="O664" s="88"/>
      <c r="P664" s="80"/>
      <c r="Q664" s="88"/>
      <c r="R664" s="88"/>
      <c r="S664" s="80"/>
      <c r="T664" s="80"/>
      <c r="U664" s="80"/>
      <c r="V664" s="80"/>
      <c r="W664" s="80"/>
      <c r="X664" s="80"/>
      <c r="Y664" s="38"/>
      <c r="Z664" s="38"/>
      <c r="AA664" s="38"/>
      <c r="AB664" s="38"/>
      <c r="AC664" s="38"/>
      <c r="AD664" s="38"/>
      <c r="AE664" s="38"/>
      <c r="AF664" s="38"/>
      <c r="AG664" s="38"/>
      <c r="AH664" s="38"/>
      <c r="AI664" s="38"/>
      <c r="AJ664" s="38"/>
      <c r="AK664" s="38"/>
      <c r="AL664" s="38"/>
      <c r="AM664" s="38"/>
      <c r="AN664" s="38"/>
      <c r="AO664" s="38"/>
      <c r="AP664" s="38"/>
      <c r="AQ664" s="38"/>
      <c r="AR664" s="38"/>
      <c r="AS664" s="38"/>
      <c r="AT664" s="38"/>
      <c r="AU664" s="38"/>
      <c r="AV664" s="38"/>
      <c r="AW664" s="38"/>
      <c r="AX664" s="38"/>
      <c r="AY664" s="38"/>
      <c r="AZ664" s="38"/>
      <c r="BA664" s="38"/>
      <c r="BB664" s="38"/>
      <c r="BC664" s="38"/>
      <c r="BD664" s="38"/>
      <c r="BE664" s="38"/>
      <c r="BF664" s="38"/>
      <c r="BG664" s="38"/>
      <c r="BH664" s="38"/>
      <c r="BI664" s="38"/>
      <c r="BJ664" s="38"/>
    </row>
    <row r="665" spans="2:62" ht="15.75" customHeight="1">
      <c r="B665" s="3"/>
      <c r="C665" s="80"/>
      <c r="D665" s="80"/>
      <c r="E665" s="80"/>
      <c r="F665" s="80"/>
      <c r="G665" s="80"/>
      <c r="H665" s="80"/>
      <c r="I665" s="80"/>
      <c r="J665" s="80"/>
      <c r="K665" s="88"/>
      <c r="L665" s="88"/>
      <c r="M665" s="80"/>
      <c r="N665" s="88"/>
      <c r="O665" s="88"/>
      <c r="P665" s="80"/>
      <c r="Q665" s="88"/>
      <c r="R665" s="88"/>
      <c r="S665" s="80"/>
      <c r="T665" s="80"/>
      <c r="U665" s="80"/>
      <c r="V665" s="80"/>
      <c r="W665" s="80"/>
      <c r="X665" s="80"/>
      <c r="Y665" s="38"/>
      <c r="Z665" s="38"/>
      <c r="AA665" s="38"/>
      <c r="AB665" s="38"/>
      <c r="AC665" s="38"/>
      <c r="AD665" s="38"/>
      <c r="AE665" s="38"/>
      <c r="AF665" s="38"/>
      <c r="AG665" s="38"/>
      <c r="AH665" s="38"/>
      <c r="AI665" s="38"/>
      <c r="AJ665" s="38"/>
      <c r="AK665" s="38"/>
      <c r="AL665" s="38"/>
      <c r="AM665" s="38"/>
      <c r="AN665" s="38"/>
      <c r="AO665" s="38"/>
      <c r="AP665" s="38"/>
      <c r="AQ665" s="38"/>
      <c r="AR665" s="38"/>
      <c r="AS665" s="38"/>
      <c r="AT665" s="38"/>
      <c r="AU665" s="38"/>
      <c r="AV665" s="38"/>
      <c r="AW665" s="38"/>
      <c r="AX665" s="38"/>
      <c r="AY665" s="38"/>
      <c r="AZ665" s="38"/>
      <c r="BA665" s="38"/>
      <c r="BB665" s="38"/>
      <c r="BC665" s="38"/>
      <c r="BD665" s="38"/>
      <c r="BE665" s="38"/>
      <c r="BF665" s="38"/>
      <c r="BG665" s="38"/>
      <c r="BH665" s="38"/>
      <c r="BI665" s="38"/>
      <c r="BJ665" s="38"/>
    </row>
    <row r="666" spans="2:62" ht="15.75" customHeight="1">
      <c r="B666" s="3"/>
      <c r="C666" s="80"/>
      <c r="D666" s="80"/>
      <c r="E666" s="80"/>
      <c r="F666" s="80"/>
      <c r="G666" s="80"/>
      <c r="H666" s="80"/>
      <c r="I666" s="80"/>
      <c r="J666" s="80"/>
      <c r="K666" s="88"/>
      <c r="L666" s="88"/>
      <c r="M666" s="80"/>
      <c r="N666" s="88"/>
      <c r="O666" s="88"/>
      <c r="P666" s="80"/>
      <c r="Q666" s="88"/>
      <c r="R666" s="88"/>
      <c r="S666" s="80"/>
      <c r="T666" s="80"/>
      <c r="U666" s="80"/>
      <c r="V666" s="80"/>
      <c r="W666" s="80"/>
      <c r="X666" s="80"/>
      <c r="Y666" s="38"/>
      <c r="Z666" s="38"/>
      <c r="AA666" s="38"/>
      <c r="AB666" s="38"/>
      <c r="AC666" s="38"/>
      <c r="AD666" s="38"/>
      <c r="AE666" s="38"/>
      <c r="AF666" s="38"/>
      <c r="AG666" s="38"/>
      <c r="AH666" s="38"/>
      <c r="AI666" s="38"/>
      <c r="AJ666" s="38"/>
      <c r="AK666" s="38"/>
      <c r="AL666" s="38"/>
      <c r="AM666" s="38"/>
      <c r="AN666" s="38"/>
      <c r="AO666" s="38"/>
      <c r="AP666" s="38"/>
      <c r="AQ666" s="38"/>
      <c r="AR666" s="38"/>
      <c r="AS666" s="38"/>
      <c r="AT666" s="38"/>
      <c r="AU666" s="38"/>
      <c r="AV666" s="38"/>
      <c r="AW666" s="38"/>
      <c r="AX666" s="38"/>
      <c r="AY666" s="38"/>
      <c r="AZ666" s="38"/>
      <c r="BA666" s="38"/>
      <c r="BB666" s="38"/>
      <c r="BC666" s="38"/>
      <c r="BD666" s="38"/>
      <c r="BE666" s="38"/>
      <c r="BF666" s="38"/>
      <c r="BG666" s="38"/>
      <c r="BH666" s="38"/>
      <c r="BI666" s="38"/>
      <c r="BJ666" s="38"/>
    </row>
    <row r="667" spans="2:62" ht="15.75" customHeight="1">
      <c r="B667" s="3"/>
      <c r="C667" s="80"/>
      <c r="D667" s="80"/>
      <c r="E667" s="80"/>
      <c r="F667" s="80"/>
      <c r="G667" s="80"/>
      <c r="H667" s="80"/>
      <c r="I667" s="80"/>
      <c r="J667" s="80"/>
      <c r="K667" s="88"/>
      <c r="L667" s="88"/>
      <c r="M667" s="80"/>
      <c r="N667" s="88"/>
      <c r="O667" s="88"/>
      <c r="P667" s="80"/>
      <c r="Q667" s="88"/>
      <c r="R667" s="88"/>
      <c r="S667" s="80"/>
      <c r="T667" s="80"/>
      <c r="U667" s="80"/>
      <c r="V667" s="80"/>
      <c r="W667" s="80"/>
      <c r="X667" s="80"/>
      <c r="Y667" s="38"/>
      <c r="Z667" s="38"/>
      <c r="AA667" s="38"/>
      <c r="AB667" s="38"/>
      <c r="AC667" s="38"/>
      <c r="AD667" s="38"/>
      <c r="AE667" s="38"/>
      <c r="AF667" s="38"/>
      <c r="AG667" s="38"/>
      <c r="AH667" s="38"/>
      <c r="AI667" s="38"/>
      <c r="AJ667" s="38"/>
      <c r="AK667" s="38"/>
      <c r="AL667" s="38"/>
      <c r="AM667" s="38"/>
      <c r="AN667" s="38"/>
      <c r="AO667" s="38"/>
      <c r="AP667" s="38"/>
      <c r="AQ667" s="38"/>
      <c r="AR667" s="38"/>
      <c r="AS667" s="38"/>
      <c r="AT667" s="38"/>
      <c r="AU667" s="38"/>
      <c r="AV667" s="38"/>
      <c r="AW667" s="38"/>
      <c r="AX667" s="38"/>
      <c r="AY667" s="38"/>
      <c r="AZ667" s="38"/>
      <c r="BA667" s="38"/>
      <c r="BB667" s="38"/>
      <c r="BC667" s="38"/>
      <c r="BD667" s="38"/>
      <c r="BE667" s="38"/>
      <c r="BF667" s="38"/>
      <c r="BG667" s="38"/>
      <c r="BH667" s="38"/>
      <c r="BI667" s="38"/>
      <c r="BJ667" s="38"/>
    </row>
    <row r="668" spans="2:62" ht="15.75" customHeight="1">
      <c r="B668" s="3"/>
      <c r="C668" s="80"/>
      <c r="D668" s="80"/>
      <c r="E668" s="80"/>
      <c r="F668" s="80"/>
      <c r="G668" s="80"/>
      <c r="H668" s="80"/>
      <c r="I668" s="80"/>
      <c r="J668" s="80"/>
      <c r="K668" s="88"/>
      <c r="L668" s="88"/>
      <c r="M668" s="80"/>
      <c r="N668" s="88"/>
      <c r="O668" s="88"/>
      <c r="P668" s="80"/>
      <c r="Q668" s="88"/>
      <c r="R668" s="88"/>
      <c r="S668" s="80"/>
      <c r="T668" s="80"/>
      <c r="U668" s="80"/>
      <c r="V668" s="80"/>
      <c r="W668" s="80"/>
      <c r="X668" s="80"/>
      <c r="Y668" s="38"/>
      <c r="Z668" s="38"/>
      <c r="AA668" s="38"/>
      <c r="AB668" s="38"/>
      <c r="AC668" s="38"/>
      <c r="AD668" s="38"/>
      <c r="AE668" s="38"/>
      <c r="AF668" s="38"/>
      <c r="AG668" s="38"/>
      <c r="AH668" s="38"/>
      <c r="AI668" s="38"/>
      <c r="AJ668" s="38"/>
      <c r="AK668" s="38"/>
      <c r="AL668" s="38"/>
      <c r="AM668" s="38"/>
      <c r="AN668" s="38"/>
      <c r="AO668" s="38"/>
      <c r="AP668" s="38"/>
      <c r="AQ668" s="38"/>
      <c r="AR668" s="38"/>
      <c r="AS668" s="38"/>
      <c r="AT668" s="38"/>
      <c r="AU668" s="38"/>
      <c r="AV668" s="38"/>
      <c r="AW668" s="38"/>
      <c r="AX668" s="38"/>
      <c r="AY668" s="38"/>
      <c r="AZ668" s="38"/>
      <c r="BA668" s="38"/>
      <c r="BB668" s="38"/>
      <c r="BC668" s="38"/>
      <c r="BD668" s="38"/>
      <c r="BE668" s="38"/>
      <c r="BF668" s="38"/>
      <c r="BG668" s="38"/>
      <c r="BH668" s="38"/>
      <c r="BI668" s="38"/>
      <c r="BJ668" s="38"/>
    </row>
    <row r="669" spans="2:62" ht="15.75" customHeight="1">
      <c r="B669" s="3"/>
      <c r="C669" s="80"/>
      <c r="D669" s="80"/>
      <c r="E669" s="80"/>
      <c r="F669" s="80"/>
      <c r="G669" s="80"/>
      <c r="H669" s="80"/>
      <c r="I669" s="80"/>
      <c r="J669" s="80"/>
      <c r="K669" s="88"/>
      <c r="L669" s="88"/>
      <c r="M669" s="80"/>
      <c r="N669" s="88"/>
      <c r="O669" s="88"/>
      <c r="P669" s="80"/>
      <c r="Q669" s="88"/>
      <c r="R669" s="88"/>
      <c r="S669" s="80"/>
      <c r="T669" s="80"/>
      <c r="U669" s="80"/>
      <c r="V669" s="80"/>
      <c r="W669" s="80"/>
      <c r="X669" s="80"/>
      <c r="Y669" s="38"/>
      <c r="Z669" s="38"/>
      <c r="AA669" s="38"/>
      <c r="AB669" s="38"/>
      <c r="AC669" s="38"/>
      <c r="AD669" s="38"/>
      <c r="AE669" s="38"/>
      <c r="AF669" s="38"/>
      <c r="AG669" s="38"/>
      <c r="AH669" s="38"/>
      <c r="AI669" s="38"/>
      <c r="AJ669" s="38"/>
      <c r="AK669" s="38"/>
      <c r="AL669" s="38"/>
      <c r="AM669" s="38"/>
      <c r="AN669" s="38"/>
      <c r="AO669" s="38"/>
      <c r="AP669" s="38"/>
      <c r="AQ669" s="38"/>
      <c r="AR669" s="38"/>
      <c r="AS669" s="38"/>
      <c r="AT669" s="38"/>
      <c r="AU669" s="38"/>
      <c r="AV669" s="38"/>
      <c r="AW669" s="38"/>
      <c r="AX669" s="38"/>
      <c r="AY669" s="38"/>
      <c r="AZ669" s="38"/>
      <c r="BA669" s="38"/>
      <c r="BB669" s="38"/>
      <c r="BC669" s="38"/>
      <c r="BD669" s="38"/>
      <c r="BE669" s="38"/>
      <c r="BF669" s="38"/>
      <c r="BG669" s="38"/>
      <c r="BH669" s="38"/>
      <c r="BI669" s="38"/>
      <c r="BJ669" s="38"/>
    </row>
    <row r="670" spans="2:62" ht="15.75" customHeight="1">
      <c r="B670" s="3"/>
      <c r="C670" s="80"/>
      <c r="D670" s="80"/>
      <c r="E670" s="80"/>
      <c r="F670" s="80"/>
      <c r="G670" s="80"/>
      <c r="H670" s="80"/>
      <c r="I670" s="80"/>
      <c r="J670" s="80"/>
      <c r="K670" s="88"/>
      <c r="L670" s="88"/>
      <c r="M670" s="80"/>
      <c r="N670" s="88"/>
      <c r="O670" s="88"/>
      <c r="P670" s="80"/>
      <c r="Q670" s="88"/>
      <c r="R670" s="88"/>
      <c r="S670" s="80"/>
      <c r="T670" s="80"/>
      <c r="U670" s="80"/>
      <c r="V670" s="80"/>
      <c r="W670" s="80"/>
      <c r="X670" s="80"/>
      <c r="Y670" s="38"/>
      <c r="Z670" s="38"/>
      <c r="AA670" s="38"/>
      <c r="AB670" s="38"/>
      <c r="AC670" s="38"/>
      <c r="AD670" s="38"/>
      <c r="AE670" s="38"/>
      <c r="AF670" s="38"/>
      <c r="AG670" s="38"/>
      <c r="AH670" s="38"/>
      <c r="AI670" s="38"/>
      <c r="AJ670" s="38"/>
      <c r="AK670" s="38"/>
      <c r="AL670" s="38"/>
      <c r="AM670" s="38"/>
      <c r="AN670" s="38"/>
      <c r="AO670" s="38"/>
      <c r="AP670" s="38"/>
      <c r="AQ670" s="38"/>
      <c r="AR670" s="38"/>
      <c r="AS670" s="38"/>
      <c r="AT670" s="38"/>
      <c r="AU670" s="38"/>
      <c r="AV670" s="38"/>
      <c r="AW670" s="38"/>
      <c r="AX670" s="38"/>
      <c r="AY670" s="38"/>
      <c r="AZ670" s="38"/>
      <c r="BA670" s="38"/>
      <c r="BB670" s="38"/>
      <c r="BC670" s="38"/>
      <c r="BD670" s="38"/>
      <c r="BE670" s="38"/>
      <c r="BF670" s="38"/>
      <c r="BG670" s="38"/>
      <c r="BH670" s="38"/>
      <c r="BI670" s="38"/>
      <c r="BJ670" s="38"/>
    </row>
    <row r="671" spans="2:62" ht="15.75" customHeight="1">
      <c r="B671" s="3"/>
      <c r="C671" s="80"/>
      <c r="D671" s="80"/>
      <c r="E671" s="80"/>
      <c r="F671" s="80"/>
      <c r="G671" s="80"/>
      <c r="H671" s="80"/>
      <c r="I671" s="80"/>
      <c r="J671" s="80"/>
      <c r="K671" s="88"/>
      <c r="L671" s="88"/>
      <c r="M671" s="80"/>
      <c r="N671" s="90"/>
      <c r="O671" s="90"/>
      <c r="P671" s="80"/>
      <c r="Q671" s="90"/>
      <c r="R671" s="88"/>
      <c r="S671" s="80"/>
      <c r="T671" s="80"/>
      <c r="U671" s="80"/>
      <c r="V671" s="80"/>
      <c r="W671" s="80"/>
      <c r="X671" s="80"/>
      <c r="Y671" s="38"/>
      <c r="Z671" s="38"/>
      <c r="AA671" s="38"/>
      <c r="AB671" s="38"/>
      <c r="AC671" s="38"/>
      <c r="AD671" s="38"/>
      <c r="AE671" s="38"/>
      <c r="AF671" s="38"/>
      <c r="AG671" s="38"/>
      <c r="AH671" s="38"/>
      <c r="AI671" s="38"/>
      <c r="AJ671" s="38"/>
      <c r="AK671" s="38"/>
      <c r="AL671" s="38"/>
      <c r="AM671" s="38"/>
      <c r="AN671" s="38"/>
      <c r="AO671" s="38"/>
      <c r="AP671" s="38"/>
      <c r="AQ671" s="38"/>
      <c r="AR671" s="38"/>
      <c r="AS671" s="38"/>
      <c r="AT671" s="38"/>
      <c r="AU671" s="38"/>
      <c r="AV671" s="38"/>
      <c r="AW671" s="38"/>
      <c r="AX671" s="38"/>
      <c r="AY671" s="38"/>
      <c r="AZ671" s="38"/>
      <c r="BA671" s="38"/>
      <c r="BB671" s="38"/>
      <c r="BC671" s="38"/>
      <c r="BD671" s="38"/>
      <c r="BE671" s="38"/>
      <c r="BF671" s="38"/>
      <c r="BG671" s="38"/>
      <c r="BH671" s="38"/>
      <c r="BI671" s="38"/>
      <c r="BJ671" s="38"/>
    </row>
    <row r="672" spans="2:62" ht="15.75" customHeight="1">
      <c r="B672" s="3"/>
      <c r="C672" s="80"/>
      <c r="D672" s="80"/>
      <c r="E672" s="80"/>
      <c r="F672" s="80"/>
      <c r="G672" s="80"/>
      <c r="H672" s="80"/>
      <c r="I672" s="80"/>
      <c r="J672" s="80"/>
      <c r="K672" s="90"/>
      <c r="L672" s="90"/>
      <c r="M672" s="80"/>
      <c r="N672" s="88"/>
      <c r="O672" s="88"/>
      <c r="P672" s="80"/>
      <c r="Q672" s="88"/>
      <c r="R672" s="90"/>
      <c r="S672" s="80"/>
      <c r="T672" s="80"/>
      <c r="U672" s="80"/>
      <c r="V672" s="80"/>
      <c r="W672" s="80"/>
      <c r="X672" s="80"/>
      <c r="Y672" s="38"/>
      <c r="Z672" s="38"/>
      <c r="AA672" s="38"/>
      <c r="AB672" s="38"/>
      <c r="AC672" s="38"/>
      <c r="AD672" s="38"/>
      <c r="AE672" s="38"/>
      <c r="AF672" s="38"/>
      <c r="AG672" s="38"/>
      <c r="AH672" s="38"/>
      <c r="AI672" s="38"/>
      <c r="AJ672" s="38"/>
      <c r="AK672" s="38"/>
      <c r="AL672" s="38"/>
      <c r="AM672" s="38"/>
      <c r="AN672" s="38"/>
      <c r="AO672" s="38"/>
      <c r="AP672" s="38"/>
      <c r="AQ672" s="38"/>
      <c r="AR672" s="38"/>
      <c r="AS672" s="38"/>
      <c r="AT672" s="38"/>
      <c r="AU672" s="38"/>
      <c r="AV672" s="38"/>
      <c r="AW672" s="38"/>
      <c r="AX672" s="38"/>
      <c r="AY672" s="38"/>
      <c r="AZ672" s="38"/>
      <c r="BA672" s="38"/>
      <c r="BB672" s="38"/>
      <c r="BC672" s="38"/>
      <c r="BD672" s="38"/>
      <c r="BE672" s="38"/>
      <c r="BF672" s="38"/>
      <c r="BG672" s="38"/>
      <c r="BH672" s="38"/>
      <c r="BI672" s="38"/>
      <c r="BJ672" s="38"/>
    </row>
    <row r="673" spans="2:62" ht="15.75" customHeight="1">
      <c r="B673" s="3"/>
      <c r="C673" s="80"/>
      <c r="D673" s="80"/>
      <c r="E673" s="80"/>
      <c r="F673" s="80"/>
      <c r="G673" s="80"/>
      <c r="H673" s="80"/>
      <c r="I673" s="80"/>
      <c r="J673" s="80"/>
      <c r="K673" s="88"/>
      <c r="L673" s="88"/>
      <c r="M673" s="80"/>
      <c r="N673" s="88"/>
      <c r="O673" s="88"/>
      <c r="P673" s="80"/>
      <c r="Q673" s="88"/>
      <c r="R673" s="88"/>
      <c r="S673" s="80"/>
      <c r="T673" s="80"/>
      <c r="U673" s="80"/>
      <c r="V673" s="80"/>
      <c r="W673" s="80"/>
      <c r="X673" s="80"/>
      <c r="Y673" s="38"/>
      <c r="Z673" s="38"/>
      <c r="AA673" s="38"/>
      <c r="AB673" s="38"/>
      <c r="AC673" s="38"/>
      <c r="AD673" s="38"/>
      <c r="AE673" s="38"/>
      <c r="AF673" s="38"/>
      <c r="AG673" s="38"/>
      <c r="AH673" s="38"/>
      <c r="AI673" s="38"/>
      <c r="AJ673" s="38"/>
      <c r="AK673" s="38"/>
      <c r="AL673" s="38"/>
      <c r="AM673" s="38"/>
      <c r="AN673" s="38"/>
      <c r="AO673" s="38"/>
      <c r="AP673" s="38"/>
      <c r="AQ673" s="38"/>
      <c r="AR673" s="38"/>
      <c r="AS673" s="38"/>
      <c r="AT673" s="38"/>
      <c r="AU673" s="38"/>
      <c r="AV673" s="38"/>
      <c r="AW673" s="38"/>
      <c r="AX673" s="38"/>
      <c r="AY673" s="38"/>
      <c r="AZ673" s="38"/>
      <c r="BA673" s="38"/>
      <c r="BB673" s="38"/>
      <c r="BC673" s="38"/>
      <c r="BD673" s="38"/>
      <c r="BE673" s="38"/>
      <c r="BF673" s="38"/>
      <c r="BG673" s="38"/>
      <c r="BH673" s="38"/>
      <c r="BI673" s="38"/>
      <c r="BJ673" s="38"/>
    </row>
    <row r="674" spans="2:62" ht="15.75" customHeight="1">
      <c r="B674" s="3"/>
      <c r="C674" s="80"/>
      <c r="D674" s="80"/>
      <c r="E674" s="80"/>
      <c r="F674" s="80"/>
      <c r="G674" s="80"/>
      <c r="H674" s="80"/>
      <c r="I674" s="80"/>
      <c r="J674" s="80"/>
      <c r="K674" s="88"/>
      <c r="L674" s="88"/>
      <c r="M674" s="80"/>
      <c r="N674" s="88"/>
      <c r="O674" s="88"/>
      <c r="P674" s="80"/>
      <c r="Q674" s="88"/>
      <c r="R674" s="88"/>
      <c r="S674" s="80"/>
      <c r="T674" s="80"/>
      <c r="U674" s="80"/>
      <c r="V674" s="80"/>
      <c r="W674" s="80"/>
      <c r="X674" s="80"/>
      <c r="Y674" s="38"/>
      <c r="Z674" s="38"/>
      <c r="AA674" s="38"/>
      <c r="AB674" s="38"/>
      <c r="AC674" s="38"/>
      <c r="AD674" s="38"/>
      <c r="AE674" s="38"/>
      <c r="AF674" s="38"/>
      <c r="AG674" s="38"/>
      <c r="AH674" s="38"/>
      <c r="AI674" s="38"/>
      <c r="AJ674" s="38"/>
      <c r="AK674" s="38"/>
      <c r="AL674" s="38"/>
      <c r="AM674" s="38"/>
      <c r="AN674" s="38"/>
      <c r="AO674" s="38"/>
      <c r="AP674" s="38"/>
      <c r="AQ674" s="38"/>
      <c r="AR674" s="38"/>
      <c r="AS674" s="38"/>
      <c r="AT674" s="38"/>
      <c r="AU674" s="38"/>
      <c r="AV674" s="38"/>
      <c r="AW674" s="38"/>
      <c r="AX674" s="38"/>
      <c r="AY674" s="38"/>
      <c r="AZ674" s="38"/>
      <c r="BA674" s="38"/>
      <c r="BB674" s="38"/>
      <c r="BC674" s="38"/>
      <c r="BD674" s="38"/>
      <c r="BE674" s="38"/>
      <c r="BF674" s="38"/>
      <c r="BG674" s="38"/>
      <c r="BH674" s="38"/>
      <c r="BI674" s="38"/>
      <c r="BJ674" s="38"/>
    </row>
    <row r="675" spans="2:62" ht="15.75" customHeight="1">
      <c r="B675" s="3"/>
      <c r="C675" s="80"/>
      <c r="D675" s="80"/>
      <c r="E675" s="80"/>
      <c r="F675" s="80"/>
      <c r="G675" s="80"/>
      <c r="H675" s="80"/>
      <c r="I675" s="80"/>
      <c r="J675" s="80"/>
      <c r="K675" s="88"/>
      <c r="L675" s="88"/>
      <c r="M675" s="80"/>
      <c r="N675" s="88"/>
      <c r="O675" s="88"/>
      <c r="P675" s="80"/>
      <c r="Q675" s="88"/>
      <c r="R675" s="88"/>
      <c r="S675" s="80"/>
      <c r="T675" s="80"/>
      <c r="U675" s="80"/>
      <c r="V675" s="80"/>
      <c r="W675" s="80"/>
      <c r="X675" s="80"/>
      <c r="Y675" s="38"/>
      <c r="Z675" s="38"/>
      <c r="AA675" s="38"/>
      <c r="AB675" s="38"/>
      <c r="AC675" s="38"/>
      <c r="AD675" s="38"/>
      <c r="AE675" s="38"/>
      <c r="AF675" s="38"/>
      <c r="AG675" s="38"/>
      <c r="AH675" s="38"/>
      <c r="AI675" s="38"/>
      <c r="AJ675" s="38"/>
      <c r="AK675" s="38"/>
      <c r="AL675" s="38"/>
      <c r="AM675" s="38"/>
      <c r="AN675" s="38"/>
      <c r="AO675" s="38"/>
      <c r="AP675" s="38"/>
      <c r="AQ675" s="38"/>
      <c r="AR675" s="38"/>
      <c r="AS675" s="38"/>
      <c r="AT675" s="38"/>
      <c r="AU675" s="38"/>
      <c r="AV675" s="38"/>
      <c r="AW675" s="38"/>
      <c r="AX675" s="38"/>
      <c r="AY675" s="38"/>
      <c r="AZ675" s="38"/>
      <c r="BA675" s="38"/>
      <c r="BB675" s="38"/>
      <c r="BC675" s="38"/>
      <c r="BD675" s="38"/>
      <c r="BE675" s="38"/>
      <c r="BF675" s="38"/>
      <c r="BG675" s="38"/>
      <c r="BH675" s="38"/>
      <c r="BI675" s="38"/>
      <c r="BJ675" s="38"/>
    </row>
    <row r="676" spans="2:62" ht="15.75" customHeight="1">
      <c r="B676" s="3"/>
      <c r="C676" s="80"/>
      <c r="D676" s="80"/>
      <c r="E676" s="80"/>
      <c r="F676" s="80"/>
      <c r="G676" s="80"/>
      <c r="H676" s="80"/>
      <c r="I676" s="80"/>
      <c r="J676" s="80"/>
      <c r="K676" s="88"/>
      <c r="L676" s="88"/>
      <c r="M676" s="80"/>
      <c r="N676" s="88"/>
      <c r="O676" s="88"/>
      <c r="P676" s="80"/>
      <c r="Q676" s="88"/>
      <c r="R676" s="88"/>
      <c r="S676" s="80"/>
      <c r="T676" s="80"/>
      <c r="U676" s="80"/>
      <c r="V676" s="80"/>
      <c r="W676" s="80"/>
      <c r="X676" s="80"/>
      <c r="Y676" s="38"/>
      <c r="Z676" s="38"/>
      <c r="AA676" s="38"/>
      <c r="AB676" s="38"/>
      <c r="AC676" s="38"/>
      <c r="AD676" s="38"/>
      <c r="AE676" s="38"/>
      <c r="AF676" s="38"/>
      <c r="AG676" s="38"/>
      <c r="AH676" s="38"/>
      <c r="AI676" s="38"/>
      <c r="AJ676" s="38"/>
      <c r="AK676" s="38"/>
      <c r="AL676" s="38"/>
      <c r="AM676" s="38"/>
      <c r="AN676" s="38"/>
      <c r="AO676" s="38"/>
      <c r="AP676" s="38"/>
      <c r="AQ676" s="38"/>
      <c r="AR676" s="38"/>
      <c r="AS676" s="38"/>
      <c r="AT676" s="38"/>
      <c r="AU676" s="38"/>
      <c r="AV676" s="38"/>
      <c r="AW676" s="38"/>
      <c r="AX676" s="38"/>
      <c r="AY676" s="38"/>
      <c r="AZ676" s="38"/>
      <c r="BA676" s="38"/>
      <c r="BB676" s="38"/>
      <c r="BC676" s="38"/>
      <c r="BD676" s="38"/>
      <c r="BE676" s="38"/>
      <c r="BF676" s="38"/>
      <c r="BG676" s="38"/>
      <c r="BH676" s="38"/>
      <c r="BI676" s="38"/>
      <c r="BJ676" s="38"/>
    </row>
    <row r="677" spans="2:62" ht="15.75" customHeight="1">
      <c r="B677" s="3"/>
      <c r="C677" s="80"/>
      <c r="D677" s="80"/>
      <c r="E677" s="80"/>
      <c r="F677" s="80"/>
      <c r="G677" s="80"/>
      <c r="H677" s="80"/>
      <c r="I677" s="80"/>
      <c r="J677" s="80"/>
      <c r="K677" s="88"/>
      <c r="L677" s="88"/>
      <c r="M677" s="80"/>
      <c r="N677" s="88"/>
      <c r="O677" s="88"/>
      <c r="P677" s="80"/>
      <c r="Q677" s="88"/>
      <c r="R677" s="88"/>
      <c r="S677" s="80"/>
      <c r="T677" s="80"/>
      <c r="U677" s="80"/>
      <c r="V677" s="80"/>
      <c r="W677" s="80"/>
      <c r="X677" s="80"/>
      <c r="Y677" s="38"/>
      <c r="Z677" s="38"/>
      <c r="AA677" s="38"/>
      <c r="AB677" s="38"/>
      <c r="AC677" s="38"/>
      <c r="AD677" s="38"/>
      <c r="AE677" s="38"/>
      <c r="AF677" s="38"/>
      <c r="AG677" s="38"/>
      <c r="AH677" s="38"/>
      <c r="AI677" s="38"/>
      <c r="AJ677" s="38"/>
      <c r="AK677" s="38"/>
      <c r="AL677" s="38"/>
      <c r="AM677" s="38"/>
      <c r="AN677" s="38"/>
      <c r="AO677" s="38"/>
      <c r="AP677" s="38"/>
      <c r="AQ677" s="38"/>
      <c r="AR677" s="38"/>
      <c r="AS677" s="38"/>
      <c r="AT677" s="38"/>
      <c r="AU677" s="38"/>
      <c r="AV677" s="38"/>
      <c r="AW677" s="38"/>
      <c r="AX677" s="38"/>
      <c r="AY677" s="38"/>
      <c r="AZ677" s="38"/>
      <c r="BA677" s="38"/>
      <c r="BB677" s="38"/>
      <c r="BC677" s="38"/>
      <c r="BD677" s="38"/>
      <c r="BE677" s="38"/>
      <c r="BF677" s="38"/>
      <c r="BG677" s="38"/>
      <c r="BH677" s="38"/>
      <c r="BI677" s="38"/>
      <c r="BJ677" s="38"/>
    </row>
    <row r="678" spans="2:62" ht="15.75" customHeight="1">
      <c r="B678" s="3"/>
      <c r="C678" s="80"/>
      <c r="D678" s="80"/>
      <c r="E678" s="80"/>
      <c r="F678" s="80"/>
      <c r="G678" s="80"/>
      <c r="H678" s="80"/>
      <c r="I678" s="80"/>
      <c r="J678" s="80"/>
      <c r="K678" s="88"/>
      <c r="L678" s="88"/>
      <c r="M678" s="80"/>
      <c r="N678" s="88"/>
      <c r="O678" s="88"/>
      <c r="P678" s="80"/>
      <c r="Q678" s="88"/>
      <c r="R678" s="88"/>
      <c r="S678" s="80"/>
      <c r="T678" s="80"/>
      <c r="U678" s="80"/>
      <c r="V678" s="80"/>
      <c r="W678" s="80"/>
      <c r="X678" s="80"/>
      <c r="Y678" s="38"/>
      <c r="Z678" s="38"/>
      <c r="AA678" s="38"/>
      <c r="AB678" s="38"/>
      <c r="AC678" s="38"/>
      <c r="AD678" s="38"/>
      <c r="AE678" s="38"/>
      <c r="AF678" s="38"/>
      <c r="AG678" s="38"/>
      <c r="AH678" s="38"/>
      <c r="AI678" s="38"/>
      <c r="AJ678" s="38"/>
      <c r="AK678" s="38"/>
      <c r="AL678" s="38"/>
      <c r="AM678" s="38"/>
      <c r="AN678" s="38"/>
      <c r="AO678" s="38"/>
      <c r="AP678" s="38"/>
      <c r="AQ678" s="38"/>
      <c r="AR678" s="38"/>
      <c r="AS678" s="38"/>
      <c r="AT678" s="38"/>
      <c r="AU678" s="38"/>
      <c r="AV678" s="38"/>
      <c r="AW678" s="38"/>
      <c r="AX678" s="38"/>
      <c r="AY678" s="38"/>
      <c r="AZ678" s="38"/>
      <c r="BA678" s="38"/>
      <c r="BB678" s="38"/>
      <c r="BC678" s="38"/>
      <c r="BD678" s="38"/>
      <c r="BE678" s="38"/>
      <c r="BF678" s="38"/>
      <c r="BG678" s="38"/>
      <c r="BH678" s="38"/>
      <c r="BI678" s="38"/>
      <c r="BJ678" s="38"/>
    </row>
    <row r="679" spans="2:62" ht="15.75" customHeight="1">
      <c r="B679" s="3"/>
      <c r="C679" s="80"/>
      <c r="D679" s="80"/>
      <c r="E679" s="80"/>
      <c r="F679" s="80"/>
      <c r="G679" s="80"/>
      <c r="H679" s="80"/>
      <c r="I679" s="80"/>
      <c r="J679" s="80"/>
      <c r="K679" s="88"/>
      <c r="L679" s="88"/>
      <c r="M679" s="80"/>
      <c r="N679" s="88"/>
      <c r="O679" s="88"/>
      <c r="P679" s="80"/>
      <c r="Q679" s="88"/>
      <c r="R679" s="88"/>
      <c r="S679" s="80"/>
      <c r="T679" s="80"/>
      <c r="U679" s="80"/>
      <c r="V679" s="80"/>
      <c r="W679" s="80"/>
      <c r="X679" s="80"/>
      <c r="Y679" s="38"/>
      <c r="Z679" s="38"/>
      <c r="AA679" s="38"/>
      <c r="AB679" s="38"/>
      <c r="AC679" s="38"/>
      <c r="AD679" s="38"/>
      <c r="AE679" s="38"/>
      <c r="AF679" s="38"/>
      <c r="AG679" s="38"/>
      <c r="AH679" s="38"/>
      <c r="AI679" s="38"/>
      <c r="AJ679" s="38"/>
      <c r="AK679" s="38"/>
      <c r="AL679" s="38"/>
      <c r="AM679" s="38"/>
      <c r="AN679" s="38"/>
      <c r="AO679" s="38"/>
      <c r="AP679" s="38"/>
      <c r="AQ679" s="38"/>
      <c r="AR679" s="38"/>
      <c r="AS679" s="38"/>
      <c r="AT679" s="38"/>
      <c r="AU679" s="38"/>
      <c r="AV679" s="38"/>
      <c r="AW679" s="38"/>
      <c r="AX679" s="38"/>
      <c r="AY679" s="38"/>
      <c r="AZ679" s="38"/>
      <c r="BA679" s="38"/>
      <c r="BB679" s="38"/>
      <c r="BC679" s="38"/>
      <c r="BD679" s="38"/>
      <c r="BE679" s="38"/>
      <c r="BF679" s="38"/>
      <c r="BG679" s="38"/>
      <c r="BH679" s="38"/>
      <c r="BI679" s="38"/>
      <c r="BJ679" s="38"/>
    </row>
    <row r="680" spans="2:62" ht="15.75" customHeight="1">
      <c r="B680" s="3"/>
      <c r="C680" s="80"/>
      <c r="D680" s="80"/>
      <c r="E680" s="80"/>
      <c r="F680" s="80"/>
      <c r="G680" s="80"/>
      <c r="H680" s="80"/>
      <c r="I680" s="80"/>
      <c r="J680" s="80"/>
      <c r="K680" s="88"/>
      <c r="L680" s="88"/>
      <c r="M680" s="80"/>
      <c r="N680" s="88"/>
      <c r="O680" s="88"/>
      <c r="P680" s="80"/>
      <c r="Q680" s="88"/>
      <c r="R680" s="88"/>
      <c r="S680" s="80"/>
      <c r="T680" s="80"/>
      <c r="U680" s="80"/>
      <c r="V680" s="80"/>
      <c r="W680" s="80"/>
      <c r="X680" s="80"/>
      <c r="Y680" s="38"/>
      <c r="Z680" s="38"/>
      <c r="AA680" s="38"/>
      <c r="AB680" s="38"/>
      <c r="AC680" s="38"/>
      <c r="AD680" s="38"/>
      <c r="AE680" s="38"/>
      <c r="AF680" s="38"/>
      <c r="AG680" s="38"/>
      <c r="AH680" s="38"/>
      <c r="AI680" s="38"/>
      <c r="AJ680" s="38"/>
      <c r="AK680" s="38"/>
      <c r="AL680" s="38"/>
      <c r="AM680" s="38"/>
      <c r="AN680" s="38"/>
      <c r="AO680" s="38"/>
      <c r="AP680" s="38"/>
      <c r="AQ680" s="38"/>
      <c r="AR680" s="38"/>
      <c r="AS680" s="38"/>
      <c r="AT680" s="38"/>
      <c r="AU680" s="38"/>
      <c r="AV680" s="38"/>
      <c r="AW680" s="38"/>
      <c r="AX680" s="38"/>
      <c r="AY680" s="38"/>
      <c r="AZ680" s="38"/>
      <c r="BA680" s="38"/>
      <c r="BB680" s="38"/>
      <c r="BC680" s="38"/>
      <c r="BD680" s="38"/>
      <c r="BE680" s="38"/>
      <c r="BF680" s="38"/>
      <c r="BG680" s="38"/>
      <c r="BH680" s="38"/>
      <c r="BI680" s="38"/>
      <c r="BJ680" s="38"/>
    </row>
    <row r="681" spans="2:62" ht="15.75" customHeight="1">
      <c r="B681" s="3"/>
      <c r="C681" s="80"/>
      <c r="D681" s="80"/>
      <c r="E681" s="80"/>
      <c r="F681" s="80"/>
      <c r="G681" s="80"/>
      <c r="H681" s="80"/>
      <c r="I681" s="80"/>
      <c r="J681" s="80"/>
      <c r="K681" s="88"/>
      <c r="L681" s="88"/>
      <c r="M681" s="80"/>
      <c r="N681" s="88"/>
      <c r="O681" s="88"/>
      <c r="P681" s="80"/>
      <c r="Q681" s="88"/>
      <c r="R681" s="88"/>
      <c r="S681" s="80"/>
      <c r="T681" s="80"/>
      <c r="U681" s="80"/>
      <c r="V681" s="80"/>
      <c r="W681" s="80"/>
      <c r="X681" s="80"/>
      <c r="Y681" s="38"/>
      <c r="Z681" s="38"/>
      <c r="AA681" s="38"/>
      <c r="AB681" s="38"/>
      <c r="AC681" s="38"/>
      <c r="AD681" s="38"/>
      <c r="AE681" s="38"/>
      <c r="AF681" s="38"/>
      <c r="AG681" s="38"/>
      <c r="AH681" s="38"/>
      <c r="AI681" s="38"/>
      <c r="AJ681" s="38"/>
      <c r="AK681" s="38"/>
      <c r="AL681" s="38"/>
      <c r="AM681" s="38"/>
      <c r="AN681" s="38"/>
      <c r="AO681" s="38"/>
      <c r="AP681" s="38"/>
      <c r="AQ681" s="38"/>
      <c r="AR681" s="38"/>
      <c r="AS681" s="38"/>
      <c r="AT681" s="38"/>
      <c r="AU681" s="38"/>
      <c r="AV681" s="38"/>
      <c r="AW681" s="38"/>
      <c r="AX681" s="38"/>
      <c r="AY681" s="38"/>
      <c r="AZ681" s="38"/>
      <c r="BA681" s="38"/>
      <c r="BB681" s="38"/>
      <c r="BC681" s="38"/>
      <c r="BD681" s="38"/>
      <c r="BE681" s="38"/>
      <c r="BF681" s="38"/>
      <c r="BG681" s="38"/>
      <c r="BH681" s="38"/>
      <c r="BI681" s="38"/>
      <c r="BJ681" s="38"/>
    </row>
    <row r="682" spans="2:62" ht="15.75" customHeight="1">
      <c r="B682" s="3"/>
      <c r="C682" s="80"/>
      <c r="D682" s="80"/>
      <c r="E682" s="80"/>
      <c r="F682" s="80"/>
      <c r="G682" s="80"/>
      <c r="H682" s="80"/>
      <c r="I682" s="80"/>
      <c r="J682" s="80"/>
      <c r="K682" s="88"/>
      <c r="L682" s="88"/>
      <c r="M682" s="80"/>
      <c r="N682" s="88"/>
      <c r="O682" s="88"/>
      <c r="P682" s="80"/>
      <c r="Q682" s="88"/>
      <c r="R682" s="88"/>
      <c r="S682" s="80"/>
      <c r="T682" s="80"/>
      <c r="U682" s="80"/>
      <c r="V682" s="80"/>
      <c r="W682" s="80"/>
      <c r="X682" s="80"/>
      <c r="Y682" s="38"/>
      <c r="Z682" s="38"/>
      <c r="AA682" s="38"/>
      <c r="AB682" s="38"/>
      <c r="AC682" s="38"/>
      <c r="AD682" s="38"/>
      <c r="AE682" s="38"/>
      <c r="AF682" s="38"/>
      <c r="AG682" s="38"/>
      <c r="AH682" s="38"/>
      <c r="AI682" s="38"/>
      <c r="AJ682" s="38"/>
      <c r="AK682" s="38"/>
      <c r="AL682" s="38"/>
      <c r="AM682" s="38"/>
      <c r="AN682" s="38"/>
      <c r="AO682" s="38"/>
      <c r="AP682" s="38"/>
      <c r="AQ682" s="38"/>
      <c r="AR682" s="38"/>
      <c r="AS682" s="38"/>
      <c r="AT682" s="38"/>
      <c r="AU682" s="38"/>
      <c r="AV682" s="38"/>
      <c r="AW682" s="38"/>
      <c r="AX682" s="38"/>
      <c r="AY682" s="38"/>
      <c r="AZ682" s="38"/>
      <c r="BA682" s="38"/>
      <c r="BB682" s="38"/>
      <c r="BC682" s="38"/>
      <c r="BD682" s="38"/>
      <c r="BE682" s="38"/>
      <c r="BF682" s="38"/>
      <c r="BG682" s="38"/>
      <c r="BH682" s="38"/>
      <c r="BI682" s="38"/>
      <c r="BJ682" s="38"/>
    </row>
    <row r="683" spans="2:62" ht="15.75" customHeight="1">
      <c r="B683" s="3"/>
      <c r="C683" s="80"/>
      <c r="D683" s="80"/>
      <c r="E683" s="80"/>
      <c r="F683" s="80"/>
      <c r="G683" s="80"/>
      <c r="H683" s="80"/>
      <c r="I683" s="80"/>
      <c r="J683" s="80"/>
      <c r="K683" s="88"/>
      <c r="L683" s="88"/>
      <c r="M683" s="80"/>
      <c r="N683" s="88"/>
      <c r="O683" s="88"/>
      <c r="P683" s="80"/>
      <c r="Q683" s="88"/>
      <c r="R683" s="88"/>
      <c r="S683" s="80"/>
      <c r="T683" s="80"/>
      <c r="U683" s="80"/>
      <c r="V683" s="80"/>
      <c r="W683" s="80"/>
      <c r="X683" s="80"/>
      <c r="Y683" s="38"/>
      <c r="Z683" s="38"/>
      <c r="AA683" s="38"/>
      <c r="AB683" s="38"/>
      <c r="AC683" s="38"/>
      <c r="AD683" s="38"/>
      <c r="AE683" s="38"/>
      <c r="AF683" s="38"/>
      <c r="AG683" s="38"/>
      <c r="AH683" s="38"/>
      <c r="AI683" s="38"/>
      <c r="AJ683" s="38"/>
      <c r="AK683" s="38"/>
      <c r="AL683" s="38"/>
      <c r="AM683" s="38"/>
      <c r="AN683" s="38"/>
      <c r="AO683" s="38"/>
      <c r="AP683" s="38"/>
      <c r="AQ683" s="38"/>
      <c r="AR683" s="38"/>
      <c r="AS683" s="38"/>
      <c r="AT683" s="38"/>
      <c r="AU683" s="38"/>
      <c r="AV683" s="38"/>
      <c r="AW683" s="38"/>
      <c r="AX683" s="38"/>
      <c r="AY683" s="38"/>
      <c r="AZ683" s="38"/>
      <c r="BA683" s="38"/>
      <c r="BB683" s="38"/>
      <c r="BC683" s="38"/>
      <c r="BD683" s="38"/>
      <c r="BE683" s="38"/>
      <c r="BF683" s="38"/>
      <c r="BG683" s="38"/>
      <c r="BH683" s="38"/>
      <c r="BI683" s="38"/>
      <c r="BJ683" s="38"/>
    </row>
    <row r="684" spans="2:62" ht="15.75" customHeight="1">
      <c r="B684" s="3"/>
      <c r="C684" s="80"/>
      <c r="D684" s="80"/>
      <c r="E684" s="80"/>
      <c r="F684" s="80"/>
      <c r="G684" s="80"/>
      <c r="H684" s="80"/>
      <c r="I684" s="80"/>
      <c r="J684" s="80"/>
      <c r="K684" s="88"/>
      <c r="L684" s="88"/>
      <c r="M684" s="80"/>
      <c r="N684" s="88"/>
      <c r="O684" s="88"/>
      <c r="P684" s="80"/>
      <c r="Q684" s="88"/>
      <c r="R684" s="88"/>
      <c r="S684" s="80"/>
      <c r="T684" s="80"/>
      <c r="U684" s="80"/>
      <c r="V684" s="80"/>
      <c r="W684" s="80"/>
      <c r="X684" s="80"/>
      <c r="Y684" s="38"/>
      <c r="Z684" s="38"/>
      <c r="AA684" s="38"/>
      <c r="AB684" s="38"/>
      <c r="AC684" s="38"/>
      <c r="AD684" s="38"/>
      <c r="AE684" s="38"/>
      <c r="AF684" s="38"/>
      <c r="AG684" s="38"/>
      <c r="AH684" s="38"/>
      <c r="AI684" s="38"/>
      <c r="AJ684" s="38"/>
      <c r="AK684" s="38"/>
      <c r="AL684" s="38"/>
      <c r="AM684" s="38"/>
      <c r="AN684" s="38"/>
      <c r="AO684" s="38"/>
      <c r="AP684" s="38"/>
      <c r="AQ684" s="38"/>
      <c r="AR684" s="38"/>
      <c r="AS684" s="38"/>
      <c r="AT684" s="38"/>
      <c r="AU684" s="38"/>
      <c r="AV684" s="38"/>
      <c r="AW684" s="38"/>
      <c r="AX684" s="38"/>
      <c r="AY684" s="38"/>
      <c r="AZ684" s="38"/>
      <c r="BA684" s="38"/>
      <c r="BB684" s="38"/>
      <c r="BC684" s="38"/>
      <c r="BD684" s="38"/>
      <c r="BE684" s="38"/>
      <c r="BF684" s="38"/>
      <c r="BG684" s="38"/>
      <c r="BH684" s="38"/>
      <c r="BI684" s="38"/>
      <c r="BJ684" s="38"/>
    </row>
    <row r="685" spans="2:62" ht="15.75" customHeight="1">
      <c r="B685" s="3"/>
      <c r="C685" s="80"/>
      <c r="D685" s="80"/>
      <c r="E685" s="80"/>
      <c r="F685" s="80"/>
      <c r="G685" s="80"/>
      <c r="H685" s="80"/>
      <c r="I685" s="80"/>
      <c r="J685" s="80"/>
      <c r="K685" s="88"/>
      <c r="L685" s="88"/>
      <c r="M685" s="80"/>
      <c r="N685" s="88"/>
      <c r="O685" s="88"/>
      <c r="P685" s="80"/>
      <c r="Q685" s="88"/>
      <c r="R685" s="88"/>
      <c r="S685" s="80"/>
      <c r="T685" s="80"/>
      <c r="U685" s="80"/>
      <c r="V685" s="80"/>
      <c r="W685" s="80"/>
      <c r="X685" s="80"/>
      <c r="Y685" s="38"/>
      <c r="Z685" s="38"/>
      <c r="AA685" s="38"/>
      <c r="AB685" s="38"/>
      <c r="AC685" s="38"/>
      <c r="AD685" s="38"/>
      <c r="AE685" s="38"/>
      <c r="AF685" s="38"/>
      <c r="AG685" s="38"/>
      <c r="AH685" s="38"/>
      <c r="AI685" s="38"/>
      <c r="AJ685" s="38"/>
      <c r="AK685" s="38"/>
      <c r="AL685" s="38"/>
      <c r="AM685" s="38"/>
      <c r="AN685" s="38"/>
      <c r="AO685" s="38"/>
      <c r="AP685" s="38"/>
      <c r="AQ685" s="38"/>
      <c r="AR685" s="38"/>
      <c r="AS685" s="38"/>
      <c r="AT685" s="38"/>
      <c r="AU685" s="38"/>
      <c r="AV685" s="38"/>
      <c r="AW685" s="38"/>
      <c r="AX685" s="38"/>
      <c r="AY685" s="38"/>
      <c r="AZ685" s="38"/>
      <c r="BA685" s="38"/>
      <c r="BB685" s="38"/>
      <c r="BC685" s="38"/>
      <c r="BD685" s="38"/>
      <c r="BE685" s="38"/>
      <c r="BF685" s="38"/>
      <c r="BG685" s="38"/>
      <c r="BH685" s="38"/>
      <c r="BI685" s="38"/>
      <c r="BJ685" s="38"/>
    </row>
    <row r="686" spans="2:62" ht="15.75" customHeight="1">
      <c r="B686" s="3"/>
      <c r="C686" s="80"/>
      <c r="D686" s="80"/>
      <c r="E686" s="80"/>
      <c r="F686" s="80"/>
      <c r="G686" s="80"/>
      <c r="H686" s="80"/>
      <c r="I686" s="80"/>
      <c r="J686" s="80"/>
      <c r="K686" s="88"/>
      <c r="L686" s="88"/>
      <c r="M686" s="80"/>
      <c r="N686" s="80"/>
      <c r="O686" s="80"/>
      <c r="P686" s="80"/>
      <c r="Q686" s="80"/>
      <c r="R686" s="88"/>
      <c r="S686" s="80"/>
      <c r="T686" s="80"/>
      <c r="U686" s="80"/>
      <c r="V686" s="80"/>
      <c r="W686" s="80"/>
      <c r="X686" s="80"/>
      <c r="Y686" s="38"/>
      <c r="Z686" s="38"/>
      <c r="AA686" s="38"/>
      <c r="AB686" s="38"/>
      <c r="AC686" s="38"/>
      <c r="AD686" s="38"/>
      <c r="AE686" s="38"/>
      <c r="AF686" s="38"/>
      <c r="AG686" s="38"/>
      <c r="AH686" s="38"/>
      <c r="AI686" s="38"/>
      <c r="AJ686" s="38"/>
      <c r="AK686" s="38"/>
      <c r="AL686" s="38"/>
      <c r="AM686" s="38"/>
      <c r="AN686" s="38"/>
      <c r="AO686" s="38"/>
      <c r="AP686" s="38"/>
      <c r="AQ686" s="38"/>
      <c r="AR686" s="38"/>
      <c r="AS686" s="38"/>
      <c r="AT686" s="38"/>
      <c r="AU686" s="38"/>
      <c r="AV686" s="38"/>
      <c r="AW686" s="38"/>
      <c r="AX686" s="38"/>
      <c r="AY686" s="38"/>
      <c r="AZ686" s="38"/>
      <c r="BA686" s="38"/>
      <c r="BB686" s="38"/>
      <c r="BC686" s="38"/>
      <c r="BD686" s="38"/>
      <c r="BE686" s="38"/>
      <c r="BF686" s="38"/>
      <c r="BG686" s="38"/>
      <c r="BH686" s="38"/>
      <c r="BI686" s="38"/>
      <c r="BJ686" s="38"/>
    </row>
    <row r="687" spans="2:62" ht="15.75" customHeight="1">
      <c r="B687" s="3"/>
      <c r="C687" s="80"/>
      <c r="D687" s="80"/>
      <c r="E687" s="80"/>
      <c r="F687" s="80"/>
      <c r="G687" s="80"/>
      <c r="H687" s="80"/>
      <c r="I687" s="80"/>
      <c r="J687" s="80"/>
      <c r="K687" s="88"/>
      <c r="L687" s="88"/>
      <c r="M687" s="80"/>
      <c r="N687" s="90"/>
      <c r="O687" s="90"/>
      <c r="P687" s="80"/>
      <c r="Q687" s="90"/>
      <c r="R687" s="88"/>
      <c r="S687" s="80"/>
      <c r="T687" s="80"/>
      <c r="U687" s="80"/>
      <c r="V687" s="80"/>
      <c r="W687" s="80"/>
      <c r="X687" s="80"/>
      <c r="Y687" s="38"/>
      <c r="Z687" s="38"/>
      <c r="AA687" s="38"/>
      <c r="AB687" s="38"/>
      <c r="AC687" s="38"/>
      <c r="AD687" s="38"/>
      <c r="AE687" s="38"/>
      <c r="AF687" s="38"/>
      <c r="AG687" s="38"/>
      <c r="AH687" s="38"/>
      <c r="AI687" s="38"/>
      <c r="AJ687" s="38"/>
      <c r="AK687" s="38"/>
      <c r="AL687" s="38"/>
      <c r="AM687" s="38"/>
      <c r="AN687" s="38"/>
      <c r="AO687" s="38"/>
      <c r="AP687" s="38"/>
      <c r="AQ687" s="38"/>
      <c r="AR687" s="38"/>
      <c r="AS687" s="38"/>
      <c r="AT687" s="38"/>
      <c r="AU687" s="38"/>
      <c r="AV687" s="38"/>
      <c r="AW687" s="38"/>
      <c r="AX687" s="38"/>
      <c r="AY687" s="38"/>
      <c r="AZ687" s="38"/>
      <c r="BA687" s="38"/>
      <c r="BB687" s="38"/>
      <c r="BC687" s="38"/>
      <c r="BD687" s="38"/>
      <c r="BE687" s="38"/>
      <c r="BF687" s="38"/>
      <c r="BG687" s="38"/>
      <c r="BH687" s="38"/>
      <c r="BI687" s="38"/>
      <c r="BJ687" s="38"/>
    </row>
    <row r="688" spans="2:62" ht="15.75" customHeight="1">
      <c r="B688" s="3"/>
      <c r="C688" s="80"/>
      <c r="D688" s="80"/>
      <c r="E688" s="80"/>
      <c r="F688" s="80"/>
      <c r="G688" s="80"/>
      <c r="H688" s="80"/>
      <c r="I688" s="80"/>
      <c r="J688" s="80"/>
      <c r="K688" s="80"/>
      <c r="L688" s="80"/>
      <c r="M688" s="80"/>
      <c r="N688" s="88"/>
      <c r="O688" s="88"/>
      <c r="P688" s="80"/>
      <c r="Q688" s="88"/>
      <c r="R688" s="80"/>
      <c r="S688" s="80"/>
      <c r="T688" s="80"/>
      <c r="U688" s="80"/>
      <c r="V688" s="80"/>
      <c r="W688" s="80"/>
      <c r="X688" s="80"/>
      <c r="Y688" s="38"/>
      <c r="Z688" s="38"/>
      <c r="AA688" s="38"/>
      <c r="AB688" s="38"/>
      <c r="AC688" s="38"/>
      <c r="AD688" s="38"/>
      <c r="AE688" s="38"/>
      <c r="AF688" s="38"/>
      <c r="AG688" s="38"/>
      <c r="AH688" s="38"/>
      <c r="AI688" s="38"/>
      <c r="AJ688" s="38"/>
      <c r="AK688" s="38"/>
      <c r="AL688" s="38"/>
      <c r="AM688" s="38"/>
      <c r="AN688" s="38"/>
      <c r="AO688" s="38"/>
      <c r="AP688" s="38"/>
      <c r="AQ688" s="38"/>
      <c r="AR688" s="38"/>
      <c r="AS688" s="38"/>
      <c r="AT688" s="38"/>
      <c r="AU688" s="38"/>
      <c r="AV688" s="38"/>
      <c r="AW688" s="38"/>
      <c r="AX688" s="38"/>
      <c r="AY688" s="38"/>
      <c r="AZ688" s="38"/>
      <c r="BA688" s="38"/>
      <c r="BB688" s="38"/>
      <c r="BC688" s="38"/>
      <c r="BD688" s="38"/>
      <c r="BE688" s="38"/>
      <c r="BF688" s="38"/>
      <c r="BG688" s="38"/>
      <c r="BH688" s="38"/>
      <c r="BI688" s="38"/>
      <c r="BJ688" s="38"/>
    </row>
    <row r="689" spans="2:62" ht="15.75" customHeight="1">
      <c r="B689" s="3"/>
      <c r="C689" s="80"/>
      <c r="D689" s="80"/>
      <c r="E689" s="80"/>
      <c r="F689" s="80"/>
      <c r="G689" s="80"/>
      <c r="H689" s="80"/>
      <c r="I689" s="80"/>
      <c r="J689" s="80"/>
      <c r="K689" s="90"/>
      <c r="L689" s="90"/>
      <c r="M689" s="80"/>
      <c r="N689" s="88"/>
      <c r="O689" s="88"/>
      <c r="P689" s="80"/>
      <c r="Q689" s="88"/>
      <c r="R689" s="90"/>
      <c r="S689" s="80"/>
      <c r="T689" s="80"/>
      <c r="U689" s="80"/>
      <c r="V689" s="80"/>
      <c r="W689" s="80"/>
      <c r="X689" s="80"/>
      <c r="Y689" s="38"/>
      <c r="Z689" s="38"/>
      <c r="AA689" s="38"/>
      <c r="AB689" s="38"/>
      <c r="AC689" s="38"/>
      <c r="AD689" s="38"/>
      <c r="AE689" s="38"/>
      <c r="AF689" s="38"/>
      <c r="AG689" s="38"/>
      <c r="AH689" s="38"/>
      <c r="AI689" s="38"/>
      <c r="AJ689" s="38"/>
      <c r="AK689" s="38"/>
      <c r="AL689" s="38"/>
      <c r="AM689" s="38"/>
      <c r="AN689" s="38"/>
      <c r="AO689" s="38"/>
      <c r="AP689" s="38"/>
      <c r="AQ689" s="38"/>
      <c r="AR689" s="38"/>
      <c r="AS689" s="38"/>
      <c r="AT689" s="38"/>
      <c r="AU689" s="38"/>
      <c r="AV689" s="38"/>
      <c r="AW689" s="38"/>
      <c r="AX689" s="38"/>
      <c r="AY689" s="38"/>
      <c r="AZ689" s="38"/>
      <c r="BA689" s="38"/>
      <c r="BB689" s="38"/>
      <c r="BC689" s="38"/>
      <c r="BD689" s="38"/>
      <c r="BE689" s="38"/>
      <c r="BF689" s="38"/>
      <c r="BG689" s="38"/>
      <c r="BH689" s="38"/>
      <c r="BI689" s="38"/>
      <c r="BJ689" s="38"/>
    </row>
    <row r="690" spans="2:62" ht="15.75" customHeight="1">
      <c r="B690" s="3"/>
      <c r="C690" s="80"/>
      <c r="D690" s="80"/>
      <c r="E690" s="80"/>
      <c r="F690" s="80"/>
      <c r="G690" s="80"/>
      <c r="H690" s="80"/>
      <c r="I690" s="80"/>
      <c r="J690" s="80"/>
      <c r="K690" s="88"/>
      <c r="L690" s="88"/>
      <c r="M690" s="80"/>
      <c r="N690" s="88"/>
      <c r="O690" s="88"/>
      <c r="P690" s="80"/>
      <c r="Q690" s="88"/>
      <c r="R690" s="88"/>
      <c r="S690" s="80"/>
      <c r="T690" s="80"/>
      <c r="U690" s="80"/>
      <c r="V690" s="80"/>
      <c r="W690" s="80"/>
      <c r="X690" s="80"/>
      <c r="Y690" s="38"/>
      <c r="Z690" s="38"/>
      <c r="AA690" s="38"/>
      <c r="AB690" s="38"/>
      <c r="AC690" s="38"/>
      <c r="AD690" s="38"/>
      <c r="AE690" s="38"/>
      <c r="AF690" s="38"/>
      <c r="AG690" s="38"/>
      <c r="AH690" s="38"/>
      <c r="AI690" s="38"/>
      <c r="AJ690" s="38"/>
      <c r="AK690" s="38"/>
      <c r="AL690" s="38"/>
      <c r="AM690" s="38"/>
      <c r="AN690" s="38"/>
      <c r="AO690" s="38"/>
      <c r="AP690" s="38"/>
      <c r="AQ690" s="38"/>
      <c r="AR690" s="38"/>
      <c r="AS690" s="38"/>
      <c r="AT690" s="38"/>
      <c r="AU690" s="38"/>
      <c r="AV690" s="38"/>
      <c r="AW690" s="38"/>
      <c r="AX690" s="38"/>
      <c r="AY690" s="38"/>
      <c r="AZ690" s="38"/>
      <c r="BA690" s="38"/>
      <c r="BB690" s="38"/>
      <c r="BC690" s="38"/>
      <c r="BD690" s="38"/>
      <c r="BE690" s="38"/>
      <c r="BF690" s="38"/>
      <c r="BG690" s="38"/>
      <c r="BH690" s="38"/>
      <c r="BI690" s="38"/>
      <c r="BJ690" s="38"/>
    </row>
    <row r="691" spans="2:62" ht="15.75" customHeight="1">
      <c r="B691" s="3"/>
      <c r="C691" s="80"/>
      <c r="D691" s="80"/>
      <c r="E691" s="80"/>
      <c r="F691" s="80"/>
      <c r="G691" s="80"/>
      <c r="H691" s="80"/>
      <c r="I691" s="80"/>
      <c r="J691" s="80"/>
      <c r="K691" s="88"/>
      <c r="L691" s="88"/>
      <c r="M691" s="80"/>
      <c r="N691" s="88"/>
      <c r="O691" s="88"/>
      <c r="P691" s="80"/>
      <c r="Q691" s="88"/>
      <c r="R691" s="88"/>
      <c r="S691" s="80"/>
      <c r="T691" s="80"/>
      <c r="U691" s="80"/>
      <c r="V691" s="80"/>
      <c r="W691" s="80"/>
      <c r="X691" s="80"/>
      <c r="Y691" s="38"/>
      <c r="Z691" s="38"/>
      <c r="AA691" s="38"/>
      <c r="AB691" s="38"/>
      <c r="AC691" s="38"/>
      <c r="AD691" s="38"/>
      <c r="AE691" s="38"/>
      <c r="AF691" s="38"/>
      <c r="AG691" s="38"/>
      <c r="AH691" s="38"/>
      <c r="AI691" s="38"/>
      <c r="AJ691" s="38"/>
      <c r="AK691" s="38"/>
      <c r="AL691" s="38"/>
      <c r="AM691" s="38"/>
      <c r="AN691" s="38"/>
      <c r="AO691" s="38"/>
      <c r="AP691" s="38"/>
      <c r="AQ691" s="38"/>
      <c r="AR691" s="38"/>
      <c r="AS691" s="38"/>
      <c r="AT691" s="38"/>
      <c r="AU691" s="38"/>
      <c r="AV691" s="38"/>
      <c r="AW691" s="38"/>
      <c r="AX691" s="38"/>
      <c r="AY691" s="38"/>
      <c r="AZ691" s="38"/>
      <c r="BA691" s="38"/>
      <c r="BB691" s="38"/>
      <c r="BC691" s="38"/>
      <c r="BD691" s="38"/>
      <c r="BE691" s="38"/>
      <c r="BF691" s="38"/>
      <c r="BG691" s="38"/>
      <c r="BH691" s="38"/>
      <c r="BI691" s="38"/>
      <c r="BJ691" s="38"/>
    </row>
    <row r="692" spans="2:62" ht="15.75" customHeight="1">
      <c r="B692" s="3"/>
      <c r="C692" s="80"/>
      <c r="D692" s="80"/>
      <c r="E692" s="80"/>
      <c r="F692" s="80"/>
      <c r="G692" s="80"/>
      <c r="H692" s="80"/>
      <c r="I692" s="80"/>
      <c r="J692" s="80"/>
      <c r="K692" s="88"/>
      <c r="L692" s="88"/>
      <c r="M692" s="80"/>
      <c r="N692" s="88"/>
      <c r="O692" s="88"/>
      <c r="P692" s="80"/>
      <c r="Q692" s="88"/>
      <c r="R692" s="88"/>
      <c r="S692" s="80"/>
      <c r="T692" s="80"/>
      <c r="U692" s="80"/>
      <c r="V692" s="80"/>
      <c r="W692" s="80"/>
      <c r="X692" s="80"/>
      <c r="Y692" s="38"/>
      <c r="Z692" s="38"/>
      <c r="AA692" s="38"/>
      <c r="AB692" s="38"/>
      <c r="AC692" s="38"/>
      <c r="AD692" s="38"/>
      <c r="AE692" s="38"/>
      <c r="AF692" s="38"/>
      <c r="AG692" s="38"/>
      <c r="AH692" s="38"/>
      <c r="AI692" s="38"/>
      <c r="AJ692" s="38"/>
      <c r="AK692" s="38"/>
      <c r="AL692" s="38"/>
      <c r="AM692" s="38"/>
      <c r="AN692" s="38"/>
      <c r="AO692" s="38"/>
      <c r="AP692" s="38"/>
      <c r="AQ692" s="38"/>
      <c r="AR692" s="38"/>
      <c r="AS692" s="38"/>
      <c r="AT692" s="38"/>
      <c r="AU692" s="38"/>
      <c r="AV692" s="38"/>
      <c r="AW692" s="38"/>
      <c r="AX692" s="38"/>
      <c r="AY692" s="38"/>
      <c r="AZ692" s="38"/>
      <c r="BA692" s="38"/>
      <c r="BB692" s="38"/>
      <c r="BC692" s="38"/>
      <c r="BD692" s="38"/>
      <c r="BE692" s="38"/>
      <c r="BF692" s="38"/>
      <c r="BG692" s="38"/>
      <c r="BH692" s="38"/>
      <c r="BI692" s="38"/>
      <c r="BJ692" s="38"/>
    </row>
    <row r="693" spans="2:62" ht="15.75" customHeight="1">
      <c r="B693" s="3"/>
      <c r="C693" s="80"/>
      <c r="D693" s="80"/>
      <c r="E693" s="80"/>
      <c r="F693" s="80"/>
      <c r="G693" s="80"/>
      <c r="H693" s="80"/>
      <c r="I693" s="80"/>
      <c r="J693" s="80"/>
      <c r="K693" s="88"/>
      <c r="L693" s="88"/>
      <c r="M693" s="80"/>
      <c r="N693" s="88"/>
      <c r="O693" s="88"/>
      <c r="P693" s="80"/>
      <c r="Q693" s="88"/>
      <c r="R693" s="88"/>
      <c r="S693" s="80"/>
      <c r="T693" s="80"/>
      <c r="U693" s="80"/>
      <c r="V693" s="80"/>
      <c r="W693" s="80"/>
      <c r="X693" s="80"/>
      <c r="Y693" s="38"/>
      <c r="Z693" s="38"/>
      <c r="AA693" s="38"/>
      <c r="AB693" s="38"/>
      <c r="AC693" s="38"/>
      <c r="AD693" s="38"/>
      <c r="AE693" s="38"/>
      <c r="AF693" s="38"/>
      <c r="AG693" s="38"/>
      <c r="AH693" s="38"/>
      <c r="AI693" s="38"/>
      <c r="AJ693" s="38"/>
      <c r="AK693" s="38"/>
      <c r="AL693" s="38"/>
      <c r="AM693" s="38"/>
      <c r="AN693" s="38"/>
      <c r="AO693" s="38"/>
      <c r="AP693" s="38"/>
      <c r="AQ693" s="38"/>
      <c r="AR693" s="38"/>
      <c r="AS693" s="38"/>
      <c r="AT693" s="38"/>
      <c r="AU693" s="38"/>
      <c r="AV693" s="38"/>
      <c r="AW693" s="38"/>
      <c r="AX693" s="38"/>
      <c r="AY693" s="38"/>
      <c r="AZ693" s="38"/>
      <c r="BA693" s="38"/>
      <c r="BB693" s="38"/>
      <c r="BC693" s="38"/>
      <c r="BD693" s="38"/>
      <c r="BE693" s="38"/>
      <c r="BF693" s="38"/>
      <c r="BG693" s="38"/>
      <c r="BH693" s="38"/>
      <c r="BI693" s="38"/>
      <c r="BJ693" s="38"/>
    </row>
    <row r="694" spans="2:62" ht="15.75" customHeight="1">
      <c r="B694" s="3"/>
      <c r="C694" s="80"/>
      <c r="D694" s="80"/>
      <c r="E694" s="80"/>
      <c r="F694" s="80"/>
      <c r="G694" s="80"/>
      <c r="H694" s="80"/>
      <c r="I694" s="80"/>
      <c r="J694" s="80"/>
      <c r="K694" s="88"/>
      <c r="L694" s="88"/>
      <c r="M694" s="80"/>
      <c r="N694" s="88"/>
      <c r="O694" s="88"/>
      <c r="P694" s="80"/>
      <c r="Q694" s="88"/>
      <c r="R694" s="88"/>
      <c r="S694" s="80"/>
      <c r="T694" s="80"/>
      <c r="U694" s="80"/>
      <c r="V694" s="80"/>
      <c r="W694" s="80"/>
      <c r="X694" s="80"/>
      <c r="Y694" s="38"/>
      <c r="Z694" s="38"/>
      <c r="AA694" s="38"/>
      <c r="AB694" s="38"/>
      <c r="AC694" s="38"/>
      <c r="AD694" s="38"/>
      <c r="AE694" s="38"/>
      <c r="AF694" s="38"/>
      <c r="AG694" s="38"/>
      <c r="AH694" s="38"/>
      <c r="AI694" s="38"/>
      <c r="AJ694" s="38"/>
      <c r="AK694" s="38"/>
      <c r="AL694" s="38"/>
      <c r="AM694" s="38"/>
      <c r="AN694" s="38"/>
      <c r="AO694" s="38"/>
      <c r="AP694" s="38"/>
      <c r="AQ694" s="38"/>
      <c r="AR694" s="38"/>
      <c r="AS694" s="38"/>
      <c r="AT694" s="38"/>
      <c r="AU694" s="38"/>
      <c r="AV694" s="38"/>
      <c r="AW694" s="38"/>
      <c r="AX694" s="38"/>
      <c r="AY694" s="38"/>
      <c r="AZ694" s="38"/>
      <c r="BA694" s="38"/>
      <c r="BB694" s="38"/>
      <c r="BC694" s="38"/>
      <c r="BD694" s="38"/>
      <c r="BE694" s="38"/>
      <c r="BF694" s="38"/>
      <c r="BG694" s="38"/>
      <c r="BH694" s="38"/>
      <c r="BI694" s="38"/>
      <c r="BJ694" s="38"/>
    </row>
    <row r="695" spans="2:62" ht="15.75" customHeight="1">
      <c r="B695" s="3"/>
      <c r="C695" s="80"/>
      <c r="D695" s="80"/>
      <c r="E695" s="80"/>
      <c r="F695" s="80"/>
      <c r="G695" s="80"/>
      <c r="H695" s="80"/>
      <c r="I695" s="80"/>
      <c r="J695" s="80"/>
      <c r="K695" s="88"/>
      <c r="L695" s="88"/>
      <c r="M695" s="80"/>
      <c r="N695" s="88"/>
      <c r="O695" s="88"/>
      <c r="P695" s="80"/>
      <c r="Q695" s="88"/>
      <c r="R695" s="88"/>
      <c r="S695" s="80"/>
      <c r="T695" s="80"/>
      <c r="U695" s="80"/>
      <c r="V695" s="80"/>
      <c r="W695" s="80"/>
      <c r="X695" s="80"/>
      <c r="Y695" s="38"/>
      <c r="Z695" s="38"/>
      <c r="AA695" s="38"/>
      <c r="AB695" s="38"/>
      <c r="AC695" s="38"/>
      <c r="AD695" s="38"/>
      <c r="AE695" s="38"/>
      <c r="AF695" s="38"/>
      <c r="AG695" s="38"/>
      <c r="AH695" s="38"/>
      <c r="AI695" s="38"/>
      <c r="AJ695" s="38"/>
      <c r="AK695" s="38"/>
      <c r="AL695" s="38"/>
      <c r="AM695" s="38"/>
      <c r="AN695" s="38"/>
      <c r="AO695" s="38"/>
      <c r="AP695" s="38"/>
      <c r="AQ695" s="38"/>
      <c r="AR695" s="38"/>
      <c r="AS695" s="38"/>
      <c r="AT695" s="38"/>
      <c r="AU695" s="38"/>
      <c r="AV695" s="38"/>
      <c r="AW695" s="38"/>
      <c r="AX695" s="38"/>
      <c r="AY695" s="38"/>
      <c r="AZ695" s="38"/>
      <c r="BA695" s="38"/>
      <c r="BB695" s="38"/>
      <c r="BC695" s="38"/>
      <c r="BD695" s="38"/>
      <c r="BE695" s="38"/>
      <c r="BF695" s="38"/>
      <c r="BG695" s="38"/>
      <c r="BH695" s="38"/>
      <c r="BI695" s="38"/>
      <c r="BJ695" s="38"/>
    </row>
    <row r="696" spans="2:62" ht="15.75" customHeight="1">
      <c r="B696" s="3"/>
      <c r="C696" s="80"/>
      <c r="D696" s="80"/>
      <c r="E696" s="80"/>
      <c r="F696" s="80"/>
      <c r="G696" s="80"/>
      <c r="H696" s="80"/>
      <c r="I696" s="80"/>
      <c r="J696" s="80"/>
      <c r="K696" s="88"/>
      <c r="L696" s="90"/>
      <c r="M696" s="80"/>
      <c r="N696" s="88"/>
      <c r="O696" s="88"/>
      <c r="P696" s="80"/>
      <c r="Q696" s="88"/>
      <c r="R696" s="90"/>
      <c r="S696" s="80"/>
      <c r="T696" s="80"/>
      <c r="U696" s="80"/>
      <c r="V696" s="80"/>
      <c r="W696" s="80"/>
      <c r="X696" s="80"/>
      <c r="Y696" s="38"/>
      <c r="Z696" s="38"/>
      <c r="AA696" s="38"/>
      <c r="AB696" s="38"/>
      <c r="AC696" s="38"/>
      <c r="AD696" s="38"/>
      <c r="AE696" s="38"/>
      <c r="AF696" s="38"/>
      <c r="AG696" s="38"/>
      <c r="AH696" s="38"/>
      <c r="AI696" s="38"/>
      <c r="AJ696" s="38"/>
      <c r="AK696" s="38"/>
      <c r="AL696" s="38"/>
      <c r="AM696" s="38"/>
      <c r="AN696" s="38"/>
      <c r="AO696" s="38"/>
      <c r="AP696" s="38"/>
      <c r="AQ696" s="38"/>
      <c r="AR696" s="38"/>
      <c r="AS696" s="38"/>
      <c r="AT696" s="38"/>
      <c r="AU696" s="38"/>
      <c r="AV696" s="38"/>
      <c r="AW696" s="38"/>
      <c r="AX696" s="38"/>
      <c r="AY696" s="38"/>
      <c r="AZ696" s="38"/>
      <c r="BA696" s="38"/>
      <c r="BB696" s="38"/>
      <c r="BC696" s="38"/>
      <c r="BD696" s="38"/>
      <c r="BE696" s="38"/>
      <c r="BF696" s="38"/>
      <c r="BG696" s="38"/>
      <c r="BH696" s="38"/>
      <c r="BI696" s="38"/>
      <c r="BJ696" s="38"/>
    </row>
    <row r="697" spans="2:62" ht="15.75" customHeight="1">
      <c r="B697" s="3"/>
      <c r="C697" s="80"/>
      <c r="D697" s="80"/>
      <c r="E697" s="80"/>
      <c r="F697" s="80"/>
      <c r="G697" s="80"/>
      <c r="H697" s="80"/>
      <c r="I697" s="80"/>
      <c r="J697" s="80"/>
      <c r="K697" s="88"/>
      <c r="L697" s="88"/>
      <c r="M697" s="80"/>
      <c r="N697" s="88"/>
      <c r="O697" s="88"/>
      <c r="P697" s="80"/>
      <c r="Q697" s="88"/>
      <c r="R697" s="88"/>
      <c r="S697" s="80"/>
      <c r="T697" s="80"/>
      <c r="U697" s="80"/>
      <c r="V697" s="80"/>
      <c r="W697" s="80"/>
      <c r="X697" s="80"/>
      <c r="Y697" s="38"/>
      <c r="Z697" s="38"/>
      <c r="AA697" s="38"/>
      <c r="AB697" s="38"/>
      <c r="AC697" s="38"/>
      <c r="AD697" s="38"/>
      <c r="AE697" s="38"/>
      <c r="AF697" s="38"/>
      <c r="AG697" s="38"/>
      <c r="AH697" s="38"/>
      <c r="AI697" s="38"/>
      <c r="AJ697" s="38"/>
      <c r="AK697" s="38"/>
      <c r="AL697" s="38"/>
      <c r="AM697" s="38"/>
      <c r="AN697" s="38"/>
      <c r="AO697" s="38"/>
      <c r="AP697" s="38"/>
      <c r="AQ697" s="38"/>
      <c r="AR697" s="38"/>
      <c r="AS697" s="38"/>
      <c r="AT697" s="38"/>
      <c r="AU697" s="38"/>
      <c r="AV697" s="38"/>
      <c r="AW697" s="38"/>
      <c r="AX697" s="38"/>
      <c r="AY697" s="38"/>
      <c r="AZ697" s="38"/>
      <c r="BA697" s="38"/>
      <c r="BB697" s="38"/>
      <c r="BC697" s="38"/>
      <c r="BD697" s="38"/>
      <c r="BE697" s="38"/>
      <c r="BF697" s="38"/>
      <c r="BG697" s="38"/>
      <c r="BH697" s="38"/>
      <c r="BI697" s="38"/>
      <c r="BJ697" s="38"/>
    </row>
    <row r="698" spans="2:62" ht="15.75" customHeight="1">
      <c r="B698" s="3"/>
      <c r="C698" s="80"/>
      <c r="D698" s="80"/>
      <c r="E698" s="80"/>
      <c r="F698" s="80"/>
      <c r="G698" s="80"/>
      <c r="H698" s="80"/>
      <c r="I698" s="80"/>
      <c r="J698" s="80"/>
      <c r="K698" s="88"/>
      <c r="L698" s="88"/>
      <c r="M698" s="80"/>
      <c r="N698" s="88"/>
      <c r="O698" s="88"/>
      <c r="P698" s="80"/>
      <c r="Q698" s="88"/>
      <c r="R698" s="88"/>
      <c r="S698" s="80"/>
      <c r="T698" s="80"/>
      <c r="U698" s="80"/>
      <c r="V698" s="80"/>
      <c r="W698" s="80"/>
      <c r="X698" s="80"/>
      <c r="Y698" s="38"/>
      <c r="Z698" s="38"/>
      <c r="AA698" s="38"/>
      <c r="AB698" s="38"/>
      <c r="AC698" s="38"/>
      <c r="AD698" s="38"/>
      <c r="AE698" s="38"/>
      <c r="AF698" s="38"/>
      <c r="AG698" s="38"/>
      <c r="AH698" s="38"/>
      <c r="AI698" s="38"/>
      <c r="AJ698" s="38"/>
      <c r="AK698" s="38"/>
      <c r="AL698" s="38"/>
      <c r="AM698" s="38"/>
      <c r="AN698" s="38"/>
      <c r="AO698" s="38"/>
      <c r="AP698" s="38"/>
      <c r="AQ698" s="38"/>
      <c r="AR698" s="38"/>
      <c r="AS698" s="38"/>
      <c r="AT698" s="38"/>
      <c r="AU698" s="38"/>
      <c r="AV698" s="38"/>
      <c r="AW698" s="38"/>
      <c r="AX698" s="38"/>
      <c r="AY698" s="38"/>
      <c r="AZ698" s="38"/>
      <c r="BA698" s="38"/>
      <c r="BB698" s="38"/>
      <c r="BC698" s="38"/>
      <c r="BD698" s="38"/>
      <c r="BE698" s="38"/>
      <c r="BF698" s="38"/>
      <c r="BG698" s="38"/>
      <c r="BH698" s="38"/>
      <c r="BI698" s="38"/>
      <c r="BJ698" s="38"/>
    </row>
    <row r="699" spans="2:62" ht="15.75" customHeight="1">
      <c r="B699" s="3"/>
      <c r="C699" s="80"/>
      <c r="D699" s="80"/>
      <c r="E699" s="80"/>
      <c r="F699" s="80"/>
      <c r="G699" s="80"/>
      <c r="H699" s="80"/>
      <c r="I699" s="80"/>
      <c r="J699" s="80"/>
      <c r="K699" s="88"/>
      <c r="L699" s="88"/>
      <c r="M699" s="80"/>
      <c r="N699" s="90"/>
      <c r="O699" s="90"/>
      <c r="P699" s="80"/>
      <c r="Q699" s="90"/>
      <c r="R699" s="88"/>
      <c r="S699" s="80"/>
      <c r="T699" s="80"/>
      <c r="U699" s="80"/>
      <c r="V699" s="80"/>
      <c r="W699" s="80"/>
      <c r="X699" s="80"/>
      <c r="Y699" s="38"/>
      <c r="Z699" s="38"/>
      <c r="AA699" s="38"/>
      <c r="AB699" s="38"/>
      <c r="AC699" s="38"/>
      <c r="AD699" s="38"/>
      <c r="AE699" s="38"/>
      <c r="AF699" s="38"/>
      <c r="AG699" s="38"/>
      <c r="AH699" s="38"/>
      <c r="AI699" s="38"/>
      <c r="AJ699" s="38"/>
      <c r="AK699" s="38"/>
      <c r="AL699" s="38"/>
      <c r="AM699" s="38"/>
      <c r="AN699" s="38"/>
      <c r="AO699" s="38"/>
      <c r="AP699" s="38"/>
      <c r="AQ699" s="38"/>
      <c r="AR699" s="38"/>
      <c r="AS699" s="38"/>
      <c r="AT699" s="38"/>
      <c r="AU699" s="38"/>
      <c r="AV699" s="38"/>
      <c r="AW699" s="38"/>
      <c r="AX699" s="38"/>
      <c r="AY699" s="38"/>
      <c r="AZ699" s="38"/>
      <c r="BA699" s="38"/>
      <c r="BB699" s="38"/>
      <c r="BC699" s="38"/>
      <c r="BD699" s="38"/>
      <c r="BE699" s="38"/>
      <c r="BF699" s="38"/>
      <c r="BG699" s="38"/>
      <c r="BH699" s="38"/>
      <c r="BI699" s="38"/>
      <c r="BJ699" s="38"/>
    </row>
  </sheetData>
  <mergeCells count="42">
    <mergeCell ref="O170:Q170"/>
    <mergeCell ref="R170:S170"/>
    <mergeCell ref="R3:S3"/>
    <mergeCell ref="D91:F91"/>
    <mergeCell ref="R91:S91"/>
    <mergeCell ref="G91:I91"/>
    <mergeCell ref="J91:L91"/>
    <mergeCell ref="M91:N91"/>
    <mergeCell ref="O91:Q91"/>
    <mergeCell ref="D3:F3"/>
    <mergeCell ref="G3:I3"/>
    <mergeCell ref="J3:L3"/>
    <mergeCell ref="M3:N3"/>
    <mergeCell ref="O3:Q3"/>
    <mergeCell ref="D170:F170"/>
    <mergeCell ref="D238:F238"/>
    <mergeCell ref="G238:I238"/>
    <mergeCell ref="J238:L238"/>
    <mergeCell ref="M238:N238"/>
    <mergeCell ref="G170:I170"/>
    <mergeCell ref="J170:L170"/>
    <mergeCell ref="M170:N170"/>
    <mergeCell ref="O238:Q238"/>
    <mergeCell ref="R238:S238"/>
    <mergeCell ref="G358:I358"/>
    <mergeCell ref="J358:L358"/>
    <mergeCell ref="M358:N358"/>
    <mergeCell ref="O358:Q358"/>
    <mergeCell ref="AM404:AO404"/>
    <mergeCell ref="D293:F293"/>
    <mergeCell ref="G293:I293"/>
    <mergeCell ref="J293:L293"/>
    <mergeCell ref="M293:N293"/>
    <mergeCell ref="O293:Q293"/>
    <mergeCell ref="R293:S293"/>
    <mergeCell ref="D358:F358"/>
    <mergeCell ref="R358:S358"/>
    <mergeCell ref="X404:Z404"/>
    <mergeCell ref="AA404:AC404"/>
    <mergeCell ref="AD404:AF404"/>
    <mergeCell ref="AG404:AI404"/>
    <mergeCell ref="AJ404:AL404"/>
  </mergeCells>
  <conditionalFormatting sqref="F5">
    <cfRule type="expression" dxfId="49" priority="159" stopIfTrue="1">
      <formula>"esterreur(reference)"</formula>
    </cfRule>
  </conditionalFormatting>
  <conditionalFormatting sqref="F184">
    <cfRule type="expression" dxfId="48" priority="146" stopIfTrue="1">
      <formula>"esterreur(reference)"</formula>
    </cfRule>
  </conditionalFormatting>
  <conditionalFormatting sqref="G185">
    <cfRule type="expression" dxfId="47" priority="344" stopIfTrue="1">
      <formula>"esterreur(reference)"</formula>
    </cfRule>
  </conditionalFormatting>
  <conditionalFormatting sqref="H360 J360:L360">
    <cfRule type="expression" dxfId="46" priority="328" stopIfTrue="1">
      <formula>"esterreur(reference)"</formula>
    </cfRule>
  </conditionalFormatting>
  <conditionalFormatting sqref="H197:L197">
    <cfRule type="expression" dxfId="45" priority="16" stopIfTrue="1">
      <formula>"esterreur(reference)"</formula>
    </cfRule>
  </conditionalFormatting>
  <conditionalFormatting sqref="H361:L364 H365:H376 J365:L376 H400 J400:K400">
    <cfRule type="expression" dxfId="44" priority="323" stopIfTrue="1">
      <formula>"esterreur(reference)"</formula>
    </cfRule>
  </conditionalFormatting>
  <conditionalFormatting sqref="H396:L399">
    <cfRule type="expression" dxfId="43" priority="325" stopIfTrue="1">
      <formula>"esterreur(reference)"</formula>
    </cfRule>
  </conditionalFormatting>
  <conditionalFormatting sqref="I377:L377 J378:L394 H378:H395">
    <cfRule type="expression" dxfId="42" priority="326" stopIfTrue="1">
      <formula>"esterreur(reference)"</formula>
    </cfRule>
  </conditionalFormatting>
  <conditionalFormatting sqref="J3 L6:L14 I13:J14 I16:J16 L16:L24 I17 I18:J18 J19 I20:J20 J21:J23 I24:J24 H25:L26 I27:J27 L27 H28:K28 H29:L30 J31:K48 H31:H72 J49:L72 F83:F85 H83:L85 H86:K88 L86:L90 H90:I90 K90 J90:J91 K93:L96 H97:L98 K99:L100 I101:L101 H101:H104 O101:Q153 J102:L104 I105:L108 H106:H134 I109:K109 I110:L111 J112:L121 I122:L122 J123:L134 H135:L135 H136:H152 J136:L152 H153:L153 H156:H157 J156:K157 H164:L164 H165 J165:K165 H166:K167 L166:L169 H169:I169 K169 J169:J196 H171:I171 K171:L173 H173:I174 L174 K175:L182 H176:I177 H179:I180 H182:I183 L183 K183:K184 H185:I187 K185:L196 H189:I190 H192:I196 H198:H229 J198:K229 H232:L232 H233 J233:K233 H234:K235 L234:L237 H237:I237 K237 J237:J240 H239:I240 K239:L241 H243:L243 H252:L253 H254:H284 J254:K284 L267:L284 H285:L285 H288:L288 H289 J289:K289 H290:K290 L290:L292 H292:I292 K292 J292:J293 H294:L294 J295:L303 H304:L306 J307:L308 H309:L311 J312:M312 H313:L313 H314:K315 H316:L317 L318:L329 H318:H348 J318:K348 H349:L349 H352:L352 H353:H355 J353:K355">
    <cfRule type="expression" dxfId="41" priority="1" stopIfTrue="1">
      <formula>"esterreur(reference)"</formula>
    </cfRule>
  </conditionalFormatting>
  <conditionalFormatting sqref="K287">
    <cfRule type="expression" dxfId="40" priority="148" stopIfTrue="1">
      <formula>"esterreur(reference)"</formula>
    </cfRule>
  </conditionalFormatting>
  <conditionalFormatting sqref="K395">
    <cfRule type="expression" dxfId="39" priority="329" stopIfTrue="1">
      <formula>"esterreur(reference)"</formula>
    </cfRule>
  </conditionalFormatting>
  <conditionalFormatting sqref="K5:L5">
    <cfRule type="expression" dxfId="38" priority="127" stopIfTrue="1">
      <formula>"esterreur(reference)"</formula>
    </cfRule>
  </conditionalFormatting>
  <conditionalFormatting sqref="K244:L244">
    <cfRule type="expression" dxfId="37" priority="101" stopIfTrue="1">
      <formula>"esterreur(reference)"</formula>
    </cfRule>
  </conditionalFormatting>
  <conditionalFormatting sqref="K247:L247">
    <cfRule type="expression" dxfId="36" priority="102" stopIfTrue="1">
      <formula>"esterreur(reference)"</formula>
    </cfRule>
  </conditionalFormatting>
  <conditionalFormatting sqref="L42:L48">
    <cfRule type="expression" dxfId="35" priority="30" stopIfTrue="1">
      <formula>"esterreur(reference)"</formula>
    </cfRule>
  </conditionalFormatting>
  <conditionalFormatting sqref="L75:L82">
    <cfRule type="expression" dxfId="34" priority="8" stopIfTrue="1">
      <formula>"esterreur(reference)"</formula>
    </cfRule>
  </conditionalFormatting>
  <conditionalFormatting sqref="L156:L162">
    <cfRule type="expression" dxfId="33" priority="80" stopIfTrue="1">
      <formula>"esterreur(reference)"</formula>
    </cfRule>
  </conditionalFormatting>
  <conditionalFormatting sqref="L198:L209">
    <cfRule type="expression" dxfId="32" priority="57" stopIfTrue="1">
      <formula>"esterreur(reference)"</formula>
    </cfRule>
  </conditionalFormatting>
  <conditionalFormatting sqref="L211:L228">
    <cfRule type="expression" dxfId="31" priority="59" stopIfTrue="1">
      <formula>"esterreur(reference)"</formula>
    </cfRule>
  </conditionalFormatting>
  <conditionalFormatting sqref="L254:L265">
    <cfRule type="expression" dxfId="30" priority="103" stopIfTrue="1">
      <formula>"esterreur(reference)"</formula>
    </cfRule>
  </conditionalFormatting>
  <conditionalFormatting sqref="L331:L348">
    <cfRule type="expression" dxfId="29" priority="23" stopIfTrue="1">
      <formula>"esterreur(reference)"</formula>
    </cfRule>
  </conditionalFormatting>
  <conditionalFormatting sqref="L356:L357 H357:I357 K357 J357:J358 H359:L359">
    <cfRule type="expression" dxfId="28" priority="324" stopIfTrue="1">
      <formula>"esterreur(reference)"</formula>
    </cfRule>
  </conditionalFormatting>
  <conditionalFormatting sqref="M95:M97">
    <cfRule type="expression" dxfId="27" priority="2" stopIfTrue="1">
      <formula>"esterreur(reference)"</formula>
    </cfRule>
  </conditionalFormatting>
  <conditionalFormatting sqref="O197:Q197">
    <cfRule type="expression" dxfId="26" priority="235" stopIfTrue="1">
      <formula>"esterreur(reference)"</formula>
    </cfRule>
  </conditionalFormatting>
  <conditionalFormatting sqref="O243:Q243 O252:Q253 O254:P284 Q267:Q284 O285:Q285 O288:Q288 O289:P289">
    <cfRule type="expression" dxfId="25" priority="263" stopIfTrue="1">
      <formula>"esterreur(reference)"</formula>
    </cfRule>
  </conditionalFormatting>
  <conditionalFormatting sqref="O295:Q317 Q318:Q329 O318:P348 O349:Q349 O352:Q352 O353:P353">
    <cfRule type="expression" dxfId="24" priority="292" stopIfTrue="1">
      <formula>"esterreur(reference)"</formula>
    </cfRule>
  </conditionalFormatting>
  <conditionalFormatting sqref="O359:Q394">
    <cfRule type="expression" dxfId="23" priority="333" stopIfTrue="1">
      <formula>"esterreur(reference)"</formula>
    </cfRule>
  </conditionalFormatting>
  <conditionalFormatting sqref="O396:Q399">
    <cfRule type="expression" dxfId="22" priority="336" stopIfTrue="1">
      <formula>"esterreur(reference)"</formula>
    </cfRule>
  </conditionalFormatting>
  <conditionalFormatting sqref="P5">
    <cfRule type="expression" dxfId="21" priority="161" stopIfTrue="1">
      <formula>"esterreur(reference)"</formula>
    </cfRule>
  </conditionalFormatting>
  <conditionalFormatting sqref="P175">
    <cfRule type="expression" dxfId="20" priority="257" stopIfTrue="1">
      <formula>"esterreur(reference)"</formula>
    </cfRule>
  </conditionalFormatting>
  <conditionalFormatting sqref="P287">
    <cfRule type="expression" dxfId="19" priority="290" stopIfTrue="1">
      <formula>"esterreur(reference)"</formula>
    </cfRule>
  </conditionalFormatting>
  <conditionalFormatting sqref="P395">
    <cfRule type="expression" dxfId="18" priority="338" stopIfTrue="1">
      <formula>"esterreur(reference)"</formula>
    </cfRule>
  </conditionalFormatting>
  <conditionalFormatting sqref="P93:Q96 O97:Q98 O156:P157 O164:Q164 O165:P165">
    <cfRule type="expression" dxfId="17" priority="193" stopIfTrue="1">
      <formula>"esterreur(reference)"</formula>
    </cfRule>
  </conditionalFormatting>
  <conditionalFormatting sqref="P99:Q100">
    <cfRule type="expression" dxfId="16" priority="191" stopIfTrue="1">
      <formula>"esterreur(reference)"</formula>
    </cfRule>
  </conditionalFormatting>
  <conditionalFormatting sqref="P172:Q173 O172:O196 Q174:Q175 P176:Q182 Q183 P183:P184 P185:Q196 O198:P229 O232:Q232 O233:P233">
    <cfRule type="expression" dxfId="15" priority="233" stopIfTrue="1">
      <formula>"esterreur(reference)"</formula>
    </cfRule>
  </conditionalFormatting>
  <conditionalFormatting sqref="P241:Q241">
    <cfRule type="expression" dxfId="14" priority="286" stopIfTrue="1">
      <formula>"esterreur(reference)"</formula>
    </cfRule>
  </conditionalFormatting>
  <conditionalFormatting sqref="P244:Q244">
    <cfRule type="expression" dxfId="13" priority="268" stopIfTrue="1">
      <formula>"esterreur(reference)"</formula>
    </cfRule>
  </conditionalFormatting>
  <conditionalFormatting sqref="P247:Q247">
    <cfRule type="expression" dxfId="12" priority="269" stopIfTrue="1">
      <formula>"esterreur(reference)"</formula>
    </cfRule>
  </conditionalFormatting>
  <conditionalFormatting sqref="Q5:Q14 O13:O14 O16 Q16:Q24 O18:O24 O25:Q26 O27 Q27 O28:Q72 O83:Q85">
    <cfRule type="expression" dxfId="11" priority="160" stopIfTrue="1">
      <formula>"esterreur(reference)"</formula>
    </cfRule>
  </conditionalFormatting>
  <conditionalFormatting sqref="Q75:Q82">
    <cfRule type="expression" dxfId="10" priority="186" stopIfTrue="1">
      <formula>"esterreur(reference)"</formula>
    </cfRule>
  </conditionalFormatting>
  <conditionalFormatting sqref="Q156:Q162">
    <cfRule type="expression" dxfId="9" priority="227" stopIfTrue="1">
      <formula>"esterreur(reference)"</formula>
    </cfRule>
  </conditionalFormatting>
  <conditionalFormatting sqref="Q198:Q209">
    <cfRule type="expression" dxfId="8" priority="236" stopIfTrue="1">
      <formula>"esterreur(reference)"</formula>
    </cfRule>
  </conditionalFormatting>
  <conditionalFormatting sqref="Q211:Q228">
    <cfRule type="expression" dxfId="7" priority="237" stopIfTrue="1">
      <formula>"esterreur(reference)"</formula>
    </cfRule>
  </conditionalFormatting>
  <conditionalFormatting sqref="Q254:Q265">
    <cfRule type="expression" dxfId="6" priority="270" stopIfTrue="1">
      <formula>"esterreur(reference)"</formula>
    </cfRule>
  </conditionalFormatting>
  <conditionalFormatting sqref="Q331:Q348">
    <cfRule type="expression" dxfId="5" priority="294" stopIfTrue="1">
      <formula>"esterreur(reference)"</formula>
    </cfRule>
  </conditionalFormatting>
  <conditionalFormatting sqref="R312">
    <cfRule type="expression" dxfId="4" priority="10" stopIfTrue="1">
      <formula>"esterreur(reference)"</formula>
    </cfRule>
  </conditionalFormatting>
  <conditionalFormatting sqref="S186">
    <cfRule type="expression" dxfId="3" priority="147" stopIfTrue="1">
      <formula>"esterreur(reference)"</formula>
    </cfRule>
  </conditionalFormatting>
  <conditionalFormatting sqref="AG409:AI418 AH420:AI431 AG432:AI432 AH433:AI451 AH453:AI460 AH461:AH465 AH467:AI468 AH491:AI497">
    <cfRule type="cellIs" dxfId="2" priority="11" operator="greaterThan">
      <formula>0</formula>
    </cfRule>
  </conditionalFormatting>
  <conditionalFormatting sqref="AH469:AI480">
    <cfRule type="cellIs" dxfId="1" priority="12" operator="lessThan">
      <formula>0</formula>
    </cfRule>
  </conditionalFormatting>
  <conditionalFormatting sqref="AO409:AO418">
    <cfRule type="cellIs" dxfId="0" priority="149" operator="greaterThan">
      <formula>0</formula>
    </cfRule>
  </conditionalFormatting>
  <printOptions horizontalCentered="1"/>
  <pageMargins left="0.23622047244094491" right="0.23622047244094491" top="0.23622047244094491" bottom="0.31496062992125984" header="0" footer="0.23622047244094491"/>
  <pageSetup scale="44" orientation="landscape" r:id="rId1"/>
  <headerFooter>
    <oddFooter>&amp;L&amp;F&amp;CPage &amp;P de &amp;RImprimé le &amp;D @ &amp;T</oddFooter>
  </headerFooter>
  <rowBreaks count="14" manualBreakCount="14">
    <brk id="87" min="2" max="18" man="1"/>
    <brk id="167" min="2" max="18" man="1"/>
    <brk id="235" min="2" max="18" man="1"/>
    <brk id="290" min="2" max="18" man="1"/>
    <brk id="353" man="1"/>
    <brk id="290" man="1"/>
    <brk id="483" man="1"/>
    <brk id="355" man="1"/>
    <brk id="484" man="1"/>
    <brk id="85" man="1"/>
    <brk id="167" man="1"/>
    <brk id="88" man="1"/>
    <brk id="235" man="1"/>
    <brk id="399" man="1"/>
  </rowBreak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1000"/>
  <sheetViews>
    <sheetView workbookViewId="0"/>
  </sheetViews>
  <sheetFormatPr baseColWidth="10" defaultColWidth="12.58203125" defaultRowHeight="15" customHeight="1"/>
  <cols>
    <col min="1" max="1" width="19.9140625" customWidth="1"/>
    <col min="2" max="4" width="11" customWidth="1"/>
    <col min="5" max="5" width="2" customWidth="1"/>
    <col min="6" max="8" width="11" customWidth="1"/>
    <col min="9" max="9" width="2" customWidth="1"/>
    <col min="10" max="10" width="9.58203125" customWidth="1"/>
    <col min="11" max="11" width="2" customWidth="1"/>
    <col min="12" max="12" width="9.58203125" customWidth="1"/>
    <col min="13" max="13" width="2" customWidth="1"/>
    <col min="14" max="14" width="9.58203125" customWidth="1"/>
    <col min="15" max="15" width="6.9140625" customWidth="1"/>
    <col min="16" max="26" width="11" customWidth="1"/>
  </cols>
  <sheetData>
    <row r="1" spans="1:26" ht="14.5">
      <c r="A1" s="3"/>
      <c r="B1" s="3"/>
      <c r="C1" s="3"/>
      <c r="D1" s="3"/>
      <c r="E1" s="3"/>
      <c r="F1" s="3"/>
      <c r="G1" s="3"/>
      <c r="H1" s="3"/>
      <c r="I1" s="3"/>
      <c r="J1" s="3"/>
      <c r="K1" s="3"/>
      <c r="L1" s="3"/>
      <c r="M1" s="3"/>
      <c r="N1" s="3"/>
      <c r="O1" s="3"/>
      <c r="P1" s="3"/>
      <c r="Q1" s="3"/>
      <c r="R1" s="3"/>
      <c r="S1" s="3"/>
      <c r="T1" s="3"/>
      <c r="U1" s="3"/>
      <c r="V1" s="3"/>
      <c r="W1" s="3"/>
      <c r="X1" s="3"/>
      <c r="Y1" s="3"/>
      <c r="Z1" s="3"/>
    </row>
    <row r="2" spans="1:26" ht="14.5">
      <c r="A2" s="556" t="s">
        <v>180</v>
      </c>
      <c r="B2" s="1263" t="s">
        <v>682</v>
      </c>
      <c r="C2" s="1264"/>
      <c r="D2" s="1265"/>
      <c r="E2" s="3"/>
      <c r="F2" s="1263" t="s">
        <v>683</v>
      </c>
      <c r="G2" s="1264"/>
      <c r="H2" s="1265"/>
      <c r="I2" s="3"/>
      <c r="J2" s="589" t="s">
        <v>655</v>
      </c>
      <c r="K2" s="3"/>
      <c r="L2" s="589" t="s">
        <v>684</v>
      </c>
      <c r="M2" s="3"/>
      <c r="N2" s="589" t="s">
        <v>685</v>
      </c>
      <c r="O2" s="3"/>
      <c r="P2" s="1263" t="s">
        <v>686</v>
      </c>
      <c r="Q2" s="1265"/>
      <c r="R2" s="3"/>
      <c r="S2" s="3"/>
      <c r="T2" s="3"/>
      <c r="U2" s="3"/>
      <c r="V2" s="3"/>
      <c r="W2" s="3"/>
      <c r="X2" s="3"/>
      <c r="Y2" s="3"/>
      <c r="Z2" s="3"/>
    </row>
    <row r="3" spans="1:26" ht="14.5">
      <c r="A3" s="3"/>
      <c r="B3" s="557" t="s">
        <v>163</v>
      </c>
      <c r="C3" s="557" t="s">
        <v>181</v>
      </c>
      <c r="D3" s="557" t="s">
        <v>95</v>
      </c>
      <c r="E3" s="3"/>
      <c r="F3" s="557" t="s">
        <v>163</v>
      </c>
      <c r="G3" s="557" t="s">
        <v>181</v>
      </c>
      <c r="H3" s="557" t="s">
        <v>95</v>
      </c>
      <c r="I3" s="3"/>
      <c r="J3" s="205"/>
      <c r="K3" s="3"/>
      <c r="L3" s="205"/>
      <c r="M3" s="3"/>
      <c r="N3" s="205"/>
      <c r="O3" s="3"/>
      <c r="P3" s="557" t="s">
        <v>530</v>
      </c>
      <c r="Q3" s="557" t="s">
        <v>687</v>
      </c>
      <c r="R3" s="3"/>
      <c r="S3" s="3"/>
      <c r="T3" s="3"/>
      <c r="U3" s="3"/>
      <c r="V3" s="3"/>
      <c r="W3" s="3"/>
      <c r="X3" s="3"/>
      <c r="Y3" s="3"/>
      <c r="Z3" s="3"/>
    </row>
    <row r="4" spans="1:26" ht="14.5">
      <c r="A4" s="3" t="s">
        <v>182</v>
      </c>
      <c r="B4" s="565">
        <f>+Print_Mois!J295</f>
        <v>60578.83</v>
      </c>
      <c r="C4" s="590">
        <f t="shared" ref="C4:C9" si="0">D4/B4</f>
        <v>0.28341881148909609</v>
      </c>
      <c r="D4" s="565">
        <f>+Print_Mois!L295</f>
        <v>17169.18</v>
      </c>
      <c r="E4" s="3"/>
      <c r="F4" s="565">
        <f>+Print_Mois!G295</f>
        <v>0</v>
      </c>
      <c r="G4" s="590" t="e">
        <f t="shared" ref="G4:G9" si="1">H4/F4</f>
        <v>#DIV/0!</v>
      </c>
      <c r="H4" s="565">
        <f>+Print_Mois!I295</f>
        <v>0</v>
      </c>
      <c r="I4" s="3"/>
      <c r="J4" s="566">
        <f t="shared" ref="J4:J11" si="2">+D4-H4</f>
        <v>17169.18</v>
      </c>
      <c r="K4" s="3"/>
      <c r="L4" s="566" t="e">
        <f t="shared" ref="L4:L9" si="3">(B4-F4)*G4</f>
        <v>#DIV/0!</v>
      </c>
      <c r="M4" s="3"/>
      <c r="N4" s="566" t="e">
        <f t="shared" ref="N4:N9" si="4">B4*(C4-G4)</f>
        <v>#DIV/0!</v>
      </c>
      <c r="O4" s="3"/>
      <c r="P4" s="567" t="e">
        <f t="shared" ref="P4:P9" si="5">+B4/F4</f>
        <v>#DIV/0!</v>
      </c>
      <c r="Q4" s="567" t="e">
        <f t="shared" ref="Q4:Q10" si="6">+D4/H4</f>
        <v>#DIV/0!</v>
      </c>
      <c r="R4" s="3"/>
      <c r="S4" s="3"/>
      <c r="T4" s="3"/>
      <c r="U4" s="3"/>
      <c r="V4" s="3"/>
      <c r="W4" s="3"/>
      <c r="X4" s="3"/>
      <c r="Y4" s="3"/>
      <c r="Z4" s="3"/>
    </row>
    <row r="5" spans="1:26" ht="14.5">
      <c r="A5" s="3" t="s">
        <v>183</v>
      </c>
      <c r="B5" s="565">
        <f>+Print_Mois!J296</f>
        <v>10964.62</v>
      </c>
      <c r="C5" s="590">
        <f t="shared" si="0"/>
        <v>0.23183931590880491</v>
      </c>
      <c r="D5" s="565">
        <f>+Print_Mois!L296</f>
        <v>2542.0300000000007</v>
      </c>
      <c r="E5" s="3"/>
      <c r="F5" s="565">
        <f>+Print_Mois!G296</f>
        <v>0</v>
      </c>
      <c r="G5" s="590" t="e">
        <f t="shared" si="1"/>
        <v>#DIV/0!</v>
      </c>
      <c r="H5" s="565">
        <f>+Print_Mois!I296</f>
        <v>0</v>
      </c>
      <c r="I5" s="3"/>
      <c r="J5" s="566">
        <f t="shared" si="2"/>
        <v>2542.0300000000007</v>
      </c>
      <c r="K5" s="3"/>
      <c r="L5" s="566" t="e">
        <f t="shared" si="3"/>
        <v>#DIV/0!</v>
      </c>
      <c r="M5" s="3"/>
      <c r="N5" s="566" t="e">
        <f t="shared" si="4"/>
        <v>#DIV/0!</v>
      </c>
      <c r="O5" s="3"/>
      <c r="P5" s="567" t="e">
        <f t="shared" si="5"/>
        <v>#DIV/0!</v>
      </c>
      <c r="Q5" s="567" t="e">
        <f t="shared" si="6"/>
        <v>#DIV/0!</v>
      </c>
      <c r="R5" s="3"/>
      <c r="S5" s="3"/>
      <c r="T5" s="3"/>
      <c r="U5" s="3"/>
      <c r="V5" s="3"/>
      <c r="W5" s="3"/>
      <c r="X5" s="3"/>
      <c r="Y5" s="3"/>
      <c r="Z5" s="3"/>
    </row>
    <row r="6" spans="1:26" ht="14.5">
      <c r="A6" s="3" t="s">
        <v>184</v>
      </c>
      <c r="B6" s="565">
        <f>+Print_Mois!J297</f>
        <v>81364.36</v>
      </c>
      <c r="C6" s="590">
        <f t="shared" si="0"/>
        <v>0.23102350955627257</v>
      </c>
      <c r="D6" s="565">
        <f>+Print_Mois!L297</f>
        <v>18797.080000000002</v>
      </c>
      <c r="E6" s="3"/>
      <c r="F6" s="565">
        <f>+Print_Mois!G297</f>
        <v>0</v>
      </c>
      <c r="G6" s="590" t="e">
        <f t="shared" si="1"/>
        <v>#DIV/0!</v>
      </c>
      <c r="H6" s="565">
        <f>+Print_Mois!I297</f>
        <v>0</v>
      </c>
      <c r="I6" s="3"/>
      <c r="J6" s="566">
        <f t="shared" si="2"/>
        <v>18797.080000000002</v>
      </c>
      <c r="K6" s="3"/>
      <c r="L6" s="566" t="e">
        <f t="shared" si="3"/>
        <v>#DIV/0!</v>
      </c>
      <c r="M6" s="3"/>
      <c r="N6" s="566" t="e">
        <f t="shared" si="4"/>
        <v>#DIV/0!</v>
      </c>
      <c r="O6" s="3"/>
      <c r="P6" s="567" t="e">
        <f t="shared" si="5"/>
        <v>#DIV/0!</v>
      </c>
      <c r="Q6" s="567" t="e">
        <f t="shared" si="6"/>
        <v>#DIV/0!</v>
      </c>
      <c r="R6" s="3"/>
      <c r="S6" s="3"/>
      <c r="T6" s="3"/>
      <c r="U6" s="3"/>
      <c r="V6" s="3"/>
      <c r="W6" s="3"/>
      <c r="X6" s="3"/>
      <c r="Y6" s="3"/>
      <c r="Z6" s="3"/>
    </row>
    <row r="7" spans="1:26" ht="14.5">
      <c r="A7" s="3" t="s">
        <v>185</v>
      </c>
      <c r="B7" s="565">
        <f>+Print_Mois!J298</f>
        <v>63496.06</v>
      </c>
      <c r="C7" s="590">
        <f t="shared" si="0"/>
        <v>0.25951720468955081</v>
      </c>
      <c r="D7" s="565">
        <f>+Print_Mois!L298</f>
        <v>16478.32</v>
      </c>
      <c r="E7" s="3"/>
      <c r="F7" s="565">
        <f>+Print_Mois!G298</f>
        <v>0</v>
      </c>
      <c r="G7" s="590" t="e">
        <f t="shared" si="1"/>
        <v>#DIV/0!</v>
      </c>
      <c r="H7" s="565">
        <f>+Print_Mois!I298</f>
        <v>0</v>
      </c>
      <c r="I7" s="3"/>
      <c r="J7" s="566">
        <f t="shared" si="2"/>
        <v>16478.32</v>
      </c>
      <c r="K7" s="3"/>
      <c r="L7" s="566" t="e">
        <f t="shared" si="3"/>
        <v>#DIV/0!</v>
      </c>
      <c r="M7" s="3"/>
      <c r="N7" s="566" t="e">
        <f t="shared" si="4"/>
        <v>#DIV/0!</v>
      </c>
      <c r="O7" s="3"/>
      <c r="P7" s="567" t="e">
        <f t="shared" si="5"/>
        <v>#DIV/0!</v>
      </c>
      <c r="Q7" s="567" t="e">
        <f t="shared" si="6"/>
        <v>#DIV/0!</v>
      </c>
      <c r="R7" s="3"/>
      <c r="S7" s="3"/>
      <c r="T7" s="3"/>
      <c r="U7" s="3"/>
      <c r="V7" s="3"/>
      <c r="W7" s="3"/>
      <c r="X7" s="3"/>
      <c r="Y7" s="3"/>
      <c r="Z7" s="3"/>
    </row>
    <row r="8" spans="1:26" ht="14.5">
      <c r="A8" s="3" t="s">
        <v>186</v>
      </c>
      <c r="B8" s="565">
        <f>+Print_Mois!J299</f>
        <v>19021.86</v>
      </c>
      <c r="C8" s="590">
        <f t="shared" si="0"/>
        <v>0.28937180696314668</v>
      </c>
      <c r="D8" s="565">
        <f>+Print_Mois!L299</f>
        <v>5504.3900000000012</v>
      </c>
      <c r="E8" s="3"/>
      <c r="F8" s="565">
        <f>+Print_Mois!G299</f>
        <v>0</v>
      </c>
      <c r="G8" s="590" t="e">
        <f t="shared" si="1"/>
        <v>#DIV/0!</v>
      </c>
      <c r="H8" s="565">
        <f>+Print_Mois!I299</f>
        <v>0</v>
      </c>
      <c r="I8" s="3"/>
      <c r="J8" s="566">
        <f t="shared" si="2"/>
        <v>5504.3900000000012</v>
      </c>
      <c r="K8" s="3"/>
      <c r="L8" s="566" t="e">
        <f t="shared" si="3"/>
        <v>#DIV/0!</v>
      </c>
      <c r="M8" s="3"/>
      <c r="N8" s="566" t="e">
        <f t="shared" si="4"/>
        <v>#DIV/0!</v>
      </c>
      <c r="O8" s="3"/>
      <c r="P8" s="567" t="e">
        <f t="shared" si="5"/>
        <v>#DIV/0!</v>
      </c>
      <c r="Q8" s="567" t="e">
        <f t="shared" si="6"/>
        <v>#DIV/0!</v>
      </c>
      <c r="R8" s="3"/>
      <c r="S8" s="3"/>
      <c r="T8" s="3"/>
      <c r="U8" s="3"/>
      <c r="V8" s="3"/>
      <c r="W8" s="3"/>
      <c r="X8" s="3"/>
      <c r="Y8" s="3"/>
      <c r="Z8" s="3"/>
    </row>
    <row r="9" spans="1:26" ht="14.5">
      <c r="A9" s="3" t="s">
        <v>187</v>
      </c>
      <c r="B9" s="565">
        <f>+Print_Mois!J300</f>
        <v>198781.86</v>
      </c>
      <c r="C9" s="590">
        <f t="shared" si="0"/>
        <v>0.12800126731885897</v>
      </c>
      <c r="D9" s="565">
        <f>+Print_Mois!L300</f>
        <v>25444.329999999994</v>
      </c>
      <c r="E9" s="3"/>
      <c r="F9" s="565">
        <f>+Print_Mois!G300</f>
        <v>0</v>
      </c>
      <c r="G9" s="590" t="e">
        <f t="shared" si="1"/>
        <v>#DIV/0!</v>
      </c>
      <c r="H9" s="565">
        <f>+Print_Mois!I300</f>
        <v>0</v>
      </c>
      <c r="I9" s="3"/>
      <c r="J9" s="566">
        <f t="shared" si="2"/>
        <v>25444.329999999994</v>
      </c>
      <c r="K9" s="3"/>
      <c r="L9" s="566" t="e">
        <f t="shared" si="3"/>
        <v>#DIV/0!</v>
      </c>
      <c r="M9" s="3"/>
      <c r="N9" s="566" t="e">
        <f t="shared" si="4"/>
        <v>#DIV/0!</v>
      </c>
      <c r="O9" s="3"/>
      <c r="P9" s="567" t="e">
        <f t="shared" si="5"/>
        <v>#DIV/0!</v>
      </c>
      <c r="Q9" s="567" t="e">
        <f t="shared" si="6"/>
        <v>#DIV/0!</v>
      </c>
      <c r="R9" s="3"/>
      <c r="S9" s="3"/>
      <c r="T9" s="3"/>
      <c r="U9" s="3"/>
      <c r="V9" s="3"/>
      <c r="W9" s="3"/>
      <c r="X9" s="3"/>
      <c r="Y9" s="3"/>
      <c r="Z9" s="3"/>
    </row>
    <row r="10" spans="1:26" ht="14.5">
      <c r="A10" s="3" t="s">
        <v>188</v>
      </c>
      <c r="B10" s="565"/>
      <c r="C10" s="590"/>
      <c r="D10" s="565">
        <f>+Print_Mois!L302</f>
        <v>5644.3099999999995</v>
      </c>
      <c r="E10" s="3"/>
      <c r="F10" s="565"/>
      <c r="G10" s="590"/>
      <c r="H10" s="565">
        <f>+Print_Mois!I302</f>
        <v>0</v>
      </c>
      <c r="I10" s="3"/>
      <c r="J10" s="566">
        <f t="shared" si="2"/>
        <v>5644.3099999999995</v>
      </c>
      <c r="K10" s="3"/>
      <c r="L10" s="566" t="e">
        <f>(H10/(H4+H5+H6+H7+H8+H9)*(D4+D5+D6+D7+D8+D9))-D10</f>
        <v>#DIV/0!</v>
      </c>
      <c r="M10" s="3"/>
      <c r="N10" s="566" t="e">
        <f t="shared" ref="N10:N11" si="7">+J10-L10</f>
        <v>#DIV/0!</v>
      </c>
      <c r="O10" s="3"/>
      <c r="P10" s="567"/>
      <c r="Q10" s="567" t="e">
        <f t="shared" si="6"/>
        <v>#DIV/0!</v>
      </c>
      <c r="R10" s="3"/>
      <c r="S10" s="3"/>
      <c r="T10" s="3"/>
      <c r="U10" s="3"/>
      <c r="V10" s="3"/>
      <c r="W10" s="3"/>
      <c r="X10" s="3"/>
      <c r="Y10" s="3"/>
      <c r="Z10" s="3"/>
    </row>
    <row r="11" spans="1:26" ht="14.5">
      <c r="A11" s="3" t="s">
        <v>189</v>
      </c>
      <c r="B11" s="565"/>
      <c r="C11" s="590"/>
      <c r="D11" s="565"/>
      <c r="E11" s="3"/>
      <c r="F11" s="565"/>
      <c r="G11" s="590"/>
      <c r="H11" s="565"/>
      <c r="I11" s="3"/>
      <c r="J11" s="566">
        <f t="shared" si="2"/>
        <v>0</v>
      </c>
      <c r="K11" s="3"/>
      <c r="L11" s="566">
        <f>(B11-F11)*G11</f>
        <v>0</v>
      </c>
      <c r="M11" s="3"/>
      <c r="N11" s="566">
        <f t="shared" si="7"/>
        <v>0</v>
      </c>
      <c r="O11" s="3"/>
      <c r="P11" s="33"/>
      <c r="Q11" s="33"/>
      <c r="R11" s="3"/>
      <c r="S11" s="3"/>
      <c r="T11" s="3"/>
      <c r="U11" s="3"/>
      <c r="V11" s="3"/>
      <c r="W11" s="3"/>
      <c r="X11" s="3"/>
      <c r="Y11" s="3"/>
      <c r="Z11" s="3"/>
    </row>
    <row r="12" spans="1:26" ht="14.5">
      <c r="A12" s="3" t="s">
        <v>190</v>
      </c>
      <c r="B12" s="591">
        <f>SUM(B4:B11)</f>
        <v>434207.58999999997</v>
      </c>
      <c r="C12" s="592">
        <f>+D12/B12</f>
        <v>0.21091211233778753</v>
      </c>
      <c r="D12" s="591">
        <f>SUM(D4:D11)</f>
        <v>91579.639999999985</v>
      </c>
      <c r="E12" s="3"/>
      <c r="F12" s="591">
        <f>SUM(F4:F11)</f>
        <v>0</v>
      </c>
      <c r="G12" s="592" t="e">
        <f>+H12/F12</f>
        <v>#DIV/0!</v>
      </c>
      <c r="H12" s="591">
        <f>SUM(H4:H11)</f>
        <v>0</v>
      </c>
      <c r="I12" s="3"/>
      <c r="J12" s="591">
        <f>SUM(J4:J11)</f>
        <v>91579.639999999985</v>
      </c>
      <c r="K12" s="3"/>
      <c r="L12" s="591" t="e">
        <f>SUM(L4:L11)</f>
        <v>#DIV/0!</v>
      </c>
      <c r="M12" s="3"/>
      <c r="N12" s="591" t="e">
        <f>SUM(N4:N11)</f>
        <v>#DIV/0!</v>
      </c>
      <c r="O12" s="3"/>
      <c r="P12" s="592" t="e">
        <f>+B12/F12</f>
        <v>#DIV/0!</v>
      </c>
      <c r="Q12" s="592" t="e">
        <f>+D12/H12</f>
        <v>#DIV/0!</v>
      </c>
      <c r="R12" s="3"/>
      <c r="S12" s="3"/>
      <c r="T12" s="3"/>
      <c r="U12" s="3"/>
      <c r="V12" s="3"/>
      <c r="W12" s="3"/>
      <c r="X12" s="3"/>
      <c r="Y12" s="3"/>
      <c r="Z12" s="3"/>
    </row>
    <row r="13" spans="1:26" ht="14.5">
      <c r="A13" s="3"/>
      <c r="B13" s="566"/>
      <c r="C13" s="567"/>
      <c r="D13" s="566"/>
      <c r="E13" s="3"/>
      <c r="F13" s="566"/>
      <c r="G13" s="567"/>
      <c r="H13" s="566"/>
      <c r="I13" s="3"/>
      <c r="J13" s="566"/>
      <c r="K13" s="3"/>
      <c r="L13" s="566"/>
      <c r="M13" s="3"/>
      <c r="N13" s="566"/>
      <c r="O13" s="3"/>
      <c r="P13" s="33"/>
      <c r="Q13" s="33"/>
      <c r="R13" s="3"/>
      <c r="S13" s="3"/>
      <c r="T13" s="3"/>
      <c r="U13" s="3"/>
      <c r="V13" s="3"/>
      <c r="W13" s="3"/>
      <c r="X13" s="3"/>
      <c r="Y13" s="3"/>
      <c r="Z13" s="3"/>
    </row>
    <row r="14" spans="1:26" ht="14.5">
      <c r="A14" s="3" t="s">
        <v>191</v>
      </c>
      <c r="B14" s="565">
        <f>+Print_Mois!J307</f>
        <v>49338.75</v>
      </c>
      <c r="C14" s="590">
        <f t="shared" ref="C14:C15" si="8">D14/B14</f>
        <v>0.17106047477895156</v>
      </c>
      <c r="D14" s="565">
        <f>+Print_Mois!L307</f>
        <v>8439.9099999999962</v>
      </c>
      <c r="E14" s="3"/>
      <c r="F14" s="565">
        <f>+Print_Mois!G307</f>
        <v>0</v>
      </c>
      <c r="G14" s="590" t="e">
        <f t="shared" ref="G14:G15" si="9">H14/F14</f>
        <v>#DIV/0!</v>
      </c>
      <c r="H14" s="565">
        <f>+Print_Mois!I307</f>
        <v>0</v>
      </c>
      <c r="I14" s="3"/>
      <c r="J14" s="566">
        <f t="shared" ref="J14:J15" si="10">+D14-H14</f>
        <v>8439.9099999999962</v>
      </c>
      <c r="K14" s="3"/>
      <c r="L14" s="566" t="e">
        <f t="shared" ref="L14:L15" si="11">(B14-F14)*G14</f>
        <v>#DIV/0!</v>
      </c>
      <c r="M14" s="3"/>
      <c r="N14" s="566" t="e">
        <f t="shared" ref="N14:N15" si="12">B14*(C14-G14)</f>
        <v>#DIV/0!</v>
      </c>
      <c r="O14" s="3"/>
      <c r="P14" s="567" t="e">
        <f t="shared" ref="P14:P16" si="13">+B14/F14</f>
        <v>#DIV/0!</v>
      </c>
      <c r="Q14" s="567" t="e">
        <f t="shared" ref="Q14:Q16" si="14">+D14/H14</f>
        <v>#DIV/0!</v>
      </c>
      <c r="R14" s="3"/>
      <c r="S14" s="3"/>
      <c r="T14" s="3"/>
      <c r="U14" s="3"/>
      <c r="V14" s="3"/>
      <c r="W14" s="3"/>
      <c r="X14" s="3"/>
      <c r="Y14" s="3"/>
      <c r="Z14" s="3"/>
    </row>
    <row r="15" spans="1:26" ht="14.5">
      <c r="A15" s="3" t="s">
        <v>192</v>
      </c>
      <c r="B15" s="565">
        <f>+Print_Mois!J308</f>
        <v>16154.19</v>
      </c>
      <c r="C15" s="590">
        <f t="shared" si="8"/>
        <v>0.25065199802651816</v>
      </c>
      <c r="D15" s="565">
        <f>+Print_Mois!L308</f>
        <v>4049.08</v>
      </c>
      <c r="E15" s="3"/>
      <c r="F15" s="565">
        <f>+Print_Mois!G308</f>
        <v>0</v>
      </c>
      <c r="G15" s="590" t="e">
        <f t="shared" si="9"/>
        <v>#DIV/0!</v>
      </c>
      <c r="H15" s="565">
        <f>+Print_Mois!I308</f>
        <v>0</v>
      </c>
      <c r="I15" s="3"/>
      <c r="J15" s="566">
        <f t="shared" si="10"/>
        <v>4049.08</v>
      </c>
      <c r="K15" s="3"/>
      <c r="L15" s="566" t="e">
        <f t="shared" si="11"/>
        <v>#DIV/0!</v>
      </c>
      <c r="M15" s="3"/>
      <c r="N15" s="566" t="e">
        <f t="shared" si="12"/>
        <v>#DIV/0!</v>
      </c>
      <c r="O15" s="3"/>
      <c r="P15" s="567" t="e">
        <f t="shared" si="13"/>
        <v>#DIV/0!</v>
      </c>
      <c r="Q15" s="567" t="e">
        <f t="shared" si="14"/>
        <v>#DIV/0!</v>
      </c>
      <c r="R15" s="3"/>
      <c r="S15" s="3"/>
      <c r="T15" s="3"/>
      <c r="U15" s="3"/>
      <c r="V15" s="3"/>
      <c r="W15" s="3"/>
      <c r="X15" s="3"/>
      <c r="Y15" s="3"/>
      <c r="Z15" s="3"/>
    </row>
    <row r="16" spans="1:26" ht="14.5">
      <c r="A16" s="3" t="s">
        <v>193</v>
      </c>
      <c r="B16" s="593">
        <f>SUM(B14:B15)</f>
        <v>65492.94</v>
      </c>
      <c r="C16" s="594">
        <f>+D16/B16</f>
        <v>0.19069215704776721</v>
      </c>
      <c r="D16" s="593">
        <f>SUM(D14:D15)</f>
        <v>12488.989999999996</v>
      </c>
      <c r="E16" s="3"/>
      <c r="F16" s="593">
        <f>SUM(F14:F15)</f>
        <v>0</v>
      </c>
      <c r="G16" s="594" t="e">
        <f>+H16/F16</f>
        <v>#DIV/0!</v>
      </c>
      <c r="H16" s="593">
        <f>SUM(H14:H15)</f>
        <v>0</v>
      </c>
      <c r="I16" s="3"/>
      <c r="J16" s="593">
        <f>SUM(J14:J15)</f>
        <v>12488.989999999996</v>
      </c>
      <c r="K16" s="3"/>
      <c r="L16" s="593" t="e">
        <f>SUM(L14:L15)</f>
        <v>#DIV/0!</v>
      </c>
      <c r="M16" s="3"/>
      <c r="N16" s="593" t="e">
        <f>SUM(N14:N15)</f>
        <v>#DIV/0!</v>
      </c>
      <c r="O16" s="3"/>
      <c r="P16" s="594" t="e">
        <f t="shared" si="13"/>
        <v>#DIV/0!</v>
      </c>
      <c r="Q16" s="594" t="e">
        <f t="shared" si="14"/>
        <v>#DIV/0!</v>
      </c>
      <c r="R16" s="3"/>
      <c r="S16" s="3"/>
      <c r="T16" s="3"/>
      <c r="U16" s="3"/>
      <c r="V16" s="3"/>
      <c r="W16" s="3"/>
      <c r="X16" s="3"/>
      <c r="Y16" s="3"/>
      <c r="Z16" s="3"/>
    </row>
    <row r="17" spans="1:26" ht="14.5">
      <c r="A17" s="3"/>
      <c r="B17" s="566"/>
      <c r="C17" s="567"/>
      <c r="D17" s="566"/>
      <c r="E17" s="3"/>
      <c r="F17" s="566"/>
      <c r="G17" s="567"/>
      <c r="H17" s="566"/>
      <c r="I17" s="3"/>
      <c r="J17" s="566"/>
      <c r="K17" s="3"/>
      <c r="L17" s="566"/>
      <c r="M17" s="3"/>
      <c r="N17" s="566"/>
      <c r="O17" s="3"/>
      <c r="P17" s="567"/>
      <c r="Q17" s="567"/>
      <c r="R17" s="3"/>
      <c r="S17" s="3"/>
      <c r="T17" s="3"/>
      <c r="U17" s="3"/>
      <c r="V17" s="3"/>
      <c r="W17" s="3"/>
      <c r="X17" s="3"/>
      <c r="Y17" s="3"/>
      <c r="Z17" s="3"/>
    </row>
    <row r="18" spans="1:26" ht="14.5">
      <c r="A18" s="3" t="s">
        <v>688</v>
      </c>
      <c r="B18" s="595">
        <f>+B12+B16</f>
        <v>499700.52999999997</v>
      </c>
      <c r="C18" s="596">
        <f>+D18/B18</f>
        <v>0.20826199644014784</v>
      </c>
      <c r="D18" s="595">
        <f>+D12+D16</f>
        <v>104068.62999999998</v>
      </c>
      <c r="E18" s="3"/>
      <c r="F18" s="595">
        <f>+F12+F16</f>
        <v>0</v>
      </c>
      <c r="G18" s="596" t="e">
        <f>+H18/F18</f>
        <v>#DIV/0!</v>
      </c>
      <c r="H18" s="595">
        <f>+H12+H16</f>
        <v>0</v>
      </c>
      <c r="I18" s="3"/>
      <c r="J18" s="595">
        <f>+J12+J16</f>
        <v>104068.62999999998</v>
      </c>
      <c r="K18" s="3"/>
      <c r="L18" s="595" t="e">
        <f>+L12+L16</f>
        <v>#DIV/0!</v>
      </c>
      <c r="M18" s="3"/>
      <c r="N18" s="595" t="e">
        <f>+N12+N16</f>
        <v>#DIV/0!</v>
      </c>
      <c r="O18" s="3"/>
      <c r="P18" s="596" t="e">
        <f>+B18/F18</f>
        <v>#DIV/0!</v>
      </c>
      <c r="Q18" s="596" t="e">
        <f>+D18/H18</f>
        <v>#DIV/0!</v>
      </c>
      <c r="R18" s="3"/>
      <c r="S18" s="3"/>
      <c r="T18" s="3"/>
      <c r="U18" s="3"/>
      <c r="V18" s="3"/>
      <c r="W18" s="3"/>
      <c r="X18" s="3"/>
      <c r="Y18" s="3"/>
      <c r="Z18" s="3"/>
    </row>
    <row r="19" spans="1:26" ht="14.5">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14.5">
      <c r="A20" s="3"/>
      <c r="B20" s="3"/>
      <c r="C20" s="3"/>
      <c r="D20" s="597"/>
      <c r="E20" s="126" t="s">
        <v>689</v>
      </c>
      <c r="F20" s="595">
        <f>+B18-F18</f>
        <v>499700.52999999997</v>
      </c>
      <c r="G20" s="3"/>
      <c r="H20" s="3"/>
      <c r="I20" s="3"/>
      <c r="J20" s="3"/>
      <c r="K20" s="3"/>
      <c r="L20" s="3"/>
      <c r="M20" s="3"/>
      <c r="N20" s="597" t="e">
        <f>+J18-L18-N18</f>
        <v>#DIV/0!</v>
      </c>
      <c r="O20" s="3"/>
      <c r="P20" s="3"/>
      <c r="Q20" s="3"/>
      <c r="R20" s="3"/>
      <c r="S20" s="3"/>
      <c r="T20" s="3"/>
      <c r="U20" s="3"/>
      <c r="V20" s="3"/>
      <c r="W20" s="3"/>
      <c r="X20" s="3"/>
      <c r="Y20" s="3"/>
      <c r="Z20" s="3"/>
    </row>
    <row r="21" spans="1:26" ht="15.75" customHeight="1">
      <c r="A21" s="3"/>
      <c r="B21" s="598"/>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598"/>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598"/>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3">
    <mergeCell ref="B2:D2"/>
    <mergeCell ref="F2:H2"/>
    <mergeCell ref="P2:Q2"/>
  </mergeCells>
  <pageMargins left="0.7" right="0.7" top="0.75" bottom="0.75" header="0" footer="0"/>
  <pageSetup orientation="portrait"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00"/>
  <sheetViews>
    <sheetView workbookViewId="0"/>
  </sheetViews>
  <sheetFormatPr baseColWidth="10" defaultColWidth="12.58203125" defaultRowHeight="15" customHeight="1"/>
  <cols>
    <col min="1" max="1" width="3.1640625" customWidth="1"/>
    <col min="2" max="2" width="16.4140625" customWidth="1"/>
    <col min="3" max="5" width="11.08203125" customWidth="1"/>
    <col min="6" max="6" width="3.1640625" customWidth="1"/>
    <col min="7" max="7" width="16.4140625" customWidth="1"/>
    <col min="8" max="10" width="11.08203125" customWidth="1"/>
    <col min="11" max="11" width="3.1640625" customWidth="1"/>
    <col min="12" max="12" width="16.4140625" customWidth="1"/>
    <col min="13" max="15" width="11.08203125" customWidth="1"/>
    <col min="16" max="16" width="3.1640625" customWidth="1"/>
    <col min="17" max="17" width="16.4140625" customWidth="1"/>
    <col min="18" max="20" width="11.08203125" customWidth="1"/>
    <col min="21" max="26" width="11" customWidth="1"/>
  </cols>
  <sheetData>
    <row r="1" spans="1:26" ht="14.5">
      <c r="A1" s="3"/>
      <c r="B1" s="1260" t="s">
        <v>700</v>
      </c>
      <c r="C1" s="1261"/>
      <c r="D1" s="1261"/>
      <c r="E1" s="1261"/>
      <c r="F1" s="1261"/>
      <c r="G1" s="1261"/>
      <c r="H1" s="1261"/>
      <c r="I1" s="1261"/>
      <c r="J1" s="1261"/>
      <c r="K1" s="1261"/>
      <c r="L1" s="1261"/>
      <c r="M1" s="1261"/>
      <c r="N1" s="1261"/>
      <c r="O1" s="1261"/>
      <c r="P1" s="1261"/>
      <c r="Q1" s="1261"/>
      <c r="R1" s="1261"/>
      <c r="S1" s="1261"/>
      <c r="T1" s="1262"/>
      <c r="U1" s="3"/>
      <c r="V1" s="3"/>
      <c r="W1" s="3"/>
      <c r="X1" s="3"/>
      <c r="Y1" s="3"/>
      <c r="Z1" s="3"/>
    </row>
    <row r="2" spans="1:26" ht="14.5">
      <c r="A2" s="3"/>
      <c r="B2" s="3"/>
      <c r="C2" s="3"/>
      <c r="D2" s="3"/>
      <c r="E2" s="3"/>
      <c r="F2" s="3"/>
      <c r="G2" s="3"/>
      <c r="H2" s="3"/>
      <c r="I2" s="3"/>
      <c r="J2" s="3"/>
      <c r="K2" s="3"/>
      <c r="L2" s="3"/>
      <c r="M2" s="3"/>
      <c r="N2" s="3"/>
      <c r="O2" s="3"/>
      <c r="P2" s="3"/>
      <c r="Q2" s="3"/>
      <c r="R2" s="3"/>
      <c r="S2" s="3"/>
      <c r="T2" s="3"/>
      <c r="U2" s="3"/>
      <c r="V2" s="3"/>
      <c r="W2" s="3"/>
      <c r="X2" s="3"/>
      <c r="Y2" s="3"/>
      <c r="Z2" s="3"/>
    </row>
    <row r="3" spans="1:26" ht="14.5">
      <c r="A3" s="3"/>
      <c r="B3" s="556" t="s">
        <v>645</v>
      </c>
      <c r="C3" s="557" t="s">
        <v>646</v>
      </c>
      <c r="D3" s="557" t="s">
        <v>647</v>
      </c>
      <c r="E3" s="557" t="s">
        <v>648</v>
      </c>
      <c r="F3" s="3"/>
      <c r="G3" s="556" t="s">
        <v>649</v>
      </c>
      <c r="H3" s="557" t="s">
        <v>646</v>
      </c>
      <c r="I3" s="557" t="s">
        <v>647</v>
      </c>
      <c r="J3" s="557" t="s">
        <v>648</v>
      </c>
      <c r="K3" s="3"/>
      <c r="L3" s="556" t="s">
        <v>161</v>
      </c>
      <c r="M3" s="557" t="s">
        <v>650</v>
      </c>
      <c r="N3" s="557" t="s">
        <v>651</v>
      </c>
      <c r="O3" s="557" t="s">
        <v>648</v>
      </c>
      <c r="P3" s="3"/>
      <c r="Q3" s="556" t="s">
        <v>652</v>
      </c>
      <c r="R3" s="557" t="s">
        <v>646</v>
      </c>
      <c r="S3" s="557" t="s">
        <v>653</v>
      </c>
      <c r="T3" s="557" t="s">
        <v>654</v>
      </c>
      <c r="U3" s="3"/>
      <c r="V3" s="3"/>
      <c r="W3" s="3"/>
      <c r="X3" s="3"/>
      <c r="Y3" s="3"/>
      <c r="Z3" s="3"/>
    </row>
    <row r="4" spans="1:26" ht="14.5">
      <c r="A4" s="3"/>
      <c r="B4" s="558" t="s">
        <v>655</v>
      </c>
      <c r="C4" s="3"/>
      <c r="D4" s="3"/>
      <c r="E4" s="3"/>
      <c r="F4" s="3"/>
      <c r="G4" s="558" t="s">
        <v>655</v>
      </c>
      <c r="H4" s="3"/>
      <c r="I4" s="3"/>
      <c r="J4" s="3"/>
      <c r="K4" s="3"/>
      <c r="L4" s="558" t="s">
        <v>655</v>
      </c>
      <c r="M4" s="3"/>
      <c r="N4" s="3"/>
      <c r="O4" s="3"/>
      <c r="P4" s="3"/>
      <c r="Q4" s="558" t="s">
        <v>655</v>
      </c>
      <c r="R4" s="3"/>
      <c r="S4" s="3"/>
      <c r="T4" s="3"/>
      <c r="U4" s="3"/>
      <c r="V4" s="3"/>
      <c r="W4" s="3"/>
      <c r="X4" s="3"/>
      <c r="Y4" s="3"/>
      <c r="Z4" s="3"/>
    </row>
    <row r="5" spans="1:26" ht="14.5">
      <c r="A5" s="3"/>
      <c r="B5" s="231" t="s">
        <v>656</v>
      </c>
      <c r="C5" s="559">
        <f>Print_AAD!J27</f>
        <v>94</v>
      </c>
      <c r="D5" s="560">
        <f>Print_AAD!L27/Print_AAD!J27</f>
        <v>3256.9493617021262</v>
      </c>
      <c r="E5" s="561">
        <f t="shared" ref="E5:E6" si="0">+C5*D5</f>
        <v>306153.23999999987</v>
      </c>
      <c r="F5" s="3"/>
      <c r="G5" s="231" t="s">
        <v>656</v>
      </c>
      <c r="H5" s="559">
        <f>Print_AAD!J108</f>
        <v>70</v>
      </c>
      <c r="I5" s="560">
        <f>Print_AAD!L108/Print_AAD!J108</f>
        <v>1992.6242857142854</v>
      </c>
      <c r="J5" s="561">
        <f t="shared" ref="J5:J6" si="1">+H5*I5</f>
        <v>139483.69999999998</v>
      </c>
      <c r="K5" s="3"/>
      <c r="L5" s="231" t="s">
        <v>656</v>
      </c>
      <c r="M5" s="560">
        <f>Print_AAD!K194</f>
        <v>511002.96</v>
      </c>
      <c r="N5" s="562">
        <f t="shared" ref="N5:N6" si="2">O5/M5</f>
        <v>0.70957872729347782</v>
      </c>
      <c r="O5" s="560">
        <f>Print_AAD!L194</f>
        <v>362596.82999999996</v>
      </c>
      <c r="P5" s="3"/>
      <c r="Q5" s="231" t="s">
        <v>656</v>
      </c>
      <c r="R5" s="563">
        <f>Print_AAD!J185</f>
        <v>1399</v>
      </c>
      <c r="S5" s="560">
        <f>Print_AAD!K185/Print_AAD!J185</f>
        <v>337.16551822730526</v>
      </c>
      <c r="T5" s="561">
        <f t="shared" ref="T5:T6" si="3">+R5*S5</f>
        <v>471694.56000000006</v>
      </c>
      <c r="U5" s="3"/>
      <c r="V5" s="3"/>
      <c r="W5" s="3"/>
      <c r="X5" s="3"/>
      <c r="Y5" s="3"/>
      <c r="Z5" s="3"/>
    </row>
    <row r="6" spans="1:26" ht="14.5">
      <c r="A6" s="3"/>
      <c r="B6" s="133" t="s">
        <v>286</v>
      </c>
      <c r="C6" s="564">
        <f>Print_AAD!G27</f>
        <v>0</v>
      </c>
      <c r="D6" s="565" t="e">
        <f>Print_AAD!I27/Print_AAD!G27</f>
        <v>#DIV/0!</v>
      </c>
      <c r="E6" s="566" t="e">
        <f t="shared" si="0"/>
        <v>#DIV/0!</v>
      </c>
      <c r="F6" s="3"/>
      <c r="G6" s="133" t="s">
        <v>286</v>
      </c>
      <c r="H6" s="564">
        <f>Print_AAD!G108</f>
        <v>0</v>
      </c>
      <c r="I6" s="565" t="e">
        <f>Print_AAD!I108/Print_AAD!G108</f>
        <v>#DIV/0!</v>
      </c>
      <c r="J6" s="566" t="e">
        <f t="shared" si="1"/>
        <v>#DIV/0!</v>
      </c>
      <c r="K6" s="3"/>
      <c r="L6" s="133" t="s">
        <v>286</v>
      </c>
      <c r="M6" s="565">
        <f>Print_AAD!H194</f>
        <v>0</v>
      </c>
      <c r="N6" s="567" t="e">
        <f t="shared" si="2"/>
        <v>#DIV/0!</v>
      </c>
      <c r="O6" s="565">
        <f>Print_AAD!I194</f>
        <v>0</v>
      </c>
      <c r="P6" s="3"/>
      <c r="Q6" s="133" t="s">
        <v>286</v>
      </c>
      <c r="R6" s="568">
        <f>Print_AAD!G185</f>
        <v>0</v>
      </c>
      <c r="S6" s="565" t="e">
        <f>Print_AAD!H185/Print_AAD!G185</f>
        <v>#DIV/0!</v>
      </c>
      <c r="T6" s="566" t="e">
        <f t="shared" si="3"/>
        <v>#DIV/0!</v>
      </c>
      <c r="U6" s="3"/>
      <c r="V6" s="3"/>
      <c r="W6" s="3"/>
      <c r="X6" s="3"/>
      <c r="Y6" s="3"/>
      <c r="Z6" s="3"/>
    </row>
    <row r="7" spans="1:26" ht="14.5">
      <c r="A7" s="3"/>
      <c r="B7" s="133" t="s">
        <v>655</v>
      </c>
      <c r="C7" s="569">
        <f t="shared" ref="C7:E7" si="4">+C5-C6</f>
        <v>94</v>
      </c>
      <c r="D7" s="570" t="e">
        <f t="shared" si="4"/>
        <v>#DIV/0!</v>
      </c>
      <c r="E7" s="571" t="e">
        <f t="shared" si="4"/>
        <v>#DIV/0!</v>
      </c>
      <c r="F7" s="3"/>
      <c r="G7" s="133" t="s">
        <v>655</v>
      </c>
      <c r="H7" s="569">
        <f t="shared" ref="H7:J7" si="5">+H5-H6</f>
        <v>70</v>
      </c>
      <c r="I7" s="570" t="e">
        <f t="shared" si="5"/>
        <v>#DIV/0!</v>
      </c>
      <c r="J7" s="571" t="e">
        <f t="shared" si="5"/>
        <v>#DIV/0!</v>
      </c>
      <c r="K7" s="3"/>
      <c r="L7" s="133" t="s">
        <v>655</v>
      </c>
      <c r="M7" s="570">
        <f t="shared" ref="M7:O7" si="6">+M5-M6</f>
        <v>511002.96</v>
      </c>
      <c r="N7" s="572" t="e">
        <f t="shared" si="6"/>
        <v>#DIV/0!</v>
      </c>
      <c r="O7" s="571">
        <f t="shared" si="6"/>
        <v>362596.82999999996</v>
      </c>
      <c r="P7" s="3"/>
      <c r="Q7" s="133" t="s">
        <v>655</v>
      </c>
      <c r="R7" s="573">
        <f t="shared" ref="R7:T7" si="7">+R5-R6</f>
        <v>1399</v>
      </c>
      <c r="S7" s="570" t="e">
        <f t="shared" si="7"/>
        <v>#DIV/0!</v>
      </c>
      <c r="T7" s="574" t="e">
        <f t="shared" si="7"/>
        <v>#DIV/0!</v>
      </c>
      <c r="U7" s="3"/>
      <c r="V7" s="3"/>
      <c r="W7" s="3"/>
      <c r="X7" s="3"/>
      <c r="Y7" s="3"/>
      <c r="Z7" s="3"/>
    </row>
    <row r="8" spans="1:26" ht="14.5">
      <c r="A8" s="3"/>
      <c r="B8" s="3"/>
      <c r="C8" s="575" t="e">
        <f t="shared" ref="C8:D8" si="8">+C7/C6</f>
        <v>#DIV/0!</v>
      </c>
      <c r="D8" s="575" t="e">
        <f t="shared" si="8"/>
        <v>#DIV/0!</v>
      </c>
      <c r="E8" s="566"/>
      <c r="F8" s="3"/>
      <c r="G8" s="3"/>
      <c r="H8" s="575" t="e">
        <f t="shared" ref="H8:I8" si="9">+H7/H6</f>
        <v>#DIV/0!</v>
      </c>
      <c r="I8" s="575" t="e">
        <f t="shared" si="9"/>
        <v>#DIV/0!</v>
      </c>
      <c r="J8" s="566"/>
      <c r="K8" s="3"/>
      <c r="L8" s="3"/>
      <c r="M8" s="575" t="e">
        <f t="shared" ref="M8:N8" si="10">+M7/M6</f>
        <v>#DIV/0!</v>
      </c>
      <c r="N8" s="575" t="e">
        <f t="shared" si="10"/>
        <v>#DIV/0!</v>
      </c>
      <c r="O8" s="566"/>
      <c r="P8" s="3"/>
      <c r="Q8" s="3"/>
      <c r="R8" s="575" t="e">
        <f t="shared" ref="R8:S8" si="11">+R7/R6</f>
        <v>#DIV/0!</v>
      </c>
      <c r="S8" s="575" t="e">
        <f t="shared" si="11"/>
        <v>#DIV/0!</v>
      </c>
      <c r="T8" s="566"/>
      <c r="U8" s="3"/>
      <c r="V8" s="3"/>
      <c r="W8" s="3"/>
      <c r="X8" s="3"/>
      <c r="Y8" s="3"/>
      <c r="Z8" s="3"/>
    </row>
    <row r="9" spans="1:26" ht="14.5">
      <c r="A9" s="3"/>
      <c r="B9" s="558" t="s">
        <v>657</v>
      </c>
      <c r="C9" s="3"/>
      <c r="D9" s="566"/>
      <c r="E9" s="566"/>
      <c r="F9" s="3"/>
      <c r="G9" s="558" t="s">
        <v>657</v>
      </c>
      <c r="H9" s="576"/>
      <c r="I9" s="566"/>
      <c r="J9" s="566"/>
      <c r="K9" s="3"/>
      <c r="L9" s="558" t="s">
        <v>657</v>
      </c>
      <c r="M9" s="566"/>
      <c r="N9" s="567"/>
      <c r="O9" s="566"/>
      <c r="P9" s="3"/>
      <c r="Q9" s="558" t="s">
        <v>658</v>
      </c>
      <c r="R9" s="3"/>
      <c r="S9" s="566"/>
      <c r="T9" s="566"/>
      <c r="U9" s="3"/>
      <c r="V9" s="3"/>
      <c r="W9" s="3"/>
      <c r="X9" s="3"/>
      <c r="Y9" s="3"/>
      <c r="Z9" s="3"/>
    </row>
    <row r="10" spans="1:26" ht="14.5">
      <c r="A10" s="3"/>
      <c r="B10" s="133" t="s">
        <v>701</v>
      </c>
      <c r="C10" s="577">
        <f t="shared" ref="C10:D10" si="12">+C5</f>
        <v>94</v>
      </c>
      <c r="D10" s="561">
        <f t="shared" si="12"/>
        <v>3256.9493617021262</v>
      </c>
      <c r="E10" s="566">
        <f>+C10*D10</f>
        <v>306153.23999999987</v>
      </c>
      <c r="F10" s="3"/>
      <c r="G10" s="133" t="s">
        <v>702</v>
      </c>
      <c r="H10" s="577">
        <f t="shared" ref="H10:I10" si="13">+H5</f>
        <v>70</v>
      </c>
      <c r="I10" s="561">
        <f t="shared" si="13"/>
        <v>1992.6242857142854</v>
      </c>
      <c r="J10" s="566">
        <f>+H10*I10</f>
        <v>139483.69999999998</v>
      </c>
      <c r="K10" s="3"/>
      <c r="L10" s="133" t="s">
        <v>703</v>
      </c>
      <c r="M10" s="561">
        <f t="shared" ref="M10:N10" si="14">+M5</f>
        <v>511002.96</v>
      </c>
      <c r="N10" s="562">
        <f t="shared" si="14"/>
        <v>0.70957872729347782</v>
      </c>
      <c r="O10" s="566">
        <f>+M10*N10</f>
        <v>362596.82999999996</v>
      </c>
      <c r="P10" s="3"/>
      <c r="Q10" s="133" t="s">
        <v>704</v>
      </c>
      <c r="R10" s="578">
        <f t="shared" ref="R10:S10" si="15">+R5</f>
        <v>1399</v>
      </c>
      <c r="S10" s="561">
        <f t="shared" si="15"/>
        <v>337.16551822730526</v>
      </c>
      <c r="T10" s="566">
        <f>+R10*S10</f>
        <v>471694.56000000006</v>
      </c>
      <c r="U10" s="3"/>
      <c r="V10" s="3"/>
      <c r="W10" s="3"/>
      <c r="X10" s="3"/>
      <c r="Y10" s="3"/>
      <c r="Z10" s="3"/>
    </row>
    <row r="11" spans="1:26" ht="14.5">
      <c r="A11" s="3"/>
      <c r="B11" s="133" t="s">
        <v>663</v>
      </c>
      <c r="C11" s="577">
        <f>+C5</f>
        <v>94</v>
      </c>
      <c r="D11" s="566" t="e">
        <f>+D6</f>
        <v>#DIV/0!</v>
      </c>
      <c r="E11" s="566" t="e">
        <f>C11*D11</f>
        <v>#DIV/0!</v>
      </c>
      <c r="F11" s="3"/>
      <c r="G11" s="133" t="s">
        <v>663</v>
      </c>
      <c r="H11" s="577">
        <f>+H5</f>
        <v>70</v>
      </c>
      <c r="I11" s="566" t="e">
        <f>+I6</f>
        <v>#DIV/0!</v>
      </c>
      <c r="J11" s="566" t="e">
        <f>H11*I11</f>
        <v>#DIV/0!</v>
      </c>
      <c r="K11" s="3"/>
      <c r="L11" s="133" t="s">
        <v>663</v>
      </c>
      <c r="M11" s="561">
        <f>+M5</f>
        <v>511002.96</v>
      </c>
      <c r="N11" s="567" t="e">
        <f>+N6</f>
        <v>#DIV/0!</v>
      </c>
      <c r="O11" s="566" t="e">
        <f>M11*N11</f>
        <v>#DIV/0!</v>
      </c>
      <c r="P11" s="3"/>
      <c r="Q11" s="133" t="s">
        <v>664</v>
      </c>
      <c r="R11" s="578">
        <f>+R5</f>
        <v>1399</v>
      </c>
      <c r="S11" s="566" t="e">
        <f>+S6</f>
        <v>#DIV/0!</v>
      </c>
      <c r="T11" s="566" t="e">
        <f>R11*S11</f>
        <v>#DIV/0!</v>
      </c>
      <c r="U11" s="3"/>
      <c r="V11" s="3"/>
      <c r="W11" s="3"/>
      <c r="X11" s="3"/>
      <c r="Y11" s="3"/>
      <c r="Z11" s="3"/>
    </row>
    <row r="12" spans="1:26" ht="14.5">
      <c r="A12" s="3"/>
      <c r="B12" s="133" t="s">
        <v>657</v>
      </c>
      <c r="C12" s="569">
        <f t="shared" ref="C12:E12" si="16">+C10-C11</f>
        <v>0</v>
      </c>
      <c r="D12" s="570" t="e">
        <f t="shared" si="16"/>
        <v>#DIV/0!</v>
      </c>
      <c r="E12" s="571" t="e">
        <f t="shared" si="16"/>
        <v>#DIV/0!</v>
      </c>
      <c r="F12" s="3"/>
      <c r="G12" s="133" t="s">
        <v>657</v>
      </c>
      <c r="H12" s="569">
        <f t="shared" ref="H12:J12" si="17">+H10-H11</f>
        <v>0</v>
      </c>
      <c r="I12" s="570" t="e">
        <f t="shared" si="17"/>
        <v>#DIV/0!</v>
      </c>
      <c r="J12" s="571" t="e">
        <f t="shared" si="17"/>
        <v>#DIV/0!</v>
      </c>
      <c r="K12" s="3"/>
      <c r="L12" s="133" t="s">
        <v>657</v>
      </c>
      <c r="M12" s="570">
        <f t="shared" ref="M12:O12" si="18">+M10-M11</f>
        <v>0</v>
      </c>
      <c r="N12" s="572" t="e">
        <f t="shared" si="18"/>
        <v>#DIV/0!</v>
      </c>
      <c r="O12" s="571" t="e">
        <f t="shared" si="18"/>
        <v>#DIV/0!</v>
      </c>
      <c r="P12" s="3"/>
      <c r="Q12" s="133" t="s">
        <v>658</v>
      </c>
      <c r="R12" s="573">
        <f t="shared" ref="R12:T12" si="19">+R10-R11</f>
        <v>0</v>
      </c>
      <c r="S12" s="570" t="e">
        <f t="shared" si="19"/>
        <v>#DIV/0!</v>
      </c>
      <c r="T12" s="574" t="e">
        <f t="shared" si="19"/>
        <v>#DIV/0!</v>
      </c>
      <c r="U12" s="3"/>
      <c r="V12" s="3"/>
      <c r="W12" s="3"/>
      <c r="X12" s="3"/>
      <c r="Y12" s="3"/>
      <c r="Z12" s="3"/>
    </row>
    <row r="13" spans="1:26" ht="14.5">
      <c r="A13" s="3"/>
      <c r="B13" s="133"/>
      <c r="C13" s="576"/>
      <c r="D13" s="566"/>
      <c r="E13" s="566"/>
      <c r="F13" s="3"/>
      <c r="G13" s="133"/>
      <c r="H13" s="576"/>
      <c r="I13" s="566"/>
      <c r="J13" s="566"/>
      <c r="K13" s="3"/>
      <c r="L13" s="133"/>
      <c r="M13" s="566"/>
      <c r="N13" s="567"/>
      <c r="O13" s="566"/>
      <c r="P13" s="3"/>
      <c r="Q13" s="133"/>
      <c r="R13" s="3"/>
      <c r="S13" s="566"/>
      <c r="T13" s="566"/>
      <c r="U13" s="3"/>
      <c r="V13" s="3"/>
      <c r="W13" s="3"/>
      <c r="X13" s="3"/>
      <c r="Y13" s="3"/>
      <c r="Z13" s="3"/>
    </row>
    <row r="14" spans="1:26" ht="14.5">
      <c r="A14" s="3"/>
      <c r="B14" s="558" t="s">
        <v>665</v>
      </c>
      <c r="C14" s="576"/>
      <c r="D14" s="566"/>
      <c r="E14" s="566"/>
      <c r="F14" s="3"/>
      <c r="G14" s="558" t="s">
        <v>665</v>
      </c>
      <c r="H14" s="576"/>
      <c r="I14" s="566"/>
      <c r="J14" s="566"/>
      <c r="K14" s="3"/>
      <c r="L14" s="558" t="s">
        <v>665</v>
      </c>
      <c r="M14" s="566"/>
      <c r="N14" s="567"/>
      <c r="O14" s="566"/>
      <c r="P14" s="3"/>
      <c r="Q14" s="558" t="s">
        <v>665</v>
      </c>
      <c r="R14" s="3"/>
      <c r="S14" s="566"/>
      <c r="T14" s="566"/>
      <c r="U14" s="3"/>
      <c r="V14" s="3"/>
      <c r="W14" s="3"/>
      <c r="X14" s="3"/>
      <c r="Y14" s="3"/>
      <c r="Z14" s="3"/>
    </row>
    <row r="15" spans="1:26" ht="14.5">
      <c r="A15" s="3"/>
      <c r="B15" s="133" t="s">
        <v>705</v>
      </c>
      <c r="C15" s="577">
        <f t="shared" ref="C15:C16" si="20">+C5</f>
        <v>94</v>
      </c>
      <c r="D15" s="566" t="e">
        <f>+D6</f>
        <v>#DIV/0!</v>
      </c>
      <c r="E15" s="566" t="e">
        <f>+C15*D15</f>
        <v>#DIV/0!</v>
      </c>
      <c r="F15" s="3"/>
      <c r="G15" s="133" t="s">
        <v>706</v>
      </c>
      <c r="H15" s="577">
        <f t="shared" ref="H15:H16" si="21">+H5</f>
        <v>70</v>
      </c>
      <c r="I15" s="566" t="e">
        <f>+I6</f>
        <v>#DIV/0!</v>
      </c>
      <c r="J15" s="566" t="e">
        <f>+H15*I15</f>
        <v>#DIV/0!</v>
      </c>
      <c r="K15" s="3"/>
      <c r="L15" s="133" t="s">
        <v>707</v>
      </c>
      <c r="M15" s="561">
        <f t="shared" ref="M15:M16" si="22">+M5</f>
        <v>511002.96</v>
      </c>
      <c r="N15" s="567" t="e">
        <f>+N6</f>
        <v>#DIV/0!</v>
      </c>
      <c r="O15" s="566" t="e">
        <f>+M15*N15</f>
        <v>#DIV/0!</v>
      </c>
      <c r="P15" s="3"/>
      <c r="Q15" s="133" t="s">
        <v>708</v>
      </c>
      <c r="R15" s="578">
        <f t="shared" ref="R15:R16" si="23">+R5</f>
        <v>1399</v>
      </c>
      <c r="S15" s="566" t="e">
        <f>+S6</f>
        <v>#DIV/0!</v>
      </c>
      <c r="T15" s="566" t="e">
        <f>+R15*S15</f>
        <v>#DIV/0!</v>
      </c>
      <c r="U15" s="3"/>
      <c r="V15" s="3"/>
      <c r="W15" s="3"/>
      <c r="X15" s="3"/>
      <c r="Y15" s="3"/>
      <c r="Z15" s="3"/>
    </row>
    <row r="16" spans="1:26" ht="14.5">
      <c r="A16" s="3"/>
      <c r="B16" s="133" t="s">
        <v>670</v>
      </c>
      <c r="C16" s="579">
        <f t="shared" si="20"/>
        <v>0</v>
      </c>
      <c r="D16" s="566" t="e">
        <f>+D6</f>
        <v>#DIV/0!</v>
      </c>
      <c r="E16" s="566" t="e">
        <f>C16*D16</f>
        <v>#DIV/0!</v>
      </c>
      <c r="F16" s="3"/>
      <c r="G16" s="133" t="s">
        <v>670</v>
      </c>
      <c r="H16" s="579">
        <f t="shared" si="21"/>
        <v>0</v>
      </c>
      <c r="I16" s="566" t="e">
        <f>+I6</f>
        <v>#DIV/0!</v>
      </c>
      <c r="J16" s="566" t="e">
        <f>H16*I16</f>
        <v>#DIV/0!</v>
      </c>
      <c r="K16" s="3"/>
      <c r="L16" s="133" t="s">
        <v>670</v>
      </c>
      <c r="M16" s="566">
        <f t="shared" si="22"/>
        <v>0</v>
      </c>
      <c r="N16" s="567" t="e">
        <f>+N6</f>
        <v>#DIV/0!</v>
      </c>
      <c r="O16" s="566" t="e">
        <f>M16*N16</f>
        <v>#DIV/0!</v>
      </c>
      <c r="P16" s="3"/>
      <c r="Q16" s="133" t="s">
        <v>670</v>
      </c>
      <c r="R16" s="580">
        <f t="shared" si="23"/>
        <v>0</v>
      </c>
      <c r="S16" s="566" t="e">
        <f>+S6</f>
        <v>#DIV/0!</v>
      </c>
      <c r="T16" s="566" t="e">
        <f>R16*S16</f>
        <v>#DIV/0!</v>
      </c>
      <c r="U16" s="3"/>
      <c r="V16" s="3"/>
      <c r="W16" s="3"/>
      <c r="X16" s="3"/>
      <c r="Y16" s="3"/>
      <c r="Z16" s="3"/>
    </row>
    <row r="17" spans="1:26" ht="14.5">
      <c r="A17" s="3"/>
      <c r="B17" s="133" t="s">
        <v>665</v>
      </c>
      <c r="C17" s="569">
        <f t="shared" ref="C17:E17" si="24">+C15-C16</f>
        <v>94</v>
      </c>
      <c r="D17" s="570" t="e">
        <f t="shared" si="24"/>
        <v>#DIV/0!</v>
      </c>
      <c r="E17" s="571" t="e">
        <f t="shared" si="24"/>
        <v>#DIV/0!</v>
      </c>
      <c r="F17" s="3"/>
      <c r="G17" s="133" t="s">
        <v>665</v>
      </c>
      <c r="H17" s="569">
        <f t="shared" ref="H17:J17" si="25">+H15-H16</f>
        <v>70</v>
      </c>
      <c r="I17" s="570" t="e">
        <f t="shared" si="25"/>
        <v>#DIV/0!</v>
      </c>
      <c r="J17" s="571" t="e">
        <f t="shared" si="25"/>
        <v>#DIV/0!</v>
      </c>
      <c r="K17" s="3"/>
      <c r="L17" s="133" t="s">
        <v>665</v>
      </c>
      <c r="M17" s="570">
        <f t="shared" ref="M17:O17" si="26">+M15-M16</f>
        <v>511002.96</v>
      </c>
      <c r="N17" s="572" t="e">
        <f t="shared" si="26"/>
        <v>#DIV/0!</v>
      </c>
      <c r="O17" s="571" t="e">
        <f t="shared" si="26"/>
        <v>#DIV/0!</v>
      </c>
      <c r="P17" s="3"/>
      <c r="Q17" s="133" t="s">
        <v>665</v>
      </c>
      <c r="R17" s="573">
        <f t="shared" ref="R17:T17" si="27">+R15-R16</f>
        <v>1399</v>
      </c>
      <c r="S17" s="570" t="e">
        <f t="shared" si="27"/>
        <v>#DIV/0!</v>
      </c>
      <c r="T17" s="574" t="e">
        <f t="shared" si="27"/>
        <v>#DIV/0!</v>
      </c>
      <c r="U17" s="3"/>
      <c r="V17" s="3"/>
      <c r="W17" s="3"/>
      <c r="X17" s="3"/>
      <c r="Y17" s="3"/>
      <c r="Z17" s="3"/>
    </row>
    <row r="18" spans="1:26" ht="14.5">
      <c r="A18" s="3"/>
      <c r="B18" s="3"/>
      <c r="C18" s="576"/>
      <c r="D18" s="566"/>
      <c r="E18" s="581" t="e">
        <f>+E7-E12-E17</f>
        <v>#DIV/0!</v>
      </c>
      <c r="F18" s="3"/>
      <c r="G18" s="3"/>
      <c r="H18" s="576"/>
      <c r="I18" s="566"/>
      <c r="J18" s="581" t="e">
        <f>+J7-J12-J17</f>
        <v>#DIV/0!</v>
      </c>
      <c r="K18" s="3"/>
      <c r="L18" s="3"/>
      <c r="M18" s="566"/>
      <c r="N18" s="567"/>
      <c r="O18" s="581" t="e">
        <f>+O7-O12-O17</f>
        <v>#DIV/0!</v>
      </c>
      <c r="P18" s="3"/>
      <c r="Q18" s="3"/>
      <c r="R18" s="3"/>
      <c r="S18" s="566"/>
      <c r="T18" s="581" t="e">
        <f>+T7-T12-T17</f>
        <v>#DIV/0!</v>
      </c>
      <c r="U18" s="3"/>
      <c r="V18" s="3"/>
      <c r="W18" s="3"/>
      <c r="X18" s="3"/>
      <c r="Y18" s="3"/>
      <c r="Z18" s="3"/>
    </row>
    <row r="19" spans="1:26" ht="14.5">
      <c r="A19" s="3"/>
      <c r="B19" s="582" t="s">
        <v>671</v>
      </c>
      <c r="C19" s="576"/>
      <c r="D19" s="566"/>
      <c r="E19" s="566"/>
      <c r="F19" s="3"/>
      <c r="G19" s="582" t="s">
        <v>671</v>
      </c>
      <c r="H19" s="576"/>
      <c r="I19" s="566"/>
      <c r="J19" s="566"/>
      <c r="K19" s="3"/>
      <c r="L19" s="582" t="s">
        <v>671</v>
      </c>
      <c r="M19" s="566"/>
      <c r="N19" s="567"/>
      <c r="O19" s="566"/>
      <c r="P19" s="3"/>
      <c r="Q19" s="582" t="s">
        <v>671</v>
      </c>
      <c r="R19" s="3"/>
      <c r="S19" s="566"/>
      <c r="T19" s="566"/>
      <c r="U19" s="3"/>
      <c r="V19" s="3"/>
      <c r="W19" s="3"/>
      <c r="X19" s="3"/>
      <c r="Y19" s="3"/>
      <c r="Z19" s="3"/>
    </row>
    <row r="20" spans="1:26" ht="14.5">
      <c r="A20" s="3"/>
      <c r="B20" s="133" t="s">
        <v>672</v>
      </c>
      <c r="C20" s="579">
        <f t="shared" ref="C20:D20" si="28">MAX(C5:C6)</f>
        <v>94</v>
      </c>
      <c r="D20" s="566" t="e">
        <f t="shared" si="28"/>
        <v>#DIV/0!</v>
      </c>
      <c r="E20" s="566" t="e">
        <f>+C20*D20</f>
        <v>#DIV/0!</v>
      </c>
      <c r="F20" s="3"/>
      <c r="G20" s="133" t="s">
        <v>672</v>
      </c>
      <c r="H20" s="579">
        <f t="shared" ref="H20:I20" si="29">MAX(H5:H6)</f>
        <v>70</v>
      </c>
      <c r="I20" s="566" t="e">
        <f t="shared" si="29"/>
        <v>#DIV/0!</v>
      </c>
      <c r="J20" s="566" t="e">
        <f>+H20*I20</f>
        <v>#DIV/0!</v>
      </c>
      <c r="K20" s="3"/>
      <c r="L20" s="133" t="s">
        <v>672</v>
      </c>
      <c r="M20" s="566">
        <f t="shared" ref="M20:N20" si="30">MAX(M5:M6)</f>
        <v>511002.96</v>
      </c>
      <c r="N20" s="567" t="e">
        <f t="shared" si="30"/>
        <v>#DIV/0!</v>
      </c>
      <c r="O20" s="566" t="e">
        <f>+M20*N20</f>
        <v>#DIV/0!</v>
      </c>
      <c r="P20" s="3"/>
      <c r="Q20" s="133" t="s">
        <v>672</v>
      </c>
      <c r="R20" s="580">
        <f t="shared" ref="R20:S20" si="31">MAX(R5:R6)</f>
        <v>1399</v>
      </c>
      <c r="S20" s="566" t="e">
        <f t="shared" si="31"/>
        <v>#DIV/0!</v>
      </c>
      <c r="T20" s="566" t="e">
        <f>+R20*S20</f>
        <v>#DIV/0!</v>
      </c>
      <c r="U20" s="3"/>
      <c r="V20" s="3"/>
      <c r="W20" s="3"/>
      <c r="X20" s="3"/>
      <c r="Y20" s="3"/>
      <c r="Z20" s="3"/>
    </row>
    <row r="21" spans="1:26" ht="15.75" customHeight="1">
      <c r="A21" s="3"/>
      <c r="B21" s="133" t="s">
        <v>274</v>
      </c>
      <c r="C21" s="579"/>
      <c r="D21" s="566"/>
      <c r="E21" s="583" t="e">
        <f>AVERAGE(E20,E22)</f>
        <v>#DIV/0!</v>
      </c>
      <c r="F21" s="3"/>
      <c r="G21" s="133" t="s">
        <v>274</v>
      </c>
      <c r="H21" s="579"/>
      <c r="I21" s="566"/>
      <c r="J21" s="583" t="e">
        <f>AVERAGE(J20,J22)</f>
        <v>#DIV/0!</v>
      </c>
      <c r="K21" s="3"/>
      <c r="L21" s="133" t="s">
        <v>274</v>
      </c>
      <c r="M21" s="566"/>
      <c r="N21" s="567"/>
      <c r="O21" s="583" t="e">
        <f>AVERAGE(O20,O22)</f>
        <v>#DIV/0!</v>
      </c>
      <c r="P21" s="3"/>
      <c r="Q21" s="133" t="s">
        <v>274</v>
      </c>
      <c r="R21" s="580"/>
      <c r="S21" s="566"/>
      <c r="T21" s="583" t="e">
        <f>AVERAGE(T20,T22)</f>
        <v>#DIV/0!</v>
      </c>
      <c r="U21" s="3"/>
      <c r="V21" s="3"/>
      <c r="W21" s="3"/>
      <c r="X21" s="3"/>
      <c r="Y21" s="3"/>
      <c r="Z21" s="3"/>
    </row>
    <row r="22" spans="1:26" ht="15.75" customHeight="1">
      <c r="A22" s="3"/>
      <c r="B22" s="133" t="s">
        <v>673</v>
      </c>
      <c r="C22" s="579">
        <f t="shared" ref="C22:D22" si="32">MIN(C5:C6)</f>
        <v>0</v>
      </c>
      <c r="D22" s="566" t="e">
        <f t="shared" si="32"/>
        <v>#DIV/0!</v>
      </c>
      <c r="E22" s="566" t="e">
        <f>+C22*D22</f>
        <v>#DIV/0!</v>
      </c>
      <c r="F22" s="3"/>
      <c r="G22" s="133" t="s">
        <v>673</v>
      </c>
      <c r="H22" s="579">
        <f t="shared" ref="H22:I22" si="33">MIN(H5:H6)</f>
        <v>0</v>
      </c>
      <c r="I22" s="566" t="e">
        <f t="shared" si="33"/>
        <v>#DIV/0!</v>
      </c>
      <c r="J22" s="566" t="e">
        <f>+H22*I22</f>
        <v>#DIV/0!</v>
      </c>
      <c r="K22" s="3"/>
      <c r="L22" s="133" t="s">
        <v>673</v>
      </c>
      <c r="M22" s="566">
        <f t="shared" ref="M22:N22" si="34">MIN(M5:M6)</f>
        <v>0</v>
      </c>
      <c r="N22" s="567" t="e">
        <f t="shared" si="34"/>
        <v>#DIV/0!</v>
      </c>
      <c r="O22" s="566" t="e">
        <f>+M22*N22</f>
        <v>#DIV/0!</v>
      </c>
      <c r="P22" s="3"/>
      <c r="Q22" s="133" t="s">
        <v>673</v>
      </c>
      <c r="R22" s="580">
        <f t="shared" ref="R22:S22" si="35">MIN(R5:R6)</f>
        <v>0</v>
      </c>
      <c r="S22" s="566" t="e">
        <f t="shared" si="35"/>
        <v>#DIV/0!</v>
      </c>
      <c r="T22" s="566" t="e">
        <f>+R22*S22</f>
        <v>#DIV/0!</v>
      </c>
      <c r="U22" s="3"/>
      <c r="V22" s="3"/>
      <c r="W22" s="3"/>
      <c r="X22" s="3"/>
      <c r="Y22" s="3"/>
      <c r="Z22" s="3"/>
    </row>
    <row r="23" spans="1:26" ht="15.75" customHeight="1">
      <c r="A23" s="3"/>
      <c r="B23" s="133" t="s">
        <v>674</v>
      </c>
      <c r="C23" s="569">
        <f t="shared" ref="C23:E23" si="36">+C20-C22</f>
        <v>94</v>
      </c>
      <c r="D23" s="570" t="e">
        <f t="shared" si="36"/>
        <v>#DIV/0!</v>
      </c>
      <c r="E23" s="570" t="e">
        <f t="shared" si="36"/>
        <v>#DIV/0!</v>
      </c>
      <c r="F23" s="3"/>
      <c r="G23" s="133" t="s">
        <v>674</v>
      </c>
      <c r="H23" s="569">
        <f t="shared" ref="H23:J23" si="37">+H20-H22</f>
        <v>70</v>
      </c>
      <c r="I23" s="570" t="e">
        <f t="shared" si="37"/>
        <v>#DIV/0!</v>
      </c>
      <c r="J23" s="570" t="e">
        <f t="shared" si="37"/>
        <v>#DIV/0!</v>
      </c>
      <c r="K23" s="3"/>
      <c r="L23" s="133" t="s">
        <v>674</v>
      </c>
      <c r="M23" s="570">
        <f t="shared" ref="M23:O23" si="38">+M20-M22</f>
        <v>511002.96</v>
      </c>
      <c r="N23" s="572" t="e">
        <f t="shared" si="38"/>
        <v>#DIV/0!</v>
      </c>
      <c r="O23" s="570" t="e">
        <f t="shared" si="38"/>
        <v>#DIV/0!</v>
      </c>
      <c r="P23" s="3"/>
      <c r="Q23" s="133" t="s">
        <v>674</v>
      </c>
      <c r="R23" s="573">
        <f t="shared" ref="R23:T23" si="39">+R20-R22</f>
        <v>1399</v>
      </c>
      <c r="S23" s="570" t="e">
        <f t="shared" si="39"/>
        <v>#DIV/0!</v>
      </c>
      <c r="T23" s="570"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3" t="s">
        <v>675</v>
      </c>
      <c r="D25" s="3"/>
      <c r="E25" s="584" t="e">
        <f>+E5/E20</f>
        <v>#DIV/0!</v>
      </c>
      <c r="F25" s="3"/>
      <c r="G25" s="3"/>
      <c r="H25" s="133" t="s">
        <v>675</v>
      </c>
      <c r="I25" s="3"/>
      <c r="J25" s="584" t="e">
        <f>+J5/J20</f>
        <v>#DIV/0!</v>
      </c>
      <c r="K25" s="3"/>
      <c r="L25" s="3"/>
      <c r="M25" s="133" t="s">
        <v>675</v>
      </c>
      <c r="N25" s="3"/>
      <c r="O25" s="584" t="e">
        <f>+O5/O20</f>
        <v>#DIV/0!</v>
      </c>
      <c r="P25" s="3"/>
      <c r="Q25" s="584"/>
      <c r="R25" s="133" t="s">
        <v>675</v>
      </c>
      <c r="S25" s="3"/>
      <c r="T25" s="584" t="e">
        <f>+T5/T20</f>
        <v>#DIV/0!</v>
      </c>
      <c r="U25" s="3"/>
      <c r="V25" s="3"/>
      <c r="W25" s="3"/>
      <c r="X25" s="3"/>
      <c r="Y25" s="3"/>
      <c r="Z25" s="3"/>
    </row>
    <row r="26" spans="1:26" ht="15.75" customHeight="1">
      <c r="A26" s="3"/>
      <c r="B26" s="3"/>
      <c r="C26" s="133" t="s">
        <v>676</v>
      </c>
      <c r="D26" s="3"/>
      <c r="E26" s="567" t="e">
        <f>+E5/E21</f>
        <v>#DIV/0!</v>
      </c>
      <c r="F26" s="3"/>
      <c r="G26" s="3"/>
      <c r="H26" s="133" t="s">
        <v>676</v>
      </c>
      <c r="I26" s="3"/>
      <c r="J26" s="567" t="e">
        <f>+J5/J21</f>
        <v>#DIV/0!</v>
      </c>
      <c r="K26" s="3"/>
      <c r="L26" s="3"/>
      <c r="M26" s="133" t="s">
        <v>676</v>
      </c>
      <c r="N26" s="3"/>
      <c r="O26" s="567" t="e">
        <f>+O5/O21</f>
        <v>#DIV/0!</v>
      </c>
      <c r="P26" s="3"/>
      <c r="Q26" s="567"/>
      <c r="R26" s="133" t="s">
        <v>676</v>
      </c>
      <c r="S26" s="3"/>
      <c r="T26" s="567" t="e">
        <f>+T5/T21</f>
        <v>#DIV/0!</v>
      </c>
      <c r="U26" s="3"/>
      <c r="V26" s="3"/>
      <c r="W26" s="3"/>
      <c r="X26" s="3"/>
      <c r="Y26" s="3"/>
      <c r="Z26" s="3"/>
    </row>
    <row r="27" spans="1:26" ht="15.75" customHeight="1">
      <c r="A27" s="3"/>
      <c r="B27" s="3"/>
      <c r="C27" s="133" t="s">
        <v>677</v>
      </c>
      <c r="D27" s="3"/>
      <c r="E27" s="584" t="e">
        <f>+E5/E22</f>
        <v>#DIV/0!</v>
      </c>
      <c r="F27" s="3"/>
      <c r="G27" s="3"/>
      <c r="H27" s="133" t="s">
        <v>677</v>
      </c>
      <c r="I27" s="3"/>
      <c r="J27" s="584" t="e">
        <f>+J5/J22</f>
        <v>#DIV/0!</v>
      </c>
      <c r="K27" s="3"/>
      <c r="L27" s="3"/>
      <c r="M27" s="133" t="s">
        <v>677</v>
      </c>
      <c r="N27" s="3"/>
      <c r="O27" s="584" t="e">
        <f>+O5/O22</f>
        <v>#DIV/0!</v>
      </c>
      <c r="P27" s="3"/>
      <c r="Q27" s="584"/>
      <c r="R27" s="133" t="s">
        <v>677</v>
      </c>
      <c r="S27" s="3"/>
      <c r="T27" s="584" t="e">
        <f>+T5/T22</f>
        <v>#DIV/0!</v>
      </c>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3" t="s">
        <v>678</v>
      </c>
      <c r="D29" s="3"/>
      <c r="E29" s="584" t="e">
        <f>+E27-E25</f>
        <v>#DIV/0!</v>
      </c>
      <c r="F29" s="33"/>
      <c r="G29" s="33"/>
      <c r="H29" s="133" t="s">
        <v>678</v>
      </c>
      <c r="I29" s="3"/>
      <c r="J29" s="584" t="e">
        <f>+J27-J25</f>
        <v>#DIV/0!</v>
      </c>
      <c r="K29" s="3"/>
      <c r="L29" s="3"/>
      <c r="M29" s="133" t="s">
        <v>678</v>
      </c>
      <c r="N29" s="3"/>
      <c r="O29" s="584" t="e">
        <f>+O27-O25</f>
        <v>#DIV/0!</v>
      </c>
      <c r="P29" s="3"/>
      <c r="Q29" s="33"/>
      <c r="R29" s="133" t="s">
        <v>678</v>
      </c>
      <c r="S29" s="3"/>
      <c r="T29" s="584"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585" t="s">
        <v>679</v>
      </c>
      <c r="C31" s="586"/>
      <c r="D31" s="587"/>
      <c r="E31" s="3"/>
      <c r="F31" s="3"/>
      <c r="G31" s="585" t="s">
        <v>679</v>
      </c>
      <c r="H31" s="586"/>
      <c r="I31" s="587"/>
      <c r="J31" s="3"/>
      <c r="K31" s="3"/>
      <c r="L31" s="3"/>
      <c r="M31" s="3"/>
      <c r="N31" s="3"/>
      <c r="O31" s="3"/>
      <c r="P31" s="3"/>
      <c r="Q31" s="3"/>
      <c r="R31" s="3"/>
      <c r="S31" s="3"/>
      <c r="T31" s="3"/>
      <c r="U31" s="3"/>
      <c r="V31" s="3"/>
      <c r="W31" s="3"/>
      <c r="X31" s="3"/>
      <c r="Y31" s="3"/>
      <c r="Z31" s="3"/>
    </row>
    <row r="32" spans="1:26" ht="15.75" customHeight="1">
      <c r="A32" s="3"/>
      <c r="B32" s="133" t="s">
        <v>680</v>
      </c>
      <c r="C32" s="588">
        <f>+C17</f>
        <v>94</v>
      </c>
      <c r="D32" s="566">
        <f t="shared" ref="D32:D33" si="40">+E32/C32</f>
        <v>-331.17757892248005</v>
      </c>
      <c r="E32" s="566">
        <f>+Print_AAD!N78</f>
        <v>-31130.692418713123</v>
      </c>
      <c r="F32" s="3"/>
      <c r="G32" s="3"/>
      <c r="H32" s="576"/>
      <c r="I32" s="566"/>
      <c r="J32" s="566"/>
      <c r="K32" s="3"/>
      <c r="L32" s="3"/>
      <c r="M32" s="3"/>
      <c r="N32" s="3"/>
      <c r="O32" s="3"/>
      <c r="P32" s="3"/>
      <c r="Q32" s="3"/>
      <c r="R32" s="3"/>
      <c r="S32" s="3"/>
      <c r="T32" s="3"/>
      <c r="U32" s="3"/>
      <c r="V32" s="3"/>
      <c r="W32" s="3"/>
      <c r="X32" s="3"/>
      <c r="Y32" s="3"/>
      <c r="Z32" s="3"/>
    </row>
    <row r="33" spans="1:26" ht="15.75" customHeight="1">
      <c r="A33" s="3"/>
      <c r="B33" s="133" t="s">
        <v>681</v>
      </c>
      <c r="C33" s="588">
        <f>+C17</f>
        <v>94</v>
      </c>
      <c r="D33" s="566">
        <f t="shared" si="40"/>
        <v>-149.29521276595736</v>
      </c>
      <c r="E33" s="566">
        <f>+Print_AAD!N82</f>
        <v>-14033.749999999993</v>
      </c>
      <c r="F33" s="3"/>
      <c r="G33" s="133" t="s">
        <v>681</v>
      </c>
      <c r="H33" s="588">
        <f>+H17</f>
        <v>70</v>
      </c>
      <c r="I33" s="566">
        <f>+J33/H33</f>
        <v>27.98142857142858</v>
      </c>
      <c r="J33" s="566">
        <f>+Print_AAD!N159</f>
        <v>1958.7000000000007</v>
      </c>
      <c r="K33" s="3"/>
      <c r="L33" s="3"/>
      <c r="M33" s="3"/>
      <c r="N33" s="3"/>
      <c r="O33" s="3"/>
      <c r="P33" s="3"/>
      <c r="Q33" s="3"/>
      <c r="R33" s="3"/>
      <c r="S33" s="3"/>
      <c r="T33" s="3"/>
      <c r="U33" s="3"/>
      <c r="V33" s="3"/>
      <c r="W33" s="3"/>
      <c r="X33" s="3"/>
      <c r="Y33" s="3"/>
      <c r="Z33" s="3"/>
    </row>
    <row r="34" spans="1:26" ht="15.75" customHeight="1">
      <c r="A34" s="3"/>
      <c r="B34" s="3"/>
      <c r="C34" s="3"/>
      <c r="D34" s="3"/>
      <c r="E34" s="570">
        <f>SUM(E32:E33)</f>
        <v>-45164.442418713115</v>
      </c>
      <c r="F34" s="3"/>
      <c r="G34" s="3"/>
      <c r="H34" s="3"/>
      <c r="I34" s="3"/>
      <c r="J34" s="570">
        <f>SUM(J32:J33)</f>
        <v>1958.7000000000007</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47244094488188981" bottom="0.47244094488188981" header="0" footer="0"/>
  <pageSetup scale="58" fitToHeight="0" orientation="landscape" r:id="rId1"/>
  <headerFooter>
    <oddFooter>&amp;L&amp;F // &amp;A</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1000"/>
  <sheetViews>
    <sheetView workbookViewId="0"/>
  </sheetViews>
  <sheetFormatPr baseColWidth="10" defaultColWidth="12.58203125" defaultRowHeight="15" customHeight="1"/>
  <cols>
    <col min="1" max="1" width="19.9140625" customWidth="1"/>
    <col min="2" max="4" width="11" customWidth="1"/>
    <col min="5" max="5" width="2" customWidth="1"/>
    <col min="6" max="8" width="11" customWidth="1"/>
    <col min="9" max="9" width="2" customWidth="1"/>
    <col min="10" max="10" width="9.58203125" customWidth="1"/>
    <col min="11" max="11" width="2" customWidth="1"/>
    <col min="12" max="12" width="9.58203125" customWidth="1"/>
    <col min="13" max="13" width="2" customWidth="1"/>
    <col min="14" max="14" width="9.58203125" customWidth="1"/>
    <col min="15" max="26" width="11" customWidth="1"/>
  </cols>
  <sheetData>
    <row r="1" spans="1:26" ht="14.5">
      <c r="A1" s="3"/>
      <c r="B1" s="3"/>
      <c r="C1" s="3"/>
      <c r="D1" s="3"/>
      <c r="E1" s="3"/>
      <c r="F1" s="3"/>
      <c r="G1" s="3"/>
      <c r="H1" s="3"/>
      <c r="I1" s="3"/>
      <c r="J1" s="3"/>
      <c r="K1" s="3"/>
      <c r="L1" s="3"/>
      <c r="M1" s="3"/>
      <c r="N1" s="3"/>
      <c r="O1" s="3"/>
      <c r="P1" s="3"/>
      <c r="Q1" s="3"/>
      <c r="R1" s="3"/>
      <c r="S1" s="3"/>
      <c r="T1" s="3"/>
      <c r="U1" s="3"/>
      <c r="V1" s="3"/>
      <c r="W1" s="3"/>
      <c r="X1" s="3"/>
      <c r="Y1" s="3"/>
      <c r="Z1" s="3"/>
    </row>
    <row r="2" spans="1:26" ht="14.5">
      <c r="A2" s="556" t="s">
        <v>180</v>
      </c>
      <c r="B2" s="1263" t="s">
        <v>682</v>
      </c>
      <c r="C2" s="1264"/>
      <c r="D2" s="1265"/>
      <c r="E2" s="3"/>
      <c r="F2" s="1263" t="s">
        <v>683</v>
      </c>
      <c r="G2" s="1264"/>
      <c r="H2" s="1265"/>
      <c r="I2" s="3"/>
      <c r="J2" s="589" t="s">
        <v>655</v>
      </c>
      <c r="K2" s="3"/>
      <c r="L2" s="589" t="s">
        <v>684</v>
      </c>
      <c r="M2" s="3"/>
      <c r="N2" s="589" t="s">
        <v>685</v>
      </c>
      <c r="O2" s="3"/>
      <c r="P2" s="3"/>
      <c r="Q2" s="3"/>
      <c r="R2" s="3"/>
      <c r="S2" s="3"/>
      <c r="T2" s="3"/>
      <c r="U2" s="3"/>
      <c r="V2" s="3"/>
      <c r="W2" s="3"/>
      <c r="X2" s="3"/>
      <c r="Y2" s="3"/>
      <c r="Z2" s="3"/>
    </row>
    <row r="3" spans="1:26" ht="14.5">
      <c r="A3" s="3"/>
      <c r="B3" s="557" t="s">
        <v>163</v>
      </c>
      <c r="C3" s="557" t="s">
        <v>181</v>
      </c>
      <c r="D3" s="557" t="s">
        <v>95</v>
      </c>
      <c r="E3" s="3"/>
      <c r="F3" s="557" t="s">
        <v>163</v>
      </c>
      <c r="G3" s="557" t="s">
        <v>181</v>
      </c>
      <c r="H3" s="557" t="s">
        <v>95</v>
      </c>
      <c r="I3" s="3"/>
      <c r="J3" s="205"/>
      <c r="K3" s="3"/>
      <c r="L3" s="205"/>
      <c r="M3" s="3"/>
      <c r="N3" s="205"/>
      <c r="O3" s="3"/>
      <c r="P3" s="3"/>
      <c r="Q3" s="3"/>
      <c r="R3" s="3"/>
      <c r="S3" s="3"/>
      <c r="T3" s="3"/>
      <c r="U3" s="3"/>
      <c r="V3" s="3"/>
      <c r="W3" s="3"/>
      <c r="X3" s="3"/>
      <c r="Y3" s="3"/>
      <c r="Z3" s="3"/>
    </row>
    <row r="4" spans="1:26" ht="14.5">
      <c r="A4" s="3" t="s">
        <v>182</v>
      </c>
      <c r="B4" s="565">
        <f>+Print_AAD!J295</f>
        <v>127649.33</v>
      </c>
      <c r="C4" s="590">
        <f t="shared" ref="C4:C9" si="0">D4/B4</f>
        <v>0.30501382185084719</v>
      </c>
      <c r="D4" s="565">
        <f>+Print_AAD!L295</f>
        <v>38934.810000000005</v>
      </c>
      <c r="E4" s="3"/>
      <c r="F4" s="565">
        <f>+Print_AAD!G295</f>
        <v>0</v>
      </c>
      <c r="G4" s="590" t="e">
        <f t="shared" ref="G4:G9" si="1">H4/F4</f>
        <v>#DIV/0!</v>
      </c>
      <c r="H4" s="565">
        <f>+Print_AAD!I295</f>
        <v>0</v>
      </c>
      <c r="I4" s="3"/>
      <c r="J4" s="566">
        <f t="shared" ref="J4:J11" si="2">+D4-H4</f>
        <v>38934.810000000005</v>
      </c>
      <c r="K4" s="3"/>
      <c r="L4" s="566" t="e">
        <f t="shared" ref="L4:L9" si="3">(B4-F4)*G4</f>
        <v>#DIV/0!</v>
      </c>
      <c r="M4" s="3"/>
      <c r="N4" s="566" t="e">
        <f t="shared" ref="N4:N9" si="4">B4*(C4-G4)</f>
        <v>#DIV/0!</v>
      </c>
      <c r="O4" s="3"/>
      <c r="P4" s="3"/>
      <c r="Q4" s="3"/>
      <c r="R4" s="3"/>
      <c r="S4" s="3"/>
      <c r="T4" s="3"/>
      <c r="U4" s="3"/>
      <c r="V4" s="3"/>
      <c r="W4" s="3"/>
      <c r="X4" s="3"/>
      <c r="Y4" s="3"/>
      <c r="Z4" s="3"/>
    </row>
    <row r="5" spans="1:26" ht="14.5">
      <c r="A5" s="3" t="s">
        <v>183</v>
      </c>
      <c r="B5" s="565">
        <f>+Print_AAD!J296</f>
        <v>13318.44</v>
      </c>
      <c r="C5" s="590">
        <f t="shared" si="0"/>
        <v>0.24015950817062656</v>
      </c>
      <c r="D5" s="565">
        <f>+Print_AAD!L296</f>
        <v>3198.5499999999997</v>
      </c>
      <c r="E5" s="3"/>
      <c r="F5" s="565">
        <f>+Print_AAD!G296</f>
        <v>0</v>
      </c>
      <c r="G5" s="590" t="e">
        <f t="shared" si="1"/>
        <v>#DIV/0!</v>
      </c>
      <c r="H5" s="565">
        <f>+Print_AAD!I296</f>
        <v>0</v>
      </c>
      <c r="I5" s="3"/>
      <c r="J5" s="566">
        <f t="shared" si="2"/>
        <v>3198.5499999999997</v>
      </c>
      <c r="K5" s="3"/>
      <c r="L5" s="566" t="e">
        <f t="shared" si="3"/>
        <v>#DIV/0!</v>
      </c>
      <c r="M5" s="3"/>
      <c r="N5" s="566" t="e">
        <f t="shared" si="4"/>
        <v>#DIV/0!</v>
      </c>
      <c r="O5" s="3"/>
      <c r="P5" s="3"/>
      <c r="Q5" s="3"/>
      <c r="R5" s="3"/>
      <c r="S5" s="3"/>
      <c r="T5" s="3"/>
      <c r="U5" s="3"/>
      <c r="V5" s="3"/>
      <c r="W5" s="3"/>
      <c r="X5" s="3"/>
      <c r="Y5" s="3"/>
      <c r="Z5" s="3"/>
    </row>
    <row r="6" spans="1:26" ht="14.5">
      <c r="A6" s="3" t="s">
        <v>184</v>
      </c>
      <c r="B6" s="565">
        <f>+Print_AAD!J297</f>
        <v>174728.16</v>
      </c>
      <c r="C6" s="590">
        <f t="shared" si="0"/>
        <v>0.23104964878013942</v>
      </c>
      <c r="D6" s="565">
        <f>+Print_AAD!L297</f>
        <v>40370.880000000005</v>
      </c>
      <c r="E6" s="3"/>
      <c r="F6" s="565">
        <f>+Print_AAD!G297</f>
        <v>0</v>
      </c>
      <c r="G6" s="590" t="e">
        <f t="shared" si="1"/>
        <v>#DIV/0!</v>
      </c>
      <c r="H6" s="565">
        <f>+Print_AAD!I297</f>
        <v>0</v>
      </c>
      <c r="I6" s="3"/>
      <c r="J6" s="566">
        <f t="shared" si="2"/>
        <v>40370.880000000005</v>
      </c>
      <c r="K6" s="3"/>
      <c r="L6" s="566" t="e">
        <f t="shared" si="3"/>
        <v>#DIV/0!</v>
      </c>
      <c r="M6" s="3"/>
      <c r="N6" s="566" t="e">
        <f t="shared" si="4"/>
        <v>#DIV/0!</v>
      </c>
      <c r="O6" s="3"/>
      <c r="P6" s="3"/>
      <c r="Q6" s="3"/>
      <c r="R6" s="3"/>
      <c r="S6" s="3"/>
      <c r="T6" s="3"/>
      <c r="U6" s="3"/>
      <c r="V6" s="3"/>
      <c r="W6" s="3"/>
      <c r="X6" s="3"/>
      <c r="Y6" s="3"/>
      <c r="Z6" s="3"/>
    </row>
    <row r="7" spans="1:26" ht="14.5">
      <c r="A7" s="3" t="s">
        <v>185</v>
      </c>
      <c r="B7" s="565">
        <f>+Print_AAD!J298</f>
        <v>143935.57</v>
      </c>
      <c r="C7" s="590">
        <f t="shared" si="0"/>
        <v>0.26375155217018287</v>
      </c>
      <c r="D7" s="565">
        <f>+Print_AAD!L298</f>
        <v>37963.23000000001</v>
      </c>
      <c r="E7" s="3"/>
      <c r="F7" s="565">
        <f>+Print_AAD!G298</f>
        <v>0</v>
      </c>
      <c r="G7" s="590" t="e">
        <f t="shared" si="1"/>
        <v>#DIV/0!</v>
      </c>
      <c r="H7" s="565">
        <f>+Print_AAD!I298</f>
        <v>0</v>
      </c>
      <c r="I7" s="3"/>
      <c r="J7" s="566">
        <f t="shared" si="2"/>
        <v>37963.23000000001</v>
      </c>
      <c r="K7" s="3"/>
      <c r="L7" s="566" t="e">
        <f t="shared" si="3"/>
        <v>#DIV/0!</v>
      </c>
      <c r="M7" s="3"/>
      <c r="N7" s="566" t="e">
        <f t="shared" si="4"/>
        <v>#DIV/0!</v>
      </c>
      <c r="O7" s="3"/>
      <c r="P7" s="3"/>
      <c r="Q7" s="3"/>
      <c r="R7" s="3"/>
      <c r="S7" s="3"/>
      <c r="T7" s="3"/>
      <c r="U7" s="3"/>
      <c r="V7" s="3"/>
      <c r="W7" s="3"/>
      <c r="X7" s="3"/>
      <c r="Y7" s="3"/>
      <c r="Z7" s="3"/>
    </row>
    <row r="8" spans="1:26" ht="14.5">
      <c r="A8" s="3" t="s">
        <v>186</v>
      </c>
      <c r="B8" s="565">
        <f>+Print_AAD!J299</f>
        <v>30512.76</v>
      </c>
      <c r="C8" s="590">
        <f t="shared" si="0"/>
        <v>0.30912182313235514</v>
      </c>
      <c r="D8" s="565">
        <f>+Print_AAD!L299</f>
        <v>9432.16</v>
      </c>
      <c r="E8" s="3"/>
      <c r="F8" s="565">
        <f>+Print_AAD!G299</f>
        <v>0</v>
      </c>
      <c r="G8" s="590" t="e">
        <f t="shared" si="1"/>
        <v>#DIV/0!</v>
      </c>
      <c r="H8" s="565">
        <f>+Print_AAD!I299</f>
        <v>0</v>
      </c>
      <c r="I8" s="3"/>
      <c r="J8" s="566">
        <f t="shared" si="2"/>
        <v>9432.16</v>
      </c>
      <c r="K8" s="3"/>
      <c r="L8" s="566" t="e">
        <f t="shared" si="3"/>
        <v>#DIV/0!</v>
      </c>
      <c r="M8" s="3"/>
      <c r="N8" s="566" t="e">
        <f t="shared" si="4"/>
        <v>#DIV/0!</v>
      </c>
      <c r="O8" s="3"/>
      <c r="P8" s="3"/>
      <c r="Q8" s="3"/>
      <c r="R8" s="3"/>
      <c r="S8" s="3"/>
      <c r="T8" s="3"/>
      <c r="U8" s="3"/>
      <c r="V8" s="3"/>
      <c r="W8" s="3"/>
      <c r="X8" s="3"/>
      <c r="Y8" s="3"/>
      <c r="Z8" s="3"/>
    </row>
    <row r="9" spans="1:26" ht="14.5">
      <c r="A9" s="3" t="s">
        <v>187</v>
      </c>
      <c r="B9" s="565">
        <f>+Print_AAD!J300</f>
        <v>396618.38</v>
      </c>
      <c r="C9" s="590">
        <f t="shared" si="0"/>
        <v>0.12566288531560246</v>
      </c>
      <c r="D9" s="565">
        <f>+Print_AAD!L300</f>
        <v>49840.210000000036</v>
      </c>
      <c r="E9" s="3"/>
      <c r="F9" s="565">
        <f>+Print_AAD!G300</f>
        <v>0</v>
      </c>
      <c r="G9" s="590" t="e">
        <f t="shared" si="1"/>
        <v>#DIV/0!</v>
      </c>
      <c r="H9" s="565">
        <f>+Print_AAD!I300</f>
        <v>0</v>
      </c>
      <c r="I9" s="3"/>
      <c r="J9" s="566">
        <f t="shared" si="2"/>
        <v>49840.210000000036</v>
      </c>
      <c r="K9" s="3"/>
      <c r="L9" s="566" t="e">
        <f t="shared" si="3"/>
        <v>#DIV/0!</v>
      </c>
      <c r="M9" s="3"/>
      <c r="N9" s="566" t="e">
        <f t="shared" si="4"/>
        <v>#DIV/0!</v>
      </c>
      <c r="O9" s="3"/>
      <c r="P9" s="3"/>
      <c r="Q9" s="3"/>
      <c r="R9" s="3"/>
      <c r="S9" s="3"/>
      <c r="T9" s="3"/>
      <c r="U9" s="3"/>
      <c r="V9" s="3"/>
      <c r="W9" s="3"/>
      <c r="X9" s="3"/>
      <c r="Y9" s="3"/>
      <c r="Z9" s="3"/>
    </row>
    <row r="10" spans="1:26" ht="14.5">
      <c r="A10" s="3" t="s">
        <v>188</v>
      </c>
      <c r="B10" s="565"/>
      <c r="C10" s="590"/>
      <c r="D10" s="565">
        <f>+Print_AAD!L302</f>
        <v>12270.07</v>
      </c>
      <c r="E10" s="3"/>
      <c r="F10" s="565"/>
      <c r="G10" s="590"/>
      <c r="H10" s="565">
        <f>+Print_AAD!I302</f>
        <v>0</v>
      </c>
      <c r="I10" s="3"/>
      <c r="J10" s="566">
        <f t="shared" si="2"/>
        <v>12270.07</v>
      </c>
      <c r="K10" s="3"/>
      <c r="L10" s="566" t="e">
        <f>(H10/(H4+H5+H6+H7+H8+H9)*(D4+D5+D6+D7+D8+D9))-D10</f>
        <v>#DIV/0!</v>
      </c>
      <c r="M10" s="3"/>
      <c r="N10" s="566" t="e">
        <f t="shared" ref="N10:N11" si="5">+J10-L10</f>
        <v>#DIV/0!</v>
      </c>
      <c r="O10" s="3"/>
      <c r="P10" s="3"/>
      <c r="Q10" s="3"/>
      <c r="R10" s="3"/>
      <c r="S10" s="3"/>
      <c r="T10" s="3"/>
      <c r="U10" s="3"/>
      <c r="V10" s="3"/>
      <c r="W10" s="3"/>
      <c r="X10" s="3"/>
      <c r="Y10" s="3"/>
      <c r="Z10" s="3"/>
    </row>
    <row r="11" spans="1:26" ht="14.5">
      <c r="A11" s="3" t="s">
        <v>189</v>
      </c>
      <c r="B11" s="565"/>
      <c r="C11" s="590"/>
      <c r="D11" s="565"/>
      <c r="E11" s="3"/>
      <c r="F11" s="565"/>
      <c r="G11" s="590"/>
      <c r="H11" s="565"/>
      <c r="I11" s="3"/>
      <c r="J11" s="566">
        <f t="shared" si="2"/>
        <v>0</v>
      </c>
      <c r="K11" s="3"/>
      <c r="L11" s="566">
        <f>(B11-F11)*G11</f>
        <v>0</v>
      </c>
      <c r="M11" s="3"/>
      <c r="N11" s="566">
        <f t="shared" si="5"/>
        <v>0</v>
      </c>
      <c r="O11" s="3"/>
      <c r="P11" s="3"/>
      <c r="Q11" s="3"/>
      <c r="R11" s="3"/>
      <c r="S11" s="3"/>
      <c r="T11" s="3"/>
      <c r="U11" s="3"/>
      <c r="V11" s="3"/>
      <c r="W11" s="3"/>
      <c r="X11" s="3"/>
      <c r="Y11" s="3"/>
      <c r="Z11" s="3"/>
    </row>
    <row r="12" spans="1:26" ht="14.5">
      <c r="A12" s="3" t="s">
        <v>190</v>
      </c>
      <c r="B12" s="591">
        <f>SUM(B4:B11)</f>
        <v>886762.64</v>
      </c>
      <c r="C12" s="592">
        <f>+D12/B12</f>
        <v>0.21652909283593644</v>
      </c>
      <c r="D12" s="591">
        <f>SUM(D4:D11)</f>
        <v>192009.91000000009</v>
      </c>
      <c r="E12" s="3"/>
      <c r="F12" s="591">
        <f>SUM(F4:F11)</f>
        <v>0</v>
      </c>
      <c r="G12" s="592" t="e">
        <f>+H12/F12</f>
        <v>#DIV/0!</v>
      </c>
      <c r="H12" s="591">
        <f>SUM(H4:H11)</f>
        <v>0</v>
      </c>
      <c r="I12" s="3"/>
      <c r="J12" s="591">
        <f>SUM(J4:J11)</f>
        <v>192009.91000000009</v>
      </c>
      <c r="K12" s="3"/>
      <c r="L12" s="591" t="e">
        <f>SUM(L4:L11)</f>
        <v>#DIV/0!</v>
      </c>
      <c r="M12" s="3"/>
      <c r="N12" s="591" t="e">
        <f>SUM(N4:N11)</f>
        <v>#DIV/0!</v>
      </c>
      <c r="O12" s="3"/>
      <c r="P12" s="3"/>
      <c r="Q12" s="3"/>
      <c r="R12" s="3"/>
      <c r="S12" s="3"/>
      <c r="T12" s="3"/>
      <c r="U12" s="3"/>
      <c r="V12" s="3"/>
      <c r="W12" s="3"/>
      <c r="X12" s="3"/>
      <c r="Y12" s="3"/>
      <c r="Z12" s="3"/>
    </row>
    <row r="13" spans="1:26" ht="14.5">
      <c r="A13" s="3"/>
      <c r="B13" s="566"/>
      <c r="C13" s="567"/>
      <c r="D13" s="566"/>
      <c r="E13" s="3"/>
      <c r="F13" s="566"/>
      <c r="G13" s="567"/>
      <c r="H13" s="566"/>
      <c r="I13" s="3"/>
      <c r="J13" s="566"/>
      <c r="K13" s="3"/>
      <c r="L13" s="566"/>
      <c r="M13" s="3"/>
      <c r="N13" s="566"/>
      <c r="O13" s="3"/>
      <c r="P13" s="3"/>
      <c r="Q13" s="3"/>
      <c r="R13" s="3"/>
      <c r="S13" s="3"/>
      <c r="T13" s="3"/>
      <c r="U13" s="3"/>
      <c r="V13" s="3"/>
      <c r="W13" s="3"/>
      <c r="X13" s="3"/>
      <c r="Y13" s="3"/>
      <c r="Z13" s="3"/>
    </row>
    <row r="14" spans="1:26" ht="14.5">
      <c r="A14" s="3" t="s">
        <v>191</v>
      </c>
      <c r="B14" s="565">
        <f>+Print_AAD!J307</f>
        <v>103052.97</v>
      </c>
      <c r="C14" s="590">
        <f t="shared" ref="C14:C15" si="6">D14/B14</f>
        <v>0.15555825319736061</v>
      </c>
      <c r="D14" s="565">
        <f>+Print_AAD!L307</f>
        <v>16030.740000000007</v>
      </c>
      <c r="E14" s="3"/>
      <c r="F14" s="565">
        <f>+Print_AAD!G307</f>
        <v>0</v>
      </c>
      <c r="G14" s="590" t="e">
        <f t="shared" ref="G14:G15" si="7">H14/F14</f>
        <v>#DIV/0!</v>
      </c>
      <c r="H14" s="565">
        <f>+Print_AAD!I307</f>
        <v>0</v>
      </c>
      <c r="I14" s="3"/>
      <c r="J14" s="566">
        <f t="shared" ref="J14:J15" si="8">+D14-H14</f>
        <v>16030.740000000007</v>
      </c>
      <c r="K14" s="3"/>
      <c r="L14" s="566" t="e">
        <f t="shared" ref="L14:L15" si="9">(B14-F14)*G14</f>
        <v>#DIV/0!</v>
      </c>
      <c r="M14" s="3"/>
      <c r="N14" s="566" t="e">
        <f t="shared" ref="N14:N15" si="10">B14*(C14-G14)</f>
        <v>#DIV/0!</v>
      </c>
      <c r="O14" s="3"/>
      <c r="P14" s="3"/>
      <c r="Q14" s="3"/>
      <c r="R14" s="3"/>
      <c r="S14" s="3"/>
      <c r="T14" s="3"/>
      <c r="U14" s="3"/>
      <c r="V14" s="3"/>
      <c r="W14" s="3"/>
      <c r="X14" s="3"/>
      <c r="Y14" s="3"/>
      <c r="Z14" s="3"/>
    </row>
    <row r="15" spans="1:26" ht="14.5">
      <c r="A15" s="3" t="s">
        <v>192</v>
      </c>
      <c r="B15" s="565">
        <f>+Print_AAD!J308</f>
        <v>32563.65</v>
      </c>
      <c r="C15" s="590">
        <f t="shared" si="6"/>
        <v>0.24740899745575207</v>
      </c>
      <c r="D15" s="565">
        <f>+Print_AAD!L308</f>
        <v>8056.5400000000009</v>
      </c>
      <c r="E15" s="3"/>
      <c r="F15" s="565">
        <f>+Print_AAD!G308</f>
        <v>0</v>
      </c>
      <c r="G15" s="590" t="e">
        <f t="shared" si="7"/>
        <v>#DIV/0!</v>
      </c>
      <c r="H15" s="565">
        <f>+Print_AAD!I308</f>
        <v>0</v>
      </c>
      <c r="I15" s="3"/>
      <c r="J15" s="566">
        <f t="shared" si="8"/>
        <v>8056.5400000000009</v>
      </c>
      <c r="K15" s="3"/>
      <c r="L15" s="566" t="e">
        <f t="shared" si="9"/>
        <v>#DIV/0!</v>
      </c>
      <c r="M15" s="3"/>
      <c r="N15" s="566" t="e">
        <f t="shared" si="10"/>
        <v>#DIV/0!</v>
      </c>
      <c r="O15" s="3"/>
      <c r="P15" s="3"/>
      <c r="Q15" s="3"/>
      <c r="R15" s="3"/>
      <c r="S15" s="3"/>
      <c r="T15" s="3"/>
      <c r="U15" s="3"/>
      <c r="V15" s="3"/>
      <c r="W15" s="3"/>
      <c r="X15" s="3"/>
      <c r="Y15" s="3"/>
      <c r="Z15" s="3"/>
    </row>
    <row r="16" spans="1:26" ht="14.5">
      <c r="A16" s="3" t="s">
        <v>193</v>
      </c>
      <c r="B16" s="593">
        <f>SUM(B14:B15)</f>
        <v>135616.62</v>
      </c>
      <c r="C16" s="594">
        <f>+D16/B16</f>
        <v>0.17761303887384899</v>
      </c>
      <c r="D16" s="593">
        <f>SUM(D14:D15)</f>
        <v>24087.280000000006</v>
      </c>
      <c r="E16" s="3"/>
      <c r="F16" s="593">
        <f>SUM(F14:F15)</f>
        <v>0</v>
      </c>
      <c r="G16" s="594" t="e">
        <f>+H16/F16</f>
        <v>#DIV/0!</v>
      </c>
      <c r="H16" s="593">
        <f>SUM(H14:H15)</f>
        <v>0</v>
      </c>
      <c r="I16" s="3"/>
      <c r="J16" s="593">
        <f>SUM(J14:J15)</f>
        <v>24087.280000000006</v>
      </c>
      <c r="K16" s="3"/>
      <c r="L16" s="593" t="e">
        <f>SUM(L14:L15)</f>
        <v>#DIV/0!</v>
      </c>
      <c r="M16" s="3"/>
      <c r="N16" s="593" t="e">
        <f>SUM(N14:N15)</f>
        <v>#DIV/0!</v>
      </c>
      <c r="O16" s="3"/>
      <c r="P16" s="3"/>
      <c r="Q16" s="3"/>
      <c r="R16" s="3"/>
      <c r="S16" s="3"/>
      <c r="T16" s="3"/>
      <c r="U16" s="3"/>
      <c r="V16" s="3"/>
      <c r="W16" s="3"/>
      <c r="X16" s="3"/>
      <c r="Y16" s="3"/>
      <c r="Z16" s="3"/>
    </row>
    <row r="17" spans="1:26" ht="14.5">
      <c r="A17" s="3"/>
      <c r="B17" s="566"/>
      <c r="C17" s="567"/>
      <c r="D17" s="566"/>
      <c r="E17" s="3"/>
      <c r="F17" s="566"/>
      <c r="G17" s="567"/>
      <c r="H17" s="566"/>
      <c r="I17" s="3"/>
      <c r="J17" s="566"/>
      <c r="K17" s="3"/>
      <c r="L17" s="566"/>
      <c r="M17" s="3"/>
      <c r="N17" s="566"/>
      <c r="O17" s="3"/>
      <c r="P17" s="3"/>
      <c r="Q17" s="3"/>
      <c r="R17" s="3"/>
      <c r="S17" s="3"/>
      <c r="T17" s="3"/>
      <c r="U17" s="3"/>
      <c r="V17" s="3"/>
      <c r="W17" s="3"/>
      <c r="X17" s="3"/>
      <c r="Y17" s="3"/>
      <c r="Z17" s="3"/>
    </row>
    <row r="18" spans="1:26" ht="14.5">
      <c r="A18" s="3" t="s">
        <v>688</v>
      </c>
      <c r="B18" s="595">
        <f>+B12+B16</f>
        <v>1022379.26</v>
      </c>
      <c r="C18" s="596">
        <f>+D18/B18</f>
        <v>0.21136695398144137</v>
      </c>
      <c r="D18" s="595">
        <f>+D12+D16</f>
        <v>216097.19000000009</v>
      </c>
      <c r="E18" s="3"/>
      <c r="F18" s="595">
        <f>+F12+F16</f>
        <v>0</v>
      </c>
      <c r="G18" s="596" t="e">
        <f>+H18/F18</f>
        <v>#DIV/0!</v>
      </c>
      <c r="H18" s="595">
        <f>+H12+H16</f>
        <v>0</v>
      </c>
      <c r="I18" s="3"/>
      <c r="J18" s="595">
        <f>+J12+J16</f>
        <v>216097.19000000009</v>
      </c>
      <c r="K18" s="3"/>
      <c r="L18" s="595" t="e">
        <f>+L12+L16</f>
        <v>#DIV/0!</v>
      </c>
      <c r="M18" s="3"/>
      <c r="N18" s="595" t="e">
        <f>+N12+N16</f>
        <v>#DIV/0!</v>
      </c>
      <c r="O18" s="3"/>
      <c r="P18" s="3"/>
      <c r="Q18" s="3"/>
      <c r="R18" s="3"/>
      <c r="S18" s="3"/>
      <c r="T18" s="3"/>
      <c r="U18" s="3"/>
      <c r="V18" s="3"/>
      <c r="W18" s="3"/>
      <c r="X18" s="3"/>
      <c r="Y18" s="3"/>
      <c r="Z18" s="3"/>
    </row>
    <row r="19" spans="1:26" ht="14.5">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14.5">
      <c r="A20" s="3"/>
      <c r="B20" s="3"/>
      <c r="C20" s="3"/>
      <c r="D20" s="597"/>
      <c r="E20" s="126" t="s">
        <v>689</v>
      </c>
      <c r="F20" s="595">
        <f>+B18-F18</f>
        <v>1022379.26</v>
      </c>
      <c r="G20" s="3"/>
      <c r="H20" s="3"/>
      <c r="I20" s="3"/>
      <c r="J20" s="3"/>
      <c r="K20" s="3"/>
      <c r="L20" s="3"/>
      <c r="M20" s="3"/>
      <c r="N20" s="597" t="e">
        <f>+J18-L18-N18</f>
        <v>#DIV/0!</v>
      </c>
      <c r="O20" s="3"/>
      <c r="P20" s="3"/>
      <c r="Q20" s="3"/>
      <c r="R20" s="3"/>
      <c r="S20" s="3"/>
      <c r="T20" s="3"/>
      <c r="U20" s="3"/>
      <c r="V20" s="3"/>
      <c r="W20" s="3"/>
      <c r="X20" s="3"/>
      <c r="Y20" s="3"/>
      <c r="Z20" s="3"/>
    </row>
    <row r="21" spans="1:26"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
    <mergeCell ref="B2:D2"/>
    <mergeCell ref="F2:H2"/>
  </mergeCells>
  <pageMargins left="0.7" right="0.7" top="0.75" bottom="0.75" header="0" footer="0"/>
  <pageSetup orientation="portrait"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50"/>
    <outlinePr summaryBelow="0"/>
  </sheetPr>
  <dimension ref="A1:Z598"/>
  <sheetViews>
    <sheetView topLeftCell="A445" zoomScale="80" zoomScaleNormal="80" workbookViewId="0">
      <selection activeCell="A468" sqref="A468:XFD469"/>
    </sheetView>
  </sheetViews>
  <sheetFormatPr baseColWidth="10" defaultColWidth="12.58203125" defaultRowHeight="15" customHeight="1"/>
  <cols>
    <col min="1" max="1" width="37" style="1022" customWidth="1"/>
    <col min="2" max="2" width="31.1640625" style="1022" customWidth="1"/>
    <col min="3" max="3" width="14.58203125" style="1022" customWidth="1"/>
    <col min="4" max="4" width="12.9140625" style="1022" customWidth="1"/>
    <col min="5" max="5" width="13.58203125" style="1022" bestFit="1" customWidth="1"/>
    <col min="6" max="8" width="12.9140625" style="1022" customWidth="1"/>
    <col min="9" max="9" width="25.58203125" style="1022" bestFit="1" customWidth="1"/>
    <col min="10" max="10" width="12.9140625" style="1022" customWidth="1"/>
    <col min="11" max="11" width="23.08203125" style="1022" bestFit="1" customWidth="1"/>
    <col min="12" max="12" width="12.9140625" customWidth="1"/>
    <col min="13" max="13" width="39.6640625" customWidth="1"/>
    <col min="14" max="14" width="14.9140625" customWidth="1"/>
    <col min="15" max="16" width="12.9140625" customWidth="1"/>
    <col min="17" max="17" width="17.4140625" customWidth="1"/>
    <col min="18" max="19" width="12.9140625" customWidth="1"/>
    <col min="20" max="20" width="13" customWidth="1"/>
    <col min="21" max="21" width="42.6640625" customWidth="1"/>
    <col min="22" max="22" width="25.4140625" customWidth="1"/>
    <col min="23" max="23" width="16.9140625" customWidth="1"/>
    <col min="24" max="24" width="8.9140625" customWidth="1"/>
    <col min="26" max="26" width="15.08203125" customWidth="1"/>
  </cols>
  <sheetData>
    <row r="1" spans="1:26" ht="30" customHeight="1">
      <c r="A1" s="1208" t="s">
        <v>251</v>
      </c>
      <c r="B1" s="1208" t="s">
        <v>709</v>
      </c>
      <c r="C1" s="1209" t="s">
        <v>713</v>
      </c>
      <c r="D1" s="1209" t="s">
        <v>714</v>
      </c>
      <c r="E1" s="1209" t="s">
        <v>715</v>
      </c>
      <c r="F1" s="1208" t="s">
        <v>710</v>
      </c>
      <c r="G1" s="1208" t="s">
        <v>711</v>
      </c>
      <c r="H1" s="1208" t="s">
        <v>712</v>
      </c>
      <c r="I1" s="1209" t="s">
        <v>3412</v>
      </c>
      <c r="J1" s="1209" t="s">
        <v>3413</v>
      </c>
      <c r="K1" s="1209" t="s">
        <v>3414</v>
      </c>
      <c r="L1" s="647" t="s">
        <v>709</v>
      </c>
      <c r="M1" s="647" t="s">
        <v>251</v>
      </c>
      <c r="N1" s="647" t="s">
        <v>713</v>
      </c>
      <c r="O1" s="648" t="s">
        <v>714</v>
      </c>
      <c r="P1" s="647" t="s">
        <v>715</v>
      </c>
      <c r="Q1" s="647" t="s">
        <v>710</v>
      </c>
      <c r="R1" s="647" t="s">
        <v>711</v>
      </c>
      <c r="S1" s="647" t="s">
        <v>712</v>
      </c>
      <c r="T1" s="649" t="s">
        <v>716</v>
      </c>
      <c r="U1" s="649" t="s">
        <v>717</v>
      </c>
      <c r="V1" s="649" t="s">
        <v>718</v>
      </c>
      <c r="W1" s="649" t="s">
        <v>719</v>
      </c>
      <c r="X1" s="649" t="s">
        <v>654</v>
      </c>
      <c r="Z1" s="4"/>
    </row>
    <row r="2" spans="1:26" ht="15" customHeight="1">
      <c r="A2" s="1210" t="s">
        <v>720</v>
      </c>
      <c r="B2" s="1210" t="s">
        <v>1438</v>
      </c>
      <c r="C2" s="1211"/>
      <c r="D2" s="1211"/>
      <c r="E2" s="1211"/>
      <c r="F2" s="1210" t="s">
        <v>2</v>
      </c>
      <c r="G2" s="1210" t="s">
        <v>3322</v>
      </c>
      <c r="H2" s="1211"/>
      <c r="I2" s="1212">
        <v>-3669.18</v>
      </c>
      <c r="J2" s="1212">
        <v>0</v>
      </c>
      <c r="K2" s="1212">
        <v>-3669.18</v>
      </c>
      <c r="L2" s="653" t="str">
        <f>TEXT(B2,0)</f>
        <v>10</v>
      </c>
      <c r="M2" s="654" t="str">
        <f t="shared" ref="M2:M179" si="0">+A2</f>
        <v>PROFIT/PERTES JANVIER</v>
      </c>
      <c r="N2" s="655">
        <f>+IF(OR($Q2=Parametres!$G$2,$Q2=Parametres!$G$3),I2,C2)</f>
        <v>-3669.18</v>
      </c>
      <c r="O2" s="655">
        <f>+IF(OR($Q2=Parametres!$G$2,$Q2=Parametres!$G$3),J2,D2)</f>
        <v>0</v>
      </c>
      <c r="P2" s="655">
        <f>+IF(OR($Q2=Parametres!$G$2,$Q2=Parametres!$G$3),K2,E2)</f>
        <v>-3669.18</v>
      </c>
      <c r="Q2" s="654" t="str">
        <f t="shared" ref="Q2:S2" si="1">+F2</f>
        <v>1-Mémo</v>
      </c>
      <c r="R2" s="653" t="str">
        <f t="shared" si="1"/>
        <v>1</v>
      </c>
      <c r="S2" s="654">
        <f t="shared" si="1"/>
        <v>0</v>
      </c>
      <c r="T2" s="656" t="str">
        <f>+VLOOKUP($L2,Data_Validation!$A:$D,1,0)</f>
        <v>10</v>
      </c>
      <c r="U2" s="656">
        <f>+VLOOKUP($L2,Data_Validation!$A:$D,3,0)</f>
        <v>0</v>
      </c>
      <c r="V2" s="656">
        <f>+VLOOKUP($L2,Data_Validation!$A:$D,4,0)</f>
        <v>0</v>
      </c>
      <c r="W2" s="656">
        <f>+VLOOKUP($L2,Data_Validation!$A:$E,5,0)</f>
        <v>0</v>
      </c>
      <c r="X2" s="656">
        <f>+VLOOKUP($L2,Data_Validation!$A:$F,6,0)</f>
        <v>0</v>
      </c>
      <c r="Z2" s="657"/>
    </row>
    <row r="3" spans="1:26" ht="15" customHeight="1">
      <c r="A3" s="1210" t="s">
        <v>732</v>
      </c>
      <c r="B3" s="1210" t="s">
        <v>1674</v>
      </c>
      <c r="C3" s="1211"/>
      <c r="D3" s="1211"/>
      <c r="E3" s="1211"/>
      <c r="F3" s="1210" t="s">
        <v>2</v>
      </c>
      <c r="G3" s="1210" t="s">
        <v>3323</v>
      </c>
      <c r="H3" s="1211"/>
      <c r="I3" s="1212">
        <v>0.09</v>
      </c>
      <c r="J3" s="1212">
        <v>0</v>
      </c>
      <c r="K3" s="1212">
        <v>0.09</v>
      </c>
      <c r="L3" s="653" t="str">
        <f t="shared" ref="L3:L66" si="2">TEXT(B3,0)</f>
        <v>229</v>
      </c>
      <c r="M3" s="654" t="str">
        <f t="shared" si="0"/>
        <v>CUMUL. VIS. CARR. VW</v>
      </c>
      <c r="N3" s="655">
        <f>+IF(OR($Q3=Parametres!$G$2,$Q3=Parametres!$G$3),I3,C3)</f>
        <v>0.09</v>
      </c>
      <c r="O3" s="655">
        <f>+IF(OR($Q3=Parametres!$G$2,$Q3=Parametres!$G$3),J3,D3)</f>
        <v>0</v>
      </c>
      <c r="P3" s="655">
        <f>+IF(OR($Q3=Parametres!$G$2,$Q3=Parametres!$G$3),K3,E3)</f>
        <v>0.09</v>
      </c>
      <c r="Q3" s="654" t="str">
        <f t="shared" ref="Q3:S3" si="3">+F3</f>
        <v>1-Mémo</v>
      </c>
      <c r="R3" s="653" t="str">
        <f t="shared" si="3"/>
        <v>23</v>
      </c>
      <c r="S3" s="654">
        <f t="shared" si="3"/>
        <v>0</v>
      </c>
      <c r="T3" s="656" t="str">
        <f>+VLOOKUP($L3,Data_Validation!$A:$D,1,0)</f>
        <v>229</v>
      </c>
      <c r="U3" s="656">
        <f>+VLOOKUP($L3,Data_Validation!$A:$D,3,0)</f>
        <v>0</v>
      </c>
      <c r="V3" s="656">
        <f>+VLOOKUP($L3,Data_Validation!$A:$D,4,0)</f>
        <v>0</v>
      </c>
      <c r="W3" s="656">
        <f>+VLOOKUP($L3,Data_Validation!$A:$E,5,0)</f>
        <v>0</v>
      </c>
      <c r="X3" s="656">
        <f>+VLOOKUP($L3,Data_Validation!$A:$F,6,0)</f>
        <v>0</v>
      </c>
      <c r="Z3" s="658"/>
    </row>
    <row r="4" spans="1:26" ht="15" customHeight="1">
      <c r="A4" s="1210" t="s">
        <v>733</v>
      </c>
      <c r="B4" s="1210" t="s">
        <v>1690</v>
      </c>
      <c r="C4" s="1211"/>
      <c r="D4" s="1211"/>
      <c r="E4" s="1211"/>
      <c r="F4" s="1210" t="s">
        <v>2</v>
      </c>
      <c r="G4" s="1210" t="s">
        <v>3323</v>
      </c>
      <c r="H4" s="1211"/>
      <c r="I4" s="1212">
        <v>7.08</v>
      </c>
      <c r="J4" s="1212">
        <v>0</v>
      </c>
      <c r="K4" s="1212">
        <v>7.08</v>
      </c>
      <c r="L4" s="653" t="str">
        <f t="shared" si="2"/>
        <v>230</v>
      </c>
      <c r="M4" s="654" t="str">
        <f t="shared" si="0"/>
        <v>CUMUL. VIS. VEH. SERV. VW</v>
      </c>
      <c r="N4" s="655">
        <f>+IF(OR($Q4=Parametres!$G$2,$Q4=Parametres!$G$3),I4,C4)</f>
        <v>7.08</v>
      </c>
      <c r="O4" s="655">
        <f>+IF(OR($Q4=Parametres!$G$2,$Q4=Parametres!$G$3),J4,D4)</f>
        <v>0</v>
      </c>
      <c r="P4" s="655">
        <f>+IF(OR($Q4=Parametres!$G$2,$Q4=Parametres!$G$3),K4,E4)</f>
        <v>7.08</v>
      </c>
      <c r="Q4" s="654" t="str">
        <f t="shared" ref="Q4:S4" si="4">+F4</f>
        <v>1-Mémo</v>
      </c>
      <c r="R4" s="653" t="str">
        <f t="shared" si="4"/>
        <v>23</v>
      </c>
      <c r="S4" s="654">
        <f t="shared" si="4"/>
        <v>0</v>
      </c>
      <c r="T4" s="656" t="str">
        <f>+VLOOKUP($L4,Data_Validation!$A:$D,1,0)</f>
        <v>230</v>
      </c>
      <c r="U4" s="656">
        <f>+VLOOKUP($L4,Data_Validation!$A:$D,3,0)</f>
        <v>0</v>
      </c>
      <c r="V4" s="656">
        <f>+VLOOKUP($L4,Data_Validation!$A:$D,4,0)</f>
        <v>0</v>
      </c>
      <c r="W4" s="656" t="str">
        <f>+VLOOKUP($L4,Data_Validation!$A:$E,5,0)</f>
        <v>$</v>
      </c>
      <c r="X4" s="656">
        <f>+VLOOKUP($L4,Data_Validation!$A:$F,6,0)</f>
        <v>0</v>
      </c>
      <c r="Z4" s="4"/>
    </row>
    <row r="5" spans="1:26" ht="15.75" customHeight="1">
      <c r="A5" s="1210" t="s">
        <v>734</v>
      </c>
      <c r="B5" s="1210" t="s">
        <v>1698</v>
      </c>
      <c r="C5" s="1211"/>
      <c r="D5" s="1211"/>
      <c r="E5" s="1211"/>
      <c r="F5" s="1210" t="s">
        <v>2</v>
      </c>
      <c r="G5" s="1210" t="s">
        <v>3323</v>
      </c>
      <c r="H5" s="1211"/>
      <c r="I5" s="1212">
        <v>19.04</v>
      </c>
      <c r="J5" s="1212">
        <v>0</v>
      </c>
      <c r="K5" s="1212">
        <v>19.04</v>
      </c>
      <c r="L5" s="653" t="str">
        <f t="shared" si="2"/>
        <v>234</v>
      </c>
      <c r="M5" s="654" t="str">
        <f t="shared" si="0"/>
        <v>TOTAL HRES PROD. SERVICE</v>
      </c>
      <c r="N5" s="655">
        <f>+IF(OR($Q5=Parametres!$G$2,$Q5=Parametres!$G$3),I5,C5)</f>
        <v>19.04</v>
      </c>
      <c r="O5" s="655">
        <f>+IF(OR($Q5=Parametres!$G$2,$Q5=Parametres!$G$3),J5,D5)</f>
        <v>0</v>
      </c>
      <c r="P5" s="655">
        <f>+IF(OR($Q5=Parametres!$G$2,$Q5=Parametres!$G$3),K5,E5)</f>
        <v>19.04</v>
      </c>
      <c r="Q5" s="654" t="str">
        <f t="shared" ref="Q5:S5" si="5">+F5</f>
        <v>1-Mémo</v>
      </c>
      <c r="R5" s="653" t="str">
        <f t="shared" si="5"/>
        <v>23</v>
      </c>
      <c r="S5" s="654">
        <f t="shared" si="5"/>
        <v>0</v>
      </c>
      <c r="T5" s="656" t="str">
        <f>+VLOOKUP($L5,Data_Validation!$A:$D,1,0)</f>
        <v>234</v>
      </c>
      <c r="U5" s="656">
        <f>+VLOOKUP($L5,Data_Validation!$A:$D,3,0)</f>
        <v>0</v>
      </c>
      <c r="V5" s="656">
        <f>+VLOOKUP($L5,Data_Validation!$A:$D,4,0)</f>
        <v>0</v>
      </c>
      <c r="W5" s="656">
        <f>+VLOOKUP($L5,Data_Validation!$A:$E,5,0)</f>
        <v>0</v>
      </c>
      <c r="X5" s="656">
        <f>+VLOOKUP($L5,Data_Validation!$A:$F,6,0)</f>
        <v>0</v>
      </c>
      <c r="Z5" s="4"/>
    </row>
    <row r="6" spans="1:26" ht="15.75" customHeight="1">
      <c r="A6" s="1210" t="s">
        <v>735</v>
      </c>
      <c r="B6" s="1210" t="s">
        <v>1710</v>
      </c>
      <c r="C6" s="1211"/>
      <c r="D6" s="1211"/>
      <c r="E6" s="1211"/>
      <c r="F6" s="1210" t="s">
        <v>2</v>
      </c>
      <c r="G6" s="1210" t="s">
        <v>3323</v>
      </c>
      <c r="H6" s="1211"/>
      <c r="I6" s="1212">
        <v>19.64</v>
      </c>
      <c r="J6" s="1212">
        <v>0</v>
      </c>
      <c r="K6" s="1212">
        <v>19.64</v>
      </c>
      <c r="L6" s="653" t="str">
        <f t="shared" si="2"/>
        <v>236</v>
      </c>
      <c r="M6" s="654" t="str">
        <f t="shared" si="0"/>
        <v>HEURES VENDU VW - SERVICE</v>
      </c>
      <c r="N6" s="655">
        <f>+IF(OR($Q6=Parametres!$G$2,$Q6=Parametres!$G$3),I6,C6)</f>
        <v>19.64</v>
      </c>
      <c r="O6" s="655">
        <f>+IF(OR($Q6=Parametres!$G$2,$Q6=Parametres!$G$3),J6,D6)</f>
        <v>0</v>
      </c>
      <c r="P6" s="655">
        <f>+IF(OR($Q6=Parametres!$G$2,$Q6=Parametres!$G$3),K6,E6)</f>
        <v>19.64</v>
      </c>
      <c r="Q6" s="654" t="str">
        <f t="shared" ref="Q6:S6" si="6">+F6</f>
        <v>1-Mémo</v>
      </c>
      <c r="R6" s="653" t="str">
        <f t="shared" si="6"/>
        <v>23</v>
      </c>
      <c r="S6" s="654">
        <f t="shared" si="6"/>
        <v>0</v>
      </c>
      <c r="T6" s="656" t="str">
        <f>+VLOOKUP($L6,Data_Validation!$A:$D,1,0)</f>
        <v>236</v>
      </c>
      <c r="U6" s="656">
        <f>+VLOOKUP($L6,Data_Validation!$A:$D,3,0)</f>
        <v>0</v>
      </c>
      <c r="V6" s="656">
        <f>+VLOOKUP($L6,Data_Validation!$A:$D,4,0)</f>
        <v>0</v>
      </c>
      <c r="W6" s="656">
        <f>+VLOOKUP($L6,Data_Validation!$A:$E,5,0)</f>
        <v>0</v>
      </c>
      <c r="X6" s="656">
        <f>+VLOOKUP($L6,Data_Validation!$A:$F,6,0)</f>
        <v>0</v>
      </c>
      <c r="Z6" s="138"/>
    </row>
    <row r="7" spans="1:26" ht="15" customHeight="1">
      <c r="A7" s="1210" t="s">
        <v>736</v>
      </c>
      <c r="B7" s="1210" t="s">
        <v>1713</v>
      </c>
      <c r="C7" s="1211"/>
      <c r="D7" s="1211"/>
      <c r="E7" s="1211"/>
      <c r="F7" s="1210" t="s">
        <v>2</v>
      </c>
      <c r="G7" s="1210" t="s">
        <v>3323</v>
      </c>
      <c r="H7" s="1211"/>
      <c r="I7" s="1212">
        <v>20.67</v>
      </c>
      <c r="J7" s="1212">
        <v>0</v>
      </c>
      <c r="K7" s="1212">
        <v>20.67</v>
      </c>
      <c r="L7" s="653" t="str">
        <f t="shared" si="2"/>
        <v>238</v>
      </c>
      <c r="M7" s="654" t="str">
        <f t="shared" si="0"/>
        <v>TOT. HEURES DISP. SERVICE</v>
      </c>
      <c r="N7" s="655">
        <f>+IF(OR($Q7=Parametres!$G$2,$Q7=Parametres!$G$3),I7,C7)</f>
        <v>20.67</v>
      </c>
      <c r="O7" s="655">
        <f>+IF(OR($Q7=Parametres!$G$2,$Q7=Parametres!$G$3),J7,D7)</f>
        <v>0</v>
      </c>
      <c r="P7" s="655">
        <f>+IF(OR($Q7=Parametres!$G$2,$Q7=Parametres!$G$3),K7,E7)</f>
        <v>20.67</v>
      </c>
      <c r="Q7" s="654" t="str">
        <f t="shared" ref="Q7:S7" si="7">+F7</f>
        <v>1-Mémo</v>
      </c>
      <c r="R7" s="653" t="str">
        <f t="shared" si="7"/>
        <v>23</v>
      </c>
      <c r="S7" s="654">
        <f t="shared" si="7"/>
        <v>0</v>
      </c>
      <c r="T7" s="656" t="str">
        <f>+VLOOKUP($L7,Data_Validation!$A:$D,1,0)</f>
        <v>238</v>
      </c>
      <c r="U7" s="656">
        <f>+VLOOKUP($L7,Data_Validation!$A:$D,3,0)</f>
        <v>0</v>
      </c>
      <c r="V7" s="656">
        <f>+VLOOKUP($L7,Data_Validation!$A:$D,4,0)</f>
        <v>0</v>
      </c>
      <c r="W7" s="656">
        <f>+VLOOKUP($L7,Data_Validation!$A:$E,5,0)</f>
        <v>0</v>
      </c>
      <c r="X7" s="656">
        <f>+VLOOKUP($L7,Data_Validation!$A:$F,6,0)</f>
        <v>0</v>
      </c>
    </row>
    <row r="8" spans="1:26" ht="15" customHeight="1">
      <c r="A8" s="1210" t="s">
        <v>3658</v>
      </c>
      <c r="B8" s="1210" t="s">
        <v>1718</v>
      </c>
      <c r="C8" s="1211"/>
      <c r="D8" s="1211"/>
      <c r="E8" s="1211"/>
      <c r="F8" s="1210" t="s">
        <v>2</v>
      </c>
      <c r="G8" s="1210" t="s">
        <v>3324</v>
      </c>
      <c r="H8" s="1211"/>
      <c r="I8" s="1212">
        <v>154.94999999999999</v>
      </c>
      <c r="J8" s="1212">
        <v>0</v>
      </c>
      <c r="K8" s="1212">
        <v>154.94999999999999</v>
      </c>
      <c r="L8" s="653" t="str">
        <f t="shared" si="2"/>
        <v>243</v>
      </c>
      <c r="M8" s="654" t="str">
        <f t="shared" si="0"/>
        <v>TAUX MAIN D'OEUVRE - VW - MCI - CLIENT</v>
      </c>
      <c r="N8" s="655">
        <f>+IF(OR($Q8=Parametres!$G$2,$Q8=Parametres!$G$3),I8,C8)</f>
        <v>154.94999999999999</v>
      </c>
      <c r="O8" s="655">
        <f>+IF(OR($Q8=Parametres!$G$2,$Q8=Parametres!$G$3),J8,D8)</f>
        <v>0</v>
      </c>
      <c r="P8" s="655">
        <f>+IF(OR($Q8=Parametres!$G$2,$Q8=Parametres!$G$3),K8,E8)</f>
        <v>154.94999999999999</v>
      </c>
      <c r="Q8" s="654" t="str">
        <f t="shared" ref="Q8:S8" si="8">+F8</f>
        <v>1-Mémo</v>
      </c>
      <c r="R8" s="653" t="str">
        <f t="shared" si="8"/>
        <v>24</v>
      </c>
      <c r="S8" s="654">
        <f t="shared" si="8"/>
        <v>0</v>
      </c>
      <c r="T8" s="656" t="str">
        <f>+VLOOKUP($L8,Data_Validation!$A:$D,1,0)</f>
        <v>243</v>
      </c>
      <c r="U8" s="656">
        <f>+VLOOKUP($L8,Data_Validation!$A:$D,3,0)</f>
        <v>0</v>
      </c>
      <c r="V8" s="656">
        <f>+VLOOKUP($L8,Data_Validation!$A:$D,4,0)</f>
        <v>0</v>
      </c>
      <c r="W8" s="656">
        <f>+VLOOKUP($L8,Data_Validation!$A:$E,5,0)</f>
        <v>0</v>
      </c>
      <c r="X8" s="656">
        <f>+VLOOKUP($L8,Data_Validation!$A:$F,6,0)</f>
        <v>0</v>
      </c>
    </row>
    <row r="9" spans="1:26" ht="15" customHeight="1">
      <c r="A9" s="1210" t="s">
        <v>3659</v>
      </c>
      <c r="B9" s="1210" t="s">
        <v>1721</v>
      </c>
      <c r="C9" s="1211"/>
      <c r="D9" s="1211"/>
      <c r="E9" s="1211"/>
      <c r="F9" s="1210" t="s">
        <v>2</v>
      </c>
      <c r="G9" s="1210" t="s">
        <v>3324</v>
      </c>
      <c r="H9" s="1211"/>
      <c r="I9" s="1212">
        <v>142.97</v>
      </c>
      <c r="J9" s="1212">
        <v>0</v>
      </c>
      <c r="K9" s="1212">
        <v>142.97</v>
      </c>
      <c r="L9" s="653" t="str">
        <f t="shared" si="2"/>
        <v>244</v>
      </c>
      <c r="M9" s="654" t="str">
        <f t="shared" si="0"/>
        <v>TAUX MAIN D'OEUVRE - VW - MCI - GARANTIE</v>
      </c>
      <c r="N9" s="655">
        <f>+IF(OR($Q9=Parametres!$G$2,$Q9=Parametres!$G$3),I9,C9)</f>
        <v>142.97</v>
      </c>
      <c r="O9" s="659">
        <f>+IF(OR($Q9=Parametres!$G$2,$Q9=Parametres!$G$3),J9,D9)</f>
        <v>0</v>
      </c>
      <c r="P9" s="655">
        <f>+IF(OR($Q9=Parametres!$G$2,$Q9=Parametres!$G$3),K9,E9)</f>
        <v>142.97</v>
      </c>
      <c r="Q9" s="654" t="str">
        <f t="shared" ref="Q9:S9" si="9">+F9</f>
        <v>1-Mémo</v>
      </c>
      <c r="R9" s="653" t="str">
        <f t="shared" si="9"/>
        <v>24</v>
      </c>
      <c r="S9" s="654">
        <f t="shared" si="9"/>
        <v>0</v>
      </c>
      <c r="T9" s="656" t="str">
        <f>+VLOOKUP($L9,Data_Validation!$A:$D,1,0)</f>
        <v>244</v>
      </c>
      <c r="U9" s="656">
        <f>+VLOOKUP($L9,Data_Validation!$A:$D,3,0)</f>
        <v>0</v>
      </c>
      <c r="V9" s="656">
        <f>+VLOOKUP($L9,Data_Validation!$A:$D,4,0)</f>
        <v>0</v>
      </c>
      <c r="W9" s="656">
        <f>+VLOOKUP($L9,Data_Validation!$A:$E,5,0)</f>
        <v>0</v>
      </c>
      <c r="X9" s="656">
        <f>+VLOOKUP($L9,Data_Validation!$A:$F,6,0)</f>
        <v>0</v>
      </c>
    </row>
    <row r="10" spans="1:26" ht="15" customHeight="1">
      <c r="A10" s="1210" t="s">
        <v>3660</v>
      </c>
      <c r="B10" s="1210" t="s">
        <v>1724</v>
      </c>
      <c r="C10" s="1211"/>
      <c r="D10" s="1211"/>
      <c r="E10" s="1211"/>
      <c r="F10" s="1210" t="s">
        <v>2</v>
      </c>
      <c r="G10" s="1210" t="s">
        <v>3324</v>
      </c>
      <c r="H10" s="1211"/>
      <c r="I10" s="1212">
        <v>154.94999999999999</v>
      </c>
      <c r="J10" s="1212">
        <v>0</v>
      </c>
      <c r="K10" s="1212">
        <v>154.94999999999999</v>
      </c>
      <c r="L10" s="653" t="str">
        <f t="shared" si="2"/>
        <v>245</v>
      </c>
      <c r="M10" s="654" t="str">
        <f t="shared" si="0"/>
        <v>TAUX MAIN D'OEUVRE - VW - MCI - INTERNE</v>
      </c>
      <c r="N10" s="655">
        <f>+IF(OR($Q10=Parametres!$G$2,$Q10=Parametres!$G$3),I10,C10)</f>
        <v>154.94999999999999</v>
      </c>
      <c r="O10" s="659">
        <f>+IF(OR($Q10=Parametres!$G$2,$Q10=Parametres!$G$3),J10,D10)</f>
        <v>0</v>
      </c>
      <c r="P10" s="655">
        <f>+IF(OR($Q10=Parametres!$G$2,$Q10=Parametres!$G$3),K10,E10)</f>
        <v>154.94999999999999</v>
      </c>
      <c r="Q10" s="654" t="str">
        <f t="shared" ref="Q10:S10" si="10">+F10</f>
        <v>1-Mémo</v>
      </c>
      <c r="R10" s="653" t="str">
        <f t="shared" si="10"/>
        <v>24</v>
      </c>
      <c r="S10" s="654">
        <f t="shared" si="10"/>
        <v>0</v>
      </c>
      <c r="T10" s="656" t="str">
        <f>+VLOOKUP($L10,Data_Validation!$A:$D,1,0)</f>
        <v>245</v>
      </c>
      <c r="U10" s="656">
        <f>+VLOOKUP($L10,Data_Validation!$A:$D,3,0)</f>
        <v>0</v>
      </c>
      <c r="V10" s="656">
        <f>+VLOOKUP($L10,Data_Validation!$A:$D,4,0)</f>
        <v>0</v>
      </c>
      <c r="W10" s="656">
        <f>+VLOOKUP($L10,Data_Validation!$A:$E,5,0)</f>
        <v>0</v>
      </c>
      <c r="X10" s="656">
        <f>+VLOOKUP($L10,Data_Validation!$A:$F,6,0)</f>
        <v>0</v>
      </c>
    </row>
    <row r="11" spans="1:26" ht="15" customHeight="1">
      <c r="A11" s="1210" t="s">
        <v>3661</v>
      </c>
      <c r="B11" s="1210" t="s">
        <v>1727</v>
      </c>
      <c r="C11" s="1211"/>
      <c r="D11" s="1211"/>
      <c r="E11" s="1211"/>
      <c r="F11" s="1210" t="s">
        <v>2</v>
      </c>
      <c r="G11" s="1210" t="s">
        <v>3324</v>
      </c>
      <c r="H11" s="1211"/>
      <c r="I11" s="1212">
        <v>75</v>
      </c>
      <c r="J11" s="1212">
        <v>0</v>
      </c>
      <c r="K11" s="1212">
        <v>75</v>
      </c>
      <c r="L11" s="653" t="str">
        <f t="shared" si="2"/>
        <v>246</v>
      </c>
      <c r="M11" s="654" t="str">
        <f t="shared" si="0"/>
        <v>TAUX MAIN D'OEUVRE - VW - MCI - CARROSSERIE</v>
      </c>
      <c r="N11" s="655">
        <f>+IF(OR($Q11=Parametres!$G$2,$Q11=Parametres!$G$3),I11,C11)</f>
        <v>75</v>
      </c>
      <c r="O11" s="659">
        <f>+IF(OR($Q11=Parametres!$G$2,$Q11=Parametres!$G$3),J11,D11)</f>
        <v>0</v>
      </c>
      <c r="P11" s="655">
        <f>+IF(OR($Q11=Parametres!$G$2,$Q11=Parametres!$G$3),K11,E11)</f>
        <v>75</v>
      </c>
      <c r="Q11" s="654" t="str">
        <f t="shared" ref="Q11:S11" si="11">+F11</f>
        <v>1-Mémo</v>
      </c>
      <c r="R11" s="653" t="str">
        <f t="shared" si="11"/>
        <v>24</v>
      </c>
      <c r="S11" s="654">
        <f t="shared" si="11"/>
        <v>0</v>
      </c>
      <c r="T11" s="656" t="str">
        <f>+VLOOKUP($L11,Data_Validation!$A:$D,1,0)</f>
        <v>246</v>
      </c>
      <c r="U11" s="656">
        <f>+VLOOKUP($L11,Data_Validation!$A:$D,3,0)</f>
        <v>0</v>
      </c>
      <c r="V11" s="656">
        <f>+VLOOKUP($L11,Data_Validation!$A:$D,4,0)</f>
        <v>0</v>
      </c>
      <c r="W11" s="656">
        <f>+VLOOKUP($L11,Data_Validation!$A:$E,5,0)</f>
        <v>0</v>
      </c>
      <c r="X11" s="656">
        <f>+VLOOKUP($L11,Data_Validation!$A:$F,6,0)</f>
        <v>0</v>
      </c>
    </row>
    <row r="12" spans="1:26" ht="15" customHeight="1">
      <c r="A12" s="1210" t="s">
        <v>741</v>
      </c>
      <c r="B12" s="1210" t="s">
        <v>742</v>
      </c>
      <c r="C12" s="1211"/>
      <c r="D12" s="1211"/>
      <c r="E12" s="1211"/>
      <c r="F12" s="1210" t="s">
        <v>2</v>
      </c>
      <c r="G12" s="1210" t="s">
        <v>742</v>
      </c>
      <c r="H12" s="1211"/>
      <c r="I12" s="1212">
        <v>0.14000000000000001</v>
      </c>
      <c r="J12" s="1212">
        <v>0</v>
      </c>
      <c r="K12" s="1212">
        <v>0.14000000000000001</v>
      </c>
      <c r="L12" s="653" t="str">
        <f t="shared" si="2"/>
        <v>255</v>
      </c>
      <c r="M12" s="654" t="str">
        <f t="shared" si="0"/>
        <v>BAIES TRAVAIL PRODUCTIVES - SERVICE VW</v>
      </c>
      <c r="N12" s="655">
        <f>+IF(OR($Q12=Parametres!$G$2,$Q12=Parametres!$G$3),I12,C12)</f>
        <v>0.14000000000000001</v>
      </c>
      <c r="O12" s="655">
        <f>+IF(OR($Q12=Parametres!$G$2,$Q12=Parametres!$G$3),J12,D12)</f>
        <v>0</v>
      </c>
      <c r="P12" s="655">
        <f>+IF(OR($Q12=Parametres!$G$2,$Q12=Parametres!$G$3),K12,E12)</f>
        <v>0.14000000000000001</v>
      </c>
      <c r="Q12" s="654" t="str">
        <f t="shared" ref="Q12:S12" si="12">+F12</f>
        <v>1-Mémo</v>
      </c>
      <c r="R12" s="653" t="str">
        <f t="shared" si="12"/>
        <v>255</v>
      </c>
      <c r="S12" s="654">
        <f t="shared" si="12"/>
        <v>0</v>
      </c>
      <c r="T12" s="656" t="str">
        <f>+VLOOKUP($L12,Data_Validation!$A:$D,1,0)</f>
        <v>255</v>
      </c>
      <c r="U12" s="656">
        <f>+VLOOKUP($L12,Data_Validation!$A:$D,3,0)</f>
        <v>0</v>
      </c>
      <c r="V12" s="656">
        <f>+VLOOKUP($L12,Data_Validation!$A:$D,4,0)</f>
        <v>0</v>
      </c>
      <c r="W12" s="656">
        <f>+VLOOKUP($L12,Data_Validation!$A:$E,5,0)</f>
        <v>0</v>
      </c>
      <c r="X12" s="656">
        <f>+VLOOKUP($L12,Data_Validation!$A:$F,6,0)</f>
        <v>0</v>
      </c>
    </row>
    <row r="13" spans="1:26" ht="15" customHeight="1">
      <c r="A13" s="1210" t="s">
        <v>3662</v>
      </c>
      <c r="B13" s="1210" t="s">
        <v>744</v>
      </c>
      <c r="C13" s="1211"/>
      <c r="D13" s="1211"/>
      <c r="E13" s="1211"/>
      <c r="F13" s="1210" t="s">
        <v>2</v>
      </c>
      <c r="G13" s="1210" t="s">
        <v>744</v>
      </c>
      <c r="H13" s="1211"/>
      <c r="I13" s="1212">
        <v>753.73</v>
      </c>
      <c r="J13" s="1212">
        <v>0</v>
      </c>
      <c r="K13" s="1212">
        <v>753.73</v>
      </c>
      <c r="L13" s="653" t="str">
        <f t="shared" si="2"/>
        <v>257</v>
      </c>
      <c r="M13" s="654" t="str">
        <f t="shared" si="0"/>
        <v>HEURES VENDUES - SVC - VW - MCI - CLIENT</v>
      </c>
      <c r="N13" s="655">
        <f>+IF(OR($Q13=Parametres!$G$2,$Q13=Parametres!$G$3),I13,C13)</f>
        <v>753.73</v>
      </c>
      <c r="O13" s="655">
        <f>+IF(OR($Q13=Parametres!$G$2,$Q13=Parametres!$G$3),J13,D13)</f>
        <v>0</v>
      </c>
      <c r="P13" s="655">
        <f>+IF(OR($Q13=Parametres!$G$2,$Q13=Parametres!$G$3),K13,E13)</f>
        <v>753.73</v>
      </c>
      <c r="Q13" s="654" t="str">
        <f t="shared" ref="Q13:S13" si="13">+F13</f>
        <v>1-Mémo</v>
      </c>
      <c r="R13" s="653" t="str">
        <f t="shared" si="13"/>
        <v>257</v>
      </c>
      <c r="S13" s="654">
        <f t="shared" si="13"/>
        <v>0</v>
      </c>
      <c r="T13" s="656" t="str">
        <f>+VLOOKUP($L13,Data_Validation!$A:$D,1,0)</f>
        <v>257</v>
      </c>
      <c r="U13" s="656">
        <f>+VLOOKUP($L13,Data_Validation!$A:$D,3,0)</f>
        <v>0</v>
      </c>
      <c r="V13" s="656">
        <f>+VLOOKUP($L13,Data_Validation!$A:$D,4,0)</f>
        <v>0</v>
      </c>
      <c r="W13" s="656">
        <f>+VLOOKUP($L13,Data_Validation!$A:$E,5,0)</f>
        <v>0</v>
      </c>
      <c r="X13" s="656">
        <f>+VLOOKUP($L13,Data_Validation!$A:$F,6,0)</f>
        <v>0</v>
      </c>
    </row>
    <row r="14" spans="1:26" ht="15" customHeight="1">
      <c r="A14" s="1210" t="s">
        <v>3663</v>
      </c>
      <c r="B14" s="1210" t="s">
        <v>1750</v>
      </c>
      <c r="C14" s="1211"/>
      <c r="D14" s="1211"/>
      <c r="E14" s="1211"/>
      <c r="F14" s="1210" t="s">
        <v>2</v>
      </c>
      <c r="G14" s="1210" t="s">
        <v>744</v>
      </c>
      <c r="H14" s="1211"/>
      <c r="I14" s="1212">
        <v>644.96</v>
      </c>
      <c r="J14" s="1212">
        <v>0</v>
      </c>
      <c r="K14" s="1212">
        <v>644.96</v>
      </c>
      <c r="L14" s="653" t="str">
        <f t="shared" si="2"/>
        <v>258</v>
      </c>
      <c r="M14" s="654" t="str">
        <f t="shared" si="0"/>
        <v>HEURES VENDUES - SVC - VW - MCI - GARANTIE</v>
      </c>
      <c r="N14" s="655">
        <f>+IF(OR($Q14=Parametres!$G$2,$Q14=Parametres!$G$3),I14,C14)</f>
        <v>644.96</v>
      </c>
      <c r="O14" s="655">
        <f>+IF(OR($Q14=Parametres!$G$2,$Q14=Parametres!$G$3),J14,D14)</f>
        <v>0</v>
      </c>
      <c r="P14" s="655">
        <f>+IF(OR($Q14=Parametres!$G$2,$Q14=Parametres!$G$3),K14,E14)</f>
        <v>644.96</v>
      </c>
      <c r="Q14" s="654" t="str">
        <f t="shared" ref="Q14:S14" si="14">+F14</f>
        <v>1-Mémo</v>
      </c>
      <c r="R14" s="653" t="str">
        <f t="shared" si="14"/>
        <v>257</v>
      </c>
      <c r="S14" s="654">
        <f t="shared" si="14"/>
        <v>0</v>
      </c>
      <c r="T14" s="656" t="str">
        <f>+VLOOKUP($L14,Data_Validation!$A:$D,1,0)</f>
        <v>258</v>
      </c>
      <c r="U14" s="656">
        <f>+VLOOKUP($L14,Data_Validation!$A:$D,3,0)</f>
        <v>0</v>
      </c>
      <c r="V14" s="656">
        <f>+VLOOKUP($L14,Data_Validation!$A:$D,4,0)</f>
        <v>0</v>
      </c>
      <c r="W14" s="656">
        <f>+VLOOKUP($L14,Data_Validation!$A:$E,5,0)</f>
        <v>0</v>
      </c>
      <c r="X14" s="656">
        <f>+VLOOKUP($L14,Data_Validation!$A:$F,6,0)</f>
        <v>0</v>
      </c>
    </row>
    <row r="15" spans="1:26" ht="15" customHeight="1">
      <c r="A15" s="1210" t="s">
        <v>3664</v>
      </c>
      <c r="B15" s="1210" t="s">
        <v>1753</v>
      </c>
      <c r="C15" s="1211"/>
      <c r="D15" s="1211"/>
      <c r="E15" s="1211"/>
      <c r="F15" s="1210" t="s">
        <v>2</v>
      </c>
      <c r="G15" s="1210" t="s">
        <v>744</v>
      </c>
      <c r="H15" s="1211"/>
      <c r="I15" s="1212">
        <v>565.45000000000005</v>
      </c>
      <c r="J15" s="1212">
        <v>0</v>
      </c>
      <c r="K15" s="1212">
        <v>565.45000000000005</v>
      </c>
      <c r="L15" s="653" t="str">
        <f t="shared" si="2"/>
        <v>259</v>
      </c>
      <c r="M15" s="654" t="str">
        <f t="shared" si="0"/>
        <v>HEURES VENDUES - SVC - VW - MCI - INTERNE</v>
      </c>
      <c r="N15" s="655">
        <f>+IF(OR($Q15=Parametres!$G$2,$Q15=Parametres!$G$3),I15,C15)</f>
        <v>565.45000000000005</v>
      </c>
      <c r="O15" s="655">
        <f>+IF(OR($Q15=Parametres!$G$2,$Q15=Parametres!$G$3),J15,D15)</f>
        <v>0</v>
      </c>
      <c r="P15" s="655">
        <f>+IF(OR($Q15=Parametres!$G$2,$Q15=Parametres!$G$3),K15,E15)</f>
        <v>565.45000000000005</v>
      </c>
      <c r="Q15" s="654" t="str">
        <f t="shared" ref="Q15:S15" si="15">+F15</f>
        <v>1-Mémo</v>
      </c>
      <c r="R15" s="653" t="str">
        <f t="shared" si="15"/>
        <v>257</v>
      </c>
      <c r="S15" s="654">
        <f t="shared" si="15"/>
        <v>0</v>
      </c>
      <c r="T15" s="656" t="str">
        <f>+VLOOKUP($L15,Data_Validation!$A:$D,1,0)</f>
        <v>259</v>
      </c>
      <c r="U15" s="656">
        <f>+VLOOKUP($L15,Data_Validation!$A:$D,3,0)</f>
        <v>0</v>
      </c>
      <c r="V15" s="656">
        <f>+VLOOKUP($L15,Data_Validation!$A:$D,4,0)</f>
        <v>0</v>
      </c>
      <c r="W15" s="656">
        <f>+VLOOKUP($L15,Data_Validation!$A:$E,5,0)</f>
        <v>0</v>
      </c>
      <c r="X15" s="656">
        <f>+VLOOKUP($L15,Data_Validation!$A:$F,6,0)</f>
        <v>0</v>
      </c>
    </row>
    <row r="16" spans="1:26" ht="15" customHeight="1">
      <c r="A16" s="1210" t="s">
        <v>3945</v>
      </c>
      <c r="B16" s="1210" t="s">
        <v>3946</v>
      </c>
      <c r="C16" s="1211"/>
      <c r="D16" s="1211"/>
      <c r="E16" s="1211"/>
      <c r="F16" s="1210" t="s">
        <v>2</v>
      </c>
      <c r="G16" s="1210" t="s">
        <v>3947</v>
      </c>
      <c r="H16" s="1211"/>
      <c r="I16" s="1212">
        <v>154.94999999999999</v>
      </c>
      <c r="J16" s="1212">
        <v>0</v>
      </c>
      <c r="K16" s="1212">
        <v>154.94999999999999</v>
      </c>
      <c r="L16" s="653" t="str">
        <f t="shared" si="2"/>
        <v>266</v>
      </c>
      <c r="M16" s="654" t="str">
        <f t="shared" si="0"/>
        <v>TAUX MAIN D'OEUVRE - CLIENT - VW - VEB</v>
      </c>
      <c r="N16" s="655">
        <f>+IF(OR($Q16=Parametres!$G$2,$Q16=Parametres!$G$3),I16,C16)</f>
        <v>154.94999999999999</v>
      </c>
      <c r="O16" s="655">
        <f>+IF(OR($Q16=Parametres!$G$2,$Q16=Parametres!$G$3),J16,D16)</f>
        <v>0</v>
      </c>
      <c r="P16" s="655">
        <f>+IF(OR($Q16=Parametres!$G$2,$Q16=Parametres!$G$3),K16,E16)</f>
        <v>154.94999999999999</v>
      </c>
      <c r="Q16" s="654" t="str">
        <f t="shared" ref="Q16:S16" si="16">+F16</f>
        <v>1-Mémo</v>
      </c>
      <c r="R16" s="653" t="str">
        <f t="shared" si="16"/>
        <v>26</v>
      </c>
      <c r="S16" s="654">
        <f t="shared" si="16"/>
        <v>0</v>
      </c>
      <c r="T16" s="656" t="e">
        <f>+VLOOKUP($L16,Data_Validation!$A:$D,1,0)</f>
        <v>#N/A</v>
      </c>
      <c r="U16" s="656" t="e">
        <f>+VLOOKUP($L16,Data_Validation!$A:$D,3,0)</f>
        <v>#N/A</v>
      </c>
      <c r="V16" s="656" t="e">
        <f>+VLOOKUP($L16,Data_Validation!$A:$D,4,0)</f>
        <v>#N/A</v>
      </c>
      <c r="W16" s="656" t="e">
        <f>+VLOOKUP($L16,Data_Validation!$A:$E,5,0)</f>
        <v>#N/A</v>
      </c>
      <c r="X16" s="656" t="e">
        <f>+VLOOKUP($L16,Data_Validation!$A:$F,6,0)</f>
        <v>#N/A</v>
      </c>
    </row>
    <row r="17" spans="1:24" ht="15" customHeight="1">
      <c r="A17" s="1210" t="s">
        <v>3948</v>
      </c>
      <c r="B17" s="1210" t="s">
        <v>3949</v>
      </c>
      <c r="C17" s="1211"/>
      <c r="D17" s="1211"/>
      <c r="E17" s="1211"/>
      <c r="F17" s="1210" t="s">
        <v>2</v>
      </c>
      <c r="G17" s="1210" t="s">
        <v>3947</v>
      </c>
      <c r="H17" s="1211"/>
      <c r="I17" s="1212">
        <v>142.97</v>
      </c>
      <c r="J17" s="1212">
        <v>0</v>
      </c>
      <c r="K17" s="1212">
        <v>142.97</v>
      </c>
      <c r="L17" s="653" t="str">
        <f t="shared" si="2"/>
        <v>267</v>
      </c>
      <c r="M17" s="654" t="str">
        <f t="shared" si="0"/>
        <v>TAUX MAIN D'OEUVRE - GARANTIE - VW - VEB</v>
      </c>
      <c r="N17" s="655">
        <f>+IF(OR($Q17=Parametres!$G$2,$Q17=Parametres!$G$3),I17,C17)</f>
        <v>142.97</v>
      </c>
      <c r="O17" s="655">
        <f>+IF(OR($Q17=Parametres!$G$2,$Q17=Parametres!$G$3),J17,D17)</f>
        <v>0</v>
      </c>
      <c r="P17" s="655">
        <f>+IF(OR($Q17=Parametres!$G$2,$Q17=Parametres!$G$3),K17,E17)</f>
        <v>142.97</v>
      </c>
      <c r="Q17" s="654" t="str">
        <f t="shared" ref="Q17:S17" si="17">+F17</f>
        <v>1-Mémo</v>
      </c>
      <c r="R17" s="653" t="str">
        <f t="shared" si="17"/>
        <v>26</v>
      </c>
      <c r="S17" s="654">
        <f t="shared" si="17"/>
        <v>0</v>
      </c>
      <c r="T17" s="656" t="e">
        <f>+VLOOKUP($L17,Data_Validation!$A:$D,1,0)</f>
        <v>#N/A</v>
      </c>
      <c r="U17" s="656" t="e">
        <f>+VLOOKUP($L17,Data_Validation!$A:$D,3,0)</f>
        <v>#N/A</v>
      </c>
      <c r="V17" s="656" t="e">
        <f>+VLOOKUP($L17,Data_Validation!$A:$D,4,0)</f>
        <v>#N/A</v>
      </c>
      <c r="W17" s="656" t="e">
        <f>+VLOOKUP($L17,Data_Validation!$A:$E,5,0)</f>
        <v>#N/A</v>
      </c>
      <c r="X17" s="656" t="e">
        <f>+VLOOKUP($L17,Data_Validation!$A:$F,6,0)</f>
        <v>#N/A</v>
      </c>
    </row>
    <row r="18" spans="1:24" ht="15" customHeight="1">
      <c r="A18" s="1210" t="s">
        <v>3950</v>
      </c>
      <c r="B18" s="1210" t="s">
        <v>3951</v>
      </c>
      <c r="C18" s="1211"/>
      <c r="D18" s="1211"/>
      <c r="E18" s="1211"/>
      <c r="F18" s="1210" t="s">
        <v>2</v>
      </c>
      <c r="G18" s="1210" t="s">
        <v>3947</v>
      </c>
      <c r="H18" s="1211"/>
      <c r="I18" s="1212">
        <v>154.94999999999999</v>
      </c>
      <c r="J18" s="1212">
        <v>0</v>
      </c>
      <c r="K18" s="1212">
        <v>154.94999999999999</v>
      </c>
      <c r="L18" s="653" t="str">
        <f t="shared" si="2"/>
        <v>268</v>
      </c>
      <c r="M18" s="654" t="str">
        <f t="shared" si="0"/>
        <v>TAUX MAIN D'OEUVRE - INTERNE - VW - VEB</v>
      </c>
      <c r="N18" s="655">
        <f>+IF(OR($Q18=Parametres!$G$2,$Q18=Parametres!$G$3),I18,C18)</f>
        <v>154.94999999999999</v>
      </c>
      <c r="O18" s="655">
        <f>+IF(OR($Q18=Parametres!$G$2,$Q18=Parametres!$G$3),J18,D18)</f>
        <v>0</v>
      </c>
      <c r="P18" s="655">
        <f>+IF(OR($Q18=Parametres!$G$2,$Q18=Parametres!$G$3),K18,E18)</f>
        <v>154.94999999999999</v>
      </c>
      <c r="Q18" s="654" t="str">
        <f t="shared" ref="Q18:S18" si="18">+F18</f>
        <v>1-Mémo</v>
      </c>
      <c r="R18" s="653" t="str">
        <f t="shared" si="18"/>
        <v>26</v>
      </c>
      <c r="S18" s="654">
        <f t="shared" si="18"/>
        <v>0</v>
      </c>
      <c r="T18" s="656" t="e">
        <f>+VLOOKUP($L18,Data_Validation!$A:$D,1,0)</f>
        <v>#N/A</v>
      </c>
      <c r="U18" s="656" t="e">
        <f>+VLOOKUP($L18,Data_Validation!$A:$D,3,0)</f>
        <v>#N/A</v>
      </c>
      <c r="V18" s="656" t="e">
        <f>+VLOOKUP($L18,Data_Validation!$A:$D,4,0)</f>
        <v>#N/A</v>
      </c>
      <c r="W18" s="656" t="e">
        <f>+VLOOKUP($L18,Data_Validation!$A:$E,5,0)</f>
        <v>#N/A</v>
      </c>
      <c r="X18" s="656" t="e">
        <f>+VLOOKUP($L18,Data_Validation!$A:$F,6,0)</f>
        <v>#N/A</v>
      </c>
    </row>
    <row r="19" spans="1:24" ht="15" customHeight="1">
      <c r="A19" s="1210" t="s">
        <v>3952</v>
      </c>
      <c r="B19" s="1210" t="s">
        <v>3953</v>
      </c>
      <c r="C19" s="1211"/>
      <c r="D19" s="1211"/>
      <c r="E19" s="1211"/>
      <c r="F19" s="1210" t="s">
        <v>2</v>
      </c>
      <c r="G19" s="1210" t="s">
        <v>3947</v>
      </c>
      <c r="H19" s="1211"/>
      <c r="I19" s="1212">
        <v>75</v>
      </c>
      <c r="J19" s="1212">
        <v>0</v>
      </c>
      <c r="K19" s="1212">
        <v>75</v>
      </c>
      <c r="L19" s="653" t="str">
        <f t="shared" si="2"/>
        <v>269</v>
      </c>
      <c r="M19" s="654" t="str">
        <f t="shared" si="0"/>
        <v>TAUX MAIN D'OEUVRE - BODY - VW - VEB</v>
      </c>
      <c r="N19" s="655">
        <f>+IF(OR($Q19=Parametres!$G$2,$Q19=Parametres!$G$3),I19,C19)</f>
        <v>75</v>
      </c>
      <c r="O19" s="659">
        <f>+IF(OR($Q19=Parametres!$G$2,$Q19=Parametres!$G$3),J19,D19)</f>
        <v>0</v>
      </c>
      <c r="P19" s="655">
        <f>+IF(OR($Q19=Parametres!$G$2,$Q19=Parametres!$G$3),K19,E19)</f>
        <v>75</v>
      </c>
      <c r="Q19" s="654" t="str">
        <f t="shared" ref="Q19:S19" si="19">+F19</f>
        <v>1-Mémo</v>
      </c>
      <c r="R19" s="653" t="str">
        <f t="shared" si="19"/>
        <v>26</v>
      </c>
      <c r="S19" s="654">
        <f t="shared" si="19"/>
        <v>0</v>
      </c>
      <c r="T19" s="656" t="e">
        <f>+VLOOKUP($L19,Data_Validation!$A:$D,1,0)</f>
        <v>#N/A</v>
      </c>
      <c r="U19" s="656" t="e">
        <f>+VLOOKUP($L19,Data_Validation!$A:$D,3,0)</f>
        <v>#N/A</v>
      </c>
      <c r="V19" s="656" t="e">
        <f>+VLOOKUP($L19,Data_Validation!$A:$D,4,0)</f>
        <v>#N/A</v>
      </c>
      <c r="W19" s="656" t="e">
        <f>+VLOOKUP($L19,Data_Validation!$A:$E,5,0)</f>
        <v>#N/A</v>
      </c>
      <c r="X19" s="656" t="e">
        <f>+VLOOKUP($L19,Data_Validation!$A:$F,6,0)</f>
        <v>#N/A</v>
      </c>
    </row>
    <row r="20" spans="1:24" ht="15" customHeight="1">
      <c r="A20" s="1210" t="s">
        <v>747</v>
      </c>
      <c r="B20" s="1210" t="s">
        <v>1763</v>
      </c>
      <c r="C20" s="1211"/>
      <c r="D20" s="1211"/>
      <c r="E20" s="1211"/>
      <c r="F20" s="1210" t="s">
        <v>2</v>
      </c>
      <c r="G20" s="1210" t="s">
        <v>748</v>
      </c>
      <c r="H20" s="1211"/>
      <c r="I20" s="1212">
        <v>16183.46</v>
      </c>
      <c r="J20" s="1212">
        <v>0</v>
      </c>
      <c r="K20" s="1212">
        <v>16183.46</v>
      </c>
      <c r="L20" s="653" t="str">
        <f t="shared" si="2"/>
        <v>300</v>
      </c>
      <c r="M20" s="654" t="str">
        <f t="shared" si="0"/>
        <v>REC VEH PASSE DU 30-60</v>
      </c>
      <c r="N20" s="655">
        <f>+IF(OR($Q20=Parametres!$G$2,$Q20=Parametres!$G$3),I20,C20)</f>
        <v>16183.46</v>
      </c>
      <c r="O20" s="655">
        <f>+IF(OR($Q20=Parametres!$G$2,$Q20=Parametres!$G$3),J20,D20)</f>
        <v>0</v>
      </c>
      <c r="P20" s="655">
        <f>+IF(OR($Q20=Parametres!$G$2,$Q20=Parametres!$G$3),K20,E20)</f>
        <v>16183.46</v>
      </c>
      <c r="Q20" s="654" t="str">
        <f t="shared" ref="Q20:S20" si="20">+F20</f>
        <v>1-Mémo</v>
      </c>
      <c r="R20" s="653" t="str">
        <f t="shared" si="20"/>
        <v>30</v>
      </c>
      <c r="S20" s="654">
        <f t="shared" si="20"/>
        <v>0</v>
      </c>
      <c r="T20" s="656" t="str">
        <f>+VLOOKUP($L20,Data_Validation!$A:$D,1,0)</f>
        <v>300</v>
      </c>
      <c r="U20" s="656">
        <f>+VLOOKUP($L20,Data_Validation!$A:$D,3,0)</f>
        <v>0</v>
      </c>
      <c r="V20" s="656">
        <f>+VLOOKUP($L20,Data_Validation!$A:$D,4,0)</f>
        <v>0</v>
      </c>
      <c r="W20" s="656">
        <f>+VLOOKUP($L20,Data_Validation!$A:$E,5,0)</f>
        <v>0</v>
      </c>
      <c r="X20" s="656">
        <f>+VLOOKUP($L20,Data_Validation!$A:$F,6,0)</f>
        <v>0</v>
      </c>
    </row>
    <row r="21" spans="1:24" ht="15" customHeight="1">
      <c r="A21" s="1210" t="s">
        <v>749</v>
      </c>
      <c r="B21" s="1210" t="s">
        <v>1774</v>
      </c>
      <c r="C21" s="1211"/>
      <c r="D21" s="1211"/>
      <c r="E21" s="1211"/>
      <c r="F21" s="1210" t="s">
        <v>2</v>
      </c>
      <c r="G21" s="1210" t="s">
        <v>748</v>
      </c>
      <c r="H21" s="1211"/>
      <c r="I21" s="1212">
        <v>31546.94</v>
      </c>
      <c r="J21" s="1212">
        <v>0</v>
      </c>
      <c r="K21" s="1212">
        <v>31546.94</v>
      </c>
      <c r="L21" s="653" t="str">
        <f t="shared" si="2"/>
        <v>301</v>
      </c>
      <c r="M21" s="654" t="str">
        <f t="shared" si="0"/>
        <v>CLIENT S P ET A PASSE DU 30-60</v>
      </c>
      <c r="N21" s="655">
        <f>+IF(OR($Q21=Parametres!$G$2,$Q21=Parametres!$G$3),I21,C21)</f>
        <v>31546.94</v>
      </c>
      <c r="O21" s="655">
        <f>+IF(OR($Q21=Parametres!$G$2,$Q21=Parametres!$G$3),J21,D21)</f>
        <v>0</v>
      </c>
      <c r="P21" s="655">
        <f>+IF(OR($Q21=Parametres!$G$2,$Q21=Parametres!$G$3),K21,E21)</f>
        <v>31546.94</v>
      </c>
      <c r="Q21" s="654" t="str">
        <f t="shared" ref="Q21:S21" si="21">+F21</f>
        <v>1-Mémo</v>
      </c>
      <c r="R21" s="653" t="str">
        <f t="shared" si="21"/>
        <v>30</v>
      </c>
      <c r="S21" s="654">
        <f t="shared" si="21"/>
        <v>0</v>
      </c>
      <c r="T21" s="656" t="str">
        <f>+VLOOKUP($L21,Data_Validation!$A:$D,1,0)</f>
        <v>301</v>
      </c>
      <c r="U21" s="656">
        <f>+VLOOKUP($L21,Data_Validation!$A:$D,3,0)</f>
        <v>0</v>
      </c>
      <c r="V21" s="656">
        <f>+VLOOKUP($L21,Data_Validation!$A:$D,4,0)</f>
        <v>0</v>
      </c>
      <c r="W21" s="656">
        <f>+VLOOKUP($L21,Data_Validation!$A:$E,5,0)</f>
        <v>0</v>
      </c>
      <c r="X21" s="656">
        <f>+VLOOKUP($L21,Data_Validation!$A:$F,6,0)</f>
        <v>0</v>
      </c>
    </row>
    <row r="22" spans="1:24" ht="15" customHeight="1">
      <c r="A22" s="1210" t="s">
        <v>750</v>
      </c>
      <c r="B22" s="1210" t="s">
        <v>1777</v>
      </c>
      <c r="C22" s="1211"/>
      <c r="D22" s="1211"/>
      <c r="E22" s="1211"/>
      <c r="F22" s="1210" t="s">
        <v>2</v>
      </c>
      <c r="G22" s="1210" t="s">
        <v>748</v>
      </c>
      <c r="H22" s="1211"/>
      <c r="I22" s="1212">
        <v>9549.02</v>
      </c>
      <c r="J22" s="1212">
        <v>0</v>
      </c>
      <c r="K22" s="1212">
        <v>9549.02</v>
      </c>
      <c r="L22" s="653" t="str">
        <f t="shared" si="2"/>
        <v>302</v>
      </c>
      <c r="M22" s="654" t="str">
        <f t="shared" si="0"/>
        <v>RECLAM GARANTIE VW PASSE DU 30-60</v>
      </c>
      <c r="N22" s="655">
        <f>+IF(OR($Q22=Parametres!$G$2,$Q22=Parametres!$G$3),I22,C22)</f>
        <v>9549.02</v>
      </c>
      <c r="O22" s="655">
        <f>+IF(OR($Q22=Parametres!$G$2,$Q22=Parametres!$G$3),J22,D22)</f>
        <v>0</v>
      </c>
      <c r="P22" s="655">
        <f>+IF(OR($Q22=Parametres!$G$2,$Q22=Parametres!$G$3),K22,E22)</f>
        <v>9549.02</v>
      </c>
      <c r="Q22" s="654" t="str">
        <f t="shared" ref="Q22:S22" si="22">+F22</f>
        <v>1-Mémo</v>
      </c>
      <c r="R22" s="653" t="str">
        <f t="shared" si="22"/>
        <v>30</v>
      </c>
      <c r="S22" s="654">
        <f t="shared" si="22"/>
        <v>0</v>
      </c>
      <c r="T22" s="656" t="str">
        <f>+VLOOKUP($L22,Data_Validation!$A:$D,1,0)</f>
        <v>302</v>
      </c>
      <c r="U22" s="656">
        <f>+VLOOKUP($L22,Data_Validation!$A:$D,3,0)</f>
        <v>0</v>
      </c>
      <c r="V22" s="656">
        <f>+VLOOKUP($L22,Data_Validation!$A:$D,4,0)</f>
        <v>0</v>
      </c>
      <c r="W22" s="656">
        <f>+VLOOKUP($L22,Data_Validation!$A:$E,5,0)</f>
        <v>0</v>
      </c>
      <c r="X22" s="656">
        <f>+VLOOKUP($L22,Data_Validation!$A:$F,6,0)</f>
        <v>0</v>
      </c>
    </row>
    <row r="23" spans="1:24" ht="15" customHeight="1">
      <c r="A23" s="1210" t="s">
        <v>751</v>
      </c>
      <c r="B23" s="1210" t="s">
        <v>1780</v>
      </c>
      <c r="C23" s="1211"/>
      <c r="D23" s="1211"/>
      <c r="E23" s="1211"/>
      <c r="F23" s="1210" t="s">
        <v>2</v>
      </c>
      <c r="G23" s="1210" t="s">
        <v>748</v>
      </c>
      <c r="H23" s="1211"/>
      <c r="I23" s="1212">
        <v>181250</v>
      </c>
      <c r="J23" s="1212">
        <v>0</v>
      </c>
      <c r="K23" s="1212">
        <v>181250</v>
      </c>
      <c r="L23" s="653" t="str">
        <f t="shared" si="2"/>
        <v>307</v>
      </c>
      <c r="M23" s="654" t="str">
        <f t="shared" si="0"/>
        <v>AUTRE REC MANUFACTURIER VW PASSE DU 30-60</v>
      </c>
      <c r="N23" s="655">
        <f>+IF(OR($Q23=Parametres!$G$2,$Q23=Parametres!$G$3),I23,C23)</f>
        <v>181250</v>
      </c>
      <c r="O23" s="655">
        <f>+IF(OR($Q23=Parametres!$G$2,$Q23=Parametres!$G$3),J23,D23)</f>
        <v>0</v>
      </c>
      <c r="P23" s="655">
        <f>+IF(OR($Q23=Parametres!$G$2,$Q23=Parametres!$G$3),K23,E23)</f>
        <v>181250</v>
      </c>
      <c r="Q23" s="654" t="str">
        <f t="shared" ref="Q23:S23" si="23">+F23</f>
        <v>1-Mémo</v>
      </c>
      <c r="R23" s="653" t="str">
        <f t="shared" si="23"/>
        <v>30</v>
      </c>
      <c r="S23" s="654">
        <f t="shared" si="23"/>
        <v>0</v>
      </c>
      <c r="T23" s="656" t="str">
        <f>+VLOOKUP($L23,Data_Validation!$A:$D,1,0)</f>
        <v>307</v>
      </c>
      <c r="U23" s="656">
        <f>+VLOOKUP($L23,Data_Validation!$A:$D,3,0)</f>
        <v>0</v>
      </c>
      <c r="V23" s="656">
        <f>+VLOOKUP($L23,Data_Validation!$A:$D,4,0)</f>
        <v>0</v>
      </c>
      <c r="W23" s="656">
        <f>+VLOOKUP($L23,Data_Validation!$A:$E,5,0)</f>
        <v>0</v>
      </c>
      <c r="X23" s="656">
        <f>+VLOOKUP($L23,Data_Validation!$A:$F,6,0)</f>
        <v>0</v>
      </c>
    </row>
    <row r="24" spans="1:24" ht="15" customHeight="1">
      <c r="A24" s="1210" t="s">
        <v>752</v>
      </c>
      <c r="B24" s="1210" t="s">
        <v>1783</v>
      </c>
      <c r="C24" s="1211"/>
      <c r="D24" s="1211"/>
      <c r="E24" s="1211"/>
      <c r="F24" s="1210" t="s">
        <v>2</v>
      </c>
      <c r="G24" s="1210" t="s">
        <v>3325</v>
      </c>
      <c r="H24" s="1211"/>
      <c r="I24" s="1212">
        <v>5362.64</v>
      </c>
      <c r="J24" s="1212">
        <v>0</v>
      </c>
      <c r="K24" s="1212">
        <v>5362.64</v>
      </c>
      <c r="L24" s="653" t="str">
        <f t="shared" si="2"/>
        <v>311</v>
      </c>
      <c r="M24" s="654" t="str">
        <f t="shared" si="0"/>
        <v>CLIENT VEH PLUS DE 60</v>
      </c>
      <c r="N24" s="655">
        <f>+IF(OR($Q24=Parametres!$G$2,$Q24=Parametres!$G$3),I24,C24)</f>
        <v>5362.64</v>
      </c>
      <c r="O24" s="655">
        <f>+IF(OR($Q24=Parametres!$G$2,$Q24=Parametres!$G$3),J24,D24)</f>
        <v>0</v>
      </c>
      <c r="P24" s="655">
        <f>+IF(OR($Q24=Parametres!$G$2,$Q24=Parametres!$G$3),K24,E24)</f>
        <v>5362.64</v>
      </c>
      <c r="Q24" s="654" t="str">
        <f t="shared" ref="Q24:S24" si="24">+F24</f>
        <v>1-Mémo</v>
      </c>
      <c r="R24" s="653" t="str">
        <f t="shared" si="24"/>
        <v>31</v>
      </c>
      <c r="S24" s="654">
        <f t="shared" si="24"/>
        <v>0</v>
      </c>
      <c r="T24" s="656" t="str">
        <f>+VLOOKUP($L24,Data_Validation!$A:$D,1,0)</f>
        <v>311</v>
      </c>
      <c r="U24" s="656">
        <f>+VLOOKUP($L24,Data_Validation!$A:$D,3,0)</f>
        <v>0</v>
      </c>
      <c r="V24" s="656">
        <f>+VLOOKUP($L24,Data_Validation!$A:$D,4,0)</f>
        <v>0</v>
      </c>
      <c r="W24" s="656">
        <f>+VLOOKUP($L24,Data_Validation!$A:$E,5,0)</f>
        <v>0</v>
      </c>
      <c r="X24" s="656">
        <f>+VLOOKUP($L24,Data_Validation!$A:$F,6,0)</f>
        <v>0</v>
      </c>
    </row>
    <row r="25" spans="1:24" ht="15" customHeight="1">
      <c r="A25" s="1210" t="s">
        <v>753</v>
      </c>
      <c r="B25" s="1210" t="s">
        <v>1786</v>
      </c>
      <c r="C25" s="1211"/>
      <c r="D25" s="1211"/>
      <c r="E25" s="1211"/>
      <c r="F25" s="1210" t="s">
        <v>2</v>
      </c>
      <c r="G25" s="1210" t="s">
        <v>3325</v>
      </c>
      <c r="H25" s="1211"/>
      <c r="I25" s="1212">
        <v>20658.73</v>
      </c>
      <c r="J25" s="1212">
        <v>0</v>
      </c>
      <c r="K25" s="1212">
        <v>20658.73</v>
      </c>
      <c r="L25" s="653" t="str">
        <f t="shared" si="2"/>
        <v>312</v>
      </c>
      <c r="M25" s="654" t="str">
        <f t="shared" si="0"/>
        <v>CLIENT S P ET A PLUS DE 60</v>
      </c>
      <c r="N25" s="655">
        <f>+IF(OR($Q25=Parametres!$G$2,$Q25=Parametres!$G$3),I25,C25)</f>
        <v>20658.73</v>
      </c>
      <c r="O25" s="655">
        <f>+IF(OR($Q25=Parametres!$G$2,$Q25=Parametres!$G$3),J25,D25)</f>
        <v>0</v>
      </c>
      <c r="P25" s="655">
        <f>+IF(OR($Q25=Parametres!$G$2,$Q25=Parametres!$G$3),K25,E25)</f>
        <v>20658.73</v>
      </c>
      <c r="Q25" s="654" t="str">
        <f t="shared" ref="Q25:S25" si="25">+F25</f>
        <v>1-Mémo</v>
      </c>
      <c r="R25" s="653" t="str">
        <f t="shared" si="25"/>
        <v>31</v>
      </c>
      <c r="S25" s="654">
        <f t="shared" si="25"/>
        <v>0</v>
      </c>
      <c r="T25" s="656" t="str">
        <f>+VLOOKUP($L25,Data_Validation!$A:$D,1,0)</f>
        <v>312</v>
      </c>
      <c r="U25" s="656">
        <f>+VLOOKUP($L25,Data_Validation!$A:$D,3,0)</f>
        <v>0</v>
      </c>
      <c r="V25" s="656">
        <f>+VLOOKUP($L25,Data_Validation!$A:$D,4,0)</f>
        <v>0</v>
      </c>
      <c r="W25" s="656">
        <f>+VLOOKUP($L25,Data_Validation!$A:$E,5,0)</f>
        <v>0</v>
      </c>
      <c r="X25" s="656">
        <f>+VLOOKUP($L25,Data_Validation!$A:$F,6,0)</f>
        <v>0</v>
      </c>
    </row>
    <row r="26" spans="1:24" ht="15.75" customHeight="1">
      <c r="A26" s="1210" t="s">
        <v>754</v>
      </c>
      <c r="B26" s="1210" t="s">
        <v>1789</v>
      </c>
      <c r="C26" s="1211"/>
      <c r="D26" s="1211"/>
      <c r="E26" s="1211"/>
      <c r="F26" s="1210" t="s">
        <v>2</v>
      </c>
      <c r="G26" s="1210" t="s">
        <v>3325</v>
      </c>
      <c r="H26" s="1211"/>
      <c r="I26" s="1212">
        <v>3805.69</v>
      </c>
      <c r="J26" s="1212">
        <v>0</v>
      </c>
      <c r="K26" s="1212">
        <v>3805.69</v>
      </c>
      <c r="L26" s="653" t="str">
        <f t="shared" si="2"/>
        <v>313</v>
      </c>
      <c r="M26" s="654" t="str">
        <f t="shared" si="0"/>
        <v>RECLAMATIONS DE GARATIE VW PLUS DE 60</v>
      </c>
      <c r="N26" s="655">
        <f>+IF(OR($Q26=Parametres!$G$2,$Q26=Parametres!$G$3),I26,C26)</f>
        <v>3805.69</v>
      </c>
      <c r="O26" s="655">
        <f>+IF(OR($Q26=Parametres!$G$2,$Q26=Parametres!$G$3),J26,D26)</f>
        <v>0</v>
      </c>
      <c r="P26" s="655">
        <f>+IF(OR($Q26=Parametres!$G$2,$Q26=Parametres!$G$3),K26,E26)</f>
        <v>3805.69</v>
      </c>
      <c r="Q26" s="654" t="str">
        <f t="shared" ref="Q26:S26" si="26">+F26</f>
        <v>1-Mémo</v>
      </c>
      <c r="R26" s="653" t="str">
        <f t="shared" si="26"/>
        <v>31</v>
      </c>
      <c r="S26" s="654">
        <f t="shared" si="26"/>
        <v>0</v>
      </c>
      <c r="T26" s="656" t="str">
        <f>+VLOOKUP($L26,Data_Validation!$A:$D,1,0)</f>
        <v>313</v>
      </c>
      <c r="U26" s="656">
        <f>+VLOOKUP($L26,Data_Validation!$A:$D,3,0)</f>
        <v>0</v>
      </c>
      <c r="V26" s="656">
        <f>+VLOOKUP($L26,Data_Validation!$A:$D,4,0)</f>
        <v>0</v>
      </c>
      <c r="W26" s="656">
        <f>+VLOOKUP($L26,Data_Validation!$A:$E,5,0)</f>
        <v>0</v>
      </c>
      <c r="X26" s="656">
        <f>+VLOOKUP($L26,Data_Validation!$A:$F,6,0)</f>
        <v>0</v>
      </c>
    </row>
    <row r="27" spans="1:24" ht="15" customHeight="1">
      <c r="A27" s="1210" t="s">
        <v>756</v>
      </c>
      <c r="B27" s="1210" t="s">
        <v>1798</v>
      </c>
      <c r="C27" s="1211"/>
      <c r="D27" s="1211"/>
      <c r="E27" s="1211"/>
      <c r="F27" s="1210" t="s">
        <v>2</v>
      </c>
      <c r="G27" s="1210" t="s">
        <v>3326</v>
      </c>
      <c r="H27" s="1211"/>
      <c r="I27" s="1212">
        <v>0.05</v>
      </c>
      <c r="J27" s="1212">
        <v>0</v>
      </c>
      <c r="K27" s="1212">
        <v>0.05</v>
      </c>
      <c r="L27" s="653" t="str">
        <f t="shared" si="2"/>
        <v>350</v>
      </c>
      <c r="M27" s="654" t="str">
        <f t="shared" si="0"/>
        <v>UNITES USAGES +30JRS</v>
      </c>
      <c r="N27" s="655">
        <f>+IF(OR($Q27=Parametres!$G$2,$Q27=Parametres!$G$3),I27,C27)</f>
        <v>0.05</v>
      </c>
      <c r="O27" s="655">
        <f>+IF(OR($Q27=Parametres!$G$2,$Q27=Parametres!$G$3),J27,D27)</f>
        <v>0</v>
      </c>
      <c r="P27" s="655">
        <f>+IF(OR($Q27=Parametres!$G$2,$Q27=Parametres!$G$3),K27,E27)</f>
        <v>0.05</v>
      </c>
      <c r="Q27" s="654" t="str">
        <f t="shared" ref="Q27:S27" si="27">+F27</f>
        <v>1-Mémo</v>
      </c>
      <c r="R27" s="653" t="str">
        <f t="shared" si="27"/>
        <v>35</v>
      </c>
      <c r="S27" s="654">
        <f t="shared" si="27"/>
        <v>0</v>
      </c>
      <c r="T27" s="656" t="str">
        <f>+VLOOKUP($L27,Data_Validation!$A:$D,1,0)</f>
        <v>350</v>
      </c>
      <c r="U27" s="656">
        <f>+VLOOKUP($L27,Data_Validation!$A:$D,3,0)</f>
        <v>0</v>
      </c>
      <c r="V27" s="656">
        <f>+VLOOKUP($L27,Data_Validation!$A:$D,4,0)</f>
        <v>0</v>
      </c>
      <c r="W27" s="656">
        <f>+VLOOKUP($L27,Data_Validation!$A:$E,5,0)</f>
        <v>0</v>
      </c>
      <c r="X27" s="656">
        <f>+VLOOKUP($L27,Data_Validation!$A:$F,6,0)</f>
        <v>0</v>
      </c>
    </row>
    <row r="28" spans="1:24" ht="15" customHeight="1">
      <c r="A28" s="1210" t="s">
        <v>757</v>
      </c>
      <c r="B28" s="1210" t="s">
        <v>1801</v>
      </c>
      <c r="C28" s="1211"/>
      <c r="D28" s="1211"/>
      <c r="E28" s="1211"/>
      <c r="F28" s="1210" t="s">
        <v>2</v>
      </c>
      <c r="G28" s="1210" t="s">
        <v>3327</v>
      </c>
      <c r="H28" s="1211"/>
      <c r="I28" s="1212">
        <v>86621.759999999995</v>
      </c>
      <c r="J28" s="1212">
        <v>0</v>
      </c>
      <c r="K28" s="1212">
        <v>86621.759999999995</v>
      </c>
      <c r="L28" s="653" t="str">
        <f t="shared" si="2"/>
        <v>360</v>
      </c>
      <c r="M28" s="654" t="str">
        <f t="shared" si="0"/>
        <v>OCCASION VW + 60 JRS</v>
      </c>
      <c r="N28" s="655">
        <f>+IF(OR($Q28=Parametres!$G$2,$Q28=Parametres!$G$3),I28,C28)</f>
        <v>86621.759999999995</v>
      </c>
      <c r="O28" s="655">
        <f>+IF(OR($Q28=Parametres!$G$2,$Q28=Parametres!$G$3),J28,D28)</f>
        <v>0</v>
      </c>
      <c r="P28" s="655">
        <f>+IF(OR($Q28=Parametres!$G$2,$Q28=Parametres!$G$3),K28,E28)</f>
        <v>86621.759999999995</v>
      </c>
      <c r="Q28" s="654" t="str">
        <f t="shared" ref="Q28:S28" si="28">+F28</f>
        <v>1-Mémo</v>
      </c>
      <c r="R28" s="653" t="str">
        <f t="shared" si="28"/>
        <v>36</v>
      </c>
      <c r="S28" s="654">
        <f t="shared" si="28"/>
        <v>0</v>
      </c>
      <c r="T28" s="656" t="str">
        <f>+VLOOKUP($L28,Data_Validation!$A:$D,1,0)</f>
        <v>360</v>
      </c>
      <c r="U28" s="656">
        <f>+VLOOKUP($L28,Data_Validation!$A:$D,3,0)</f>
        <v>0</v>
      </c>
      <c r="V28" s="656">
        <f>+VLOOKUP($L28,Data_Validation!$A:$D,4,0)</f>
        <v>0</v>
      </c>
      <c r="W28" s="656">
        <f>+VLOOKUP($L28,Data_Validation!$A:$E,5,0)</f>
        <v>0</v>
      </c>
      <c r="X28" s="656">
        <f>+VLOOKUP($L28,Data_Validation!$A:$F,6,0)</f>
        <v>0</v>
      </c>
    </row>
    <row r="29" spans="1:24" ht="15" customHeight="1">
      <c r="A29" s="1210" t="s">
        <v>758</v>
      </c>
      <c r="B29" s="1210" t="s">
        <v>1804</v>
      </c>
      <c r="C29" s="1211"/>
      <c r="D29" s="1211"/>
      <c r="E29" s="1211"/>
      <c r="F29" s="1210" t="s">
        <v>2</v>
      </c>
      <c r="G29" s="1210" t="s">
        <v>3328</v>
      </c>
      <c r="H29" s="1211"/>
      <c r="I29" s="1212">
        <v>5293302</v>
      </c>
      <c r="J29" s="1212">
        <v>0</v>
      </c>
      <c r="K29" s="1212">
        <v>5293302</v>
      </c>
      <c r="L29" s="653" t="str">
        <f t="shared" si="2"/>
        <v>370</v>
      </c>
      <c r="M29" s="654" t="str">
        <f t="shared" si="0"/>
        <v>AVOIR DU PROP. MIM. REQUIS</v>
      </c>
      <c r="N29" s="655">
        <f>+IF(OR($Q29=Parametres!$G$2,$Q29=Parametres!$G$3),I29,C29)</f>
        <v>5293302</v>
      </c>
      <c r="O29" s="655">
        <f>+IF(OR($Q29=Parametres!$G$2,$Q29=Parametres!$G$3),J29,D29)</f>
        <v>0</v>
      </c>
      <c r="P29" s="655">
        <f>+IF(OR($Q29=Parametres!$G$2,$Q29=Parametres!$G$3),K29,E29)</f>
        <v>5293302</v>
      </c>
      <c r="Q29" s="654" t="str">
        <f t="shared" ref="Q29:S29" si="29">+F29</f>
        <v>1-Mémo</v>
      </c>
      <c r="R29" s="653" t="str">
        <f t="shared" si="29"/>
        <v>37</v>
      </c>
      <c r="S29" s="654">
        <f t="shared" si="29"/>
        <v>0</v>
      </c>
      <c r="T29" s="656" t="str">
        <f>+VLOOKUP($L29,Data_Validation!$A:$D,1,0)</f>
        <v>370</v>
      </c>
      <c r="U29" s="656">
        <f>+VLOOKUP($L29,Data_Validation!$A:$D,3,0)</f>
        <v>0</v>
      </c>
      <c r="V29" s="656">
        <f>+VLOOKUP($L29,Data_Validation!$A:$D,4,0)</f>
        <v>0</v>
      </c>
      <c r="W29" s="656">
        <f>+VLOOKUP($L29,Data_Validation!$A:$E,5,0)</f>
        <v>0</v>
      </c>
      <c r="X29" s="656">
        <f>+VLOOKUP($L29,Data_Validation!$A:$F,6,0)</f>
        <v>0</v>
      </c>
    </row>
    <row r="30" spans="1:24" ht="15" customHeight="1">
      <c r="A30" s="1210" t="s">
        <v>759</v>
      </c>
      <c r="B30" s="1210" t="s">
        <v>1807</v>
      </c>
      <c r="C30" s="1211"/>
      <c r="D30" s="1211"/>
      <c r="E30" s="1211"/>
      <c r="F30" s="1210" t="s">
        <v>2</v>
      </c>
      <c r="G30" s="1210" t="s">
        <v>3328</v>
      </c>
      <c r="H30" s="1211"/>
      <c r="I30" s="1212">
        <v>1834098</v>
      </c>
      <c r="J30" s="1212">
        <v>0</v>
      </c>
      <c r="K30" s="1212">
        <v>1834098</v>
      </c>
      <c r="L30" s="653" t="str">
        <f t="shared" si="2"/>
        <v>372</v>
      </c>
      <c r="M30" s="654" t="str">
        <f t="shared" si="0"/>
        <v>FONDS DE ROULEMENT/MIN. REQUIS</v>
      </c>
      <c r="N30" s="655">
        <f>+IF(OR($Q30=Parametres!$G$2,$Q30=Parametres!$G$3),I30,C30)</f>
        <v>1834098</v>
      </c>
      <c r="O30" s="659">
        <f>+IF(OR($Q30=Parametres!$G$2,$Q30=Parametres!$G$3),J30,D30)</f>
        <v>0</v>
      </c>
      <c r="P30" s="655">
        <f>+IF(OR($Q30=Parametres!$G$2,$Q30=Parametres!$G$3),K30,E30)</f>
        <v>1834098</v>
      </c>
      <c r="Q30" s="654" t="str">
        <f t="shared" ref="Q30:S30" si="30">+F30</f>
        <v>1-Mémo</v>
      </c>
      <c r="R30" s="653" t="str">
        <f t="shared" si="30"/>
        <v>37</v>
      </c>
      <c r="S30" s="654">
        <f t="shared" si="30"/>
        <v>0</v>
      </c>
      <c r="T30" s="656" t="str">
        <f>+VLOOKUP($L30,Data_Validation!$A:$D,1,0)</f>
        <v>372</v>
      </c>
      <c r="U30" s="656">
        <f>+VLOOKUP($L30,Data_Validation!$A:$D,3,0)</f>
        <v>0</v>
      </c>
      <c r="V30" s="656">
        <f>+VLOOKUP($L30,Data_Validation!$A:$D,4,0)</f>
        <v>0</v>
      </c>
      <c r="W30" s="656">
        <f>+VLOOKUP($L30,Data_Validation!$A:$E,5,0)</f>
        <v>0</v>
      </c>
      <c r="X30" s="656">
        <f>+VLOOKUP($L30,Data_Validation!$A:$F,6,0)</f>
        <v>0</v>
      </c>
    </row>
    <row r="31" spans="1:24" ht="15" customHeight="1">
      <c r="A31" s="1210" t="s">
        <v>760</v>
      </c>
      <c r="B31" s="1210" t="s">
        <v>1812</v>
      </c>
      <c r="C31" s="1211"/>
      <c r="D31" s="1211"/>
      <c r="E31" s="1211"/>
      <c r="F31" s="1210" t="s">
        <v>2</v>
      </c>
      <c r="G31" s="1210" t="s">
        <v>761</v>
      </c>
      <c r="H31" s="1211"/>
      <c r="I31" s="1212">
        <v>0.54</v>
      </c>
      <c r="J31" s="1212">
        <v>0</v>
      </c>
      <c r="K31" s="1212">
        <v>0.54</v>
      </c>
      <c r="L31" s="653" t="str">
        <f t="shared" si="2"/>
        <v>401</v>
      </c>
      <c r="M31" s="654" t="str">
        <f t="shared" si="0"/>
        <v>UNITES NEUVES VENDUES JANVIER</v>
      </c>
      <c r="N31" s="655">
        <f>+IF(OR($Q31=Parametres!$G$2,$Q31=Parametres!$G$3),I31,C31)</f>
        <v>0.54</v>
      </c>
      <c r="O31" s="655">
        <f>+IF(OR($Q31=Parametres!$G$2,$Q31=Parametres!$G$3),J31,D31)</f>
        <v>0</v>
      </c>
      <c r="P31" s="655">
        <f>+IF(OR($Q31=Parametres!$G$2,$Q31=Parametres!$G$3),K31,E31)</f>
        <v>0.54</v>
      </c>
      <c r="Q31" s="654" t="str">
        <f t="shared" ref="Q31:S31" si="31">+F31</f>
        <v>1-Mémo</v>
      </c>
      <c r="R31" s="653" t="str">
        <f t="shared" si="31"/>
        <v>40</v>
      </c>
      <c r="S31" s="654">
        <f t="shared" si="31"/>
        <v>0</v>
      </c>
      <c r="T31" s="656" t="str">
        <f>+VLOOKUP($L31,Data_Validation!$A:$D,1,0)</f>
        <v>401</v>
      </c>
      <c r="U31" s="656">
        <f>+VLOOKUP($L31,Data_Validation!$A:$D,3,0)</f>
        <v>0</v>
      </c>
      <c r="V31" s="656">
        <f>+VLOOKUP($L31,Data_Validation!$A:$D,4,0)</f>
        <v>0</v>
      </c>
      <c r="W31" s="656">
        <f>+VLOOKUP($L31,Data_Validation!$A:$E,5,0)</f>
        <v>0</v>
      </c>
      <c r="X31" s="656">
        <f>+VLOOKUP($L31,Data_Validation!$A:$F,6,0)</f>
        <v>0</v>
      </c>
    </row>
    <row r="32" spans="1:24" ht="15" customHeight="1">
      <c r="A32" s="1210" t="s">
        <v>773</v>
      </c>
      <c r="B32" s="1210" t="s">
        <v>1905</v>
      </c>
      <c r="C32" s="1211"/>
      <c r="D32" s="1211"/>
      <c r="E32" s="1211"/>
      <c r="F32" s="1210" t="s">
        <v>2</v>
      </c>
      <c r="G32" s="1210" t="s">
        <v>3329</v>
      </c>
      <c r="H32" s="1211"/>
      <c r="I32" s="1212">
        <v>0.24</v>
      </c>
      <c r="J32" s="1212">
        <v>0</v>
      </c>
      <c r="K32" s="1212">
        <v>0.24</v>
      </c>
      <c r="L32" s="653" t="str">
        <f t="shared" si="2"/>
        <v>421</v>
      </c>
      <c r="M32" s="654" t="str">
        <f t="shared" si="0"/>
        <v>UNITES USAGES DET./ JANV.</v>
      </c>
      <c r="N32" s="655">
        <f>+IF(OR($Q32=Parametres!$G$2,$Q32=Parametres!$G$3),I32,C32)</f>
        <v>0.24</v>
      </c>
      <c r="O32" s="659">
        <f>+IF(OR($Q32=Parametres!$G$2,$Q32=Parametres!$G$3),J32,D32)</f>
        <v>0</v>
      </c>
      <c r="P32" s="655">
        <f>+IF(OR($Q32=Parametres!$G$2,$Q32=Parametres!$G$3),K32,E32)</f>
        <v>0.24</v>
      </c>
      <c r="Q32" s="654" t="str">
        <f t="shared" ref="Q32:S32" si="32">+F32</f>
        <v>1-Mémo</v>
      </c>
      <c r="R32" s="653" t="str">
        <f t="shared" si="32"/>
        <v>42</v>
      </c>
      <c r="S32" s="654">
        <f t="shared" si="32"/>
        <v>0</v>
      </c>
      <c r="T32" s="656" t="str">
        <f>+VLOOKUP($L32,Data_Validation!$A:$D,1,0)</f>
        <v>421</v>
      </c>
      <c r="U32" s="656">
        <f>+VLOOKUP($L32,Data_Validation!$A:$D,3,0)</f>
        <v>0</v>
      </c>
      <c r="V32" s="656">
        <f>+VLOOKUP($L32,Data_Validation!$A:$D,4,0)</f>
        <v>0</v>
      </c>
      <c r="W32" s="656">
        <f>+VLOOKUP($L32,Data_Validation!$A:$E,5,0)</f>
        <v>0</v>
      </c>
      <c r="X32" s="656">
        <f>+VLOOKUP($L32,Data_Validation!$A:$F,6,0)</f>
        <v>0</v>
      </c>
    </row>
    <row r="33" spans="1:24" ht="15" customHeight="1">
      <c r="A33" s="1210" t="s">
        <v>784</v>
      </c>
      <c r="B33" s="1210" t="s">
        <v>2055</v>
      </c>
      <c r="C33" s="1211"/>
      <c r="D33" s="1211"/>
      <c r="E33" s="1211"/>
      <c r="F33" s="1210" t="s">
        <v>2</v>
      </c>
      <c r="G33" s="1210" t="s">
        <v>785</v>
      </c>
      <c r="H33" s="1211"/>
      <c r="I33" s="1212">
        <v>1</v>
      </c>
      <c r="J33" s="1212">
        <v>0</v>
      </c>
      <c r="K33" s="1212">
        <v>1</v>
      </c>
      <c r="L33" s="653" t="str">
        <f t="shared" si="2"/>
        <v>500</v>
      </c>
      <c r="M33" s="654" t="str">
        <f t="shared" si="0"/>
        <v>PROPRIETAIRES</v>
      </c>
      <c r="N33" s="655">
        <f>+IF(OR($Q33=Parametres!$G$2,$Q33=Parametres!$G$3),I33,C33)</f>
        <v>1</v>
      </c>
      <c r="O33" s="655">
        <f>+IF(OR($Q33=Parametres!$G$2,$Q33=Parametres!$G$3),J33,D33)</f>
        <v>0</v>
      </c>
      <c r="P33" s="655">
        <f>+IF(OR($Q33=Parametres!$G$2,$Q33=Parametres!$G$3),K33,E33)</f>
        <v>1</v>
      </c>
      <c r="Q33" s="654" t="str">
        <f t="shared" ref="Q33:S33" si="33">+F33</f>
        <v>1-Mémo</v>
      </c>
      <c r="R33" s="653" t="str">
        <f t="shared" si="33"/>
        <v>50</v>
      </c>
      <c r="S33" s="654">
        <f t="shared" si="33"/>
        <v>0</v>
      </c>
      <c r="T33" s="656" t="str">
        <f>+VLOOKUP($L33,Data_Validation!$A:$D,1,0)</f>
        <v>500</v>
      </c>
      <c r="U33" s="656">
        <f>+VLOOKUP($L33,Data_Validation!$A:$D,3,0)</f>
        <v>0</v>
      </c>
      <c r="V33" s="656">
        <f>+VLOOKUP($L33,Data_Validation!$A:$D,4,0)</f>
        <v>0</v>
      </c>
      <c r="W33" s="656" t="str">
        <f>+VLOOKUP($L33,Data_Validation!$A:$E,5,0)</f>
        <v>$</v>
      </c>
      <c r="X33" s="656">
        <f>+VLOOKUP($L33,Data_Validation!$A:$F,6,0)</f>
        <v>0</v>
      </c>
    </row>
    <row r="34" spans="1:24" ht="15.75" customHeight="1">
      <c r="A34" s="1210" t="s">
        <v>786</v>
      </c>
      <c r="B34" s="1210" t="s">
        <v>1113</v>
      </c>
      <c r="C34" s="1211"/>
      <c r="D34" s="1211"/>
      <c r="E34" s="1211"/>
      <c r="F34" s="1210" t="s">
        <v>2</v>
      </c>
      <c r="G34" s="1210" t="s">
        <v>785</v>
      </c>
      <c r="H34" s="1211"/>
      <c r="I34" s="1212">
        <v>0.5</v>
      </c>
      <c r="J34" s="1212">
        <v>0</v>
      </c>
      <c r="K34" s="1212">
        <v>0.5</v>
      </c>
      <c r="L34" s="653" t="str">
        <f t="shared" si="2"/>
        <v>511</v>
      </c>
      <c r="M34" s="654" t="str">
        <f t="shared" si="0"/>
        <v>DIR. GENERAL NEUFS</v>
      </c>
      <c r="N34" s="655">
        <f>+IF(OR($Q34=Parametres!$G$2,$Q34=Parametres!$G$3),I34,C34)</f>
        <v>0.5</v>
      </c>
      <c r="O34" s="655">
        <f>+IF(OR($Q34=Parametres!$G$2,$Q34=Parametres!$G$3),J34,D34)</f>
        <v>0</v>
      </c>
      <c r="P34" s="655">
        <f>+IF(OR($Q34=Parametres!$G$2,$Q34=Parametres!$G$3),K34,E34)</f>
        <v>0.5</v>
      </c>
      <c r="Q34" s="654" t="str">
        <f t="shared" ref="Q34:S34" si="34">+F34</f>
        <v>1-Mémo</v>
      </c>
      <c r="R34" s="653" t="str">
        <f t="shared" si="34"/>
        <v>50</v>
      </c>
      <c r="S34" s="654">
        <f t="shared" si="34"/>
        <v>0</v>
      </c>
      <c r="T34" s="656" t="str">
        <f>+VLOOKUP($L34,Data_Validation!$A:$D,1,0)</f>
        <v>511</v>
      </c>
      <c r="U34" s="656">
        <f>+VLOOKUP($L34,Data_Validation!$A:$D,3,0)</f>
        <v>0</v>
      </c>
      <c r="V34" s="656">
        <f>+VLOOKUP($L34,Data_Validation!$A:$D,4,0)</f>
        <v>0</v>
      </c>
      <c r="W34" s="656" t="str">
        <f>+VLOOKUP($L34,Data_Validation!$A:$E,5,0)</f>
        <v>$</v>
      </c>
      <c r="X34" s="656">
        <f>+VLOOKUP($L34,Data_Validation!$A:$F,6,0)</f>
        <v>0</v>
      </c>
    </row>
    <row r="35" spans="1:24" ht="15" customHeight="1">
      <c r="A35" s="1210" t="s">
        <v>787</v>
      </c>
      <c r="B35" s="1210" t="s">
        <v>2087</v>
      </c>
      <c r="C35" s="1211"/>
      <c r="D35" s="1211"/>
      <c r="E35" s="1211"/>
      <c r="F35" s="1210" t="s">
        <v>2</v>
      </c>
      <c r="G35" s="1210" t="s">
        <v>785</v>
      </c>
      <c r="H35" s="1211"/>
      <c r="I35" s="1212">
        <v>0.5</v>
      </c>
      <c r="J35" s="1212">
        <v>0</v>
      </c>
      <c r="K35" s="1212">
        <v>0.5</v>
      </c>
      <c r="L35" s="653" t="str">
        <f t="shared" si="2"/>
        <v>512</v>
      </c>
      <c r="M35" s="654" t="str">
        <f t="shared" si="0"/>
        <v>DIR. GENERAL USAGES</v>
      </c>
      <c r="N35" s="655">
        <f>+IF(OR($Q35=Parametres!$G$2,$Q35=Parametres!$G$3),I35,C35)</f>
        <v>0.5</v>
      </c>
      <c r="O35" s="655">
        <f>+IF(OR($Q35=Parametres!$G$2,$Q35=Parametres!$G$3),J35,D35)</f>
        <v>0</v>
      </c>
      <c r="P35" s="655">
        <f>+IF(OR($Q35=Parametres!$G$2,$Q35=Parametres!$G$3),K35,E35)</f>
        <v>0.5</v>
      </c>
      <c r="Q35" s="654" t="str">
        <f t="shared" ref="Q35:S35" si="35">+F35</f>
        <v>1-Mémo</v>
      </c>
      <c r="R35" s="653" t="str">
        <f t="shared" si="35"/>
        <v>50</v>
      </c>
      <c r="S35" s="654">
        <f t="shared" si="35"/>
        <v>0</v>
      </c>
      <c r="T35" s="656" t="str">
        <f>+VLOOKUP($L35,Data_Validation!$A:$D,1,0)</f>
        <v>512</v>
      </c>
      <c r="U35" s="656">
        <f>+VLOOKUP($L35,Data_Validation!$A:$D,3,0)</f>
        <v>0</v>
      </c>
      <c r="V35" s="656">
        <f>+VLOOKUP($L35,Data_Validation!$A:$D,4,0)</f>
        <v>0</v>
      </c>
      <c r="W35" s="656" t="str">
        <f>+VLOOKUP($L35,Data_Validation!$A:$E,5,0)</f>
        <v>$</v>
      </c>
      <c r="X35" s="656">
        <f>+VLOOKUP($L35,Data_Validation!$A:$F,6,0)</f>
        <v>0</v>
      </c>
    </row>
    <row r="36" spans="1:24" ht="15" customHeight="1">
      <c r="A36" s="1210" t="s">
        <v>788</v>
      </c>
      <c r="B36" s="1210" t="s">
        <v>1120</v>
      </c>
      <c r="C36" s="1211"/>
      <c r="D36" s="1211"/>
      <c r="E36" s="1211"/>
      <c r="F36" s="1210" t="s">
        <v>2</v>
      </c>
      <c r="G36" s="1210" t="s">
        <v>785</v>
      </c>
      <c r="H36" s="1211"/>
      <c r="I36" s="1212">
        <v>0.5</v>
      </c>
      <c r="J36" s="1212">
        <v>0</v>
      </c>
      <c r="K36" s="1212">
        <v>0.5</v>
      </c>
      <c r="L36" s="653" t="str">
        <f t="shared" si="2"/>
        <v>514</v>
      </c>
      <c r="M36" s="654" t="str">
        <f t="shared" si="0"/>
        <v>DIR. GENERAL SERVICE</v>
      </c>
      <c r="N36" s="655">
        <f>+IF(OR($Q36=Parametres!$G$2,$Q36=Parametres!$G$3),I36,C36)</f>
        <v>0.5</v>
      </c>
      <c r="O36" s="655">
        <f>+IF(OR($Q36=Parametres!$G$2,$Q36=Parametres!$G$3),J36,D36)</f>
        <v>0</v>
      </c>
      <c r="P36" s="655">
        <f>+IF(OR($Q36=Parametres!$G$2,$Q36=Parametres!$G$3),K36,E36)</f>
        <v>0.5</v>
      </c>
      <c r="Q36" s="654" t="str">
        <f t="shared" ref="Q36:S36" si="36">+F36</f>
        <v>1-Mémo</v>
      </c>
      <c r="R36" s="653" t="str">
        <f t="shared" si="36"/>
        <v>50</v>
      </c>
      <c r="S36" s="654">
        <f t="shared" si="36"/>
        <v>0</v>
      </c>
      <c r="T36" s="656" t="str">
        <f>+VLOOKUP($L36,Data_Validation!$A:$D,1,0)</f>
        <v>514</v>
      </c>
      <c r="U36" s="656">
        <f>+VLOOKUP($L36,Data_Validation!$A:$D,3,0)</f>
        <v>0</v>
      </c>
      <c r="V36" s="656">
        <f>+VLOOKUP($L36,Data_Validation!$A:$D,4,0)</f>
        <v>0</v>
      </c>
      <c r="W36" s="656" t="str">
        <f>+VLOOKUP($L36,Data_Validation!$A:$E,5,0)</f>
        <v>$</v>
      </c>
      <c r="X36" s="656">
        <f>+VLOOKUP($L36,Data_Validation!$A:$F,6,0)</f>
        <v>0</v>
      </c>
    </row>
    <row r="37" spans="1:24" ht="15" customHeight="1">
      <c r="A37" s="1210" t="s">
        <v>789</v>
      </c>
      <c r="B37" s="1210" t="s">
        <v>2110</v>
      </c>
      <c r="C37" s="1211"/>
      <c r="D37" s="1211"/>
      <c r="E37" s="1211"/>
      <c r="F37" s="1210" t="s">
        <v>2</v>
      </c>
      <c r="G37" s="1210" t="s">
        <v>785</v>
      </c>
      <c r="H37" s="1211"/>
      <c r="I37" s="1212">
        <v>0.5</v>
      </c>
      <c r="J37" s="1212">
        <v>0</v>
      </c>
      <c r="K37" s="1212">
        <v>0.5</v>
      </c>
      <c r="L37" s="653" t="str">
        <f t="shared" si="2"/>
        <v>517</v>
      </c>
      <c r="M37" s="654" t="str">
        <f t="shared" si="0"/>
        <v>DIR. GENERAL PIECES</v>
      </c>
      <c r="N37" s="655">
        <f>+IF(OR($Q37=Parametres!$G$2,$Q37=Parametres!$G$3),I37,C37)</f>
        <v>0.5</v>
      </c>
      <c r="O37" s="655">
        <f>+IF(OR($Q37=Parametres!$G$2,$Q37=Parametres!$G$3),J37,D37)</f>
        <v>0</v>
      </c>
      <c r="P37" s="655">
        <f>+IF(OR($Q37=Parametres!$G$2,$Q37=Parametres!$G$3),K37,E37)</f>
        <v>0.5</v>
      </c>
      <c r="Q37" s="654" t="str">
        <f t="shared" ref="Q37:S37" si="37">+F37</f>
        <v>1-Mémo</v>
      </c>
      <c r="R37" s="653" t="str">
        <f t="shared" si="37"/>
        <v>50</v>
      </c>
      <c r="S37" s="654">
        <f t="shared" si="37"/>
        <v>0</v>
      </c>
      <c r="T37" s="656" t="str">
        <f>+VLOOKUP($L37,Data_Validation!$A:$D,1,0)</f>
        <v>517</v>
      </c>
      <c r="U37" s="656">
        <f>+VLOOKUP($L37,Data_Validation!$A:$D,3,0)</f>
        <v>0</v>
      </c>
      <c r="V37" s="656">
        <f>+VLOOKUP($L37,Data_Validation!$A:$D,4,0)</f>
        <v>0</v>
      </c>
      <c r="W37" s="656" t="str">
        <f>+VLOOKUP($L37,Data_Validation!$A:$E,5,0)</f>
        <v>$</v>
      </c>
      <c r="X37" s="656">
        <f>+VLOOKUP($L37,Data_Validation!$A:$F,6,0)</f>
        <v>0</v>
      </c>
    </row>
    <row r="38" spans="1:24" ht="15" customHeight="1">
      <c r="A38" s="1210" t="s">
        <v>790</v>
      </c>
      <c r="B38" s="1210" t="s">
        <v>2119</v>
      </c>
      <c r="C38" s="1211"/>
      <c r="D38" s="1211"/>
      <c r="E38" s="1211"/>
      <c r="F38" s="1210" t="s">
        <v>2</v>
      </c>
      <c r="G38" s="1210" t="s">
        <v>785</v>
      </c>
      <c r="H38" s="1211"/>
      <c r="I38" s="1212">
        <v>1.5</v>
      </c>
      <c r="J38" s="1212">
        <v>0</v>
      </c>
      <c r="K38" s="1212">
        <v>1.5</v>
      </c>
      <c r="L38" s="653" t="str">
        <f t="shared" si="2"/>
        <v>521</v>
      </c>
      <c r="M38" s="654" t="str">
        <f t="shared" si="0"/>
        <v>DIR. SERVICE NEUFS</v>
      </c>
      <c r="N38" s="655">
        <f>+IF(OR($Q38=Parametres!$G$2,$Q38=Parametres!$G$3),I38,C38)</f>
        <v>1.5</v>
      </c>
      <c r="O38" s="655">
        <f>+IF(OR($Q38=Parametres!$G$2,$Q38=Parametres!$G$3),J38,D38)</f>
        <v>0</v>
      </c>
      <c r="P38" s="655">
        <f>+IF(OR($Q38=Parametres!$G$2,$Q38=Parametres!$G$3),K38,E38)</f>
        <v>1.5</v>
      </c>
      <c r="Q38" s="654" t="str">
        <f t="shared" ref="Q38:S38" si="38">+F38</f>
        <v>1-Mémo</v>
      </c>
      <c r="R38" s="653" t="str">
        <f t="shared" si="38"/>
        <v>50</v>
      </c>
      <c r="S38" s="654">
        <f t="shared" si="38"/>
        <v>0</v>
      </c>
      <c r="T38" s="656" t="str">
        <f>+VLOOKUP($L38,Data_Validation!$A:$D,1,0)</f>
        <v>521</v>
      </c>
      <c r="U38" s="656">
        <f>+VLOOKUP($L38,Data_Validation!$A:$D,3,0)</f>
        <v>0</v>
      </c>
      <c r="V38" s="656">
        <f>+VLOOKUP($L38,Data_Validation!$A:$D,4,0)</f>
        <v>0</v>
      </c>
      <c r="W38" s="656" t="str">
        <f>+VLOOKUP($L38,Data_Validation!$A:$E,5,0)</f>
        <v>$</v>
      </c>
      <c r="X38" s="656">
        <f>+VLOOKUP($L38,Data_Validation!$A:$F,6,0)</f>
        <v>0</v>
      </c>
    </row>
    <row r="39" spans="1:24" ht="15" customHeight="1">
      <c r="A39" s="1210" t="s">
        <v>791</v>
      </c>
      <c r="B39" s="1210" t="s">
        <v>2128</v>
      </c>
      <c r="C39" s="1211"/>
      <c r="D39" s="1211"/>
      <c r="E39" s="1211"/>
      <c r="F39" s="1210" t="s">
        <v>2</v>
      </c>
      <c r="G39" s="1210" t="s">
        <v>785</v>
      </c>
      <c r="H39" s="1211"/>
      <c r="I39" s="1212">
        <v>1.5</v>
      </c>
      <c r="J39" s="1212">
        <v>0</v>
      </c>
      <c r="K39" s="1212">
        <v>1.5</v>
      </c>
      <c r="L39" s="653" t="str">
        <f t="shared" si="2"/>
        <v>522</v>
      </c>
      <c r="M39" s="654" t="str">
        <f t="shared" si="0"/>
        <v>DIR. SERVICE USAGES</v>
      </c>
      <c r="N39" s="655">
        <f>+IF(OR($Q39=Parametres!$G$2,$Q39=Parametres!$G$3),I39,C39)</f>
        <v>1.5</v>
      </c>
      <c r="O39" s="659">
        <f>+IF(OR($Q39=Parametres!$G$2,$Q39=Parametres!$G$3),J39,D39)</f>
        <v>0</v>
      </c>
      <c r="P39" s="655">
        <f>+IF(OR($Q39=Parametres!$G$2,$Q39=Parametres!$G$3),K39,E39)</f>
        <v>1.5</v>
      </c>
      <c r="Q39" s="654" t="str">
        <f t="shared" ref="Q39:S39" si="39">+F39</f>
        <v>1-Mémo</v>
      </c>
      <c r="R39" s="653" t="str">
        <f t="shared" si="39"/>
        <v>50</v>
      </c>
      <c r="S39" s="654">
        <f t="shared" si="39"/>
        <v>0</v>
      </c>
      <c r="T39" s="656" t="str">
        <f>+VLOOKUP($L39,Data_Validation!$A:$D,1,0)</f>
        <v>522</v>
      </c>
      <c r="U39" s="656">
        <f>+VLOOKUP($L39,Data_Validation!$A:$D,3,0)</f>
        <v>0</v>
      </c>
      <c r="V39" s="656">
        <f>+VLOOKUP($L39,Data_Validation!$A:$D,4,0)</f>
        <v>0</v>
      </c>
      <c r="W39" s="656" t="str">
        <f>+VLOOKUP($L39,Data_Validation!$A:$E,5,0)</f>
        <v>$</v>
      </c>
      <c r="X39" s="656">
        <f>+VLOOKUP($L39,Data_Validation!$A:$F,6,0)</f>
        <v>0</v>
      </c>
    </row>
    <row r="40" spans="1:24" ht="15.75" customHeight="1">
      <c r="A40" s="1210" t="s">
        <v>792</v>
      </c>
      <c r="B40" s="1210" t="s">
        <v>2131</v>
      </c>
      <c r="C40" s="1211"/>
      <c r="D40" s="1211"/>
      <c r="E40" s="1211"/>
      <c r="F40" s="1210" t="s">
        <v>2</v>
      </c>
      <c r="G40" s="1210" t="s">
        <v>785</v>
      </c>
      <c r="H40" s="1211"/>
      <c r="I40" s="1212">
        <v>1</v>
      </c>
      <c r="J40" s="1212">
        <v>0</v>
      </c>
      <c r="K40" s="1212">
        <v>1</v>
      </c>
      <c r="L40" s="653" t="str">
        <f t="shared" si="2"/>
        <v>524</v>
      </c>
      <c r="M40" s="654" t="str">
        <f t="shared" si="0"/>
        <v>DIR. SERVICE SERVICE</v>
      </c>
      <c r="N40" s="655">
        <f>+IF(OR($Q40=Parametres!$G$2,$Q40=Parametres!$G$3),I40,C40)</f>
        <v>1</v>
      </c>
      <c r="O40" s="655">
        <f>+IF(OR($Q40=Parametres!$G$2,$Q40=Parametres!$G$3),J40,D40)</f>
        <v>0</v>
      </c>
      <c r="P40" s="655">
        <f>+IF(OR($Q40=Parametres!$G$2,$Q40=Parametres!$G$3),K40,E40)</f>
        <v>1</v>
      </c>
      <c r="Q40" s="654" t="str">
        <f t="shared" ref="Q40:S40" si="40">+F40</f>
        <v>1-Mémo</v>
      </c>
      <c r="R40" s="653" t="str">
        <f t="shared" si="40"/>
        <v>50</v>
      </c>
      <c r="S40" s="654">
        <f t="shared" si="40"/>
        <v>0</v>
      </c>
      <c r="T40" s="656" t="str">
        <f>+VLOOKUP($L40,Data_Validation!$A:$D,1,0)</f>
        <v>524</v>
      </c>
      <c r="U40" s="656">
        <f>+VLOOKUP($L40,Data_Validation!$A:$D,3,0)</f>
        <v>0</v>
      </c>
      <c r="V40" s="656">
        <f>+VLOOKUP($L40,Data_Validation!$A:$D,4,0)</f>
        <v>0</v>
      </c>
      <c r="W40" s="656" t="str">
        <f>+VLOOKUP($L40,Data_Validation!$A:$E,5,0)</f>
        <v>$</v>
      </c>
      <c r="X40" s="656">
        <f>+VLOOKUP($L40,Data_Validation!$A:$F,6,0)</f>
        <v>0</v>
      </c>
    </row>
    <row r="41" spans="1:24" ht="15" customHeight="1">
      <c r="A41" s="1210" t="s">
        <v>793</v>
      </c>
      <c r="B41" s="1210" t="s">
        <v>2133</v>
      </c>
      <c r="C41" s="1211"/>
      <c r="D41" s="1211"/>
      <c r="E41" s="1211"/>
      <c r="F41" s="1210" t="s">
        <v>2</v>
      </c>
      <c r="G41" s="1210" t="s">
        <v>785</v>
      </c>
      <c r="H41" s="1211"/>
      <c r="I41" s="1212">
        <v>1</v>
      </c>
      <c r="J41" s="1212">
        <v>0</v>
      </c>
      <c r="K41" s="1212">
        <v>1</v>
      </c>
      <c r="L41" s="653" t="str">
        <f t="shared" si="2"/>
        <v>527</v>
      </c>
      <c r="M41" s="654" t="str">
        <f t="shared" si="0"/>
        <v>DIR. SERVICE PIECES</v>
      </c>
      <c r="N41" s="655">
        <f>+IF(OR($Q41=Parametres!$G$2,$Q41=Parametres!$G$3),I41,C41)</f>
        <v>1</v>
      </c>
      <c r="O41" s="659">
        <f>+IF(OR($Q41=Parametres!$G$2,$Q41=Parametres!$G$3),J41,D41)</f>
        <v>0</v>
      </c>
      <c r="P41" s="655">
        <f>+IF(OR($Q41=Parametres!$G$2,$Q41=Parametres!$G$3),K41,E41)</f>
        <v>1</v>
      </c>
      <c r="Q41" s="654" t="str">
        <f t="shared" ref="Q41:S41" si="41">+F41</f>
        <v>1-Mémo</v>
      </c>
      <c r="R41" s="653" t="str">
        <f t="shared" si="41"/>
        <v>50</v>
      </c>
      <c r="S41" s="654">
        <f t="shared" si="41"/>
        <v>0</v>
      </c>
      <c r="T41" s="656" t="str">
        <f>+VLOOKUP($L41,Data_Validation!$A:$D,1,0)</f>
        <v>527</v>
      </c>
      <c r="U41" s="656">
        <f>+VLOOKUP($L41,Data_Validation!$A:$D,3,0)</f>
        <v>0</v>
      </c>
      <c r="V41" s="656">
        <f>+VLOOKUP($L41,Data_Validation!$A:$D,4,0)</f>
        <v>0</v>
      </c>
      <c r="W41" s="656" t="str">
        <f>+VLOOKUP($L41,Data_Validation!$A:$E,5,0)</f>
        <v>$</v>
      </c>
      <c r="X41" s="656">
        <f>+VLOOKUP($L41,Data_Validation!$A:$F,6,0)</f>
        <v>0</v>
      </c>
    </row>
    <row r="42" spans="1:24" ht="15" customHeight="1">
      <c r="A42" s="1210" t="s">
        <v>794</v>
      </c>
      <c r="B42" s="1210" t="s">
        <v>2157</v>
      </c>
      <c r="C42" s="1211"/>
      <c r="D42" s="1211"/>
      <c r="E42" s="1211"/>
      <c r="F42" s="1210" t="s">
        <v>2</v>
      </c>
      <c r="G42" s="1210" t="s">
        <v>3330</v>
      </c>
      <c r="H42" s="1211"/>
      <c r="I42" s="1212">
        <v>6</v>
      </c>
      <c r="J42" s="1212">
        <v>0</v>
      </c>
      <c r="K42" s="1212">
        <v>6</v>
      </c>
      <c r="L42" s="653" t="str">
        <f t="shared" si="2"/>
        <v>541</v>
      </c>
      <c r="M42" s="654" t="str">
        <f t="shared" si="0"/>
        <v>VW REP. DES VENTES - NEUF</v>
      </c>
      <c r="N42" s="655">
        <f>+IF(OR($Q42=Parametres!$G$2,$Q42=Parametres!$G$3),I42,C42)</f>
        <v>6</v>
      </c>
      <c r="O42" s="655">
        <f>+IF(OR($Q42=Parametres!$G$2,$Q42=Parametres!$G$3),J42,D42)</f>
        <v>0</v>
      </c>
      <c r="P42" s="655">
        <f>+IF(OR($Q42=Parametres!$G$2,$Q42=Parametres!$G$3),K42,E42)</f>
        <v>6</v>
      </c>
      <c r="Q42" s="654" t="str">
        <f t="shared" ref="Q42:S42" si="42">+F42</f>
        <v>1-Mémo</v>
      </c>
      <c r="R42" s="653" t="str">
        <f t="shared" si="42"/>
        <v>54</v>
      </c>
      <c r="S42" s="654">
        <f t="shared" si="42"/>
        <v>0</v>
      </c>
      <c r="T42" s="656" t="str">
        <f>+VLOOKUP($L42,Data_Validation!$A:$D,1,0)</f>
        <v>541</v>
      </c>
      <c r="U42" s="656">
        <f>+VLOOKUP($L42,Data_Validation!$A:$D,3,0)</f>
        <v>0</v>
      </c>
      <c r="V42" s="656">
        <f>+VLOOKUP($L42,Data_Validation!$A:$D,4,0)</f>
        <v>0</v>
      </c>
      <c r="W42" s="656" t="str">
        <f>+VLOOKUP($L42,Data_Validation!$A:$E,5,0)</f>
        <v>$</v>
      </c>
      <c r="X42" s="656">
        <f>+VLOOKUP($L42,Data_Validation!$A:$F,6,0)</f>
        <v>0</v>
      </c>
    </row>
    <row r="43" spans="1:24" ht="15" customHeight="1">
      <c r="A43" s="1210" t="s">
        <v>795</v>
      </c>
      <c r="B43" s="1210" t="s">
        <v>2163</v>
      </c>
      <c r="C43" s="1211"/>
      <c r="D43" s="1211"/>
      <c r="E43" s="1211"/>
      <c r="F43" s="1210" t="s">
        <v>2</v>
      </c>
      <c r="G43" s="1210" t="s">
        <v>785</v>
      </c>
      <c r="H43" s="1211"/>
      <c r="I43" s="1212">
        <v>3</v>
      </c>
      <c r="J43" s="1212">
        <v>0</v>
      </c>
      <c r="K43" s="1212">
        <v>3</v>
      </c>
      <c r="L43" s="653" t="str">
        <f t="shared" si="2"/>
        <v>542</v>
      </c>
      <c r="M43" s="654" t="str">
        <f t="shared" si="0"/>
        <v>VW REP. DES VENTES - OCC.</v>
      </c>
      <c r="N43" s="655">
        <f>+IF(OR($Q43=Parametres!$G$2,$Q43=Parametres!$G$3),I43,C43)</f>
        <v>3</v>
      </c>
      <c r="O43" s="655">
        <f>+IF(OR($Q43=Parametres!$G$2,$Q43=Parametres!$G$3),J43,D43)</f>
        <v>0</v>
      </c>
      <c r="P43" s="655">
        <f>+IF(OR($Q43=Parametres!$G$2,$Q43=Parametres!$G$3),K43,E43)</f>
        <v>3</v>
      </c>
      <c r="Q43" s="654" t="str">
        <f t="shared" ref="Q43:S43" si="43">+F43</f>
        <v>1-Mémo</v>
      </c>
      <c r="R43" s="653" t="str">
        <f t="shared" si="43"/>
        <v>50</v>
      </c>
      <c r="S43" s="654">
        <f t="shared" si="43"/>
        <v>0</v>
      </c>
      <c r="T43" s="656" t="str">
        <f>+VLOOKUP($L43,Data_Validation!$A:$D,1,0)</f>
        <v>542</v>
      </c>
      <c r="U43" s="656">
        <f>+VLOOKUP($L43,Data_Validation!$A:$D,3,0)</f>
        <v>0</v>
      </c>
      <c r="V43" s="656">
        <f>+VLOOKUP($L43,Data_Validation!$A:$D,4,0)</f>
        <v>0</v>
      </c>
      <c r="W43" s="656" t="str">
        <f>+VLOOKUP($L43,Data_Validation!$A:$E,5,0)</f>
        <v>$</v>
      </c>
      <c r="X43" s="656">
        <f>+VLOOKUP($L43,Data_Validation!$A:$F,6,0)</f>
        <v>0</v>
      </c>
    </row>
    <row r="44" spans="1:24" ht="15.75" customHeight="1">
      <c r="A44" s="1210" t="s">
        <v>796</v>
      </c>
      <c r="B44" s="1210" t="s">
        <v>2178</v>
      </c>
      <c r="C44" s="1211"/>
      <c r="D44" s="1211"/>
      <c r="E44" s="1211"/>
      <c r="F44" s="1210" t="s">
        <v>2</v>
      </c>
      <c r="G44" s="1210" t="s">
        <v>785</v>
      </c>
      <c r="H44" s="1211"/>
      <c r="I44" s="1212">
        <v>2</v>
      </c>
      <c r="J44" s="1212">
        <v>0</v>
      </c>
      <c r="K44" s="1212">
        <v>2</v>
      </c>
      <c r="L44" s="653" t="str">
        <f t="shared" si="2"/>
        <v>551</v>
      </c>
      <c r="M44" s="654" t="str">
        <f t="shared" si="0"/>
        <v>DIR. COMMERCIAL NEUFS</v>
      </c>
      <c r="N44" s="655">
        <f>+IF(OR($Q44=Parametres!$G$2,$Q44=Parametres!$G$3),I44,C44)</f>
        <v>2</v>
      </c>
      <c r="O44" s="655">
        <f>+IF(OR($Q44=Parametres!$G$2,$Q44=Parametres!$G$3),J44,D44)</f>
        <v>0</v>
      </c>
      <c r="P44" s="655">
        <f>+IF(OR($Q44=Parametres!$G$2,$Q44=Parametres!$G$3),K44,E44)</f>
        <v>2</v>
      </c>
      <c r="Q44" s="654" t="str">
        <f t="shared" ref="Q44:S44" si="44">+F44</f>
        <v>1-Mémo</v>
      </c>
      <c r="R44" s="653" t="str">
        <f t="shared" si="44"/>
        <v>50</v>
      </c>
      <c r="S44" s="654">
        <f t="shared" si="44"/>
        <v>0</v>
      </c>
      <c r="T44" s="656" t="str">
        <f>+VLOOKUP($L44,Data_Validation!$A:$D,1,0)</f>
        <v>551</v>
      </c>
      <c r="U44" s="656">
        <f>+VLOOKUP($L44,Data_Validation!$A:$D,3,0)</f>
        <v>0</v>
      </c>
      <c r="V44" s="656">
        <f>+VLOOKUP($L44,Data_Validation!$A:$D,4,0)</f>
        <v>0</v>
      </c>
      <c r="W44" s="656" t="str">
        <f>+VLOOKUP($L44,Data_Validation!$A:$E,5,0)</f>
        <v>$</v>
      </c>
      <c r="X44" s="656">
        <f>+VLOOKUP($L44,Data_Validation!$A:$F,6,0)</f>
        <v>0</v>
      </c>
    </row>
    <row r="45" spans="1:24" ht="15" customHeight="1">
      <c r="A45" s="1210" t="s">
        <v>797</v>
      </c>
      <c r="B45" s="1210" t="s">
        <v>2181</v>
      </c>
      <c r="C45" s="1211"/>
      <c r="D45" s="1211"/>
      <c r="E45" s="1211"/>
      <c r="F45" s="1210" t="s">
        <v>2</v>
      </c>
      <c r="G45" s="1210" t="s">
        <v>785</v>
      </c>
      <c r="H45" s="1211"/>
      <c r="I45" s="1212">
        <v>1</v>
      </c>
      <c r="J45" s="1212">
        <v>0</v>
      </c>
      <c r="K45" s="1212">
        <v>1</v>
      </c>
      <c r="L45" s="653" t="str">
        <f t="shared" si="2"/>
        <v>552</v>
      </c>
      <c r="M45" s="654" t="str">
        <f t="shared" si="0"/>
        <v>DIR. COMMERCIAL USAGES</v>
      </c>
      <c r="N45" s="655">
        <f>+IF(OR($Q45=Parametres!$G$2,$Q45=Parametres!$G$3),I45,C45)</f>
        <v>1</v>
      </c>
      <c r="O45" s="1154">
        <f>+IF(OR($Q45=Parametres!$G$2,$Q45=Parametres!$G$3),J45,D45)</f>
        <v>0</v>
      </c>
      <c r="P45" s="655">
        <f>+IF(OR($Q45=Parametres!$G$2,$Q45=Parametres!$G$3),K45,E45)</f>
        <v>1</v>
      </c>
      <c r="Q45" s="654" t="str">
        <f t="shared" ref="Q45:S45" si="45">+F45</f>
        <v>1-Mémo</v>
      </c>
      <c r="R45" s="653" t="str">
        <f t="shared" si="45"/>
        <v>50</v>
      </c>
      <c r="S45" s="654">
        <f t="shared" si="45"/>
        <v>0</v>
      </c>
      <c r="T45" s="656" t="str">
        <f>+VLOOKUP($L45,Data_Validation!$A:$D,1,0)</f>
        <v>552</v>
      </c>
      <c r="U45" s="656">
        <f>+VLOOKUP($L45,Data_Validation!$A:$D,3,0)</f>
        <v>0</v>
      </c>
      <c r="V45" s="656">
        <f>+VLOOKUP($L45,Data_Validation!$A:$D,4,0)</f>
        <v>0</v>
      </c>
      <c r="W45" s="656" t="str">
        <f>+VLOOKUP($L45,Data_Validation!$A:$E,5,0)</f>
        <v>$</v>
      </c>
      <c r="X45" s="656">
        <f>+VLOOKUP($L45,Data_Validation!$A:$F,6,0)</f>
        <v>0</v>
      </c>
    </row>
    <row r="46" spans="1:24" ht="15" customHeight="1">
      <c r="A46" s="1210" t="s">
        <v>798</v>
      </c>
      <c r="B46" s="1210" t="s">
        <v>3355</v>
      </c>
      <c r="C46" s="1211"/>
      <c r="D46" s="1211"/>
      <c r="E46" s="1211"/>
      <c r="F46" s="1210" t="s">
        <v>2</v>
      </c>
      <c r="G46" s="1210" t="s">
        <v>785</v>
      </c>
      <c r="H46" s="1211"/>
      <c r="I46" s="1212">
        <v>1</v>
      </c>
      <c r="J46" s="1212">
        <v>0</v>
      </c>
      <c r="K46" s="1212">
        <v>1</v>
      </c>
      <c r="L46" s="653" t="str">
        <f t="shared" si="2"/>
        <v>564</v>
      </c>
      <c r="M46" s="654" t="str">
        <f t="shared" si="0"/>
        <v>CONTREMAITRE SERVICE</v>
      </c>
      <c r="N46" s="655">
        <f>+IF(OR($Q46=Parametres!$G$2,$Q46=Parametres!$G$3),I46,C46)</f>
        <v>1</v>
      </c>
      <c r="O46" s="1154">
        <f>+IF(OR($Q46=Parametres!$G$2,$Q46=Parametres!$G$3),J46,D46)</f>
        <v>0</v>
      </c>
      <c r="P46" s="655">
        <f>+IF(OR($Q46=Parametres!$G$2,$Q46=Parametres!$G$3),K46,E46)</f>
        <v>1</v>
      </c>
      <c r="Q46" s="654" t="str">
        <f t="shared" ref="Q46:S46" si="46">+F46</f>
        <v>1-Mémo</v>
      </c>
      <c r="R46" s="653" t="str">
        <f t="shared" si="46"/>
        <v>50</v>
      </c>
      <c r="S46" s="654">
        <f t="shared" si="46"/>
        <v>0</v>
      </c>
      <c r="T46" s="656" t="str">
        <f>+VLOOKUP($L46,Data_Validation!$A:$D,1,0)</f>
        <v>564</v>
      </c>
      <c r="U46" s="656">
        <f>+VLOOKUP($L46,Data_Validation!$A:$D,3,0)</f>
        <v>0</v>
      </c>
      <c r="V46" s="656">
        <f>+VLOOKUP($L46,Data_Validation!$A:$D,4,0)</f>
        <v>0</v>
      </c>
      <c r="W46" s="656" t="str">
        <f>+VLOOKUP($L46,Data_Validation!$A:$E,5,0)</f>
        <v>$</v>
      </c>
      <c r="X46" s="656">
        <f>+VLOOKUP($L46,Data_Validation!$A:$F,6,0)</f>
        <v>0</v>
      </c>
    </row>
    <row r="47" spans="1:24" ht="15" customHeight="1">
      <c r="A47" s="1210" t="s">
        <v>799</v>
      </c>
      <c r="B47" s="1210" t="s">
        <v>2276</v>
      </c>
      <c r="C47" s="1211"/>
      <c r="D47" s="1211"/>
      <c r="E47" s="1211"/>
      <c r="F47" s="1210" t="s">
        <v>2</v>
      </c>
      <c r="G47" s="1210" t="s">
        <v>3331</v>
      </c>
      <c r="H47" s="1211"/>
      <c r="I47" s="1212">
        <v>4</v>
      </c>
      <c r="J47" s="1212">
        <v>0</v>
      </c>
      <c r="K47" s="1212">
        <v>4</v>
      </c>
      <c r="L47" s="653" t="str">
        <f t="shared" si="2"/>
        <v>614</v>
      </c>
      <c r="M47" s="654" t="str">
        <f t="shared" si="0"/>
        <v>VW CONSEILLERS SERVICE -SERVICE</v>
      </c>
      <c r="N47" s="655">
        <f>+IF(OR($Q47=Parametres!$G$2,$Q47=Parametres!$G$3),I47,C47)</f>
        <v>4</v>
      </c>
      <c r="O47" s="655">
        <f>+IF(OR($Q47=Parametres!$G$2,$Q47=Parametres!$G$3),J47,D47)</f>
        <v>0</v>
      </c>
      <c r="P47" s="655">
        <f>+IF(OR($Q47=Parametres!$G$2,$Q47=Parametres!$G$3),K47,E47)</f>
        <v>4</v>
      </c>
      <c r="Q47" s="654" t="str">
        <f t="shared" ref="Q47:S47" si="47">+F47</f>
        <v>1-Mémo</v>
      </c>
      <c r="R47" s="653" t="str">
        <f t="shared" si="47"/>
        <v>61</v>
      </c>
      <c r="S47" s="654">
        <f t="shared" si="47"/>
        <v>0</v>
      </c>
      <c r="T47" s="656" t="str">
        <f>+VLOOKUP($L47,Data_Validation!$A:$D,1,0)</f>
        <v>614</v>
      </c>
      <c r="U47" s="656">
        <f>+VLOOKUP($L47,Data_Validation!$A:$D,3,0)</f>
        <v>0</v>
      </c>
      <c r="V47" s="656">
        <f>+VLOOKUP($L47,Data_Validation!$A:$D,4,0)</f>
        <v>0</v>
      </c>
      <c r="W47" s="656" t="str">
        <f>+VLOOKUP($L47,Data_Validation!$A:$E,5,0)</f>
        <v>$</v>
      </c>
      <c r="X47" s="656">
        <f>+VLOOKUP($L47,Data_Validation!$A:$F,6,0)</f>
        <v>0</v>
      </c>
    </row>
    <row r="48" spans="1:24" ht="15.75" customHeight="1">
      <c r="A48" s="1210" t="s">
        <v>800</v>
      </c>
      <c r="B48" s="1210" t="s">
        <v>1208</v>
      </c>
      <c r="C48" s="1211"/>
      <c r="D48" s="1211"/>
      <c r="E48" s="1211"/>
      <c r="F48" s="1210" t="s">
        <v>2</v>
      </c>
      <c r="G48" s="1210" t="s">
        <v>3331</v>
      </c>
      <c r="H48" s="1211"/>
      <c r="I48" s="1212">
        <v>1</v>
      </c>
      <c r="J48" s="1212">
        <v>0</v>
      </c>
      <c r="K48" s="1212">
        <v>1</v>
      </c>
      <c r="L48" s="653" t="str">
        <f t="shared" si="2"/>
        <v>615</v>
      </c>
      <c r="M48" s="654" t="str">
        <f t="shared" si="0"/>
        <v>VW CONSEILLERS SERVICE - PIEC. &amp; CARR.&lt;</v>
      </c>
      <c r="N48" s="655">
        <f>+IF(OR($Q48=Parametres!$G$2,$Q48=Parametres!$G$3),I48,C48)</f>
        <v>1</v>
      </c>
      <c r="O48" s="655">
        <f>+IF(OR($Q48=Parametres!$G$2,$Q48=Parametres!$G$3),J48,D48)</f>
        <v>0</v>
      </c>
      <c r="P48" s="655">
        <f>+IF(OR($Q48=Parametres!$G$2,$Q48=Parametres!$G$3),K48,E48)</f>
        <v>1</v>
      </c>
      <c r="Q48" s="654" t="str">
        <f t="shared" ref="Q48:S48" si="48">+F48</f>
        <v>1-Mémo</v>
      </c>
      <c r="R48" s="653" t="str">
        <f t="shared" si="48"/>
        <v>61</v>
      </c>
      <c r="S48" s="654">
        <f t="shared" si="48"/>
        <v>0</v>
      </c>
      <c r="T48" s="656" t="str">
        <f>+VLOOKUP($L48,Data_Validation!$A:$D,1,0)</f>
        <v>615</v>
      </c>
      <c r="U48" s="656">
        <f>+VLOOKUP($L48,Data_Validation!$A:$D,3,0)</f>
        <v>0</v>
      </c>
      <c r="V48" s="656">
        <f>+VLOOKUP($L48,Data_Validation!$A:$D,4,0)</f>
        <v>0</v>
      </c>
      <c r="W48" s="656" t="str">
        <f>+VLOOKUP($L48,Data_Validation!$A:$E,5,0)</f>
        <v>$</v>
      </c>
      <c r="X48" s="656">
        <f>+VLOOKUP($L48,Data_Validation!$A:$F,6,0)</f>
        <v>0</v>
      </c>
    </row>
    <row r="49" spans="1:24" ht="15" customHeight="1">
      <c r="A49" s="1210" t="s">
        <v>801</v>
      </c>
      <c r="B49" s="1210" t="s">
        <v>2337</v>
      </c>
      <c r="C49" s="1211"/>
      <c r="D49" s="1211"/>
      <c r="E49" s="1211"/>
      <c r="F49" s="1210" t="s">
        <v>2</v>
      </c>
      <c r="G49" s="1210" t="s">
        <v>785</v>
      </c>
      <c r="H49" s="1211"/>
      <c r="I49" s="1212">
        <v>1</v>
      </c>
      <c r="J49" s="1212">
        <v>0</v>
      </c>
      <c r="K49" s="1212">
        <v>1</v>
      </c>
      <c r="L49" s="653" t="str">
        <f t="shared" si="2"/>
        <v>621</v>
      </c>
      <c r="M49" s="654" t="str">
        <f t="shared" si="0"/>
        <v>LAVEURS NEUFS</v>
      </c>
      <c r="N49" s="655">
        <f>+IF(OR($Q49=Parametres!$G$2,$Q49=Parametres!$G$3),I49,C49)</f>
        <v>1</v>
      </c>
      <c r="O49" s="659">
        <f>+IF(OR($Q49=Parametres!$G$2,$Q49=Parametres!$G$3),J49,D49)</f>
        <v>0</v>
      </c>
      <c r="P49" s="655">
        <f>+IF(OR($Q49=Parametres!$G$2,$Q49=Parametres!$G$3),K49,E49)</f>
        <v>1</v>
      </c>
      <c r="Q49" s="654" t="str">
        <f t="shared" ref="Q49:S49" si="49">+F49</f>
        <v>1-Mémo</v>
      </c>
      <c r="R49" s="653" t="str">
        <f t="shared" si="49"/>
        <v>50</v>
      </c>
      <c r="S49" s="654">
        <f t="shared" si="49"/>
        <v>0</v>
      </c>
      <c r="T49" s="656" t="str">
        <f>+VLOOKUP($L49,Data_Validation!$A:$D,1,0)</f>
        <v>621</v>
      </c>
      <c r="U49" s="656">
        <f>+VLOOKUP($L49,Data_Validation!$A:$D,3,0)</f>
        <v>0</v>
      </c>
      <c r="V49" s="656">
        <f>+VLOOKUP($L49,Data_Validation!$A:$D,4,0)</f>
        <v>0</v>
      </c>
      <c r="W49" s="656" t="str">
        <f>+VLOOKUP($L49,Data_Validation!$A:$E,5,0)</f>
        <v>$</v>
      </c>
      <c r="X49" s="656">
        <f>+VLOOKUP($L49,Data_Validation!$A:$F,6,0)</f>
        <v>0</v>
      </c>
    </row>
    <row r="50" spans="1:24" ht="15" customHeight="1">
      <c r="A50" s="1210" t="s">
        <v>802</v>
      </c>
      <c r="B50" s="1210" t="s">
        <v>2346</v>
      </c>
      <c r="C50" s="1211"/>
      <c r="D50" s="1211"/>
      <c r="E50" s="1211"/>
      <c r="F50" s="1210" t="s">
        <v>2</v>
      </c>
      <c r="G50" s="1210" t="s">
        <v>785</v>
      </c>
      <c r="H50" s="1211"/>
      <c r="I50" s="1212">
        <v>1</v>
      </c>
      <c r="J50" s="1212">
        <v>0</v>
      </c>
      <c r="K50" s="1212">
        <v>1</v>
      </c>
      <c r="L50" s="653" t="str">
        <f t="shared" si="2"/>
        <v>622</v>
      </c>
      <c r="M50" s="654" t="str">
        <f t="shared" si="0"/>
        <v>LAVEURS USAGES</v>
      </c>
      <c r="N50" s="655">
        <f>+IF(OR($Q50=Parametres!$G$2,$Q50=Parametres!$G$3),I50,C50)</f>
        <v>1</v>
      </c>
      <c r="O50" s="655">
        <f>+IF(OR($Q50=Parametres!$G$2,$Q50=Parametres!$G$3),J50,D50)</f>
        <v>0</v>
      </c>
      <c r="P50" s="655">
        <f>+IF(OR($Q50=Parametres!$G$2,$Q50=Parametres!$G$3),K50,E50)</f>
        <v>1</v>
      </c>
      <c r="Q50" s="654" t="str">
        <f t="shared" ref="Q50:S50" si="50">+F50</f>
        <v>1-Mémo</v>
      </c>
      <c r="R50" s="653" t="str">
        <f t="shared" si="50"/>
        <v>50</v>
      </c>
      <c r="S50" s="654">
        <f t="shared" si="50"/>
        <v>0</v>
      </c>
      <c r="T50" s="656" t="str">
        <f>+VLOOKUP($L50,Data_Validation!$A:$D,1,0)</f>
        <v>622</v>
      </c>
      <c r="U50" s="656">
        <f>+VLOOKUP($L50,Data_Validation!$A:$D,3,0)</f>
        <v>0</v>
      </c>
      <c r="V50" s="656">
        <f>+VLOOKUP($L50,Data_Validation!$A:$D,4,0)</f>
        <v>0</v>
      </c>
      <c r="W50" s="656" t="str">
        <f>+VLOOKUP($L50,Data_Validation!$A:$E,5,0)</f>
        <v>$</v>
      </c>
      <c r="X50" s="656">
        <f>+VLOOKUP($L50,Data_Validation!$A:$F,6,0)</f>
        <v>0</v>
      </c>
    </row>
    <row r="51" spans="1:24" ht="15" customHeight="1">
      <c r="A51" s="1210" t="s">
        <v>803</v>
      </c>
      <c r="B51" s="1210" t="s">
        <v>2371</v>
      </c>
      <c r="C51" s="1211"/>
      <c r="D51" s="1211"/>
      <c r="E51" s="1211"/>
      <c r="F51" s="1210" t="s">
        <v>2</v>
      </c>
      <c r="G51" s="1210" t="s">
        <v>785</v>
      </c>
      <c r="H51" s="1211"/>
      <c r="I51" s="1212">
        <v>7</v>
      </c>
      <c r="J51" s="1212">
        <v>0</v>
      </c>
      <c r="K51" s="1212">
        <v>7</v>
      </c>
      <c r="L51" s="653" t="str">
        <f t="shared" si="2"/>
        <v>624</v>
      </c>
      <c r="M51" s="654" t="str">
        <f t="shared" si="0"/>
        <v>LAVEURS SERVICE</v>
      </c>
      <c r="N51" s="655">
        <f>+IF(OR($Q51=Parametres!$G$2,$Q51=Parametres!$G$3),I51,C51)</f>
        <v>7</v>
      </c>
      <c r="O51" s="655">
        <f>+IF(OR($Q51=Parametres!$G$2,$Q51=Parametres!$G$3),J51,D51)</f>
        <v>0</v>
      </c>
      <c r="P51" s="655">
        <f>+IF(OR($Q51=Parametres!$G$2,$Q51=Parametres!$G$3),K51,E51)</f>
        <v>7</v>
      </c>
      <c r="Q51" s="654" t="str">
        <f t="shared" ref="Q51:S51" si="51">+F51</f>
        <v>1-Mémo</v>
      </c>
      <c r="R51" s="653" t="str">
        <f t="shared" si="51"/>
        <v>50</v>
      </c>
      <c r="S51" s="654">
        <f t="shared" si="51"/>
        <v>0</v>
      </c>
      <c r="T51" s="656" t="str">
        <f>+VLOOKUP($L51,Data_Validation!$A:$D,1,0)</f>
        <v>624</v>
      </c>
      <c r="U51" s="656">
        <f>+VLOOKUP($L51,Data_Validation!$A:$D,3,0)</f>
        <v>0</v>
      </c>
      <c r="V51" s="656">
        <f>+VLOOKUP($L51,Data_Validation!$A:$D,4,0)</f>
        <v>0</v>
      </c>
      <c r="W51" s="656" t="str">
        <f>+VLOOKUP($L51,Data_Validation!$A:$E,5,0)</f>
        <v>$</v>
      </c>
      <c r="X51" s="656">
        <f>+VLOOKUP($L51,Data_Validation!$A:$F,6,0)</f>
        <v>0</v>
      </c>
    </row>
    <row r="52" spans="1:24" ht="15.75" customHeight="1">
      <c r="A52" s="1210" t="s">
        <v>804</v>
      </c>
      <c r="B52" s="1210" t="s">
        <v>2469</v>
      </c>
      <c r="C52" s="1211"/>
      <c r="D52" s="1211"/>
      <c r="E52" s="1211"/>
      <c r="F52" s="1210" t="s">
        <v>2</v>
      </c>
      <c r="G52" s="1210" t="s">
        <v>3332</v>
      </c>
      <c r="H52" s="1211"/>
      <c r="I52" s="1212">
        <v>12</v>
      </c>
      <c r="J52" s="1212">
        <v>0</v>
      </c>
      <c r="K52" s="1212">
        <v>12</v>
      </c>
      <c r="L52" s="653" t="str">
        <f t="shared" si="2"/>
        <v>644</v>
      </c>
      <c r="M52" s="654" t="str">
        <f t="shared" si="0"/>
        <v>VW TECHNICIENS - SERVICE</v>
      </c>
      <c r="N52" s="655">
        <f>+IF(OR($Q52=Parametres!$G$2,$Q52=Parametres!$G$3),I52,C52)</f>
        <v>12</v>
      </c>
      <c r="O52" s="655">
        <f>+IF(OR($Q52=Parametres!$G$2,$Q52=Parametres!$G$3),J52,D52)</f>
        <v>0</v>
      </c>
      <c r="P52" s="655">
        <f>+IF(OR($Q52=Parametres!$G$2,$Q52=Parametres!$G$3),K52,E52)</f>
        <v>12</v>
      </c>
      <c r="Q52" s="654" t="str">
        <f t="shared" ref="Q52:S52" si="52">+F52</f>
        <v>1-Mémo</v>
      </c>
      <c r="R52" s="653" t="str">
        <f t="shared" si="52"/>
        <v>64</v>
      </c>
      <c r="S52" s="654">
        <f t="shared" si="52"/>
        <v>0</v>
      </c>
      <c r="T52" s="656" t="str">
        <f>+VLOOKUP($L52,Data_Validation!$A:$D,1,0)</f>
        <v>644</v>
      </c>
      <c r="U52" s="656">
        <f>+VLOOKUP($L52,Data_Validation!$A:$D,3,0)</f>
        <v>0</v>
      </c>
      <c r="V52" s="656">
        <f>+VLOOKUP($L52,Data_Validation!$A:$D,4,0)</f>
        <v>0</v>
      </c>
      <c r="W52" s="656" t="str">
        <f>+VLOOKUP($L52,Data_Validation!$A:$E,5,0)</f>
        <v>$</v>
      </c>
      <c r="X52" s="656">
        <f>+VLOOKUP($L52,Data_Validation!$A:$F,6,0)</f>
        <v>0</v>
      </c>
    </row>
    <row r="53" spans="1:24" ht="15" customHeight="1">
      <c r="A53" s="1210" t="s">
        <v>805</v>
      </c>
      <c r="B53" s="1210" t="s">
        <v>2538</v>
      </c>
      <c r="C53" s="1211"/>
      <c r="D53" s="1211"/>
      <c r="E53" s="1211"/>
      <c r="F53" s="1210" t="s">
        <v>2</v>
      </c>
      <c r="G53" s="1210" t="s">
        <v>785</v>
      </c>
      <c r="H53" s="1211"/>
      <c r="I53" s="1212">
        <v>0.2</v>
      </c>
      <c r="J53" s="1212">
        <v>0</v>
      </c>
      <c r="K53" s="1212">
        <v>0.2</v>
      </c>
      <c r="L53" s="653" t="str">
        <f t="shared" si="2"/>
        <v>651</v>
      </c>
      <c r="M53" s="654" t="str">
        <f t="shared" si="0"/>
        <v>DIR. ADMINIS. NEUFS</v>
      </c>
      <c r="N53" s="655">
        <f>+IF(OR($Q53=Parametres!$G$2,$Q53=Parametres!$G$3),I53,C53)</f>
        <v>0.2</v>
      </c>
      <c r="O53" s="655">
        <f>+IF(OR($Q53=Parametres!$G$2,$Q53=Parametres!$G$3),J53,D53)</f>
        <v>0</v>
      </c>
      <c r="P53" s="655">
        <f>+IF(OR($Q53=Parametres!$G$2,$Q53=Parametres!$G$3),K53,E53)</f>
        <v>0.2</v>
      </c>
      <c r="Q53" s="654" t="str">
        <f t="shared" ref="Q53:S53" si="53">+F53</f>
        <v>1-Mémo</v>
      </c>
      <c r="R53" s="653" t="str">
        <f t="shared" si="53"/>
        <v>50</v>
      </c>
      <c r="S53" s="654">
        <f t="shared" si="53"/>
        <v>0</v>
      </c>
      <c r="T53" s="656" t="str">
        <f>+VLOOKUP($L53,Data_Validation!$A:$D,1,0)</f>
        <v>651</v>
      </c>
      <c r="U53" s="656">
        <f>+VLOOKUP($L53,Data_Validation!$A:$D,3,0)</f>
        <v>0</v>
      </c>
      <c r="V53" s="656">
        <f>+VLOOKUP($L53,Data_Validation!$A:$D,4,0)</f>
        <v>0</v>
      </c>
      <c r="W53" s="656" t="str">
        <f>+VLOOKUP($L53,Data_Validation!$A:$E,5,0)</f>
        <v>$</v>
      </c>
      <c r="X53" s="656">
        <f>+VLOOKUP($L53,Data_Validation!$A:$F,6,0)</f>
        <v>0</v>
      </c>
    </row>
    <row r="54" spans="1:24" ht="15" customHeight="1">
      <c r="A54" s="1210" t="s">
        <v>806</v>
      </c>
      <c r="B54" s="1210" t="s">
        <v>2544</v>
      </c>
      <c r="C54" s="1211"/>
      <c r="D54" s="1211"/>
      <c r="E54" s="1211"/>
      <c r="F54" s="1210" t="s">
        <v>2</v>
      </c>
      <c r="G54" s="1210" t="s">
        <v>785</v>
      </c>
      <c r="H54" s="1211"/>
      <c r="I54" s="1212">
        <v>0.2</v>
      </c>
      <c r="J54" s="1212">
        <v>0</v>
      </c>
      <c r="K54" s="1212">
        <v>0.2</v>
      </c>
      <c r="L54" s="653" t="str">
        <f t="shared" si="2"/>
        <v>652</v>
      </c>
      <c r="M54" s="654" t="str">
        <f t="shared" si="0"/>
        <v>DIR. ADMINIS. USAGES</v>
      </c>
      <c r="N54" s="655">
        <f>+IF(OR($Q54=Parametres!$G$2,$Q54=Parametres!$G$3),I54,C54)</f>
        <v>0.2</v>
      </c>
      <c r="O54" s="655">
        <f>+IF(OR($Q54=Parametres!$G$2,$Q54=Parametres!$G$3),J54,D54)</f>
        <v>0</v>
      </c>
      <c r="P54" s="655">
        <f>+IF(OR($Q54=Parametres!$G$2,$Q54=Parametres!$G$3),K54,E54)</f>
        <v>0.2</v>
      </c>
      <c r="Q54" s="654" t="str">
        <f t="shared" ref="Q54:S54" si="54">+F54</f>
        <v>1-Mémo</v>
      </c>
      <c r="R54" s="653" t="str">
        <f t="shared" si="54"/>
        <v>50</v>
      </c>
      <c r="S54" s="654">
        <f t="shared" si="54"/>
        <v>0</v>
      </c>
      <c r="T54" s="656" t="str">
        <f>+VLOOKUP($L54,Data_Validation!$A:$D,1,0)</f>
        <v>652</v>
      </c>
      <c r="U54" s="656">
        <f>+VLOOKUP($L54,Data_Validation!$A:$D,3,0)</f>
        <v>0</v>
      </c>
      <c r="V54" s="656">
        <f>+VLOOKUP($L54,Data_Validation!$A:$D,4,0)</f>
        <v>0</v>
      </c>
      <c r="W54" s="656" t="str">
        <f>+VLOOKUP($L54,Data_Validation!$A:$E,5,0)</f>
        <v>$</v>
      </c>
      <c r="X54" s="656">
        <f>+VLOOKUP($L54,Data_Validation!$A:$F,6,0)</f>
        <v>0</v>
      </c>
    </row>
    <row r="55" spans="1:24" ht="15" customHeight="1">
      <c r="A55" s="1210" t="s">
        <v>807</v>
      </c>
      <c r="B55" s="1210" t="s">
        <v>2574</v>
      </c>
      <c r="C55" s="1211"/>
      <c r="D55" s="1211"/>
      <c r="E55" s="1211"/>
      <c r="F55" s="1210" t="s">
        <v>2</v>
      </c>
      <c r="G55" s="1210" t="s">
        <v>785</v>
      </c>
      <c r="H55" s="1211"/>
      <c r="I55" s="1212">
        <v>0.2</v>
      </c>
      <c r="J55" s="1212">
        <v>0</v>
      </c>
      <c r="K55" s="1212">
        <v>0.2</v>
      </c>
      <c r="L55" s="653" t="str">
        <f t="shared" si="2"/>
        <v>654</v>
      </c>
      <c r="M55" s="654" t="str">
        <f t="shared" si="0"/>
        <v>DIR. ADMINIS. SERVICE</v>
      </c>
      <c r="N55" s="655">
        <f>+IF(OR($Q55=Parametres!$G$2,$Q55=Parametres!$G$3),I55,C55)</f>
        <v>0.2</v>
      </c>
      <c r="O55" s="655">
        <f>+IF(OR($Q55=Parametres!$G$2,$Q55=Parametres!$G$3),J55,D55)</f>
        <v>0</v>
      </c>
      <c r="P55" s="655">
        <f>+IF(OR($Q55=Parametres!$G$2,$Q55=Parametres!$G$3),K55,E55)</f>
        <v>0.2</v>
      </c>
      <c r="Q55" s="654" t="str">
        <f t="shared" ref="Q55:S55" si="55">+F55</f>
        <v>1-Mémo</v>
      </c>
      <c r="R55" s="653" t="str">
        <f t="shared" si="55"/>
        <v>50</v>
      </c>
      <c r="S55" s="654">
        <f t="shared" si="55"/>
        <v>0</v>
      </c>
      <c r="T55" s="656" t="str">
        <f>+VLOOKUP($L55,Data_Validation!$A:$D,1,0)</f>
        <v>654</v>
      </c>
      <c r="U55" s="656">
        <f>+VLOOKUP($L55,Data_Validation!$A:$D,3,0)</f>
        <v>0</v>
      </c>
      <c r="V55" s="656">
        <f>+VLOOKUP($L55,Data_Validation!$A:$D,4,0)</f>
        <v>0</v>
      </c>
      <c r="W55" s="656" t="str">
        <f>+VLOOKUP($L55,Data_Validation!$A:$E,5,0)</f>
        <v>$</v>
      </c>
      <c r="X55" s="656">
        <f>+VLOOKUP($L55,Data_Validation!$A:$F,6,0)</f>
        <v>0</v>
      </c>
    </row>
    <row r="56" spans="1:24" ht="15.75" customHeight="1">
      <c r="A56" s="1210" t="s">
        <v>808</v>
      </c>
      <c r="B56" s="1210" t="s">
        <v>1267</v>
      </c>
      <c r="C56" s="1211"/>
      <c r="D56" s="1211"/>
      <c r="E56" s="1211"/>
      <c r="F56" s="1210" t="s">
        <v>2</v>
      </c>
      <c r="G56" s="1210" t="s">
        <v>785</v>
      </c>
      <c r="H56" s="1211"/>
      <c r="I56" s="1212">
        <v>0.2</v>
      </c>
      <c r="J56" s="1212">
        <v>0</v>
      </c>
      <c r="K56" s="1212">
        <v>0.2</v>
      </c>
      <c r="L56" s="653" t="str">
        <f t="shared" si="2"/>
        <v>655</v>
      </c>
      <c r="M56" s="654" t="str">
        <f t="shared" si="0"/>
        <v>DIR. ADMINIS. CARROSS.</v>
      </c>
      <c r="N56" s="655">
        <f>+IF(OR($Q56=Parametres!$G$2,$Q56=Parametres!$G$3),I56,C56)</f>
        <v>0.2</v>
      </c>
      <c r="O56" s="655">
        <f>+IF(OR($Q56=Parametres!$G$2,$Q56=Parametres!$G$3),J56,D56)</f>
        <v>0</v>
      </c>
      <c r="P56" s="655">
        <f>+IF(OR($Q56=Parametres!$G$2,$Q56=Parametres!$G$3),K56,E56)</f>
        <v>0.2</v>
      </c>
      <c r="Q56" s="654" t="str">
        <f t="shared" ref="Q56:S56" si="56">+F56</f>
        <v>1-Mémo</v>
      </c>
      <c r="R56" s="653" t="str">
        <f t="shared" si="56"/>
        <v>50</v>
      </c>
      <c r="S56" s="654">
        <f t="shared" si="56"/>
        <v>0</v>
      </c>
      <c r="T56" s="656" t="str">
        <f>+VLOOKUP($L56,Data_Validation!$A:$D,1,0)</f>
        <v>655</v>
      </c>
      <c r="U56" s="656">
        <f>+VLOOKUP($L56,Data_Validation!$A:$D,3,0)</f>
        <v>0</v>
      </c>
      <c r="V56" s="656">
        <f>+VLOOKUP($L56,Data_Validation!$A:$D,4,0)</f>
        <v>0</v>
      </c>
      <c r="W56" s="656" t="str">
        <f>+VLOOKUP($L56,Data_Validation!$A:$E,5,0)</f>
        <v>$</v>
      </c>
      <c r="X56" s="656">
        <f>+VLOOKUP($L56,Data_Validation!$A:$F,6,0)</f>
        <v>0</v>
      </c>
    </row>
    <row r="57" spans="1:24" ht="15" customHeight="1">
      <c r="A57" s="1210" t="s">
        <v>809</v>
      </c>
      <c r="B57" s="1210" t="s">
        <v>2617</v>
      </c>
      <c r="C57" s="1211"/>
      <c r="D57" s="1211"/>
      <c r="E57" s="1211"/>
      <c r="F57" s="1210" t="s">
        <v>2</v>
      </c>
      <c r="G57" s="1210" t="s">
        <v>785</v>
      </c>
      <c r="H57" s="1211"/>
      <c r="I57" s="1212">
        <v>0.2</v>
      </c>
      <c r="J57" s="1212">
        <v>0</v>
      </c>
      <c r="K57" s="1212">
        <v>0.2</v>
      </c>
      <c r="L57" s="653" t="str">
        <f t="shared" si="2"/>
        <v>657</v>
      </c>
      <c r="M57" s="654" t="str">
        <f t="shared" si="0"/>
        <v>DIR. ADMINIS. PIECES</v>
      </c>
      <c r="N57" s="655">
        <f>+IF(OR($Q57=Parametres!$G$2,$Q57=Parametres!$G$3),I57,C57)</f>
        <v>0.2</v>
      </c>
      <c r="O57" s="655">
        <f>+IF(OR($Q57=Parametres!$G$2,$Q57=Parametres!$G$3),J57,D57)</f>
        <v>0</v>
      </c>
      <c r="P57" s="655">
        <f>+IF(OR($Q57=Parametres!$G$2,$Q57=Parametres!$G$3),K57,E57)</f>
        <v>0.2</v>
      </c>
      <c r="Q57" s="654" t="str">
        <f t="shared" ref="Q57:S57" si="57">+F57</f>
        <v>1-Mémo</v>
      </c>
      <c r="R57" s="653" t="str">
        <f t="shared" si="57"/>
        <v>50</v>
      </c>
      <c r="S57" s="654">
        <f t="shared" si="57"/>
        <v>0</v>
      </c>
      <c r="T57" s="656" t="str">
        <f>+VLOOKUP($L57,Data_Validation!$A:$D,1,0)</f>
        <v>657</v>
      </c>
      <c r="U57" s="656">
        <f>+VLOOKUP($L57,Data_Validation!$A:$D,3,0)</f>
        <v>0</v>
      </c>
      <c r="V57" s="656">
        <f>+VLOOKUP($L57,Data_Validation!$A:$D,4,0)</f>
        <v>0</v>
      </c>
      <c r="W57" s="656" t="str">
        <f>+VLOOKUP($L57,Data_Validation!$A:$E,5,0)</f>
        <v>$</v>
      </c>
      <c r="X57" s="656">
        <f>+VLOOKUP($L57,Data_Validation!$A:$F,6,0)</f>
        <v>0</v>
      </c>
    </row>
    <row r="58" spans="1:24" ht="15" customHeight="1">
      <c r="A58" s="1210" t="s">
        <v>810</v>
      </c>
      <c r="B58" s="1210" t="s">
        <v>2635</v>
      </c>
      <c r="C58" s="1211"/>
      <c r="D58" s="1211"/>
      <c r="E58" s="1211"/>
      <c r="F58" s="1210" t="s">
        <v>2</v>
      </c>
      <c r="G58" s="1210" t="s">
        <v>785</v>
      </c>
      <c r="H58" s="1211"/>
      <c r="I58" s="1212">
        <v>1</v>
      </c>
      <c r="J58" s="1212">
        <v>0</v>
      </c>
      <c r="K58" s="1212">
        <v>1</v>
      </c>
      <c r="L58" s="653" t="str">
        <f t="shared" si="2"/>
        <v>661</v>
      </c>
      <c r="M58" s="654" t="str">
        <f t="shared" si="0"/>
        <v>PERSONELS CLER. NEUFS</v>
      </c>
      <c r="N58" s="655">
        <f>+IF(OR($Q58=Parametres!$G$2,$Q58=Parametres!$G$3),I58,C58)</f>
        <v>1</v>
      </c>
      <c r="O58" s="655">
        <f>+IF(OR($Q58=Parametres!$G$2,$Q58=Parametres!$G$3),J58,D58)</f>
        <v>0</v>
      </c>
      <c r="P58" s="655">
        <f>+IF(OR($Q58=Parametres!$G$2,$Q58=Parametres!$G$3),K58,E58)</f>
        <v>1</v>
      </c>
      <c r="Q58" s="654" t="str">
        <f t="shared" ref="Q58:S58" si="58">+F58</f>
        <v>1-Mémo</v>
      </c>
      <c r="R58" s="653" t="str">
        <f t="shared" si="58"/>
        <v>50</v>
      </c>
      <c r="S58" s="654">
        <f t="shared" si="58"/>
        <v>0</v>
      </c>
      <c r="T58" s="656" t="str">
        <f>+VLOOKUP($L58,Data_Validation!$A:$D,1,0)</f>
        <v>661</v>
      </c>
      <c r="U58" s="656">
        <f>+VLOOKUP($L58,Data_Validation!$A:$D,3,0)</f>
        <v>0</v>
      </c>
      <c r="V58" s="656">
        <f>+VLOOKUP($L58,Data_Validation!$A:$D,4,0)</f>
        <v>0</v>
      </c>
      <c r="W58" s="656" t="str">
        <f>+VLOOKUP($L58,Data_Validation!$A:$E,5,0)</f>
        <v>$</v>
      </c>
      <c r="X58" s="656">
        <f>+VLOOKUP($L58,Data_Validation!$A:$F,6,0)</f>
        <v>0</v>
      </c>
    </row>
    <row r="59" spans="1:24" ht="15" customHeight="1">
      <c r="A59" s="1210" t="s">
        <v>811</v>
      </c>
      <c r="B59" s="1210" t="s">
        <v>2638</v>
      </c>
      <c r="C59" s="1211"/>
      <c r="D59" s="1211"/>
      <c r="E59" s="1211"/>
      <c r="F59" s="1210" t="s">
        <v>2</v>
      </c>
      <c r="G59" s="1210" t="s">
        <v>785</v>
      </c>
      <c r="H59" s="1211"/>
      <c r="I59" s="1212">
        <v>1</v>
      </c>
      <c r="J59" s="1212">
        <v>0</v>
      </c>
      <c r="K59" s="1212">
        <v>1</v>
      </c>
      <c r="L59" s="653" t="str">
        <f t="shared" si="2"/>
        <v>662</v>
      </c>
      <c r="M59" s="654" t="str">
        <f t="shared" si="0"/>
        <v>PERSONELS CLER. USAGES</v>
      </c>
      <c r="N59" s="655">
        <f>+IF(OR($Q59=Parametres!$G$2,$Q59=Parametres!$G$3),I59,C59)</f>
        <v>1</v>
      </c>
      <c r="O59" s="659">
        <f>+IF(OR($Q59=Parametres!$G$2,$Q59=Parametres!$G$3),J59,D59)</f>
        <v>0</v>
      </c>
      <c r="P59" s="655">
        <f>+IF(OR($Q59=Parametres!$G$2,$Q59=Parametres!$G$3),K59,E59)</f>
        <v>1</v>
      </c>
      <c r="Q59" s="654" t="str">
        <f t="shared" ref="Q59:S59" si="59">+F59</f>
        <v>1-Mémo</v>
      </c>
      <c r="R59" s="653" t="str">
        <f t="shared" si="59"/>
        <v>50</v>
      </c>
      <c r="S59" s="654">
        <f t="shared" si="59"/>
        <v>0</v>
      </c>
      <c r="T59" s="656" t="str">
        <f>+VLOOKUP($L59,Data_Validation!$A:$D,1,0)</f>
        <v>662</v>
      </c>
      <c r="U59" s="656">
        <f>+VLOOKUP($L59,Data_Validation!$A:$D,3,0)</f>
        <v>0</v>
      </c>
      <c r="V59" s="656">
        <f>+VLOOKUP($L59,Data_Validation!$A:$D,4,0)</f>
        <v>0</v>
      </c>
      <c r="W59" s="656" t="str">
        <f>+VLOOKUP($L59,Data_Validation!$A:$E,5,0)</f>
        <v>$</v>
      </c>
      <c r="X59" s="656">
        <f>+VLOOKUP($L59,Data_Validation!$A:$F,6,0)</f>
        <v>0</v>
      </c>
    </row>
    <row r="60" spans="1:24" ht="15" customHeight="1">
      <c r="A60" s="1210" t="s">
        <v>812</v>
      </c>
      <c r="B60" s="1210" t="s">
        <v>2641</v>
      </c>
      <c r="C60" s="1211"/>
      <c r="D60" s="1211"/>
      <c r="E60" s="1211"/>
      <c r="F60" s="1210" t="s">
        <v>2</v>
      </c>
      <c r="G60" s="1210" t="s">
        <v>785</v>
      </c>
      <c r="H60" s="1211"/>
      <c r="I60" s="1212">
        <v>1</v>
      </c>
      <c r="J60" s="1212">
        <v>0</v>
      </c>
      <c r="K60" s="1212">
        <v>1</v>
      </c>
      <c r="L60" s="653" t="str">
        <f t="shared" si="2"/>
        <v>664</v>
      </c>
      <c r="M60" s="654" t="str">
        <f t="shared" si="0"/>
        <v>PERSONELS CLER. SERVICE</v>
      </c>
      <c r="N60" s="655">
        <f>+IF(OR($Q60=Parametres!$G$2,$Q60=Parametres!$G$3),I60,C60)</f>
        <v>1</v>
      </c>
      <c r="O60" s="655">
        <f>+IF(OR($Q60=Parametres!$G$2,$Q60=Parametres!$G$3),J60,D60)</f>
        <v>0</v>
      </c>
      <c r="P60" s="655">
        <f>+IF(OR($Q60=Parametres!$G$2,$Q60=Parametres!$G$3),K60,E60)</f>
        <v>1</v>
      </c>
      <c r="Q60" s="654" t="str">
        <f t="shared" ref="Q60:S60" si="60">+F60</f>
        <v>1-Mémo</v>
      </c>
      <c r="R60" s="653" t="str">
        <f t="shared" si="60"/>
        <v>50</v>
      </c>
      <c r="S60" s="654">
        <f t="shared" si="60"/>
        <v>0</v>
      </c>
      <c r="T60" s="656" t="str">
        <f>+VLOOKUP($L60,Data_Validation!$A:$D,1,0)</f>
        <v>664</v>
      </c>
      <c r="U60" s="656">
        <f>+VLOOKUP($L60,Data_Validation!$A:$D,3,0)</f>
        <v>0</v>
      </c>
      <c r="V60" s="656">
        <f>+VLOOKUP($L60,Data_Validation!$A:$D,4,0)</f>
        <v>0</v>
      </c>
      <c r="W60" s="656" t="str">
        <f>+VLOOKUP($L60,Data_Validation!$A:$E,5,0)</f>
        <v>$</v>
      </c>
      <c r="X60" s="656">
        <f>+VLOOKUP($L60,Data_Validation!$A:$F,6,0)</f>
        <v>0</v>
      </c>
    </row>
    <row r="61" spans="1:24" ht="15" customHeight="1">
      <c r="A61" s="1210" t="s">
        <v>813</v>
      </c>
      <c r="B61" s="1210" t="s">
        <v>2644</v>
      </c>
      <c r="C61" s="1211"/>
      <c r="D61" s="1211"/>
      <c r="E61" s="1211"/>
      <c r="F61" s="1210" t="s">
        <v>2</v>
      </c>
      <c r="G61" s="1210" t="s">
        <v>785</v>
      </c>
      <c r="H61" s="1211"/>
      <c r="I61" s="1212">
        <v>1</v>
      </c>
      <c r="J61" s="1212">
        <v>0</v>
      </c>
      <c r="K61" s="1212">
        <v>1</v>
      </c>
      <c r="L61" s="653" t="str">
        <f t="shared" si="2"/>
        <v>667</v>
      </c>
      <c r="M61" s="654" t="str">
        <f t="shared" si="0"/>
        <v>PERSONELS CLER. PIECES</v>
      </c>
      <c r="N61" s="655">
        <f>+IF(OR($Q61=Parametres!$G$2,$Q61=Parametres!$G$3),I61,C61)</f>
        <v>1</v>
      </c>
      <c r="O61" s="655">
        <f>+IF(OR($Q61=Parametres!$G$2,$Q61=Parametres!$G$3),J61,D61)</f>
        <v>0</v>
      </c>
      <c r="P61" s="655">
        <f>+IF(OR($Q61=Parametres!$G$2,$Q61=Parametres!$G$3),K61,E61)</f>
        <v>1</v>
      </c>
      <c r="Q61" s="654" t="str">
        <f t="shared" ref="Q61:S61" si="61">+F61</f>
        <v>1-Mémo</v>
      </c>
      <c r="R61" s="653" t="str">
        <f t="shared" si="61"/>
        <v>50</v>
      </c>
      <c r="S61" s="654">
        <f t="shared" si="61"/>
        <v>0</v>
      </c>
      <c r="T61" s="656" t="str">
        <f>+VLOOKUP($L61,Data_Validation!$A:$D,1,0)</f>
        <v>667</v>
      </c>
      <c r="U61" s="656">
        <f>+VLOOKUP($L61,Data_Validation!$A:$D,3,0)</f>
        <v>0</v>
      </c>
      <c r="V61" s="656">
        <f>+VLOOKUP($L61,Data_Validation!$A:$D,4,0)</f>
        <v>0</v>
      </c>
      <c r="W61" s="656" t="str">
        <f>+VLOOKUP($L61,Data_Validation!$A:$E,5,0)</f>
        <v>$</v>
      </c>
      <c r="X61" s="656">
        <f>+VLOOKUP($L61,Data_Validation!$A:$F,6,0)</f>
        <v>0</v>
      </c>
    </row>
    <row r="62" spans="1:24" ht="15" customHeight="1">
      <c r="A62" s="1210" t="s">
        <v>814</v>
      </c>
      <c r="B62" s="1210" t="s">
        <v>2722</v>
      </c>
      <c r="C62" s="1211"/>
      <c r="D62" s="1211"/>
      <c r="E62" s="1211"/>
      <c r="F62" s="1210" t="s">
        <v>2</v>
      </c>
      <c r="G62" s="1210" t="s">
        <v>3333</v>
      </c>
      <c r="H62" s="1211"/>
      <c r="I62" s="1212">
        <v>3</v>
      </c>
      <c r="J62" s="1212">
        <v>0</v>
      </c>
      <c r="K62" s="1212">
        <v>3</v>
      </c>
      <c r="L62" s="653" t="str">
        <f t="shared" si="2"/>
        <v>677</v>
      </c>
      <c r="M62" s="654" t="str">
        <f t="shared" si="0"/>
        <v>VW PIECES</v>
      </c>
      <c r="N62" s="655">
        <f>+IF(OR($Q62=Parametres!$G$2,$Q62=Parametres!$G$3),I62,C62)</f>
        <v>3</v>
      </c>
      <c r="O62" s="655">
        <f>+IF(OR($Q62=Parametres!$G$2,$Q62=Parametres!$G$3),J62,D62)</f>
        <v>0</v>
      </c>
      <c r="P62" s="655">
        <f>+IF(OR($Q62=Parametres!$G$2,$Q62=Parametres!$G$3),K62,E62)</f>
        <v>3</v>
      </c>
      <c r="Q62" s="654" t="str">
        <f t="shared" ref="Q62:S62" si="62">+F62</f>
        <v>1-Mémo</v>
      </c>
      <c r="R62" s="653" t="str">
        <f t="shared" si="62"/>
        <v>67</v>
      </c>
      <c r="S62" s="654">
        <f t="shared" si="62"/>
        <v>0</v>
      </c>
      <c r="T62" s="656" t="str">
        <f>+VLOOKUP($L62,Data_Validation!$A:$D,1,0)</f>
        <v>677</v>
      </c>
      <c r="U62" s="656">
        <f>+VLOOKUP($L62,Data_Validation!$A:$D,3,0)</f>
        <v>0</v>
      </c>
      <c r="V62" s="656">
        <f>+VLOOKUP($L62,Data_Validation!$A:$D,4,0)</f>
        <v>0</v>
      </c>
      <c r="W62" s="656" t="str">
        <f>+VLOOKUP($L62,Data_Validation!$A:$E,5,0)</f>
        <v>$</v>
      </c>
      <c r="X62" s="656">
        <f>+VLOOKUP($L62,Data_Validation!$A:$F,6,0)</f>
        <v>0</v>
      </c>
    </row>
    <row r="63" spans="1:24" ht="15" customHeight="1">
      <c r="A63" s="1210" t="s">
        <v>815</v>
      </c>
      <c r="B63" s="1210" t="s">
        <v>817</v>
      </c>
      <c r="C63" s="1212">
        <v>333297.90000000002</v>
      </c>
      <c r="D63" s="1212">
        <v>7617.08</v>
      </c>
      <c r="E63" s="1212">
        <v>340914.98</v>
      </c>
      <c r="F63" s="1210" t="s">
        <v>816</v>
      </c>
      <c r="G63" s="1210" t="s">
        <v>817</v>
      </c>
      <c r="H63" s="1211"/>
      <c r="I63" s="1211"/>
      <c r="J63" s="1211"/>
      <c r="K63" s="1211"/>
      <c r="L63" s="653" t="str">
        <f t="shared" si="2"/>
        <v>1102</v>
      </c>
      <c r="M63" s="654" t="str">
        <f t="shared" si="0"/>
        <v>BANQUE DE COMMERCE C/C</v>
      </c>
      <c r="N63" s="655">
        <f>+IF(OR($Q63=Parametres!$G$2,$Q63=Parametres!$G$3),I63,C63)</f>
        <v>333297.90000000002</v>
      </c>
      <c r="O63" s="659">
        <f>+IF(OR($Q63=Parametres!$G$2,$Q63=Parametres!$G$3),J63,D63)</f>
        <v>7617.08</v>
      </c>
      <c r="P63" s="655">
        <f>+IF(OR($Q63=Parametres!$G$2,$Q63=Parametres!$G$3),K63,E63)</f>
        <v>340914.98</v>
      </c>
      <c r="Q63" s="654" t="str">
        <f t="shared" ref="Q63:S63" si="63">+F63</f>
        <v>2-Actifs</v>
      </c>
      <c r="R63" s="653" t="str">
        <f t="shared" si="63"/>
        <v>1102</v>
      </c>
      <c r="S63" s="654">
        <f t="shared" si="63"/>
        <v>0</v>
      </c>
      <c r="T63" s="656" t="str">
        <f>+VLOOKUP($L63,Data_Validation!$A:$D,1,0)</f>
        <v>1102</v>
      </c>
      <c r="U63" s="656" t="str">
        <f>+VLOOKUP($L63,Data_Validation!$A:$D,3,0)</f>
        <v>Bilan</v>
      </c>
      <c r="V63" s="656" t="str">
        <f>+VLOOKUP($L63,Data_Validation!$A:$D,4,0)</f>
        <v>Encaisse</v>
      </c>
      <c r="W63" s="656" t="str">
        <f>+VLOOKUP($L63,Data_Validation!$A:$E,5,0)</f>
        <v>$</v>
      </c>
      <c r="X63" s="656">
        <f>+VLOOKUP($L63,Data_Validation!$A:$F,6,0)</f>
        <v>0</v>
      </c>
    </row>
    <row r="64" spans="1:24" ht="15" customHeight="1">
      <c r="A64" s="1210" t="s">
        <v>1338</v>
      </c>
      <c r="B64" s="1210" t="s">
        <v>3356</v>
      </c>
      <c r="C64" s="1212">
        <v>-0.02</v>
      </c>
      <c r="D64" s="1212">
        <v>0.02</v>
      </c>
      <c r="E64" s="1212">
        <v>0</v>
      </c>
      <c r="F64" s="1210" t="s">
        <v>816</v>
      </c>
      <c r="G64" s="1210" t="s">
        <v>817</v>
      </c>
      <c r="H64" s="1211"/>
      <c r="I64" s="1211"/>
      <c r="J64" s="1211"/>
      <c r="K64" s="1211"/>
      <c r="L64" s="653" t="str">
        <f t="shared" si="2"/>
        <v>1103</v>
      </c>
      <c r="M64" s="654" t="str">
        <f t="shared" si="0"/>
        <v>VISA</v>
      </c>
      <c r="N64" s="655">
        <f>+IF(OR($Q64=Parametres!$G$2,$Q64=Parametres!$G$3),I64,C64)</f>
        <v>-0.02</v>
      </c>
      <c r="O64" s="655">
        <f>+IF(OR($Q64=Parametres!$G$2,$Q64=Parametres!$G$3),J64,D64)</f>
        <v>0.02</v>
      </c>
      <c r="P64" s="655">
        <f>+IF(OR($Q64=Parametres!$G$2,$Q64=Parametres!$G$3),K64,E64)</f>
        <v>0</v>
      </c>
      <c r="Q64" s="654" t="str">
        <f t="shared" ref="Q64:S64" si="64">+F64</f>
        <v>2-Actifs</v>
      </c>
      <c r="R64" s="653" t="str">
        <f t="shared" si="64"/>
        <v>1102</v>
      </c>
      <c r="S64" s="654">
        <f t="shared" si="64"/>
        <v>0</v>
      </c>
      <c r="T64" s="656" t="str">
        <f>+VLOOKUP($L64,Data_Validation!$A:$D,1,0)</f>
        <v>1103</v>
      </c>
      <c r="U64" s="656" t="str">
        <f>+VLOOKUP($L64,Data_Validation!$A:$D,3,0)</f>
        <v>Bilan</v>
      </c>
      <c r="V64" s="656" t="str">
        <f>+VLOOKUP($L64,Data_Validation!$A:$D,4,0)</f>
        <v>Encaisse</v>
      </c>
      <c r="W64" s="656" t="str">
        <f>+VLOOKUP($L64,Data_Validation!$A:$E,5,0)</f>
        <v>$</v>
      </c>
      <c r="X64" s="656">
        <f>+VLOOKUP($L64,Data_Validation!$A:$F,6,0)</f>
        <v>0</v>
      </c>
    </row>
    <row r="65" spans="1:24" ht="15" customHeight="1">
      <c r="A65" s="1210" t="s">
        <v>3887</v>
      </c>
      <c r="B65" s="1210" t="s">
        <v>3888</v>
      </c>
      <c r="C65" s="1212">
        <v>0.01</v>
      </c>
      <c r="D65" s="1212">
        <v>178.16</v>
      </c>
      <c r="E65" s="1212">
        <v>178.17</v>
      </c>
      <c r="F65" s="1210" t="s">
        <v>816</v>
      </c>
      <c r="G65" s="1210" t="s">
        <v>817</v>
      </c>
      <c r="H65" s="1200"/>
      <c r="I65" s="1201"/>
      <c r="J65" s="1201"/>
      <c r="K65" s="1201"/>
      <c r="L65" s="653" t="str">
        <f t="shared" si="2"/>
        <v>1109</v>
      </c>
      <c r="M65" s="654" t="str">
        <f t="shared" si="0"/>
        <v>KIMOBY</v>
      </c>
      <c r="N65" s="655">
        <f>+IF(OR($Q65=Parametres!$G$2,$Q65=Parametres!$G$3),I65,C65)</f>
        <v>0.01</v>
      </c>
      <c r="O65" s="659">
        <f>+IF(OR($Q65=Parametres!$G$2,$Q65=Parametres!$G$3),J65,D65)</f>
        <v>178.16</v>
      </c>
      <c r="P65" s="655">
        <f>+IF(OR($Q65=Parametres!$G$2,$Q65=Parametres!$G$3),K65,E65)</f>
        <v>178.17</v>
      </c>
      <c r="Q65" s="654" t="str">
        <f t="shared" ref="Q65:S65" si="65">+F65</f>
        <v>2-Actifs</v>
      </c>
      <c r="R65" s="653" t="str">
        <f t="shared" si="65"/>
        <v>1102</v>
      </c>
      <c r="S65" s="654">
        <f t="shared" si="65"/>
        <v>0</v>
      </c>
      <c r="T65" s="656" t="str">
        <f>+VLOOKUP($L65,Data_Validation!$A:$D,1,0)</f>
        <v>1109</v>
      </c>
      <c r="U65" s="656" t="str">
        <f>+VLOOKUP($L65,Data_Validation!$A:$D,3,0)</f>
        <v>Bilan</v>
      </c>
      <c r="V65" s="656" t="str">
        <f>+VLOOKUP($L65,Data_Validation!$A:$D,4,0)</f>
        <v>Encaisse</v>
      </c>
      <c r="W65" s="656" t="str">
        <f>+VLOOKUP($L65,Data_Validation!$A:$E,5,0)</f>
        <v>$</v>
      </c>
      <c r="X65" s="656">
        <f>+VLOOKUP($L65,Data_Validation!$A:$F,6,0)</f>
        <v>0</v>
      </c>
    </row>
    <row r="66" spans="1:24" ht="15" customHeight="1">
      <c r="A66" s="1210" t="s">
        <v>819</v>
      </c>
      <c r="B66" s="1210" t="s">
        <v>3360</v>
      </c>
      <c r="C66" s="1212">
        <v>500000</v>
      </c>
      <c r="D66" s="1212">
        <v>0</v>
      </c>
      <c r="E66" s="1212">
        <v>500000</v>
      </c>
      <c r="F66" s="1210" t="s">
        <v>816</v>
      </c>
      <c r="G66" s="1210" t="s">
        <v>817</v>
      </c>
      <c r="H66" s="1200"/>
      <c r="I66" s="1201"/>
      <c r="J66" s="1201"/>
      <c r="K66" s="1201"/>
      <c r="L66" s="653" t="str">
        <f t="shared" si="2"/>
        <v>1111</v>
      </c>
      <c r="M66" s="654" t="str">
        <f t="shared" si="0"/>
        <v>REMBOURSEMENTS FLOORPLAN</v>
      </c>
      <c r="N66" s="655">
        <f>+IF(OR($Q66=Parametres!$G$2,$Q66=Parametres!$G$3),I66,C66)</f>
        <v>500000</v>
      </c>
      <c r="O66" s="655">
        <f>+IF(OR($Q66=Parametres!$G$2,$Q66=Parametres!$G$3),J66,D66)</f>
        <v>0</v>
      </c>
      <c r="P66" s="655">
        <f>+IF(OR($Q66=Parametres!$G$2,$Q66=Parametres!$G$3),K66,E66)</f>
        <v>500000</v>
      </c>
      <c r="Q66" s="654" t="str">
        <f t="shared" ref="Q66:S66" si="66">+F66</f>
        <v>2-Actifs</v>
      </c>
      <c r="R66" s="653" t="str">
        <f t="shared" si="66"/>
        <v>1102</v>
      </c>
      <c r="S66" s="654">
        <f t="shared" si="66"/>
        <v>0</v>
      </c>
      <c r="T66" s="656" t="str">
        <f>+VLOOKUP($L66,Data_Validation!$A:$D,1,0)</f>
        <v>1111</v>
      </c>
      <c r="U66" s="656" t="str">
        <f>+VLOOKUP($L66,Data_Validation!$A:$D,3,0)</f>
        <v>Bilan</v>
      </c>
      <c r="V66" s="656" t="str">
        <f>+VLOOKUP($L66,Data_Validation!$A:$D,4,0)</f>
        <v>Encaisse</v>
      </c>
      <c r="W66" s="656" t="str">
        <f>+VLOOKUP($L66,Data_Validation!$A:$E,5,0)</f>
        <v>$</v>
      </c>
      <c r="X66" s="656">
        <f>+VLOOKUP($L66,Data_Validation!$A:$F,6,0)</f>
        <v>0</v>
      </c>
    </row>
    <row r="67" spans="1:24" ht="15" customHeight="1">
      <c r="A67" s="1210" t="s">
        <v>820</v>
      </c>
      <c r="B67" s="1210" t="s">
        <v>1452</v>
      </c>
      <c r="C67" s="1212">
        <v>208.82</v>
      </c>
      <c r="D67" s="1212">
        <v>0</v>
      </c>
      <c r="E67" s="1212">
        <v>208.82</v>
      </c>
      <c r="F67" s="1210" t="s">
        <v>816</v>
      </c>
      <c r="G67" s="1210" t="s">
        <v>817</v>
      </c>
      <c r="H67" s="1200"/>
      <c r="I67" s="1201"/>
      <c r="J67" s="1201"/>
      <c r="K67" s="1201"/>
      <c r="L67" s="653" t="str">
        <f t="shared" ref="L67:L130" si="67">TEXT(B67,0)</f>
        <v>1182</v>
      </c>
      <c r="M67" s="654" t="str">
        <f t="shared" si="0"/>
        <v>PETITE CAISSE</v>
      </c>
      <c r="N67" s="655">
        <f>+IF(OR($Q67=Parametres!$G$2,$Q67=Parametres!$G$3),I67,C67)</f>
        <v>208.82</v>
      </c>
      <c r="O67" s="655">
        <f>+IF(OR($Q67=Parametres!$G$2,$Q67=Parametres!$G$3),J67,D67)</f>
        <v>0</v>
      </c>
      <c r="P67" s="655">
        <f>+IF(OR($Q67=Parametres!$G$2,$Q67=Parametres!$G$3),K67,E67)</f>
        <v>208.82</v>
      </c>
      <c r="Q67" s="654" t="str">
        <f t="shared" ref="Q67:S67" si="68">+F67</f>
        <v>2-Actifs</v>
      </c>
      <c r="R67" s="653" t="str">
        <f t="shared" si="68"/>
        <v>1102</v>
      </c>
      <c r="S67" s="654">
        <f t="shared" si="68"/>
        <v>0</v>
      </c>
      <c r="T67" s="656" t="str">
        <f>+VLOOKUP($L67,Data_Validation!$A:$D,1,0)</f>
        <v>1182</v>
      </c>
      <c r="U67" s="656" t="str">
        <f>+VLOOKUP($L67,Data_Validation!$A:$D,3,0)</f>
        <v>Bilan</v>
      </c>
      <c r="V67" s="656" t="str">
        <f>+VLOOKUP($L67,Data_Validation!$A:$D,4,0)</f>
        <v>Encaisse</v>
      </c>
      <c r="W67" s="656" t="str">
        <f>+VLOOKUP($L67,Data_Validation!$A:$E,5,0)</f>
        <v>$</v>
      </c>
      <c r="X67" s="656">
        <f>+VLOOKUP($L67,Data_Validation!$A:$F,6,0)</f>
        <v>0</v>
      </c>
    </row>
    <row r="68" spans="1:24" ht="15" customHeight="1">
      <c r="A68" s="1210" t="s">
        <v>3666</v>
      </c>
      <c r="B68" s="1210" t="s">
        <v>3362</v>
      </c>
      <c r="C68" s="1212">
        <v>0</v>
      </c>
      <c r="D68" s="1212">
        <v>317.02</v>
      </c>
      <c r="E68" s="1212">
        <v>317.02</v>
      </c>
      <c r="F68" s="1210" t="s">
        <v>816</v>
      </c>
      <c r="G68" s="1210" t="s">
        <v>821</v>
      </c>
      <c r="H68" s="1200"/>
      <c r="I68" s="1201"/>
      <c r="J68" s="1201"/>
      <c r="K68" s="1201"/>
      <c r="L68" s="653" t="str">
        <f t="shared" si="67"/>
        <v>1189</v>
      </c>
      <c r="M68" s="654" t="str">
        <f t="shared" si="0"/>
        <v>VENTE AU COMPTANT (PIECES)</v>
      </c>
      <c r="N68" s="655">
        <f>+IF(OR($Q68=Parametres!$G$2,$Q68=Parametres!$G$3),I68,C68)</f>
        <v>0</v>
      </c>
      <c r="O68" s="659">
        <f>+IF(OR($Q68=Parametres!$G$2,$Q68=Parametres!$G$3),J68,D68)</f>
        <v>317.02</v>
      </c>
      <c r="P68" s="655">
        <f>+IF(OR($Q68=Parametres!$G$2,$Q68=Parametres!$G$3),K68,E68)</f>
        <v>317.02</v>
      </c>
      <c r="Q68" s="654" t="str">
        <f t="shared" ref="Q68:S68" si="69">+F68</f>
        <v>2-Actifs</v>
      </c>
      <c r="R68" s="653" t="str">
        <f t="shared" si="69"/>
        <v>1382</v>
      </c>
      <c r="S68" s="654">
        <f t="shared" si="69"/>
        <v>0</v>
      </c>
      <c r="T68" s="656" t="str">
        <f>+VLOOKUP($L68,Data_Validation!$A:$D,1,0)</f>
        <v>1189</v>
      </c>
      <c r="U68" s="656" t="str">
        <f>+VLOOKUP($L68,Data_Validation!$A:$D,3,0)</f>
        <v>Bilan</v>
      </c>
      <c r="V68" s="656" t="str">
        <f>+VLOOKUP($L68,Data_Validation!$A:$D,4,0)</f>
        <v>Encaisse</v>
      </c>
      <c r="W68" s="656" t="str">
        <f>+VLOOKUP($L68,Data_Validation!$A:$E,5,0)</f>
        <v>$</v>
      </c>
      <c r="X68" s="656">
        <f>+VLOOKUP($L68,Data_Validation!$A:$F,6,0)</f>
        <v>0</v>
      </c>
    </row>
    <row r="69" spans="1:24" ht="15" customHeight="1">
      <c r="A69" s="1210" t="s">
        <v>822</v>
      </c>
      <c r="B69" s="1210" t="s">
        <v>823</v>
      </c>
      <c r="C69" s="1212">
        <v>1269642.26</v>
      </c>
      <c r="D69" s="1212">
        <v>-807420.33</v>
      </c>
      <c r="E69" s="1212">
        <v>462221.93</v>
      </c>
      <c r="F69" s="1210" t="s">
        <v>816</v>
      </c>
      <c r="G69" s="1210" t="s">
        <v>823</v>
      </c>
      <c r="H69" s="1200"/>
      <c r="I69" s="1201"/>
      <c r="J69" s="1201"/>
      <c r="K69" s="1201"/>
      <c r="L69" s="653" t="str">
        <f t="shared" si="67"/>
        <v>1202</v>
      </c>
      <c r="M69" s="654" t="str">
        <f t="shared" si="0"/>
        <v>CONTRATS EN TRANSIT</v>
      </c>
      <c r="N69" s="655">
        <f>+IF(OR($Q69=Parametres!$G$2,$Q69=Parametres!$G$3),I69,C69)</f>
        <v>1269642.26</v>
      </c>
      <c r="O69" s="655">
        <f>+IF(OR($Q69=Parametres!$G$2,$Q69=Parametres!$G$3),J69,D69)</f>
        <v>-807420.33</v>
      </c>
      <c r="P69" s="655">
        <f>+IF(OR($Q69=Parametres!$G$2,$Q69=Parametres!$G$3),K69,E69)</f>
        <v>462221.93</v>
      </c>
      <c r="Q69" s="654" t="str">
        <f t="shared" ref="Q69:S69" si="70">+F69</f>
        <v>2-Actifs</v>
      </c>
      <c r="R69" s="653" t="str">
        <f t="shared" si="70"/>
        <v>1202</v>
      </c>
      <c r="S69" s="654">
        <f t="shared" si="70"/>
        <v>0</v>
      </c>
      <c r="T69" s="656" t="str">
        <f>+VLOOKUP($L69,Data_Validation!$A:$D,1,0)</f>
        <v>1202</v>
      </c>
      <c r="U69" s="656" t="str">
        <f>+VLOOKUP($L69,Data_Validation!$A:$D,3,0)</f>
        <v>Bilan</v>
      </c>
      <c r="V69" s="656" t="str">
        <f>+VLOOKUP($L69,Data_Validation!$A:$D,4,0)</f>
        <v>Recevables Contrats en Transit</v>
      </c>
      <c r="W69" s="656" t="str">
        <f>+VLOOKUP($L69,Data_Validation!$A:$E,5,0)</f>
        <v>$</v>
      </c>
      <c r="X69" s="656">
        <f>+VLOOKUP($L69,Data_Validation!$A:$F,6,0)</f>
        <v>0</v>
      </c>
    </row>
    <row r="70" spans="1:24" ht="15" customHeight="1">
      <c r="A70" s="1210" t="s">
        <v>824</v>
      </c>
      <c r="B70" s="1210" t="s">
        <v>825</v>
      </c>
      <c r="C70" s="1212">
        <v>-117020.91</v>
      </c>
      <c r="D70" s="1212">
        <v>31563.65</v>
      </c>
      <c r="E70" s="1212">
        <v>-85457.26</v>
      </c>
      <c r="F70" s="1210" t="s">
        <v>816</v>
      </c>
      <c r="G70" s="1210" t="s">
        <v>825</v>
      </c>
      <c r="H70" s="1200"/>
      <c r="I70" s="1201"/>
      <c r="J70" s="1201"/>
      <c r="K70" s="1201"/>
      <c r="L70" s="653" t="str">
        <f t="shared" si="67"/>
        <v>1302</v>
      </c>
      <c r="M70" s="654" t="str">
        <f t="shared" si="0"/>
        <v>RECEVABLE-CLIENT-VEHICULE</v>
      </c>
      <c r="N70" s="655">
        <f>+IF(OR($Q70=Parametres!$G$2,$Q70=Parametres!$G$3),I70,C70)</f>
        <v>-117020.91</v>
      </c>
      <c r="O70" s="655">
        <f>+IF(OR($Q70=Parametres!$G$2,$Q70=Parametres!$G$3),J70,D70)</f>
        <v>31563.65</v>
      </c>
      <c r="P70" s="655">
        <f>+IF(OR($Q70=Parametres!$G$2,$Q70=Parametres!$G$3),K70,E70)</f>
        <v>-85457.26</v>
      </c>
      <c r="Q70" s="654" t="str">
        <f t="shared" ref="Q70:S70" si="71">+F70</f>
        <v>2-Actifs</v>
      </c>
      <c r="R70" s="653" t="str">
        <f t="shared" si="71"/>
        <v>1302</v>
      </c>
      <c r="S70" s="654">
        <f t="shared" si="71"/>
        <v>0</v>
      </c>
      <c r="T70" s="656" t="str">
        <f>+VLOOKUP($L70,Data_Validation!$A:$D,1,0)</f>
        <v>1302</v>
      </c>
      <c r="U70" s="656" t="str">
        <f>+VLOOKUP($L70,Data_Validation!$A:$D,3,0)</f>
        <v>Bilan</v>
      </c>
      <c r="V70" s="656" t="str">
        <f>+VLOOKUP($L70,Data_Validation!$A:$D,4,0)</f>
        <v>Recevables Véhicules</v>
      </c>
      <c r="W70" s="656" t="str">
        <f>+VLOOKUP($L70,Data_Validation!$A:$E,5,0)</f>
        <v>$</v>
      </c>
      <c r="X70" s="656">
        <f>+VLOOKUP($L70,Data_Validation!$A:$F,6,0)</f>
        <v>0</v>
      </c>
    </row>
    <row r="71" spans="1:24" ht="15" customHeight="1">
      <c r="A71" s="1210" t="s">
        <v>826</v>
      </c>
      <c r="B71" s="1210" t="s">
        <v>1459</v>
      </c>
      <c r="C71" s="1212">
        <v>263160.23</v>
      </c>
      <c r="D71" s="1212">
        <v>105057.3</v>
      </c>
      <c r="E71" s="1212">
        <v>368217.53</v>
      </c>
      <c r="F71" s="1210" t="s">
        <v>816</v>
      </c>
      <c r="G71" s="1210" t="s">
        <v>825</v>
      </c>
      <c r="H71" s="1200"/>
      <c r="I71" s="1201"/>
      <c r="J71" s="1201"/>
      <c r="K71" s="1201"/>
      <c r="L71" s="653" t="str">
        <f t="shared" si="67"/>
        <v>1303</v>
      </c>
      <c r="M71" s="654" t="str">
        <f t="shared" si="0"/>
        <v>RECEVABLES LPA ET AU GROS</v>
      </c>
      <c r="N71" s="655">
        <f>+IF(OR($Q71=Parametres!$G$2,$Q71=Parametres!$G$3),I71,C71)</f>
        <v>263160.23</v>
      </c>
      <c r="O71" s="655">
        <f>+IF(OR($Q71=Parametres!$G$2,$Q71=Parametres!$G$3),J71,D71)</f>
        <v>105057.3</v>
      </c>
      <c r="P71" s="655">
        <f>+IF(OR($Q71=Parametres!$G$2,$Q71=Parametres!$G$3),K71,E71)</f>
        <v>368217.53</v>
      </c>
      <c r="Q71" s="654" t="str">
        <f t="shared" ref="Q71:S71" si="72">+F71</f>
        <v>2-Actifs</v>
      </c>
      <c r="R71" s="653" t="str">
        <f t="shared" si="72"/>
        <v>1302</v>
      </c>
      <c r="S71" s="654">
        <f t="shared" si="72"/>
        <v>0</v>
      </c>
      <c r="T71" s="656" t="str">
        <f>+VLOOKUP($L71,Data_Validation!$A:$D,1,0)</f>
        <v>1303</v>
      </c>
      <c r="U71" s="656" t="str">
        <f>+VLOOKUP($L71,Data_Validation!$A:$D,3,0)</f>
        <v>Bilan</v>
      </c>
      <c r="V71" s="656" t="str">
        <f>+VLOOKUP($L71,Data_Validation!$A:$D,4,0)</f>
        <v>Recevables Véhicules</v>
      </c>
      <c r="W71" s="656" t="str">
        <f>+VLOOKUP($L71,Data_Validation!$A:$E,5,0)</f>
        <v>$</v>
      </c>
      <c r="X71" s="656">
        <f>+VLOOKUP($L71,Data_Validation!$A:$F,6,0)</f>
        <v>0</v>
      </c>
    </row>
    <row r="72" spans="1:24" ht="15" customHeight="1">
      <c r="A72" s="1210" t="s">
        <v>827</v>
      </c>
      <c r="B72" s="1210" t="s">
        <v>828</v>
      </c>
      <c r="C72" s="1212">
        <v>263702.61</v>
      </c>
      <c r="D72" s="1212">
        <v>30613.52</v>
      </c>
      <c r="E72" s="1212">
        <v>294316.13</v>
      </c>
      <c r="F72" s="1210" t="s">
        <v>816</v>
      </c>
      <c r="G72" s="1210" t="s">
        <v>828</v>
      </c>
      <c r="H72" s="1200"/>
      <c r="I72" s="1201"/>
      <c r="J72" s="1201"/>
      <c r="K72" s="1201"/>
      <c r="L72" s="653" t="str">
        <f t="shared" si="67"/>
        <v>1304</v>
      </c>
      <c r="M72" s="654" t="str">
        <f t="shared" si="0"/>
        <v>RECEVABLES PIECES &amp; SERVICE</v>
      </c>
      <c r="N72" s="655">
        <f>+IF(OR($Q72=Parametres!$G$2,$Q72=Parametres!$G$3),I72,C72)</f>
        <v>263702.61</v>
      </c>
      <c r="O72" s="659">
        <f>+IF(OR($Q72=Parametres!$G$2,$Q72=Parametres!$G$3),J72,D72)</f>
        <v>30613.52</v>
      </c>
      <c r="P72" s="655">
        <f>+IF(OR($Q72=Parametres!$G$2,$Q72=Parametres!$G$3),K72,E72)</f>
        <v>294316.13</v>
      </c>
      <c r="Q72" s="654" t="str">
        <f t="shared" ref="Q72:S72" si="73">+F72</f>
        <v>2-Actifs</v>
      </c>
      <c r="R72" s="653" t="str">
        <f t="shared" si="73"/>
        <v>1304</v>
      </c>
      <c r="S72" s="654">
        <f t="shared" si="73"/>
        <v>0</v>
      </c>
      <c r="T72" s="656" t="str">
        <f>+VLOOKUP($L72,Data_Validation!$A:$D,1,0)</f>
        <v>1304</v>
      </c>
      <c r="U72" s="656" t="str">
        <f>+VLOOKUP($L72,Data_Validation!$A:$D,3,0)</f>
        <v>Bilan</v>
      </c>
      <c r="V72" s="656" t="str">
        <f>+VLOOKUP($L72,Data_Validation!$A:$D,4,0)</f>
        <v>Recevables Pièces et Service</v>
      </c>
      <c r="W72" s="656" t="str">
        <f>+VLOOKUP($L72,Data_Validation!$A:$E,5,0)</f>
        <v>$</v>
      </c>
      <c r="X72" s="656">
        <f>+VLOOKUP($L72,Data_Validation!$A:$F,6,0)</f>
        <v>0</v>
      </c>
    </row>
    <row r="73" spans="1:24" ht="15" customHeight="1">
      <c r="A73" s="1210" t="s">
        <v>829</v>
      </c>
      <c r="B73" s="1210" t="s">
        <v>1464</v>
      </c>
      <c r="C73" s="1212">
        <v>-260.08</v>
      </c>
      <c r="D73" s="1212">
        <v>1315.04</v>
      </c>
      <c r="E73" s="1212">
        <v>1054.96</v>
      </c>
      <c r="F73" s="1210" t="s">
        <v>816</v>
      </c>
      <c r="G73" s="1210" t="s">
        <v>828</v>
      </c>
      <c r="H73" s="1200"/>
      <c r="I73" s="1201"/>
      <c r="J73" s="1201"/>
      <c r="K73" s="1201"/>
      <c r="L73" s="653" t="str">
        <f t="shared" si="67"/>
        <v>1305</v>
      </c>
      <c r="M73" s="654" t="str">
        <f t="shared" si="0"/>
        <v>RECEVABLES CARROSSERIE</v>
      </c>
      <c r="N73" s="655">
        <f>+IF(OR($Q73=Parametres!$G$2,$Q73=Parametres!$G$3),I73,C73)</f>
        <v>-260.08</v>
      </c>
      <c r="O73" s="655">
        <f>+IF(OR($Q73=Parametres!$G$2,$Q73=Parametres!$G$3),J73,D73)</f>
        <v>1315.04</v>
      </c>
      <c r="P73" s="655">
        <f>+IF(OR($Q73=Parametres!$G$2,$Q73=Parametres!$G$3),K73,E73)</f>
        <v>1054.96</v>
      </c>
      <c r="Q73" s="654" t="str">
        <f t="shared" ref="Q73:S73" si="74">+F73</f>
        <v>2-Actifs</v>
      </c>
      <c r="R73" s="653" t="str">
        <f t="shared" si="74"/>
        <v>1304</v>
      </c>
      <c r="S73" s="654">
        <f t="shared" si="74"/>
        <v>0</v>
      </c>
      <c r="T73" s="656" t="str">
        <f>+VLOOKUP($L73,Data_Validation!$A:$D,1,0)</f>
        <v>1305</v>
      </c>
      <c r="U73" s="656" t="str">
        <f>+VLOOKUP($L73,Data_Validation!$A:$D,3,0)</f>
        <v>Bilan</v>
      </c>
      <c r="V73" s="656" t="str">
        <f>+VLOOKUP($L73,Data_Validation!$A:$D,4,0)</f>
        <v>Recevables Carrosserie</v>
      </c>
      <c r="W73" s="656" t="str">
        <f>+VLOOKUP($L73,Data_Validation!$A:$E,5,0)</f>
        <v>$</v>
      </c>
      <c r="X73" s="656">
        <f>+VLOOKUP($L73,Data_Validation!$A:$F,6,0)</f>
        <v>0</v>
      </c>
    </row>
    <row r="74" spans="1:24" ht="15" customHeight="1">
      <c r="A74" s="1210" t="s">
        <v>830</v>
      </c>
      <c r="B74" s="1210" t="s">
        <v>3363</v>
      </c>
      <c r="C74" s="1212">
        <v>19961.23</v>
      </c>
      <c r="D74" s="1212">
        <v>-19961.23</v>
      </c>
      <c r="E74" s="1212">
        <v>0</v>
      </c>
      <c r="F74" s="1210" t="s">
        <v>816</v>
      </c>
      <c r="G74" s="1210" t="s">
        <v>828</v>
      </c>
      <c r="H74" s="1200"/>
      <c r="I74" s="1201"/>
      <c r="J74" s="1201"/>
      <c r="K74" s="1201"/>
      <c r="L74" s="653" t="str">
        <f t="shared" si="67"/>
        <v>1306</v>
      </c>
      <c r="M74" s="654" t="str">
        <f t="shared" si="0"/>
        <v>RECEVABLES INTERCO</v>
      </c>
      <c r="N74" s="655">
        <f>+IF(OR($Q74=Parametres!$G$2,$Q74=Parametres!$G$3),I74,C74)</f>
        <v>19961.23</v>
      </c>
      <c r="O74" s="655">
        <f>+IF(OR($Q74=Parametres!$G$2,$Q74=Parametres!$G$3),J74,D74)</f>
        <v>-19961.23</v>
      </c>
      <c r="P74" s="655">
        <f>+IF(OR($Q74=Parametres!$G$2,$Q74=Parametres!$G$3),K74,E74)</f>
        <v>0</v>
      </c>
      <c r="Q74" s="654" t="str">
        <f t="shared" ref="Q74:S74" si="75">+F74</f>
        <v>2-Actifs</v>
      </c>
      <c r="R74" s="653" t="str">
        <f t="shared" si="75"/>
        <v>1304</v>
      </c>
      <c r="S74" s="654">
        <f t="shared" si="75"/>
        <v>0</v>
      </c>
      <c r="T74" s="656" t="str">
        <f>+VLOOKUP($L74,Data_Validation!$A:$D,1,0)</f>
        <v>1306</v>
      </c>
      <c r="U74" s="656" t="str">
        <f>+VLOOKUP($L74,Data_Validation!$A:$D,3,0)</f>
        <v>Bilan</v>
      </c>
      <c r="V74" s="656" t="str">
        <f>+VLOOKUP($L74,Data_Validation!$A:$D,4,0)</f>
        <v>Recevables Intercos</v>
      </c>
      <c r="W74" s="656" t="str">
        <f>+VLOOKUP($L74,Data_Validation!$A:$E,5,0)</f>
        <v>$</v>
      </c>
      <c r="X74" s="656">
        <f>+VLOOKUP($L74,Data_Validation!$A:$F,6,0)</f>
        <v>0</v>
      </c>
    </row>
    <row r="75" spans="1:24" ht="15" customHeight="1">
      <c r="A75" s="1210" t="s">
        <v>831</v>
      </c>
      <c r="B75" s="1210" t="s">
        <v>3364</v>
      </c>
      <c r="C75" s="1212">
        <v>48130</v>
      </c>
      <c r="D75" s="1212">
        <v>-48130</v>
      </c>
      <c r="E75" s="1212">
        <v>0</v>
      </c>
      <c r="F75" s="1210" t="s">
        <v>816</v>
      </c>
      <c r="G75" s="1210" t="s">
        <v>825</v>
      </c>
      <c r="H75" s="1200"/>
      <c r="I75" s="1201"/>
      <c r="J75" s="1201"/>
      <c r="K75" s="1201"/>
      <c r="L75" s="653" t="str">
        <f t="shared" si="67"/>
        <v>1307</v>
      </c>
      <c r="M75" s="654" t="str">
        <f t="shared" si="0"/>
        <v>RECEVABLES INTERCO VEHICULE</v>
      </c>
      <c r="N75" s="655">
        <f>+IF(OR($Q75=Parametres!$G$2,$Q75=Parametres!$G$3),I75,C75)</f>
        <v>48130</v>
      </c>
      <c r="O75" s="655">
        <f>+IF(OR($Q75=Parametres!$G$2,$Q75=Parametres!$G$3),J75,D75)</f>
        <v>-48130</v>
      </c>
      <c r="P75" s="655">
        <f>+IF(OR($Q75=Parametres!$G$2,$Q75=Parametres!$G$3),K75,E75)</f>
        <v>0</v>
      </c>
      <c r="Q75" s="654" t="str">
        <f t="shared" ref="Q75:S75" si="76">+F75</f>
        <v>2-Actifs</v>
      </c>
      <c r="R75" s="653" t="str">
        <f t="shared" si="76"/>
        <v>1302</v>
      </c>
      <c r="S75" s="654">
        <f t="shared" si="76"/>
        <v>0</v>
      </c>
      <c r="T75" s="656" t="str">
        <f>+VLOOKUP($L75,Data_Validation!$A:$D,1,0)</f>
        <v>1307</v>
      </c>
      <c r="U75" s="656" t="str">
        <f>+VLOOKUP($L75,Data_Validation!$A:$D,3,0)</f>
        <v>Bilan</v>
      </c>
      <c r="V75" s="656" t="str">
        <f>+VLOOKUP($L75,Data_Validation!$A:$D,4,0)</f>
        <v>Recevables Intercos</v>
      </c>
      <c r="W75" s="656" t="str">
        <f>+VLOOKUP($L75,Data_Validation!$A:$E,5,0)</f>
        <v>$</v>
      </c>
      <c r="X75" s="656">
        <f>+VLOOKUP($L75,Data_Validation!$A:$F,6,0)</f>
        <v>0</v>
      </c>
    </row>
    <row r="76" spans="1:24" ht="15" customHeight="1">
      <c r="A76" s="1210" t="s">
        <v>832</v>
      </c>
      <c r="B76" s="1210" t="s">
        <v>1467</v>
      </c>
      <c r="C76" s="1212">
        <v>81298</v>
      </c>
      <c r="D76" s="1212">
        <v>-63099</v>
      </c>
      <c r="E76" s="1212">
        <v>18199</v>
      </c>
      <c r="F76" s="1210" t="s">
        <v>816</v>
      </c>
      <c r="G76" s="1210" t="s">
        <v>833</v>
      </c>
      <c r="H76" s="1200"/>
      <c r="I76" s="1201"/>
      <c r="J76" s="1201"/>
      <c r="K76" s="1201"/>
      <c r="L76" s="653" t="str">
        <f t="shared" si="67"/>
        <v>1312</v>
      </c>
      <c r="M76" s="654" t="str">
        <f t="shared" si="0"/>
        <v>RESEVE VOLKS</v>
      </c>
      <c r="N76" s="655">
        <f>+IF(OR($Q76=Parametres!$G$2,$Q76=Parametres!$G$3),I76,C76)</f>
        <v>81298</v>
      </c>
      <c r="O76" s="655">
        <f>+IF(OR($Q76=Parametres!$G$2,$Q76=Parametres!$G$3),J76,D76)</f>
        <v>-63099</v>
      </c>
      <c r="P76" s="655">
        <f>+IF(OR($Q76=Parametres!$G$2,$Q76=Parametres!$G$3),K76,E76)</f>
        <v>18199</v>
      </c>
      <c r="Q76" s="654" t="str">
        <f t="shared" ref="Q76:S76" si="77">+F76</f>
        <v>2-Actifs</v>
      </c>
      <c r="R76" s="653" t="str">
        <f t="shared" si="77"/>
        <v>1314</v>
      </c>
      <c r="S76" s="654">
        <f t="shared" si="77"/>
        <v>0</v>
      </c>
      <c r="T76" s="656" t="str">
        <f>+VLOOKUP($L76,Data_Validation!$A:$D,1,0)</f>
        <v>1312</v>
      </c>
      <c r="U76" s="656" t="str">
        <f>+VLOOKUP($L76,Data_Validation!$A:$D,3,0)</f>
        <v>Bilan</v>
      </c>
      <c r="V76" s="656" t="str">
        <f>+VLOOKUP($L76,Data_Validation!$A:$D,4,0)</f>
        <v>Recevables Manufacturier</v>
      </c>
      <c r="W76" s="656" t="str">
        <f>+VLOOKUP($L76,Data_Validation!$A:$E,5,0)</f>
        <v>$</v>
      </c>
      <c r="X76" s="656">
        <f>+VLOOKUP($L76,Data_Validation!$A:$F,6,0)</f>
        <v>0</v>
      </c>
    </row>
    <row r="77" spans="1:24" ht="15" customHeight="1">
      <c r="A77" s="1210" t="s">
        <v>834</v>
      </c>
      <c r="B77" s="1210" t="s">
        <v>835</v>
      </c>
      <c r="C77" s="1212">
        <v>67153.05</v>
      </c>
      <c r="D77" s="1212">
        <v>3520.88</v>
      </c>
      <c r="E77" s="1212">
        <v>70673.929999999993</v>
      </c>
      <c r="F77" s="1210" t="s">
        <v>816</v>
      </c>
      <c r="G77" s="1210" t="s">
        <v>835</v>
      </c>
      <c r="H77" s="1200"/>
      <c r="I77" s="1201"/>
      <c r="J77" s="1201"/>
      <c r="K77" s="1201"/>
      <c r="L77" s="653" t="str">
        <f t="shared" si="67"/>
        <v>1332</v>
      </c>
      <c r="M77" s="654" t="str">
        <f t="shared" si="0"/>
        <v>RECLAM. RECEVABLE-GARANTIE</v>
      </c>
      <c r="N77" s="655">
        <f>+IF(OR($Q77=Parametres!$G$2,$Q77=Parametres!$G$3),I77,C77)</f>
        <v>67153.05</v>
      </c>
      <c r="O77" s="655">
        <f>+IF(OR($Q77=Parametres!$G$2,$Q77=Parametres!$G$3),J77,D77)</f>
        <v>3520.88</v>
      </c>
      <c r="P77" s="655">
        <f>+IF(OR($Q77=Parametres!$G$2,$Q77=Parametres!$G$3),K77,E77)</f>
        <v>70673.929999999993</v>
      </c>
      <c r="Q77" s="654" t="str">
        <f t="shared" ref="Q77:S77" si="78">+F77</f>
        <v>2-Actifs</v>
      </c>
      <c r="R77" s="653" t="str">
        <f t="shared" si="78"/>
        <v>1332</v>
      </c>
      <c r="S77" s="654">
        <f t="shared" si="78"/>
        <v>0</v>
      </c>
      <c r="T77" s="656" t="str">
        <f>+VLOOKUP($L77,Data_Validation!$A:$D,1,0)</f>
        <v>1332</v>
      </c>
      <c r="U77" s="656" t="str">
        <f>+VLOOKUP($L77,Data_Validation!$A:$D,3,0)</f>
        <v>Bilan</v>
      </c>
      <c r="V77" s="656" t="str">
        <f>+VLOOKUP($L77,Data_Validation!$A:$D,4,0)</f>
        <v>Recevables Garantie Manufacturier</v>
      </c>
      <c r="W77" s="656" t="str">
        <f>+VLOOKUP($L77,Data_Validation!$A:$E,5,0)</f>
        <v>$</v>
      </c>
      <c r="X77" s="656">
        <f>+VLOOKUP($L77,Data_Validation!$A:$F,6,0)</f>
        <v>0</v>
      </c>
    </row>
    <row r="78" spans="1:24" ht="15" customHeight="1">
      <c r="A78" s="1210" t="s">
        <v>836</v>
      </c>
      <c r="B78" s="1210" t="s">
        <v>1472</v>
      </c>
      <c r="C78" s="1212">
        <v>-37576.53</v>
      </c>
      <c r="D78" s="1212">
        <v>13211.93</v>
      </c>
      <c r="E78" s="1212">
        <v>-24364.6</v>
      </c>
      <c r="F78" s="1210" t="s">
        <v>816</v>
      </c>
      <c r="G78" s="1210" t="s">
        <v>821</v>
      </c>
      <c r="H78" s="1200"/>
      <c r="I78" s="1201"/>
      <c r="J78" s="1201"/>
      <c r="K78" s="1201"/>
      <c r="L78" s="653" t="str">
        <f t="shared" si="67"/>
        <v>1340</v>
      </c>
      <c r="M78" s="654" t="str">
        <f t="shared" si="0"/>
        <v>GARANTIE PPM</v>
      </c>
      <c r="N78" s="655">
        <f>+IF(OR($Q78=Parametres!$G$2,$Q78=Parametres!$G$3),I78,C78)</f>
        <v>-37576.53</v>
      </c>
      <c r="O78" s="655">
        <f>+IF(OR($Q78=Parametres!$G$2,$Q78=Parametres!$G$3),J78,D78)</f>
        <v>13211.93</v>
      </c>
      <c r="P78" s="655">
        <f>+IF(OR($Q78=Parametres!$G$2,$Q78=Parametres!$G$3),K78,E78)</f>
        <v>-24364.6</v>
      </c>
      <c r="Q78" s="654" t="str">
        <f t="shared" ref="Q78:S78" si="79">+F78</f>
        <v>2-Actifs</v>
      </c>
      <c r="R78" s="653" t="str">
        <f t="shared" si="79"/>
        <v>1382</v>
      </c>
      <c r="S78" s="654">
        <f t="shared" si="79"/>
        <v>0</v>
      </c>
      <c r="T78" s="656" t="str">
        <f>+VLOOKUP($L78,Data_Validation!$A:$D,1,0)</f>
        <v>1340</v>
      </c>
      <c r="U78" s="656" t="str">
        <f>+VLOOKUP($L78,Data_Validation!$A:$D,3,0)</f>
        <v>Bilan</v>
      </c>
      <c r="V78" s="656" t="str">
        <f>+VLOOKUP($L78,Data_Validation!$A:$D,4,0)</f>
        <v>recevables Autres</v>
      </c>
      <c r="W78" s="656" t="str">
        <f>+VLOOKUP($L78,Data_Validation!$A:$E,5,0)</f>
        <v>$</v>
      </c>
      <c r="X78" s="656">
        <f>+VLOOKUP($L78,Data_Validation!$A:$F,6,0)</f>
        <v>0</v>
      </c>
    </row>
    <row r="79" spans="1:24" ht="15" customHeight="1">
      <c r="A79" s="1210" t="s">
        <v>837</v>
      </c>
      <c r="B79" s="1210" t="s">
        <v>1475</v>
      </c>
      <c r="C79" s="1212">
        <v>464700</v>
      </c>
      <c r="D79" s="1212">
        <v>-256450</v>
      </c>
      <c r="E79" s="1212">
        <v>208250</v>
      </c>
      <c r="F79" s="1210" t="s">
        <v>816</v>
      </c>
      <c r="G79" s="1210" t="s">
        <v>833</v>
      </c>
      <c r="H79" s="1200"/>
      <c r="I79" s="1201"/>
      <c r="J79" s="1201"/>
      <c r="K79" s="1201"/>
      <c r="L79" s="653" t="str">
        <f t="shared" si="67"/>
        <v>1352</v>
      </c>
      <c r="M79" s="654" t="str">
        <f t="shared" si="0"/>
        <v>RECEV. MANUFACTURIER VOLKS</v>
      </c>
      <c r="N79" s="655">
        <f>+IF(OR($Q79=Parametres!$G$2,$Q79=Parametres!$G$3),I79,C79)</f>
        <v>464700</v>
      </c>
      <c r="O79" s="655">
        <f>+IF(OR($Q79=Parametres!$G$2,$Q79=Parametres!$G$3),J79,D79)</f>
        <v>-256450</v>
      </c>
      <c r="P79" s="655">
        <f>+IF(OR($Q79=Parametres!$G$2,$Q79=Parametres!$G$3),K79,E79)</f>
        <v>208250</v>
      </c>
      <c r="Q79" s="654" t="str">
        <f t="shared" ref="Q79:S79" si="80">+F79</f>
        <v>2-Actifs</v>
      </c>
      <c r="R79" s="653" t="str">
        <f t="shared" si="80"/>
        <v>1314</v>
      </c>
      <c r="S79" s="654">
        <f t="shared" si="80"/>
        <v>0</v>
      </c>
      <c r="T79" s="656" t="str">
        <f>+VLOOKUP($L79,Data_Validation!$A:$D,1,0)</f>
        <v>1352</v>
      </c>
      <c r="U79" s="656" t="str">
        <f>+VLOOKUP($L79,Data_Validation!$A:$D,3,0)</f>
        <v>Bilan</v>
      </c>
      <c r="V79" s="656" t="str">
        <f>+VLOOKUP($L79,Data_Validation!$A:$D,4,0)</f>
        <v>Recevables Manufacturier</v>
      </c>
      <c r="W79" s="656" t="str">
        <f>+VLOOKUP($L79,Data_Validation!$A:$E,5,0)</f>
        <v>$</v>
      </c>
      <c r="X79" s="656">
        <f>+VLOOKUP($L79,Data_Validation!$A:$F,6,0)</f>
        <v>0</v>
      </c>
    </row>
    <row r="80" spans="1:24" ht="15.75" customHeight="1">
      <c r="A80" s="1210" t="s">
        <v>3939</v>
      </c>
      <c r="B80" s="1210" t="s">
        <v>1478</v>
      </c>
      <c r="C80" s="1212">
        <v>-1212.92</v>
      </c>
      <c r="D80" s="1212">
        <v>-700.72</v>
      </c>
      <c r="E80" s="1212">
        <v>-1913.64</v>
      </c>
      <c r="F80" s="1210" t="s">
        <v>816</v>
      </c>
      <c r="G80" s="1210" t="s">
        <v>868</v>
      </c>
      <c r="H80" s="1200"/>
      <c r="I80" s="1201"/>
      <c r="J80" s="1201"/>
      <c r="K80" s="1201"/>
      <c r="L80" s="653" t="str">
        <f t="shared" si="67"/>
        <v>1364</v>
      </c>
      <c r="M80" s="654" t="str">
        <f t="shared" si="0"/>
        <v>FPA FLOORPLAN</v>
      </c>
      <c r="N80" s="655">
        <f>+IF(OR($Q80=Parametres!$G$2,$Q80=Parametres!$G$3),I80,C80)</f>
        <v>-1212.92</v>
      </c>
      <c r="O80" s="655">
        <f>+IF(OR($Q80=Parametres!$G$2,$Q80=Parametres!$G$3),J80,D80)</f>
        <v>-700.72</v>
      </c>
      <c r="P80" s="655">
        <f>+IF(OR($Q80=Parametres!$G$2,$Q80=Parametres!$G$3),K80,E80)</f>
        <v>-1913.64</v>
      </c>
      <c r="Q80" s="654" t="str">
        <f t="shared" ref="Q80:S80" si="81">+F80</f>
        <v>2-Actifs</v>
      </c>
      <c r="R80" s="653" t="str">
        <f t="shared" si="81"/>
        <v>1500</v>
      </c>
      <c r="S80" s="654">
        <f t="shared" si="81"/>
        <v>0</v>
      </c>
      <c r="T80" s="656" t="str">
        <f>+VLOOKUP($L80,Data_Validation!$A:$D,1,0)</f>
        <v>1364</v>
      </c>
      <c r="U80" s="656" t="str">
        <f>+VLOOKUP($L80,Data_Validation!$A:$D,3,0)</f>
        <v>Bilan</v>
      </c>
      <c r="V80" s="656" t="str">
        <f>+VLOOKUP($L80,Data_Validation!$A:$D,4,0)</f>
        <v>recevables Autres</v>
      </c>
      <c r="W80" s="656" t="str">
        <f>+VLOOKUP($L80,Data_Validation!$A:$E,5,0)</f>
        <v>$</v>
      </c>
      <c r="X80" s="656">
        <f>+VLOOKUP($L80,Data_Validation!$A:$F,6,0)</f>
        <v>0</v>
      </c>
    </row>
    <row r="81" spans="1:24" ht="15" customHeight="1">
      <c r="A81" s="1210" t="s">
        <v>838</v>
      </c>
      <c r="B81" s="1210" t="s">
        <v>839</v>
      </c>
      <c r="C81" s="1212">
        <v>-25000</v>
      </c>
      <c r="D81" s="1212">
        <v>0</v>
      </c>
      <c r="E81" s="1212">
        <v>-25000</v>
      </c>
      <c r="F81" s="1210" t="s">
        <v>816</v>
      </c>
      <c r="G81" s="1210" t="s">
        <v>839</v>
      </c>
      <c r="H81" s="1200"/>
      <c r="I81" s="1201"/>
      <c r="J81" s="1201"/>
      <c r="K81" s="1201"/>
      <c r="L81" s="653" t="str">
        <f t="shared" si="67"/>
        <v>1399</v>
      </c>
      <c r="M81" s="654" t="str">
        <f t="shared" si="0"/>
        <v>RESERVE CREANCE DOUTEUSES</v>
      </c>
      <c r="N81" s="655">
        <f>+IF(OR($Q81=Parametres!$G$2,$Q81=Parametres!$G$3),I81,C81)</f>
        <v>-25000</v>
      </c>
      <c r="O81" s="655">
        <f>+IF(OR($Q81=Parametres!$G$2,$Q81=Parametres!$G$3),J81,D81)</f>
        <v>0</v>
      </c>
      <c r="P81" s="655">
        <f>+IF(OR($Q81=Parametres!$G$2,$Q81=Parametres!$G$3),K81,E81)</f>
        <v>-25000</v>
      </c>
      <c r="Q81" s="654" t="str">
        <f t="shared" ref="Q81:S81" si="82">+F81</f>
        <v>2-Actifs</v>
      </c>
      <c r="R81" s="653" t="str">
        <f t="shared" si="82"/>
        <v>1399</v>
      </c>
      <c r="S81" s="654">
        <f t="shared" si="82"/>
        <v>0</v>
      </c>
      <c r="T81" s="656" t="str">
        <f>+VLOOKUP($L81,Data_Validation!$A:$D,1,0)</f>
        <v>1399</v>
      </c>
      <c r="U81" s="656" t="str">
        <f>+VLOOKUP($L81,Data_Validation!$A:$D,3,0)</f>
        <v>Bilan</v>
      </c>
      <c r="V81" s="656" t="str">
        <f>+VLOOKUP($L81,Data_Validation!$A:$D,4,0)</f>
        <v>Recevables Pièces et Service</v>
      </c>
      <c r="W81" s="656" t="str">
        <f>+VLOOKUP($L81,Data_Validation!$A:$E,5,0)</f>
        <v>$</v>
      </c>
      <c r="X81" s="656">
        <f>+VLOOKUP($L81,Data_Validation!$A:$F,6,0)</f>
        <v>0</v>
      </c>
    </row>
    <row r="82" spans="1:24" ht="15" customHeight="1">
      <c r="A82" s="1210" t="s">
        <v>840</v>
      </c>
      <c r="B82" s="1210" t="s">
        <v>841</v>
      </c>
      <c r="C82" s="1212">
        <v>4685822.3899999997</v>
      </c>
      <c r="D82" s="1212">
        <v>1396043.96</v>
      </c>
      <c r="E82" s="1212">
        <v>6081866.3499999996</v>
      </c>
      <c r="F82" s="1210" t="s">
        <v>816</v>
      </c>
      <c r="G82" s="1210" t="s">
        <v>841</v>
      </c>
      <c r="H82" s="1200"/>
      <c r="I82" s="1201"/>
      <c r="J82" s="1201"/>
      <c r="K82" s="1201"/>
      <c r="L82" s="653" t="str">
        <f t="shared" si="67"/>
        <v>1402</v>
      </c>
      <c r="M82" s="654" t="str">
        <f t="shared" si="0"/>
        <v>VEHIC. NEUFS VOLKS</v>
      </c>
      <c r="N82" s="655">
        <f>+IF(OR($Q82=Parametres!$G$2,$Q82=Parametres!$G$3),I82,C82)</f>
        <v>4685822.3899999997</v>
      </c>
      <c r="O82" s="655">
        <f>+IF(OR($Q82=Parametres!$G$2,$Q82=Parametres!$G$3),J82,D82)</f>
        <v>1396043.96</v>
      </c>
      <c r="P82" s="655">
        <f>+IF(OR($Q82=Parametres!$G$2,$Q82=Parametres!$G$3),K82,E82)</f>
        <v>6081866.3499999996</v>
      </c>
      <c r="Q82" s="654" t="str">
        <f t="shared" ref="Q82:S82" si="83">+F82</f>
        <v>2-Actifs</v>
      </c>
      <c r="R82" s="653" t="str">
        <f t="shared" si="83"/>
        <v>1402</v>
      </c>
      <c r="S82" s="654">
        <f t="shared" si="83"/>
        <v>0</v>
      </c>
      <c r="T82" s="656" t="str">
        <f>+VLOOKUP($L82,Data_Validation!$A:$D,1,0)</f>
        <v>1402</v>
      </c>
      <c r="U82" s="656" t="str">
        <f>+VLOOKUP($L82,Data_Validation!$A:$D,3,0)</f>
        <v>Bilan</v>
      </c>
      <c r="V82" s="656" t="str">
        <f>+VLOOKUP($L82,Data_Validation!$A:$D,4,0)</f>
        <v>Inventaire Véhicules Neufs</v>
      </c>
      <c r="W82" s="656" t="str">
        <f>+VLOOKUP($L82,Data_Validation!$A:$E,5,0)</f>
        <v>$</v>
      </c>
      <c r="X82" s="656">
        <f>+VLOOKUP($L82,Data_Validation!$A:$F,6,0)</f>
        <v>0</v>
      </c>
    </row>
    <row r="83" spans="1:24" ht="15" customHeight="1">
      <c r="A83" s="1210" t="s">
        <v>844</v>
      </c>
      <c r="B83" s="1210" t="s">
        <v>1487</v>
      </c>
      <c r="C83" s="1212">
        <v>-72550</v>
      </c>
      <c r="D83" s="1212">
        <v>-5175</v>
      </c>
      <c r="E83" s="1212">
        <v>-77725</v>
      </c>
      <c r="F83" s="1210" t="s">
        <v>816</v>
      </c>
      <c r="G83" s="1210" t="s">
        <v>841</v>
      </c>
      <c r="H83" s="1200"/>
      <c r="I83" s="1201"/>
      <c r="J83" s="1201"/>
      <c r="K83" s="1201"/>
      <c r="L83" s="653" t="str">
        <f t="shared" si="67"/>
        <v>1403</v>
      </c>
      <c r="M83" s="654" t="str">
        <f t="shared" si="0"/>
        <v>BRUISING VOLKS VEH. NEUFS</v>
      </c>
      <c r="N83" s="655">
        <f>+IF(OR($Q83=Parametres!$G$2,$Q83=Parametres!$G$3),I83,C83)</f>
        <v>-72550</v>
      </c>
      <c r="O83" s="655">
        <f>+IF(OR($Q83=Parametres!$G$2,$Q83=Parametres!$G$3),J83,D83)</f>
        <v>-5175</v>
      </c>
      <c r="P83" s="655">
        <f>+IF(OR($Q83=Parametres!$G$2,$Q83=Parametres!$G$3),K83,E83)</f>
        <v>-77725</v>
      </c>
      <c r="Q83" s="654" t="str">
        <f t="shared" ref="Q83:S83" si="84">+F83</f>
        <v>2-Actifs</v>
      </c>
      <c r="R83" s="653" t="str">
        <f t="shared" si="84"/>
        <v>1402</v>
      </c>
      <c r="S83" s="654">
        <f t="shared" si="84"/>
        <v>0</v>
      </c>
      <c r="T83" s="656" t="str">
        <f>+VLOOKUP($L83,Data_Validation!$A:$D,1,0)</f>
        <v>1403</v>
      </c>
      <c r="U83" s="656" t="str">
        <f>+VLOOKUP($L83,Data_Validation!$A:$D,3,0)</f>
        <v>Bilan</v>
      </c>
      <c r="V83" s="656" t="str">
        <f>+VLOOKUP($L83,Data_Validation!$A:$D,4,0)</f>
        <v>Inventaire Véhicules Neufs</v>
      </c>
      <c r="W83" s="656" t="str">
        <f>+VLOOKUP($L83,Data_Validation!$A:$E,5,0)</f>
        <v>$</v>
      </c>
      <c r="X83" s="656">
        <f>+VLOOKUP($L83,Data_Validation!$A:$F,6,0)</f>
        <v>0</v>
      </c>
    </row>
    <row r="84" spans="1:24" ht="15.75" customHeight="1">
      <c r="A84" s="1210" t="s">
        <v>845</v>
      </c>
      <c r="B84" s="1210" t="s">
        <v>846</v>
      </c>
      <c r="C84" s="1212">
        <v>-58400</v>
      </c>
      <c r="D84" s="1212">
        <v>-6300</v>
      </c>
      <c r="E84" s="1212">
        <v>-64700</v>
      </c>
      <c r="F84" s="1210" t="s">
        <v>816</v>
      </c>
      <c r="G84" s="1210" t="s">
        <v>846</v>
      </c>
      <c r="H84" s="1200"/>
      <c r="I84" s="1201"/>
      <c r="J84" s="1201"/>
      <c r="K84" s="1201"/>
      <c r="L84" s="653" t="str">
        <f t="shared" si="67"/>
        <v>1413</v>
      </c>
      <c r="M84" s="654" t="str">
        <f t="shared" si="0"/>
        <v>BRUISING USED CAR</v>
      </c>
      <c r="N84" s="655">
        <f>+IF(OR($Q84=Parametres!$G$2,$Q84=Parametres!$G$3),I84,C84)</f>
        <v>-58400</v>
      </c>
      <c r="O84" s="655">
        <f>+IF(OR($Q84=Parametres!$G$2,$Q84=Parametres!$G$3),J84,D84)</f>
        <v>-6300</v>
      </c>
      <c r="P84" s="661">
        <f>+IF(OR($Q84=Parametres!$G$2,$Q84=Parametres!$G$3),K84,E84)</f>
        <v>-64700</v>
      </c>
      <c r="Q84" s="654" t="str">
        <f t="shared" ref="Q84:S84" si="85">+F84</f>
        <v>2-Actifs</v>
      </c>
      <c r="R84" s="653" t="str">
        <f t="shared" si="85"/>
        <v>1413</v>
      </c>
      <c r="S84" s="654">
        <f t="shared" si="85"/>
        <v>0</v>
      </c>
      <c r="T84" s="656" t="str">
        <f>+VLOOKUP($L84,Data_Validation!$A:$D,1,0)</f>
        <v>1413</v>
      </c>
      <c r="U84" s="656" t="str">
        <f>+VLOOKUP($L84,Data_Validation!$A:$D,3,0)</f>
        <v>Bilan</v>
      </c>
      <c r="V84" s="656" t="str">
        <f>+VLOOKUP($L84,Data_Validation!$A:$D,4,0)</f>
        <v>Inventaire Véhicules Usagés</v>
      </c>
      <c r="W84" s="656" t="str">
        <f>+VLOOKUP($L84,Data_Validation!$A:$E,5,0)</f>
        <v>$</v>
      </c>
      <c r="X84" s="656">
        <f>+VLOOKUP($L84,Data_Validation!$A:$F,6,0)</f>
        <v>0</v>
      </c>
    </row>
    <row r="85" spans="1:24" ht="15" customHeight="1">
      <c r="A85" s="1210" t="s">
        <v>847</v>
      </c>
      <c r="B85" s="1210" t="s">
        <v>848</v>
      </c>
      <c r="C85" s="1212">
        <v>775000.11</v>
      </c>
      <c r="D85" s="1212">
        <v>7612.04</v>
      </c>
      <c r="E85" s="1212">
        <v>782612.15</v>
      </c>
      <c r="F85" s="1210" t="s">
        <v>816</v>
      </c>
      <c r="G85" s="1210" t="s">
        <v>848</v>
      </c>
      <c r="H85" s="1200"/>
      <c r="I85" s="1201"/>
      <c r="J85" s="1201"/>
      <c r="K85" s="1201"/>
      <c r="L85" s="653" t="str">
        <f t="shared" si="67"/>
        <v>1416</v>
      </c>
      <c r="M85" s="654" t="str">
        <f t="shared" si="0"/>
        <v>INV. VEH. USAGE VW</v>
      </c>
      <c r="N85" s="655">
        <f>+IF(OR($Q85=Parametres!$G$2,$Q85=Parametres!$G$3),I85,C85)</f>
        <v>775000.11</v>
      </c>
      <c r="O85" s="655">
        <f>+IF(OR($Q85=Parametres!$G$2,$Q85=Parametres!$G$3),J85,D85)</f>
        <v>7612.04</v>
      </c>
      <c r="P85" s="661">
        <f>+IF(OR($Q85=Parametres!$G$2,$Q85=Parametres!$G$3),K85,E85)</f>
        <v>782612.15</v>
      </c>
      <c r="Q85" s="654" t="str">
        <f t="shared" ref="Q85:S85" si="86">+F85</f>
        <v>2-Actifs</v>
      </c>
      <c r="R85" s="653" t="str">
        <f t="shared" si="86"/>
        <v>1416</v>
      </c>
      <c r="S85" s="654">
        <f t="shared" si="86"/>
        <v>0</v>
      </c>
      <c r="T85" s="656" t="str">
        <f>+VLOOKUP($L85,Data_Validation!$A:$D,1,0)</f>
        <v>1416</v>
      </c>
      <c r="U85" s="656" t="str">
        <f>+VLOOKUP($L85,Data_Validation!$A:$D,3,0)</f>
        <v>Bilan</v>
      </c>
      <c r="V85" s="656" t="str">
        <f>+VLOOKUP($L85,Data_Validation!$A:$D,4,0)</f>
        <v>Inventaire Véhicules Usagés</v>
      </c>
      <c r="W85" s="656" t="str">
        <f>+VLOOKUP($L85,Data_Validation!$A:$E,5,0)</f>
        <v>$</v>
      </c>
      <c r="X85" s="656">
        <f>+VLOOKUP($L85,Data_Validation!$A:$F,6,0)</f>
        <v>0</v>
      </c>
    </row>
    <row r="86" spans="1:24" ht="15" customHeight="1">
      <c r="A86" s="1210" t="s">
        <v>851</v>
      </c>
      <c r="B86" s="1210" t="s">
        <v>852</v>
      </c>
      <c r="C86" s="1212">
        <v>-3053.71</v>
      </c>
      <c r="D86" s="1212">
        <v>-2055.04</v>
      </c>
      <c r="E86" s="1212">
        <v>-5108.75</v>
      </c>
      <c r="F86" s="1210" t="s">
        <v>816</v>
      </c>
      <c r="G86" s="1210" t="s">
        <v>852</v>
      </c>
      <c r="H86" s="1200"/>
      <c r="I86" s="1201"/>
      <c r="J86" s="1201"/>
      <c r="K86" s="1201"/>
      <c r="L86" s="653" t="str">
        <f t="shared" si="67"/>
        <v>1423</v>
      </c>
      <c r="M86" s="654" t="str">
        <f t="shared" si="0"/>
        <v>RESERVE DEMO</v>
      </c>
      <c r="N86" s="655">
        <f>+IF(OR($Q86=Parametres!$G$2,$Q86=Parametres!$G$3),I86,C86)</f>
        <v>-3053.71</v>
      </c>
      <c r="O86" s="655">
        <f>+IF(OR($Q86=Parametres!$G$2,$Q86=Parametres!$G$3),J86,D86)</f>
        <v>-2055.04</v>
      </c>
      <c r="P86" s="661">
        <f>+IF(OR($Q86=Parametres!$G$2,$Q86=Parametres!$G$3),K86,E86)</f>
        <v>-5108.75</v>
      </c>
      <c r="Q86" s="654" t="str">
        <f t="shared" ref="Q86:S86" si="87">+F86</f>
        <v>2-Actifs</v>
      </c>
      <c r="R86" s="653" t="str">
        <f t="shared" si="87"/>
        <v>1423</v>
      </c>
      <c r="S86" s="654">
        <f t="shared" si="87"/>
        <v>0</v>
      </c>
      <c r="T86" s="656" t="str">
        <f>+VLOOKUP($L86,Data_Validation!$A:$D,1,0)</f>
        <v>1423</v>
      </c>
      <c r="U86" s="656" t="str">
        <f>+VLOOKUP($L86,Data_Validation!$A:$D,3,0)</f>
        <v>Bilan</v>
      </c>
      <c r="V86" s="656" t="str">
        <f>+VLOOKUP($L86,Data_Validation!$A:$D,4,0)</f>
        <v>Inventaire Véhicules Neufs</v>
      </c>
      <c r="W86" s="656" t="str">
        <f>+VLOOKUP($L86,Data_Validation!$A:$E,5,0)</f>
        <v>$</v>
      </c>
      <c r="X86" s="656">
        <f>+VLOOKUP($L86,Data_Validation!$A:$F,6,0)</f>
        <v>0</v>
      </c>
    </row>
    <row r="87" spans="1:24" ht="15" customHeight="1">
      <c r="A87" s="1210" t="s">
        <v>853</v>
      </c>
      <c r="B87" s="1210" t="s">
        <v>3366</v>
      </c>
      <c r="C87" s="1212">
        <v>-2255.81</v>
      </c>
      <c r="D87" s="1212">
        <v>-2009.78</v>
      </c>
      <c r="E87" s="1212">
        <v>-4265.59</v>
      </c>
      <c r="F87" s="1210" t="s">
        <v>816</v>
      </c>
      <c r="G87" s="1210" t="s">
        <v>854</v>
      </c>
      <c r="H87" s="1200"/>
      <c r="I87" s="1201"/>
      <c r="J87" s="1201"/>
      <c r="K87" s="1201"/>
      <c r="L87" s="653" t="str">
        <f t="shared" si="67"/>
        <v>1433</v>
      </c>
      <c r="M87" s="654" t="str">
        <f t="shared" si="0"/>
        <v>RESERVE COURTOISIE</v>
      </c>
      <c r="N87" s="655">
        <f>+IF(OR($Q87=Parametres!$G$2,$Q87=Parametres!$G$3),I87,C87)</f>
        <v>-2255.81</v>
      </c>
      <c r="O87" s="655">
        <f>+IF(OR($Q87=Parametres!$G$2,$Q87=Parametres!$G$3),J87,D87)</f>
        <v>-2009.78</v>
      </c>
      <c r="P87" s="661">
        <f>+IF(OR($Q87=Parametres!$G$2,$Q87=Parametres!$G$3),K87,E87)</f>
        <v>-4265.59</v>
      </c>
      <c r="Q87" s="654" t="str">
        <f t="shared" ref="Q87:S87" si="88">+F87</f>
        <v>2-Actifs</v>
      </c>
      <c r="R87" s="653" t="str">
        <f t="shared" si="88"/>
        <v>143</v>
      </c>
      <c r="S87" s="654">
        <f t="shared" si="88"/>
        <v>0</v>
      </c>
      <c r="T87" s="656" t="str">
        <f>+VLOOKUP($L87,Data_Validation!$A:$D,1,0)</f>
        <v>1433</v>
      </c>
      <c r="U87" s="656" t="str">
        <f>+VLOOKUP($L87,Data_Validation!$A:$D,3,0)</f>
        <v>Bilan</v>
      </c>
      <c r="V87" s="656" t="str">
        <f>+VLOOKUP($L87,Data_Validation!$A:$D,4,0)</f>
        <v>Inventaire Véhicules Neufs</v>
      </c>
      <c r="W87" s="656" t="str">
        <f>+VLOOKUP($L87,Data_Validation!$A:$E,5,0)</f>
        <v>$</v>
      </c>
      <c r="X87" s="656">
        <f>+VLOOKUP($L87,Data_Validation!$A:$F,6,0)</f>
        <v>0</v>
      </c>
    </row>
    <row r="88" spans="1:24" ht="15" customHeight="1">
      <c r="A88" s="1210" t="s">
        <v>855</v>
      </c>
      <c r="B88" s="1210" t="s">
        <v>856</v>
      </c>
      <c r="C88" s="1212">
        <v>413025.13</v>
      </c>
      <c r="D88" s="1212">
        <v>10274.11</v>
      </c>
      <c r="E88" s="1212">
        <v>423299.24</v>
      </c>
      <c r="F88" s="1210" t="s">
        <v>816</v>
      </c>
      <c r="G88" s="1210" t="s">
        <v>856</v>
      </c>
      <c r="H88" s="1200"/>
      <c r="I88" s="1201"/>
      <c r="J88" s="1201"/>
      <c r="K88" s="1201"/>
      <c r="L88" s="653" t="str">
        <f t="shared" si="67"/>
        <v>1442</v>
      </c>
      <c r="M88" s="654" t="str">
        <f t="shared" si="0"/>
        <v>PIECES &amp; ACCESSOIRES NEUFS</v>
      </c>
      <c r="N88" s="655">
        <f>+IF(OR($Q88=Parametres!$G$2,$Q88=Parametres!$G$3),I88,C88)</f>
        <v>413025.13</v>
      </c>
      <c r="O88" s="655">
        <f>+IF(OR($Q88=Parametres!$G$2,$Q88=Parametres!$G$3),J88,D88)</f>
        <v>10274.11</v>
      </c>
      <c r="P88" s="655">
        <f>+IF(OR($Q88=Parametres!$G$2,$Q88=Parametres!$G$3),K88,E88)</f>
        <v>423299.24</v>
      </c>
      <c r="Q88" s="654" t="str">
        <f t="shared" ref="Q88:S88" si="89">+F88</f>
        <v>2-Actifs</v>
      </c>
      <c r="R88" s="653" t="str">
        <f t="shared" si="89"/>
        <v>1442</v>
      </c>
      <c r="S88" s="654">
        <f t="shared" si="89"/>
        <v>0</v>
      </c>
      <c r="T88" s="656" t="str">
        <f>+VLOOKUP($L88,Data_Validation!$A:$D,1,0)</f>
        <v>1442</v>
      </c>
      <c r="U88" s="656" t="str">
        <f>+VLOOKUP($L88,Data_Validation!$A:$D,3,0)</f>
        <v>Bilan</v>
      </c>
      <c r="V88" s="656" t="str">
        <f>+VLOOKUP($L88,Data_Validation!$A:$D,4,0)</f>
        <v>Inventaire Pièces, Pneus, Huile</v>
      </c>
      <c r="W88" s="656" t="str">
        <f>+VLOOKUP($L88,Data_Validation!$A:$E,5,0)</f>
        <v>$</v>
      </c>
      <c r="X88" s="656">
        <f>+VLOOKUP($L88,Data_Validation!$A:$F,6,0)</f>
        <v>0</v>
      </c>
    </row>
    <row r="89" spans="1:24" ht="15" customHeight="1">
      <c r="A89" s="1210" t="s">
        <v>857</v>
      </c>
      <c r="B89" s="1210" t="s">
        <v>3367</v>
      </c>
      <c r="C89" s="1212">
        <v>6974.06</v>
      </c>
      <c r="D89" s="1212">
        <v>-122266.59</v>
      </c>
      <c r="E89" s="1212">
        <v>-115292.53</v>
      </c>
      <c r="F89" s="1210" t="s">
        <v>816</v>
      </c>
      <c r="G89" s="1210" t="s">
        <v>856</v>
      </c>
      <c r="H89" s="1200"/>
      <c r="I89" s="1201"/>
      <c r="J89" s="1201"/>
      <c r="K89" s="1201"/>
      <c r="L89" s="653" t="str">
        <f t="shared" si="67"/>
        <v>1448</v>
      </c>
      <c r="M89" s="654" t="str">
        <f t="shared" si="0"/>
        <v>AUTRES MARQUES P&amp;A</v>
      </c>
      <c r="N89" s="655">
        <f>+IF(OR($Q89=Parametres!$G$2,$Q89=Parametres!$G$3),I89,C89)</f>
        <v>6974.06</v>
      </c>
      <c r="O89" s="659">
        <f>+IF(OR($Q89=Parametres!$G$2,$Q89=Parametres!$G$3),J89,D89)</f>
        <v>-122266.59</v>
      </c>
      <c r="P89" s="655">
        <f>+IF(OR($Q89=Parametres!$G$2,$Q89=Parametres!$G$3),K89,E89)</f>
        <v>-115292.53</v>
      </c>
      <c r="Q89" s="654" t="str">
        <f t="shared" ref="Q89:S89" si="90">+F89</f>
        <v>2-Actifs</v>
      </c>
      <c r="R89" s="653" t="str">
        <f t="shared" si="90"/>
        <v>1442</v>
      </c>
      <c r="S89" s="654">
        <f t="shared" si="90"/>
        <v>0</v>
      </c>
      <c r="T89" s="656" t="str">
        <f>+VLOOKUP($L89,Data_Validation!$A:$D,1,0)</f>
        <v>1448</v>
      </c>
      <c r="U89" s="656" t="str">
        <f>+VLOOKUP($L89,Data_Validation!$A:$D,3,0)</f>
        <v>Bilan</v>
      </c>
      <c r="V89" s="656" t="str">
        <f>+VLOOKUP($L89,Data_Validation!$A:$D,4,0)</f>
        <v>Inventaire Pièces, Pneus, Huile</v>
      </c>
      <c r="W89" s="656" t="str">
        <f>+VLOOKUP($L89,Data_Validation!$A:$E,5,0)</f>
        <v>$</v>
      </c>
      <c r="X89" s="656">
        <f>+VLOOKUP($L89,Data_Validation!$A:$F,6,0)</f>
        <v>0</v>
      </c>
    </row>
    <row r="90" spans="1:24" ht="15" customHeight="1">
      <c r="A90" s="1210" t="s">
        <v>858</v>
      </c>
      <c r="B90" s="1210" t="s">
        <v>1498</v>
      </c>
      <c r="C90" s="1212">
        <v>59946.33</v>
      </c>
      <c r="D90" s="1212">
        <v>131953.71</v>
      </c>
      <c r="E90" s="1212">
        <v>191900.04</v>
      </c>
      <c r="F90" s="1210" t="s">
        <v>816</v>
      </c>
      <c r="G90" s="1210" t="s">
        <v>856</v>
      </c>
      <c r="H90" s="1200"/>
      <c r="I90" s="1201"/>
      <c r="J90" s="1201"/>
      <c r="K90" s="1201"/>
      <c r="L90" s="653" t="str">
        <f t="shared" si="67"/>
        <v>1452</v>
      </c>
      <c r="M90" s="654" t="str">
        <f t="shared" si="0"/>
        <v>PNEUS</v>
      </c>
      <c r="N90" s="655">
        <f>+IF(OR($Q90=Parametres!$G$2,$Q90=Parametres!$G$3),I90,C90)</f>
        <v>59946.33</v>
      </c>
      <c r="O90" s="655">
        <f>+IF(OR($Q90=Parametres!$G$2,$Q90=Parametres!$G$3),J90,D90)</f>
        <v>131953.71</v>
      </c>
      <c r="P90" s="662">
        <f>+IF(OR($Q90=Parametres!$G$2,$Q90=Parametres!$G$3),K90,E90)</f>
        <v>191900.04</v>
      </c>
      <c r="Q90" s="654" t="str">
        <f t="shared" ref="Q90:S90" si="91">+F90</f>
        <v>2-Actifs</v>
      </c>
      <c r="R90" s="653" t="str">
        <f t="shared" si="91"/>
        <v>1442</v>
      </c>
      <c r="S90" s="654">
        <f t="shared" si="91"/>
        <v>0</v>
      </c>
      <c r="T90" s="656" t="str">
        <f>+VLOOKUP($L90,Data_Validation!$A:$D,1,0)</f>
        <v>1452</v>
      </c>
      <c r="U90" s="656" t="str">
        <f>+VLOOKUP($L90,Data_Validation!$A:$D,3,0)</f>
        <v>Bilan</v>
      </c>
      <c r="V90" s="656" t="str">
        <f>+VLOOKUP($L90,Data_Validation!$A:$D,4,0)</f>
        <v>Inventaire Pièces, Pneus, Huile</v>
      </c>
      <c r="W90" s="656" t="str">
        <f>+VLOOKUP($L90,Data_Validation!$A:$E,5,0)</f>
        <v>$</v>
      </c>
      <c r="X90" s="656">
        <f>+VLOOKUP($L90,Data_Validation!$A:$F,6,0)</f>
        <v>0</v>
      </c>
    </row>
    <row r="91" spans="1:24" ht="15" customHeight="1">
      <c r="A91" s="1210" t="s">
        <v>859</v>
      </c>
      <c r="B91" s="1210" t="s">
        <v>860</v>
      </c>
      <c r="C91" s="1212">
        <v>0</v>
      </c>
      <c r="D91" s="1212">
        <v>24169.1</v>
      </c>
      <c r="E91" s="1212">
        <v>24169.1</v>
      </c>
      <c r="F91" s="1210" t="s">
        <v>816</v>
      </c>
      <c r="G91" s="1210" t="s">
        <v>860</v>
      </c>
      <c r="H91" s="1200"/>
      <c r="I91" s="1201"/>
      <c r="J91" s="1201"/>
      <c r="K91" s="1201"/>
      <c r="L91" s="653" t="str">
        <f t="shared" si="67"/>
        <v>1456</v>
      </c>
      <c r="M91" s="654" t="str">
        <f t="shared" si="0"/>
        <v>PIECES VW NON ORIGINE</v>
      </c>
      <c r="N91" s="655">
        <f>+IF(OR($Q91=Parametres!$G$2,$Q91=Parametres!$G$3),I91,C91)</f>
        <v>0</v>
      </c>
      <c r="O91" s="655">
        <f>+IF(OR($Q91=Parametres!$G$2,$Q91=Parametres!$G$3),J91,D91)</f>
        <v>24169.1</v>
      </c>
      <c r="P91" s="662">
        <f>+IF(OR($Q91=Parametres!$G$2,$Q91=Parametres!$G$3),K91,E91)</f>
        <v>24169.1</v>
      </c>
      <c r="Q91" s="654" t="str">
        <f t="shared" ref="Q91:S91" si="92">+F91</f>
        <v>2-Actifs</v>
      </c>
      <c r="R91" s="653" t="str">
        <f t="shared" si="92"/>
        <v>1456</v>
      </c>
      <c r="S91" s="654">
        <f t="shared" si="92"/>
        <v>0</v>
      </c>
      <c r="T91" s="656" t="str">
        <f>+VLOOKUP($L91,Data_Validation!$A:$D,1,0)</f>
        <v>1456</v>
      </c>
      <c r="U91" s="656" t="str">
        <f>+VLOOKUP($L91,Data_Validation!$A:$D,3,0)</f>
        <v>Bilan</v>
      </c>
      <c r="V91" s="656" t="str">
        <f>+VLOOKUP($L91,Data_Validation!$A:$D,4,0)</f>
        <v>Inventaire Pièces, Pneus, Huile</v>
      </c>
      <c r="W91" s="656" t="str">
        <f>+VLOOKUP($L91,Data_Validation!$A:$E,5,0)</f>
        <v>$</v>
      </c>
      <c r="X91" s="656">
        <f>+VLOOKUP($L91,Data_Validation!$A:$F,6,0)</f>
        <v>0</v>
      </c>
    </row>
    <row r="92" spans="1:24" ht="15" customHeight="1">
      <c r="A92" s="1210" t="s">
        <v>861</v>
      </c>
      <c r="B92" s="1210" t="s">
        <v>862</v>
      </c>
      <c r="C92" s="1212">
        <v>12978</v>
      </c>
      <c r="D92" s="1212">
        <v>3669.67</v>
      </c>
      <c r="E92" s="1212">
        <v>16647.669999999998</v>
      </c>
      <c r="F92" s="1210" t="s">
        <v>816</v>
      </c>
      <c r="G92" s="1210" t="s">
        <v>862</v>
      </c>
      <c r="H92" s="1200"/>
      <c r="I92" s="1201"/>
      <c r="J92" s="1201"/>
      <c r="K92" s="1201"/>
      <c r="L92" s="653" t="str">
        <f t="shared" si="67"/>
        <v>1472</v>
      </c>
      <c r="M92" s="654" t="str">
        <f t="shared" si="0"/>
        <v>WIP M-O VW</v>
      </c>
      <c r="N92" s="655">
        <f>+IF(OR($Q92=Parametres!$G$2,$Q92=Parametres!$G$3),I92,C92)</f>
        <v>12978</v>
      </c>
      <c r="O92" s="655">
        <f>+IF(OR($Q92=Parametres!$G$2,$Q92=Parametres!$G$3),J92,D92)</f>
        <v>3669.67</v>
      </c>
      <c r="P92" s="662">
        <f>+IF(OR($Q92=Parametres!$G$2,$Q92=Parametres!$G$3),K92,E92)</f>
        <v>16647.669999999998</v>
      </c>
      <c r="Q92" s="654" t="str">
        <f t="shared" ref="Q92:S92" si="93">+F92</f>
        <v>2-Actifs</v>
      </c>
      <c r="R92" s="653" t="str">
        <f t="shared" si="93"/>
        <v>1472</v>
      </c>
      <c r="S92" s="654">
        <f t="shared" si="93"/>
        <v>0</v>
      </c>
      <c r="T92" s="656" t="str">
        <f>+VLOOKUP($L92,Data_Validation!$A:$D,1,0)</f>
        <v>1472</v>
      </c>
      <c r="U92" s="656" t="str">
        <f>+VLOOKUP($L92,Data_Validation!$A:$D,3,0)</f>
        <v>Bilan</v>
      </c>
      <c r="V92" s="656" t="str">
        <f>+VLOOKUP($L92,Data_Validation!$A:$D,4,0)</f>
        <v>Travaux en Cours</v>
      </c>
      <c r="W92" s="656" t="str">
        <f>+VLOOKUP($L92,Data_Validation!$A:$E,5,0)</f>
        <v>$</v>
      </c>
      <c r="X92" s="656">
        <f>+VLOOKUP($L92,Data_Validation!$A:$F,6,0)</f>
        <v>0</v>
      </c>
    </row>
    <row r="93" spans="1:24" ht="15" customHeight="1">
      <c r="A93" s="1210" t="s">
        <v>863</v>
      </c>
      <c r="B93" s="1210" t="s">
        <v>1505</v>
      </c>
      <c r="C93" s="1212">
        <v>-33093.5</v>
      </c>
      <c r="D93" s="1212">
        <v>12712.59</v>
      </c>
      <c r="E93" s="1212">
        <v>-20380.91</v>
      </c>
      <c r="F93" s="1210" t="s">
        <v>816</v>
      </c>
      <c r="G93" s="1210" t="s">
        <v>862</v>
      </c>
      <c r="H93" s="1200"/>
      <c r="I93" s="1201"/>
      <c r="J93" s="1201"/>
      <c r="K93" s="1201"/>
      <c r="L93" s="653" t="str">
        <f t="shared" si="67"/>
        <v>1474</v>
      </c>
      <c r="M93" s="654" t="str">
        <f t="shared" si="0"/>
        <v>INVENTAIRE SOUS-TRAITANTS</v>
      </c>
      <c r="N93" s="655">
        <f>+IF(OR($Q93=Parametres!$G$2,$Q93=Parametres!$G$3),I93,C93)</f>
        <v>-33093.5</v>
      </c>
      <c r="O93" s="655">
        <f>+IF(OR($Q93=Parametres!$G$2,$Q93=Parametres!$G$3),J93,D93)</f>
        <v>12712.59</v>
      </c>
      <c r="P93" s="662">
        <f>+IF(OR($Q93=Parametres!$G$2,$Q93=Parametres!$G$3),K93,E93)</f>
        <v>-20380.91</v>
      </c>
      <c r="Q93" s="654" t="str">
        <f t="shared" ref="Q93:S93" si="94">+F93</f>
        <v>2-Actifs</v>
      </c>
      <c r="R93" s="653" t="str">
        <f t="shared" si="94"/>
        <v>1472</v>
      </c>
      <c r="S93" s="654">
        <f t="shared" si="94"/>
        <v>0</v>
      </c>
      <c r="T93" s="656" t="str">
        <f>+VLOOKUP($L93,Data_Validation!$A:$D,1,0)</f>
        <v>1474</v>
      </c>
      <c r="U93" s="656" t="str">
        <f>+VLOOKUP($L93,Data_Validation!$A:$D,3,0)</f>
        <v>Bilan</v>
      </c>
      <c r="V93" s="656" t="str">
        <f>+VLOOKUP($L93,Data_Validation!$A:$D,4,0)</f>
        <v>Sous-Traitance</v>
      </c>
      <c r="W93" s="656" t="str">
        <f>+VLOOKUP($L93,Data_Validation!$A:$E,5,0)</f>
        <v>$</v>
      </c>
      <c r="X93" s="656">
        <f>+VLOOKUP($L93,Data_Validation!$A:$F,6,0)</f>
        <v>0</v>
      </c>
    </row>
    <row r="94" spans="1:24" ht="15.75" customHeight="1">
      <c r="A94" s="1210" t="s">
        <v>864</v>
      </c>
      <c r="B94" s="1210" t="s">
        <v>1508</v>
      </c>
      <c r="C94" s="1212">
        <v>49193.69</v>
      </c>
      <c r="D94" s="1212">
        <v>-2155.5100000000002</v>
      </c>
      <c r="E94" s="1212">
        <v>47038.18</v>
      </c>
      <c r="F94" s="1210" t="s">
        <v>816</v>
      </c>
      <c r="G94" s="1210" t="s">
        <v>856</v>
      </c>
      <c r="H94" s="1200"/>
      <c r="I94" s="1201"/>
      <c r="J94" s="1201"/>
      <c r="K94" s="1201"/>
      <c r="L94" s="653" t="str">
        <f t="shared" si="67"/>
        <v>1492</v>
      </c>
      <c r="M94" s="654" t="str">
        <f t="shared" si="0"/>
        <v>CARBURANT, HUILE, GRAISSE</v>
      </c>
      <c r="N94" s="655">
        <f>+IF(OR($Q94=Parametres!$G$2,$Q94=Parametres!$G$3),I94,C94)</f>
        <v>49193.69</v>
      </c>
      <c r="O94" s="655">
        <f>+IF(OR($Q94=Parametres!$G$2,$Q94=Parametres!$G$3),J94,D94)</f>
        <v>-2155.5100000000002</v>
      </c>
      <c r="P94" s="655">
        <f>+IF(OR($Q94=Parametres!$G$2,$Q94=Parametres!$G$3),K94,E94)</f>
        <v>47038.18</v>
      </c>
      <c r="Q94" s="654" t="str">
        <f t="shared" ref="Q94:S94" si="95">+F94</f>
        <v>2-Actifs</v>
      </c>
      <c r="R94" s="653" t="str">
        <f t="shared" si="95"/>
        <v>1442</v>
      </c>
      <c r="S94" s="654">
        <f t="shared" si="95"/>
        <v>0</v>
      </c>
      <c r="T94" s="656" t="str">
        <f>+VLOOKUP($L94,Data_Validation!$A:$D,1,0)</f>
        <v>1492</v>
      </c>
      <c r="U94" s="656" t="str">
        <f>+VLOOKUP($L94,Data_Validation!$A:$D,3,0)</f>
        <v>Bilan</v>
      </c>
      <c r="V94" s="656" t="str">
        <f>+VLOOKUP($L94,Data_Validation!$A:$D,4,0)</f>
        <v>Inventaire Pièces, Pneus, Huile</v>
      </c>
      <c r="W94" s="656" t="str">
        <f>+VLOOKUP($L94,Data_Validation!$A:$E,5,0)</f>
        <v>$</v>
      </c>
      <c r="X94" s="656">
        <f>+VLOOKUP($L94,Data_Validation!$A:$F,6,0)</f>
        <v>0</v>
      </c>
    </row>
    <row r="95" spans="1:24" ht="15" customHeight="1">
      <c r="A95" s="1210" t="s">
        <v>870</v>
      </c>
      <c r="B95" s="1210" t="s">
        <v>1519</v>
      </c>
      <c r="C95" s="1212">
        <v>-11742.11</v>
      </c>
      <c r="D95" s="1212">
        <v>11742.11</v>
      </c>
      <c r="E95" s="1212">
        <v>0</v>
      </c>
      <c r="F95" s="1210" t="s">
        <v>816</v>
      </c>
      <c r="G95" s="1210" t="s">
        <v>868</v>
      </c>
      <c r="H95" s="1200"/>
      <c r="I95" s="1201"/>
      <c r="J95" s="1201"/>
      <c r="K95" s="1201"/>
      <c r="L95" s="653" t="str">
        <f t="shared" si="67"/>
        <v>1506</v>
      </c>
      <c r="M95" s="654" t="str">
        <f t="shared" si="0"/>
        <v>FPA PUBLICITE SERVICE</v>
      </c>
      <c r="N95" s="655">
        <f>+IF(OR($Q95=Parametres!$G$2,$Q95=Parametres!$G$3),I95,C95)</f>
        <v>-11742.11</v>
      </c>
      <c r="O95" s="655">
        <f>+IF(OR($Q95=Parametres!$G$2,$Q95=Parametres!$G$3),J95,D95)</f>
        <v>11742.11</v>
      </c>
      <c r="P95" s="655">
        <f>+IF(OR($Q95=Parametres!$G$2,$Q95=Parametres!$G$3),K95,E95)</f>
        <v>0</v>
      </c>
      <c r="Q95" s="654" t="str">
        <f t="shared" ref="Q95:S95" si="96">+F95</f>
        <v>2-Actifs</v>
      </c>
      <c r="R95" s="653" t="str">
        <f t="shared" si="96"/>
        <v>1500</v>
      </c>
      <c r="S95" s="654">
        <f t="shared" si="96"/>
        <v>0</v>
      </c>
      <c r="T95" s="656" t="str">
        <f>+VLOOKUP($L95,Data_Validation!$A:$D,1,0)</f>
        <v>1506</v>
      </c>
      <c r="U95" s="656" t="str">
        <f>+VLOOKUP($L95,Data_Validation!$A:$D,3,0)</f>
        <v>Bilan</v>
      </c>
      <c r="V95" s="656" t="str">
        <f>+VLOOKUP($L95,Data_Validation!$A:$D,4,0)</f>
        <v>Frais Payés d'Avance</v>
      </c>
      <c r="W95" s="656" t="str">
        <f>+VLOOKUP($L95,Data_Validation!$A:$E,5,0)</f>
        <v>$</v>
      </c>
      <c r="X95" s="656">
        <f>+VLOOKUP($L95,Data_Validation!$A:$F,6,0)</f>
        <v>0</v>
      </c>
    </row>
    <row r="96" spans="1:24" ht="15" customHeight="1">
      <c r="A96" s="1210" t="s">
        <v>871</v>
      </c>
      <c r="B96" s="1210" t="s">
        <v>1525</v>
      </c>
      <c r="C96" s="1212">
        <v>5060.8999999999996</v>
      </c>
      <c r="D96" s="1212">
        <v>0</v>
      </c>
      <c r="E96" s="1212">
        <v>5060.8999999999996</v>
      </c>
      <c r="F96" s="1210" t="s">
        <v>816</v>
      </c>
      <c r="G96" s="1210" t="s">
        <v>868</v>
      </c>
      <c r="H96" s="1200"/>
      <c r="I96" s="1201"/>
      <c r="J96" s="1201"/>
      <c r="K96" s="1201"/>
      <c r="L96" s="653" t="str">
        <f t="shared" si="67"/>
        <v>1510</v>
      </c>
      <c r="M96" s="654" t="str">
        <f t="shared" si="0"/>
        <v>DIAMOND KOTE (NANO)</v>
      </c>
      <c r="N96" s="655">
        <f>+IF(OR($Q96=Parametres!$G$2,$Q96=Parametres!$G$3),I96,C96)</f>
        <v>5060.8999999999996</v>
      </c>
      <c r="O96" s="655">
        <f>+IF(OR($Q96=Parametres!$G$2,$Q96=Parametres!$G$3),J96,D96)</f>
        <v>0</v>
      </c>
      <c r="P96" s="662">
        <f>+IF(OR($Q96=Parametres!$G$2,$Q96=Parametres!$G$3),K96,E96)</f>
        <v>5060.8999999999996</v>
      </c>
      <c r="Q96" s="654" t="str">
        <f t="shared" ref="Q96:S96" si="97">+F96</f>
        <v>2-Actifs</v>
      </c>
      <c r="R96" s="653" t="str">
        <f t="shared" si="97"/>
        <v>1500</v>
      </c>
      <c r="S96" s="654">
        <f t="shared" si="97"/>
        <v>0</v>
      </c>
      <c r="T96" s="656" t="str">
        <f>+VLOOKUP($L96,Data_Validation!$A:$D,1,0)</f>
        <v>1510</v>
      </c>
      <c r="U96" s="656" t="str">
        <f>+VLOOKUP($L96,Data_Validation!$A:$D,3,0)</f>
        <v>Bilan</v>
      </c>
      <c r="V96" s="656" t="str">
        <f>+VLOOKUP($L96,Data_Validation!$A:$D,4,0)</f>
        <v>Frais Payés d'Avance</v>
      </c>
      <c r="W96" s="656" t="str">
        <f>+VLOOKUP($L96,Data_Validation!$A:$E,5,0)</f>
        <v>$</v>
      </c>
      <c r="X96" s="656">
        <f>+VLOOKUP($L96,Data_Validation!$A:$F,6,0)</f>
        <v>0</v>
      </c>
    </row>
    <row r="97" spans="1:24" ht="15" customHeight="1">
      <c r="A97" s="1210" t="s">
        <v>872</v>
      </c>
      <c r="B97" s="1210" t="s">
        <v>1528</v>
      </c>
      <c r="C97" s="1212">
        <v>1571.06</v>
      </c>
      <c r="D97" s="1212">
        <v>-523.69000000000005</v>
      </c>
      <c r="E97" s="1212">
        <v>1047.3699999999999</v>
      </c>
      <c r="F97" s="1210" t="s">
        <v>816</v>
      </c>
      <c r="G97" s="1210" t="s">
        <v>868</v>
      </c>
      <c r="H97" s="651"/>
      <c r="I97" s="651"/>
      <c r="J97" s="651"/>
      <c r="K97" s="651"/>
      <c r="L97" s="653" t="str">
        <f t="shared" si="67"/>
        <v>1520</v>
      </c>
      <c r="M97" s="654" t="str">
        <f t="shared" si="0"/>
        <v>FPA IMMATRICULATION</v>
      </c>
      <c r="N97" s="655">
        <f>+IF(OR($Q97=Parametres!$G$2,$Q97=Parametres!$G$3),I97,C97)</f>
        <v>1571.06</v>
      </c>
      <c r="O97" s="659">
        <f>+IF(OR($Q97=Parametres!$G$2,$Q97=Parametres!$G$3),J97,D97)</f>
        <v>-523.69000000000005</v>
      </c>
      <c r="P97" s="655">
        <f>+IF(OR($Q97=Parametres!$G$2,$Q97=Parametres!$G$3),K97,E97)</f>
        <v>1047.3699999999999</v>
      </c>
      <c r="Q97" s="654" t="str">
        <f t="shared" ref="Q97:S97" si="98">+F97</f>
        <v>2-Actifs</v>
      </c>
      <c r="R97" s="653" t="str">
        <f t="shared" si="98"/>
        <v>1500</v>
      </c>
      <c r="S97" s="654">
        <f t="shared" si="98"/>
        <v>0</v>
      </c>
      <c r="T97" s="656" t="str">
        <f>+VLOOKUP($L97,Data_Validation!$A:$D,1,0)</f>
        <v>1520</v>
      </c>
      <c r="U97" s="656" t="str">
        <f>+VLOOKUP($L97,Data_Validation!$A:$D,3,0)</f>
        <v>Bilan</v>
      </c>
      <c r="V97" s="656" t="str">
        <f>+VLOOKUP($L97,Data_Validation!$A:$D,4,0)</f>
        <v>Frais Payés d'Avance</v>
      </c>
      <c r="W97" s="656" t="str">
        <f>+VLOOKUP($L97,Data_Validation!$A:$E,5,0)</f>
        <v>$</v>
      </c>
      <c r="X97" s="656">
        <f>+VLOOKUP($L97,Data_Validation!$A:$F,6,0)</f>
        <v>0</v>
      </c>
    </row>
    <row r="98" spans="1:24" ht="15" customHeight="1">
      <c r="A98" s="1210" t="s">
        <v>3954</v>
      </c>
      <c r="B98" s="1210" t="s">
        <v>1531</v>
      </c>
      <c r="C98" s="1212">
        <v>0</v>
      </c>
      <c r="D98" s="1212">
        <v>75</v>
      </c>
      <c r="E98" s="1212">
        <v>75</v>
      </c>
      <c r="F98" s="1210" t="s">
        <v>816</v>
      </c>
      <c r="G98" s="1210" t="s">
        <v>868</v>
      </c>
      <c r="H98" s="651"/>
      <c r="I98" s="651"/>
      <c r="J98" s="651"/>
      <c r="K98" s="651"/>
      <c r="L98" s="653" t="str">
        <f t="shared" si="67"/>
        <v>1522</v>
      </c>
      <c r="M98" s="654" t="str">
        <f t="shared" si="0"/>
        <v>FPA recours coll</v>
      </c>
      <c r="N98" s="655">
        <f>+IF(OR($Q98=Parametres!$G$2,$Q98=Parametres!$G$3),I98,C98)</f>
        <v>0</v>
      </c>
      <c r="O98" s="659">
        <f>+IF(OR($Q98=Parametres!$G$2,$Q98=Parametres!$G$3),J98,D98)</f>
        <v>75</v>
      </c>
      <c r="P98" s="655">
        <f>+IF(OR($Q98=Parametres!$G$2,$Q98=Parametres!$G$3),K98,E98)</f>
        <v>75</v>
      </c>
      <c r="Q98" s="654" t="str">
        <f t="shared" ref="Q98:S98" si="99">+F98</f>
        <v>2-Actifs</v>
      </c>
      <c r="R98" s="653" t="str">
        <f t="shared" si="99"/>
        <v>1500</v>
      </c>
      <c r="S98" s="654">
        <f t="shared" si="99"/>
        <v>0</v>
      </c>
      <c r="T98" s="656" t="str">
        <f>+VLOOKUP($L98,Data_Validation!$A:$D,1,0)</f>
        <v>1522</v>
      </c>
      <c r="U98" s="656" t="str">
        <f>+VLOOKUP($L98,Data_Validation!$A:$D,3,0)</f>
        <v>Bilan</v>
      </c>
      <c r="V98" s="656" t="str">
        <f>+VLOOKUP($L98,Data_Validation!$A:$D,4,0)</f>
        <v>Frais Payés d'Avance</v>
      </c>
      <c r="W98" s="656" t="str">
        <f>+VLOOKUP($L98,Data_Validation!$A:$E,5,0)</f>
        <v>$</v>
      </c>
      <c r="X98" s="656">
        <f>+VLOOKUP($L98,Data_Validation!$A:$F,6,0)</f>
        <v>0</v>
      </c>
    </row>
    <row r="99" spans="1:24" ht="15.75" customHeight="1">
      <c r="A99" s="1210" t="s">
        <v>873</v>
      </c>
      <c r="B99" s="1210" t="s">
        <v>1540</v>
      </c>
      <c r="C99" s="1212">
        <v>2509</v>
      </c>
      <c r="D99" s="1212">
        <v>0</v>
      </c>
      <c r="E99" s="1212">
        <v>2509</v>
      </c>
      <c r="F99" s="1210" t="s">
        <v>816</v>
      </c>
      <c r="G99" s="1210" t="s">
        <v>868</v>
      </c>
      <c r="H99" s="651"/>
      <c r="I99" s="651"/>
      <c r="J99" s="651"/>
      <c r="K99" s="651"/>
      <c r="L99" s="653" t="str">
        <f t="shared" si="67"/>
        <v>1532</v>
      </c>
      <c r="M99" s="654" t="str">
        <f t="shared" si="0"/>
        <v>FPA C.C.A.M.Q.</v>
      </c>
      <c r="N99" s="655">
        <f>+IF(OR($Q99=Parametres!$G$2,$Q99=Parametres!$G$3),I99,C99)</f>
        <v>2509</v>
      </c>
      <c r="O99" s="659">
        <f>+IF(OR($Q99=Parametres!$G$2,$Q99=Parametres!$G$3),J99,D99)</f>
        <v>0</v>
      </c>
      <c r="P99" s="655">
        <f>+IF(OR($Q99=Parametres!$G$2,$Q99=Parametres!$G$3),K99,E99)</f>
        <v>2509</v>
      </c>
      <c r="Q99" s="654" t="str">
        <f t="shared" ref="Q99:S99" si="100">+F99</f>
        <v>2-Actifs</v>
      </c>
      <c r="R99" s="653" t="str">
        <f t="shared" si="100"/>
        <v>1500</v>
      </c>
      <c r="S99" s="654">
        <f t="shared" si="100"/>
        <v>0</v>
      </c>
      <c r="T99" s="656" t="str">
        <f>+VLOOKUP($L99,Data_Validation!$A:$D,1,0)</f>
        <v>1532</v>
      </c>
      <c r="U99" s="656" t="str">
        <f>+VLOOKUP($L99,Data_Validation!$A:$D,3,0)</f>
        <v>Bilan</v>
      </c>
      <c r="V99" s="656" t="str">
        <f>+VLOOKUP($L99,Data_Validation!$A:$D,4,0)</f>
        <v>Frais Payés d'Avance</v>
      </c>
      <c r="W99" s="656" t="str">
        <f>+VLOOKUP($L99,Data_Validation!$A:$E,5,0)</f>
        <v>$</v>
      </c>
      <c r="X99" s="656">
        <f>+VLOOKUP($L99,Data_Validation!$A:$F,6,0)</f>
        <v>0</v>
      </c>
    </row>
    <row r="100" spans="1:24" ht="15" customHeight="1">
      <c r="A100" s="1210" t="s">
        <v>879</v>
      </c>
      <c r="B100" s="1210" t="s">
        <v>3370</v>
      </c>
      <c r="C100" s="1212">
        <v>85784.95</v>
      </c>
      <c r="D100" s="1212">
        <v>0</v>
      </c>
      <c r="E100" s="1212">
        <v>85784.95</v>
      </c>
      <c r="F100" s="1210" t="s">
        <v>816</v>
      </c>
      <c r="G100" s="1210" t="s">
        <v>868</v>
      </c>
      <c r="H100" s="651"/>
      <c r="I100" s="652"/>
      <c r="J100" s="652"/>
      <c r="K100" s="652"/>
      <c r="L100" s="653" t="str">
        <f t="shared" si="67"/>
        <v>1553</v>
      </c>
      <c r="M100" s="654" t="str">
        <f t="shared" si="0"/>
        <v>CSST A PAYER OU RECEVOIR</v>
      </c>
      <c r="N100" s="655">
        <f>+IF(OR($Q100=Parametres!$G$2,$Q100=Parametres!$G$3),I100,C100)</f>
        <v>85784.95</v>
      </c>
      <c r="O100" s="659">
        <f>+IF(OR($Q100=Parametres!$G$2,$Q100=Parametres!$G$3),J100,D100)</f>
        <v>0</v>
      </c>
      <c r="P100" s="655">
        <f>+IF(OR($Q100=Parametres!$G$2,$Q100=Parametres!$G$3),K100,E100)</f>
        <v>85784.95</v>
      </c>
      <c r="Q100" s="654" t="str">
        <f t="shared" ref="Q100:S100" si="101">+F100</f>
        <v>2-Actifs</v>
      </c>
      <c r="R100" s="653" t="str">
        <f t="shared" si="101"/>
        <v>1500</v>
      </c>
      <c r="S100" s="654">
        <f t="shared" si="101"/>
        <v>0</v>
      </c>
      <c r="T100" s="656" t="str">
        <f>+VLOOKUP($L100,Data_Validation!$A:$D,1,0)</f>
        <v>1553</v>
      </c>
      <c r="U100" s="656" t="str">
        <f>+VLOOKUP($L100,Data_Validation!$A:$D,3,0)</f>
        <v>Bilan</v>
      </c>
      <c r="V100" s="656" t="str">
        <f>+VLOOKUP($L100,Data_Validation!$A:$D,4,0)</f>
        <v>Frais Payés d'Avance</v>
      </c>
      <c r="W100" s="656" t="str">
        <f>+VLOOKUP($L100,Data_Validation!$A:$E,5,0)</f>
        <v>$</v>
      </c>
      <c r="X100" s="656">
        <f>+VLOOKUP($L100,Data_Validation!$A:$F,6,0)</f>
        <v>0</v>
      </c>
    </row>
    <row r="101" spans="1:24" ht="15" customHeight="1">
      <c r="A101" s="1210" t="s">
        <v>880</v>
      </c>
      <c r="B101" s="1210" t="s">
        <v>1564</v>
      </c>
      <c r="C101" s="1212">
        <v>-8532</v>
      </c>
      <c r="D101" s="1212">
        <v>18508.03</v>
      </c>
      <c r="E101" s="1212">
        <v>9976.0300000000007</v>
      </c>
      <c r="F101" s="1210" t="s">
        <v>816</v>
      </c>
      <c r="G101" s="1210" t="s">
        <v>868</v>
      </c>
      <c r="H101" s="651"/>
      <c r="I101" s="652"/>
      <c r="J101" s="652"/>
      <c r="K101" s="652"/>
      <c r="L101" s="653" t="str">
        <f t="shared" si="67"/>
        <v>1582</v>
      </c>
      <c r="M101" s="654" t="str">
        <f t="shared" si="0"/>
        <v>FPA TAXES MUNICIPALES</v>
      </c>
      <c r="N101" s="655">
        <f>+IF(OR($Q101=Parametres!$G$2,$Q101=Parametres!$G$3),I101,C101)</f>
        <v>-8532</v>
      </c>
      <c r="O101" s="655">
        <f>+IF(OR($Q101=Parametres!$G$2,$Q101=Parametres!$G$3),J101,D101)</f>
        <v>18508.03</v>
      </c>
      <c r="P101" s="655">
        <f>+IF(OR($Q101=Parametres!$G$2,$Q101=Parametres!$G$3),K101,E101)</f>
        <v>9976.0300000000007</v>
      </c>
      <c r="Q101" s="654" t="str">
        <f t="shared" ref="Q101:S101" si="102">+F101</f>
        <v>2-Actifs</v>
      </c>
      <c r="R101" s="653" t="str">
        <f t="shared" si="102"/>
        <v>1500</v>
      </c>
      <c r="S101" s="654">
        <f t="shared" si="102"/>
        <v>0</v>
      </c>
      <c r="T101" s="656" t="str">
        <f>+VLOOKUP($L101,Data_Validation!$A:$D,1,0)</f>
        <v>1582</v>
      </c>
      <c r="U101" s="656" t="str">
        <f>+VLOOKUP($L101,Data_Validation!$A:$D,3,0)</f>
        <v>Bilan</v>
      </c>
      <c r="V101" s="656" t="str">
        <f>+VLOOKUP($L101,Data_Validation!$A:$D,4,0)</f>
        <v>Frais Payés d'Avance</v>
      </c>
      <c r="W101" s="656" t="str">
        <f>+VLOOKUP($L101,Data_Validation!$A:$E,5,0)</f>
        <v>$</v>
      </c>
      <c r="X101" s="656">
        <f>+VLOOKUP($L101,Data_Validation!$A:$F,6,0)</f>
        <v>0</v>
      </c>
    </row>
    <row r="102" spans="1:24" ht="15" customHeight="1">
      <c r="A102" s="1210" t="s">
        <v>881</v>
      </c>
      <c r="B102" s="1210" t="s">
        <v>1570</v>
      </c>
      <c r="C102" s="1212">
        <v>1218.19</v>
      </c>
      <c r="D102" s="1212">
        <v>-500</v>
      </c>
      <c r="E102" s="1212">
        <v>718.19</v>
      </c>
      <c r="F102" s="1210" t="s">
        <v>816</v>
      </c>
      <c r="G102" s="1210" t="s">
        <v>868</v>
      </c>
      <c r="H102" s="651"/>
      <c r="I102" s="651"/>
      <c r="J102" s="651"/>
      <c r="K102" s="651"/>
      <c r="L102" s="653" t="str">
        <f t="shared" si="67"/>
        <v>1586</v>
      </c>
      <c r="M102" s="654" t="str">
        <f t="shared" si="0"/>
        <v>FPA TAXES SCOLAIRES</v>
      </c>
      <c r="N102" s="655">
        <f>+IF(OR($Q102=Parametres!$G$2,$Q102=Parametres!$G$3),I102,C102)</f>
        <v>1218.19</v>
      </c>
      <c r="O102" s="655">
        <f>+IF(OR($Q102=Parametres!$G$2,$Q102=Parametres!$G$3),J102,D102)</f>
        <v>-500</v>
      </c>
      <c r="P102" s="655">
        <f>+IF(OR($Q102=Parametres!$G$2,$Q102=Parametres!$G$3),K102,E102)</f>
        <v>718.19</v>
      </c>
      <c r="Q102" s="654" t="str">
        <f t="shared" ref="Q102:S102" si="103">+F102</f>
        <v>2-Actifs</v>
      </c>
      <c r="R102" s="653" t="str">
        <f t="shared" si="103"/>
        <v>1500</v>
      </c>
      <c r="S102" s="654">
        <f t="shared" si="103"/>
        <v>0</v>
      </c>
      <c r="T102" s="656" t="str">
        <f>+VLOOKUP($L102,Data_Validation!$A:$D,1,0)</f>
        <v>1586</v>
      </c>
      <c r="U102" s="656" t="str">
        <f>+VLOOKUP($L102,Data_Validation!$A:$D,3,0)</f>
        <v>Bilan</v>
      </c>
      <c r="V102" s="656" t="str">
        <f>+VLOOKUP($L102,Data_Validation!$A:$D,4,0)</f>
        <v>Frais Payés d'Avance</v>
      </c>
      <c r="W102" s="656" t="str">
        <f>+VLOOKUP($L102,Data_Validation!$A:$E,5,0)</f>
        <v>$</v>
      </c>
      <c r="X102" s="656">
        <f>+VLOOKUP($L102,Data_Validation!$A:$F,6,0)</f>
        <v>0</v>
      </c>
    </row>
    <row r="103" spans="1:24" ht="15.75" customHeight="1">
      <c r="A103" s="1210" t="s">
        <v>883</v>
      </c>
      <c r="B103" s="1210" t="s">
        <v>1573</v>
      </c>
      <c r="C103" s="1212">
        <v>34691.85</v>
      </c>
      <c r="D103" s="1212">
        <v>-83341.39</v>
      </c>
      <c r="E103" s="1212">
        <v>-48649.54</v>
      </c>
      <c r="F103" s="1210" t="s">
        <v>816</v>
      </c>
      <c r="G103" s="1210" t="s">
        <v>868</v>
      </c>
      <c r="H103" s="651"/>
      <c r="I103" s="651"/>
      <c r="J103" s="651"/>
      <c r="K103" s="651"/>
      <c r="L103" s="653" t="str">
        <f t="shared" si="67"/>
        <v>1592</v>
      </c>
      <c r="M103" s="654" t="str">
        <f t="shared" si="0"/>
        <v>FPA AUTRES</v>
      </c>
      <c r="N103" s="655">
        <f>+IF(OR($Q103=Parametres!$G$2,$Q103=Parametres!$G$3),I103,C103)</f>
        <v>34691.85</v>
      </c>
      <c r="O103" s="655">
        <f>+IF(OR($Q103=Parametres!$G$2,$Q103=Parametres!$G$3),J103,D103)</f>
        <v>-83341.39</v>
      </c>
      <c r="P103" s="655">
        <f>+IF(OR($Q103=Parametres!$G$2,$Q103=Parametres!$G$3),K103,E103)</f>
        <v>-48649.54</v>
      </c>
      <c r="Q103" s="654" t="str">
        <f t="shared" ref="Q103:S103" si="104">+F103</f>
        <v>2-Actifs</v>
      </c>
      <c r="R103" s="653" t="str">
        <f t="shared" si="104"/>
        <v>1500</v>
      </c>
      <c r="S103" s="654">
        <f t="shared" si="104"/>
        <v>0</v>
      </c>
      <c r="T103" s="656" t="str">
        <f>+VLOOKUP($L103,Data_Validation!$A:$D,1,0)</f>
        <v>1592</v>
      </c>
      <c r="U103" s="656" t="str">
        <f>+VLOOKUP($L103,Data_Validation!$A:$D,3,0)</f>
        <v>Bilan</v>
      </c>
      <c r="V103" s="656" t="str">
        <f>+VLOOKUP($L103,Data_Validation!$A:$D,4,0)</f>
        <v>Frais Payés d'Avance</v>
      </c>
      <c r="W103" s="656" t="str">
        <f>+VLOOKUP($L103,Data_Validation!$A:$E,5,0)</f>
        <v>$</v>
      </c>
      <c r="X103" s="656">
        <f>+VLOOKUP($L103,Data_Validation!$A:$F,6,0)</f>
        <v>0</v>
      </c>
    </row>
    <row r="104" spans="1:24" ht="15" customHeight="1">
      <c r="A104" s="1210" t="s">
        <v>884</v>
      </c>
      <c r="B104" s="1210" t="s">
        <v>1585</v>
      </c>
      <c r="C104" s="1212">
        <v>148504.63</v>
      </c>
      <c r="D104" s="1212">
        <v>0</v>
      </c>
      <c r="E104" s="1212">
        <v>148504.63</v>
      </c>
      <c r="F104" s="1210" t="s">
        <v>816</v>
      </c>
      <c r="G104" s="1210" t="s">
        <v>885</v>
      </c>
      <c r="H104" s="651"/>
      <c r="I104" s="651"/>
      <c r="J104" s="651"/>
      <c r="K104" s="651"/>
      <c r="L104" s="653" t="str">
        <f t="shared" si="67"/>
        <v>1732</v>
      </c>
      <c r="M104" s="654" t="str">
        <f t="shared" si="0"/>
        <v>AMELIOR. LOCATIVES</v>
      </c>
      <c r="N104" s="655">
        <f>+IF(OR($Q104=Parametres!$G$2,$Q104=Parametres!$G$3),I104,C104)</f>
        <v>148504.63</v>
      </c>
      <c r="O104" s="655">
        <f>+IF(OR($Q104=Parametres!$G$2,$Q104=Parametres!$G$3),J104,D104)</f>
        <v>0</v>
      </c>
      <c r="P104" s="655">
        <f>+IF(OR($Q104=Parametres!$G$2,$Q104=Parametres!$G$3),K104,E104)</f>
        <v>148504.63</v>
      </c>
      <c r="Q104" s="654" t="str">
        <f t="shared" ref="Q104:S104" si="105">+F104</f>
        <v>2-Actifs</v>
      </c>
      <c r="R104" s="653" t="str">
        <f t="shared" si="105"/>
        <v>1700</v>
      </c>
      <c r="S104" s="654">
        <f t="shared" si="105"/>
        <v>0</v>
      </c>
      <c r="T104" s="656" t="str">
        <f>+VLOOKUP($L104,Data_Validation!$A:$D,1,0)</f>
        <v>1732</v>
      </c>
      <c r="U104" s="656" t="str">
        <f>+VLOOKUP($L104,Data_Validation!$A:$D,3,0)</f>
        <v>Bilan</v>
      </c>
      <c r="V104" s="656" t="str">
        <f>+VLOOKUP($L104,Data_Validation!$A:$D,4,0)</f>
        <v>Améliorations Locatives</v>
      </c>
      <c r="W104" s="656" t="str">
        <f>+VLOOKUP($L104,Data_Validation!$A:$E,5,0)</f>
        <v>$</v>
      </c>
      <c r="X104" s="656">
        <f>+VLOOKUP($L104,Data_Validation!$A:$F,6,0)</f>
        <v>0</v>
      </c>
    </row>
    <row r="105" spans="1:24" ht="15" customHeight="1">
      <c r="A105" s="1210" t="s">
        <v>886</v>
      </c>
      <c r="B105" s="1210" t="s">
        <v>1588</v>
      </c>
      <c r="C105" s="1212">
        <v>-124705.78</v>
      </c>
      <c r="D105" s="1212">
        <v>0</v>
      </c>
      <c r="E105" s="1212">
        <v>-124705.78</v>
      </c>
      <c r="F105" s="1210" t="s">
        <v>816</v>
      </c>
      <c r="G105" s="1210" t="s">
        <v>885</v>
      </c>
      <c r="H105" s="651"/>
      <c r="I105" s="651"/>
      <c r="J105" s="651"/>
      <c r="K105" s="651"/>
      <c r="L105" s="653" t="str">
        <f t="shared" si="67"/>
        <v>1733</v>
      </c>
      <c r="M105" s="654" t="str">
        <f t="shared" si="0"/>
        <v>AMORT. CUM. AMEL. LOCAT.</v>
      </c>
      <c r="N105" s="655">
        <f>+IF(OR($Q105=Parametres!$G$2,$Q105=Parametres!$G$3),I105,C105)</f>
        <v>-124705.78</v>
      </c>
      <c r="O105" s="655">
        <f>+IF(OR($Q105=Parametres!$G$2,$Q105=Parametres!$G$3),J105,D105)</f>
        <v>0</v>
      </c>
      <c r="P105" s="655">
        <f>+IF(OR($Q105=Parametres!$G$2,$Q105=Parametres!$G$3),K105,E105)</f>
        <v>-124705.78</v>
      </c>
      <c r="Q105" s="654" t="str">
        <f t="shared" ref="Q105:S105" si="106">+F105</f>
        <v>2-Actifs</v>
      </c>
      <c r="R105" s="653" t="str">
        <f t="shared" si="106"/>
        <v>1700</v>
      </c>
      <c r="S105" s="654">
        <f t="shared" si="106"/>
        <v>0</v>
      </c>
      <c r="T105" s="656" t="str">
        <f>+VLOOKUP($L105,Data_Validation!$A:$D,1,0)</f>
        <v>1733</v>
      </c>
      <c r="U105" s="656" t="str">
        <f>+VLOOKUP($L105,Data_Validation!$A:$D,3,0)</f>
        <v>Bilan</v>
      </c>
      <c r="V105" s="656" t="str">
        <f>+VLOOKUP($L105,Data_Validation!$A:$D,4,0)</f>
        <v>Améliorations Locatives</v>
      </c>
      <c r="W105" s="656" t="str">
        <f>+VLOOKUP($L105,Data_Validation!$A:$E,5,0)</f>
        <v>$</v>
      </c>
      <c r="X105" s="656">
        <f>+VLOOKUP($L105,Data_Validation!$A:$F,6,0)</f>
        <v>0</v>
      </c>
    </row>
    <row r="106" spans="1:24" ht="15" customHeight="1">
      <c r="A106" s="1210" t="s">
        <v>3350</v>
      </c>
      <c r="B106" s="1210" t="s">
        <v>3372</v>
      </c>
      <c r="C106" s="1212">
        <v>10527.65</v>
      </c>
      <c r="D106" s="1212">
        <v>0</v>
      </c>
      <c r="E106" s="1212">
        <v>10527.65</v>
      </c>
      <c r="F106" s="1210" t="s">
        <v>816</v>
      </c>
      <c r="G106" s="1210" t="s">
        <v>885</v>
      </c>
      <c r="H106" s="651"/>
      <c r="I106" s="651"/>
      <c r="J106" s="651"/>
      <c r="K106" s="651"/>
      <c r="L106" s="653" t="str">
        <f t="shared" si="67"/>
        <v>1734</v>
      </c>
      <c r="M106" s="654" t="str">
        <f t="shared" si="0"/>
        <v>AMELIOR. LOCATIVES CPO</v>
      </c>
      <c r="N106" s="655">
        <f>+IF(OR($Q106=Parametres!$G$2,$Q106=Parametres!$G$3),I106,C106)</f>
        <v>10527.65</v>
      </c>
      <c r="O106" s="655">
        <f>+IF(OR($Q106=Parametres!$G$2,$Q106=Parametres!$G$3),J106,D106)</f>
        <v>0</v>
      </c>
      <c r="P106" s="655">
        <f>+IF(OR($Q106=Parametres!$G$2,$Q106=Parametres!$G$3),K106,E106)</f>
        <v>10527.65</v>
      </c>
      <c r="Q106" s="654" t="str">
        <f t="shared" ref="Q106:S106" si="107">+F106</f>
        <v>2-Actifs</v>
      </c>
      <c r="R106" s="653" t="str">
        <f t="shared" si="107"/>
        <v>1700</v>
      </c>
      <c r="S106" s="654">
        <f t="shared" si="107"/>
        <v>0</v>
      </c>
      <c r="T106" s="656" t="str">
        <f>+VLOOKUP($L106,Data_Validation!$A:$D,1,0)</f>
        <v>1734</v>
      </c>
      <c r="U106" s="656" t="str">
        <f>+VLOOKUP($L106,Data_Validation!$A:$D,3,0)</f>
        <v>Bilan</v>
      </c>
      <c r="V106" s="656" t="str">
        <f>+VLOOKUP($L106,Data_Validation!$A:$D,4,0)</f>
        <v>Améliorations Locatives</v>
      </c>
      <c r="W106" s="656" t="str">
        <f>+VLOOKUP($L106,Data_Validation!$A:$E,5,0)</f>
        <v>$</v>
      </c>
      <c r="X106" s="656">
        <f>+VLOOKUP($L106,Data_Validation!$A:$F,6,0)</f>
        <v>0</v>
      </c>
    </row>
    <row r="107" spans="1:24" ht="15" customHeight="1">
      <c r="A107" s="1210" t="s">
        <v>3928</v>
      </c>
      <c r="B107" s="1210" t="s">
        <v>3929</v>
      </c>
      <c r="C107" s="1212">
        <v>-2105.5300000000002</v>
      </c>
      <c r="D107" s="1212">
        <v>0</v>
      </c>
      <c r="E107" s="1212">
        <v>-2105.5300000000002</v>
      </c>
      <c r="F107" s="1210" t="s">
        <v>816</v>
      </c>
      <c r="G107" s="1210" t="s">
        <v>885</v>
      </c>
      <c r="H107" s="651"/>
      <c r="I107" s="651"/>
      <c r="J107" s="651"/>
      <c r="K107" s="651"/>
      <c r="L107" s="653" t="str">
        <f t="shared" si="67"/>
        <v>1735</v>
      </c>
      <c r="M107" s="654" t="str">
        <f t="shared" si="0"/>
        <v>AMORT. CUM. AMEL. LOCAT. CPO</v>
      </c>
      <c r="N107" s="655">
        <f>+IF(OR($Q107=Parametres!$G$2,$Q107=Parametres!$G$3),I107,C107)</f>
        <v>-2105.5300000000002</v>
      </c>
      <c r="O107" s="655">
        <f>+IF(OR($Q107=Parametres!$G$2,$Q107=Parametres!$G$3),J107,D107)</f>
        <v>0</v>
      </c>
      <c r="P107" s="655">
        <f>+IF(OR($Q107=Parametres!$G$2,$Q107=Parametres!$G$3),K107,E107)</f>
        <v>-2105.5300000000002</v>
      </c>
      <c r="Q107" s="654" t="str">
        <f t="shared" ref="Q107:S107" si="108">+F107</f>
        <v>2-Actifs</v>
      </c>
      <c r="R107" s="653" t="str">
        <f t="shared" si="108"/>
        <v>1700</v>
      </c>
      <c r="S107" s="654">
        <f t="shared" si="108"/>
        <v>0</v>
      </c>
      <c r="T107" s="656" t="str">
        <f>+VLOOKUP($L107,Data_Validation!$A:$D,1,0)</f>
        <v>1735</v>
      </c>
      <c r="U107" s="656" t="str">
        <f>+VLOOKUP($L107,Data_Validation!$A:$D,3,0)</f>
        <v>Bilan</v>
      </c>
      <c r="V107" s="656" t="str">
        <f>+VLOOKUP($L107,Data_Validation!$A:$D,4,0)</f>
        <v>Améliorations Locatives</v>
      </c>
      <c r="W107" s="656" t="str">
        <f>+VLOOKUP($L107,Data_Validation!$A:$E,5,0)</f>
        <v>$</v>
      </c>
      <c r="X107" s="656">
        <f>+VLOOKUP($L107,Data_Validation!$A:$F,6,0)</f>
        <v>0</v>
      </c>
    </row>
    <row r="108" spans="1:24" ht="15" customHeight="1">
      <c r="A108" s="1210" t="s">
        <v>3406</v>
      </c>
      <c r="B108" s="1210" t="s">
        <v>3407</v>
      </c>
      <c r="C108" s="1212">
        <v>10346332.07</v>
      </c>
      <c r="D108" s="1212">
        <v>0</v>
      </c>
      <c r="E108" s="1212">
        <v>10346332.07</v>
      </c>
      <c r="F108" s="1210" t="s">
        <v>816</v>
      </c>
      <c r="G108" s="1210" t="s">
        <v>885</v>
      </c>
      <c r="H108" s="651"/>
      <c r="I108" s="651"/>
      <c r="J108" s="651"/>
      <c r="K108" s="651"/>
      <c r="L108" s="653" t="str">
        <f t="shared" si="67"/>
        <v>1740</v>
      </c>
      <c r="M108" s="654" t="str">
        <f t="shared" si="0"/>
        <v>PROJET VOLKS - RENOVATION</v>
      </c>
      <c r="N108" s="655">
        <f>+IF(OR($Q108=Parametres!$G$2,$Q108=Parametres!$G$3),I108,C108)</f>
        <v>10346332.07</v>
      </c>
      <c r="O108" s="655">
        <f>+IF(OR($Q108=Parametres!$G$2,$Q108=Parametres!$G$3),J108,D108)</f>
        <v>0</v>
      </c>
      <c r="P108" s="655">
        <f>+IF(OR($Q108=Parametres!$G$2,$Q108=Parametres!$G$3),K108,E108)</f>
        <v>10346332.07</v>
      </c>
      <c r="Q108" s="654" t="str">
        <f t="shared" ref="Q108:S108" si="109">+F108</f>
        <v>2-Actifs</v>
      </c>
      <c r="R108" s="653" t="str">
        <f t="shared" si="109"/>
        <v>1700</v>
      </c>
      <c r="S108" s="654">
        <f t="shared" si="109"/>
        <v>0</v>
      </c>
      <c r="T108" s="656" t="str">
        <f>+VLOOKUP($L108,Data_Validation!$A:$D,1,0)</f>
        <v>1740</v>
      </c>
      <c r="U108" s="656" t="str">
        <f>+VLOOKUP($L108,Data_Validation!$A:$D,3,0)</f>
        <v>Bilan</v>
      </c>
      <c r="V108" s="656" t="str">
        <f>+VLOOKUP($L108,Data_Validation!$A:$D,4,0)</f>
        <v>Améliorations Locatives</v>
      </c>
      <c r="W108" s="656" t="str">
        <f>+VLOOKUP($L108,Data_Validation!$A:$E,5,0)</f>
        <v>$</v>
      </c>
      <c r="X108" s="656">
        <f>+VLOOKUP($L108,Data_Validation!$A:$F,6,0)</f>
        <v>0</v>
      </c>
    </row>
    <row r="109" spans="1:24" ht="15.75" customHeight="1">
      <c r="A109" s="1210" t="s">
        <v>3930</v>
      </c>
      <c r="B109" s="1210" t="s">
        <v>3931</v>
      </c>
      <c r="C109" s="1212">
        <v>-214612.76</v>
      </c>
      <c r="D109" s="1212">
        <v>-42648</v>
      </c>
      <c r="E109" s="1212">
        <v>-257260.76</v>
      </c>
      <c r="F109" s="1210" t="s">
        <v>816</v>
      </c>
      <c r="G109" s="1210" t="s">
        <v>885</v>
      </c>
      <c r="H109" s="651"/>
      <c r="I109" s="651"/>
      <c r="J109" s="651"/>
      <c r="K109" s="651"/>
      <c r="L109" s="653" t="str">
        <f t="shared" si="67"/>
        <v>1741</v>
      </c>
      <c r="M109" s="654" t="str">
        <f t="shared" si="0"/>
        <v>AMORT.CUMUL.PROJET VOLKS</v>
      </c>
      <c r="N109" s="655">
        <f>+IF(OR($Q109=Parametres!$G$2,$Q109=Parametres!$G$3),I109,C109)</f>
        <v>-214612.76</v>
      </c>
      <c r="O109" s="655">
        <f>+IF(OR($Q109=Parametres!$G$2,$Q109=Parametres!$G$3),J109,D109)</f>
        <v>-42648</v>
      </c>
      <c r="P109" s="655">
        <f>+IF(OR($Q109=Parametres!$G$2,$Q109=Parametres!$G$3),K109,E109)</f>
        <v>-257260.76</v>
      </c>
      <c r="Q109" s="654" t="str">
        <f t="shared" ref="Q109:S109" si="110">+F109</f>
        <v>2-Actifs</v>
      </c>
      <c r="R109" s="653" t="str">
        <f t="shared" si="110"/>
        <v>1700</v>
      </c>
      <c r="S109" s="654">
        <f t="shared" si="110"/>
        <v>0</v>
      </c>
      <c r="T109" s="656" t="str">
        <f>+VLOOKUP($L109,Data_Validation!$A:$D,1,0)</f>
        <v>1741</v>
      </c>
      <c r="U109" s="656" t="str">
        <f>+VLOOKUP($L109,Data_Validation!$A:$D,3,0)</f>
        <v>Bilan</v>
      </c>
      <c r="V109" s="656" t="str">
        <f>+VLOOKUP($L109,Data_Validation!$A:$D,4,0)</f>
        <v>Améliorations Locatives</v>
      </c>
      <c r="W109" s="656" t="str">
        <f>+VLOOKUP($L109,Data_Validation!$A:$E,5,0)</f>
        <v>$</v>
      </c>
      <c r="X109" s="656">
        <f>+VLOOKUP($L109,Data_Validation!$A:$F,6,0)</f>
        <v>0</v>
      </c>
    </row>
    <row r="110" spans="1:24" ht="15" customHeight="1">
      <c r="A110" s="1210" t="s">
        <v>887</v>
      </c>
      <c r="B110" s="1210" t="s">
        <v>1591</v>
      </c>
      <c r="C110" s="1212">
        <v>1275064.53</v>
      </c>
      <c r="D110" s="1212">
        <v>1999.99</v>
      </c>
      <c r="E110" s="1212">
        <v>1277064.52</v>
      </c>
      <c r="F110" s="1210" t="s">
        <v>816</v>
      </c>
      <c r="G110" s="1210" t="s">
        <v>885</v>
      </c>
      <c r="H110" s="651"/>
      <c r="I110" s="651"/>
      <c r="J110" s="651"/>
      <c r="K110" s="651"/>
      <c r="L110" s="653" t="str">
        <f t="shared" si="67"/>
        <v>1742</v>
      </c>
      <c r="M110" s="654" t="str">
        <f t="shared" si="0"/>
        <v>MACHINERIE &amp; EQUIPEMENT</v>
      </c>
      <c r="N110" s="655">
        <f>+IF(OR($Q110=Parametres!$G$2,$Q110=Parametres!$G$3),I110,C110)</f>
        <v>1275064.53</v>
      </c>
      <c r="O110" s="659">
        <f>+IF(OR($Q110=Parametres!$G$2,$Q110=Parametres!$G$3),J110,D110)</f>
        <v>1999.99</v>
      </c>
      <c r="P110" s="655">
        <f>+IF(OR($Q110=Parametres!$G$2,$Q110=Parametres!$G$3),K110,E110)</f>
        <v>1277064.52</v>
      </c>
      <c r="Q110" s="654" t="str">
        <f t="shared" ref="Q110:S110" si="111">+F110</f>
        <v>2-Actifs</v>
      </c>
      <c r="R110" s="653" t="str">
        <f t="shared" si="111"/>
        <v>1700</v>
      </c>
      <c r="S110" s="654">
        <f t="shared" si="111"/>
        <v>0</v>
      </c>
      <c r="T110" s="656" t="str">
        <f>+VLOOKUP($L110,Data_Validation!$A:$D,1,0)</f>
        <v>1742</v>
      </c>
      <c r="U110" s="656" t="str">
        <f>+VLOOKUP($L110,Data_Validation!$A:$D,3,0)</f>
        <v>Bilan</v>
      </c>
      <c r="V110" s="656" t="str">
        <f>+VLOOKUP($L110,Data_Validation!$A:$D,4,0)</f>
        <v>Équipements Service</v>
      </c>
      <c r="W110" s="656" t="str">
        <f>+VLOOKUP($L110,Data_Validation!$A:$E,5,0)</f>
        <v>$</v>
      </c>
      <c r="X110" s="656">
        <f>+VLOOKUP($L110,Data_Validation!$A:$F,6,0)</f>
        <v>0</v>
      </c>
    </row>
    <row r="111" spans="1:24" ht="15" customHeight="1">
      <c r="A111" s="1210" t="s">
        <v>888</v>
      </c>
      <c r="B111" s="1210" t="s">
        <v>1594</v>
      </c>
      <c r="C111" s="1212">
        <v>-908806.16</v>
      </c>
      <c r="D111" s="1212">
        <v>0</v>
      </c>
      <c r="E111" s="1212">
        <v>-908806.16</v>
      </c>
      <c r="F111" s="1210" t="s">
        <v>816</v>
      </c>
      <c r="G111" s="1210" t="s">
        <v>885</v>
      </c>
      <c r="H111" s="651"/>
      <c r="I111" s="651"/>
      <c r="J111" s="651"/>
      <c r="K111" s="651"/>
      <c r="L111" s="653" t="str">
        <f t="shared" si="67"/>
        <v>1743</v>
      </c>
      <c r="M111" s="654" t="str">
        <f t="shared" si="0"/>
        <v>AMORTISS.MACHINERIE &amp; EQUIP.</v>
      </c>
      <c r="N111" s="655">
        <f>+IF(OR($Q111=Parametres!$G$2,$Q111=Parametres!$G$3),I111,C111)</f>
        <v>-908806.16</v>
      </c>
      <c r="O111" s="655">
        <f>+IF(OR($Q111=Parametres!$G$2,$Q111=Parametres!$G$3),J111,D111)</f>
        <v>0</v>
      </c>
      <c r="P111" s="655">
        <f>+IF(OR($Q111=Parametres!$G$2,$Q111=Parametres!$G$3),K111,E111)</f>
        <v>-908806.16</v>
      </c>
      <c r="Q111" s="654" t="str">
        <f t="shared" ref="Q111:S111" si="112">+F111</f>
        <v>2-Actifs</v>
      </c>
      <c r="R111" s="653" t="str">
        <f t="shared" si="112"/>
        <v>1700</v>
      </c>
      <c r="S111" s="654">
        <f t="shared" si="112"/>
        <v>0</v>
      </c>
      <c r="T111" s="656" t="str">
        <f>+VLOOKUP($L111,Data_Validation!$A:$D,1,0)</f>
        <v>1743</v>
      </c>
      <c r="U111" s="656" t="str">
        <f>+VLOOKUP($L111,Data_Validation!$A:$D,3,0)</f>
        <v>Bilan</v>
      </c>
      <c r="V111" s="656" t="str">
        <f>+VLOOKUP($L111,Data_Validation!$A:$D,4,0)</f>
        <v>Équipements Service</v>
      </c>
      <c r="W111" s="656" t="str">
        <f>+VLOOKUP($L111,Data_Validation!$A:$E,5,0)</f>
        <v>$</v>
      </c>
      <c r="X111" s="656">
        <f>+VLOOKUP($L111,Data_Validation!$A:$F,6,0)</f>
        <v>0</v>
      </c>
    </row>
    <row r="112" spans="1:24" ht="15" customHeight="1">
      <c r="A112" s="1210" t="s">
        <v>889</v>
      </c>
      <c r="B112" s="1210" t="s">
        <v>1597</v>
      </c>
      <c r="C112" s="1212">
        <v>47461.59</v>
      </c>
      <c r="D112" s="1212">
        <v>0</v>
      </c>
      <c r="E112" s="1212">
        <v>47461.59</v>
      </c>
      <c r="F112" s="1210" t="s">
        <v>816</v>
      </c>
      <c r="G112" s="1210" t="s">
        <v>885</v>
      </c>
      <c r="H112" s="651"/>
      <c r="I112" s="651"/>
      <c r="J112" s="651"/>
      <c r="K112" s="651"/>
      <c r="L112" s="653" t="str">
        <f t="shared" si="67"/>
        <v>1744</v>
      </c>
      <c r="M112" s="654" t="str">
        <f t="shared" si="0"/>
        <v>EQUIPEMENT PIECES</v>
      </c>
      <c r="N112" s="655">
        <f>+IF(OR($Q112=Parametres!$G$2,$Q112=Parametres!$G$3),I112,C112)</f>
        <v>47461.59</v>
      </c>
      <c r="O112" s="655">
        <f>+IF(OR($Q112=Parametres!$G$2,$Q112=Parametres!$G$3),J112,D112)</f>
        <v>0</v>
      </c>
      <c r="P112" s="655">
        <f>+IF(OR($Q112=Parametres!$G$2,$Q112=Parametres!$G$3),K112,E112)</f>
        <v>47461.59</v>
      </c>
      <c r="Q112" s="654" t="str">
        <f t="shared" ref="Q112:S112" si="113">+F112</f>
        <v>2-Actifs</v>
      </c>
      <c r="R112" s="653" t="str">
        <f t="shared" si="113"/>
        <v>1700</v>
      </c>
      <c r="S112" s="654">
        <f t="shared" si="113"/>
        <v>0</v>
      </c>
      <c r="T112" s="656" t="str">
        <f>+VLOOKUP($L112,Data_Validation!$A:$D,1,0)</f>
        <v>1744</v>
      </c>
      <c r="U112" s="656" t="str">
        <f>+VLOOKUP($L112,Data_Validation!$A:$D,3,0)</f>
        <v>Bilan</v>
      </c>
      <c r="V112" s="656" t="str">
        <f>+VLOOKUP($L112,Data_Validation!$A:$D,4,0)</f>
        <v>Équipements Service</v>
      </c>
      <c r="W112" s="656" t="str">
        <f>+VLOOKUP($L112,Data_Validation!$A:$E,5,0)</f>
        <v>$</v>
      </c>
      <c r="X112" s="656">
        <f>+VLOOKUP($L112,Data_Validation!$A:$F,6,0)</f>
        <v>0</v>
      </c>
    </row>
    <row r="113" spans="1:24" ht="15.75" customHeight="1">
      <c r="A113" s="1210" t="s">
        <v>890</v>
      </c>
      <c r="B113" s="1210" t="s">
        <v>1600</v>
      </c>
      <c r="C113" s="1212">
        <v>-47461.59</v>
      </c>
      <c r="D113" s="1212">
        <v>0</v>
      </c>
      <c r="E113" s="1212">
        <v>-47461.59</v>
      </c>
      <c r="F113" s="1210" t="s">
        <v>816</v>
      </c>
      <c r="G113" s="1210" t="s">
        <v>885</v>
      </c>
      <c r="H113" s="651"/>
      <c r="I113" s="651"/>
      <c r="J113" s="651"/>
      <c r="K113" s="651"/>
      <c r="L113" s="653" t="str">
        <f t="shared" si="67"/>
        <v>1745</v>
      </c>
      <c r="M113" s="654" t="str">
        <f t="shared" si="0"/>
        <v>AMORTISS.EQUIPEMENTS PIECES</v>
      </c>
      <c r="N113" s="655">
        <f>+IF(OR($Q113=Parametres!$G$2,$Q113=Parametres!$G$3),I113,C113)</f>
        <v>-47461.59</v>
      </c>
      <c r="O113" s="655">
        <f>+IF(OR($Q113=Parametres!$G$2,$Q113=Parametres!$G$3),J113,D113)</f>
        <v>0</v>
      </c>
      <c r="P113" s="655">
        <f>+IF(OR($Q113=Parametres!$G$2,$Q113=Parametres!$G$3),K113,E113)</f>
        <v>-47461.59</v>
      </c>
      <c r="Q113" s="654" t="str">
        <f t="shared" ref="Q113:S113" si="114">+F113</f>
        <v>2-Actifs</v>
      </c>
      <c r="R113" s="653" t="str">
        <f t="shared" si="114"/>
        <v>1700</v>
      </c>
      <c r="S113" s="654">
        <f t="shared" si="114"/>
        <v>0</v>
      </c>
      <c r="T113" s="656" t="str">
        <f>+VLOOKUP($L113,Data_Validation!$A:$D,1,0)</f>
        <v>1745</v>
      </c>
      <c r="U113" s="656" t="str">
        <f>+VLOOKUP($L113,Data_Validation!$A:$D,3,0)</f>
        <v>Bilan</v>
      </c>
      <c r="V113" s="656" t="str">
        <f>+VLOOKUP($L113,Data_Validation!$A:$D,4,0)</f>
        <v>Équipements Service</v>
      </c>
      <c r="W113" s="656" t="str">
        <f>+VLOOKUP($L113,Data_Validation!$A:$E,5,0)</f>
        <v>$</v>
      </c>
      <c r="X113" s="656">
        <f>+VLOOKUP($L113,Data_Validation!$A:$F,6,0)</f>
        <v>0</v>
      </c>
    </row>
    <row r="114" spans="1:24" ht="15" customHeight="1">
      <c r="A114" s="1210" t="s">
        <v>891</v>
      </c>
      <c r="B114" s="1210" t="s">
        <v>1609</v>
      </c>
      <c r="C114" s="1212">
        <v>442641.49</v>
      </c>
      <c r="D114" s="1212">
        <v>0</v>
      </c>
      <c r="E114" s="1212">
        <v>442641.49</v>
      </c>
      <c r="F114" s="1210" t="s">
        <v>816</v>
      </c>
      <c r="G114" s="1210" t="s">
        <v>885</v>
      </c>
      <c r="H114" s="651"/>
      <c r="I114" s="651"/>
      <c r="J114" s="651"/>
      <c r="K114" s="651"/>
      <c r="L114" s="653" t="str">
        <f t="shared" si="67"/>
        <v>1762</v>
      </c>
      <c r="M114" s="654" t="str">
        <f t="shared" si="0"/>
        <v>AMEUBLEMENT &amp; INSTR.</v>
      </c>
      <c r="N114" s="655">
        <f>+IF(OR($Q114=Parametres!$G$2,$Q114=Parametres!$G$3),I114,C114)</f>
        <v>442641.49</v>
      </c>
      <c r="O114" s="655">
        <f>+IF(OR($Q114=Parametres!$G$2,$Q114=Parametres!$G$3),J114,D114)</f>
        <v>0</v>
      </c>
      <c r="P114" s="655">
        <f>+IF(OR($Q114=Parametres!$G$2,$Q114=Parametres!$G$3),K114,E114)</f>
        <v>442641.49</v>
      </c>
      <c r="Q114" s="654" t="str">
        <f t="shared" ref="Q114:S114" si="115">+F114</f>
        <v>2-Actifs</v>
      </c>
      <c r="R114" s="653" t="str">
        <f t="shared" si="115"/>
        <v>1700</v>
      </c>
      <c r="S114" s="654">
        <f t="shared" si="115"/>
        <v>0</v>
      </c>
      <c r="T114" s="656" t="str">
        <f>+VLOOKUP($L114,Data_Validation!$A:$D,1,0)</f>
        <v>1762</v>
      </c>
      <c r="U114" s="656" t="str">
        <f>+VLOOKUP($L114,Data_Validation!$A:$D,3,0)</f>
        <v>Bilan</v>
      </c>
      <c r="V114" s="656" t="str">
        <f>+VLOOKUP($L114,Data_Validation!$A:$D,4,0)</f>
        <v>Mobilier</v>
      </c>
      <c r="W114" s="656" t="str">
        <f>+VLOOKUP($L114,Data_Validation!$A:$E,5,0)</f>
        <v>$</v>
      </c>
      <c r="X114" s="656">
        <f>+VLOOKUP($L114,Data_Validation!$A:$F,6,0)</f>
        <v>0</v>
      </c>
    </row>
    <row r="115" spans="1:24" ht="15" customHeight="1">
      <c r="A115" s="1210" t="s">
        <v>892</v>
      </c>
      <c r="B115" s="1210" t="s">
        <v>1612</v>
      </c>
      <c r="C115" s="1212">
        <v>-421359.73</v>
      </c>
      <c r="D115" s="1212">
        <v>0</v>
      </c>
      <c r="E115" s="1212">
        <v>-421359.73</v>
      </c>
      <c r="F115" s="1210" t="s">
        <v>816</v>
      </c>
      <c r="G115" s="1210" t="s">
        <v>885</v>
      </c>
      <c r="H115" s="651"/>
      <c r="I115" s="652"/>
      <c r="J115" s="652"/>
      <c r="K115" s="652"/>
      <c r="L115" s="653" t="str">
        <f t="shared" si="67"/>
        <v>1763</v>
      </c>
      <c r="M115" s="654" t="str">
        <f t="shared" si="0"/>
        <v>AMORTISS.AMEUBL.INSTR.</v>
      </c>
      <c r="N115" s="655">
        <f>+IF(OR($Q115=Parametres!$G$2,$Q115=Parametres!$G$3),I115,C115)</f>
        <v>-421359.73</v>
      </c>
      <c r="O115" s="655">
        <f>+IF(OR($Q115=Parametres!$G$2,$Q115=Parametres!$G$3),J115,D115)</f>
        <v>0</v>
      </c>
      <c r="P115" s="655">
        <f>+IF(OR($Q115=Parametres!$G$2,$Q115=Parametres!$G$3),K115,E115)</f>
        <v>-421359.73</v>
      </c>
      <c r="Q115" s="654" t="str">
        <f t="shared" ref="Q115:S115" si="116">+F115</f>
        <v>2-Actifs</v>
      </c>
      <c r="R115" s="653" t="str">
        <f t="shared" si="116"/>
        <v>1700</v>
      </c>
      <c r="S115" s="654">
        <f t="shared" si="116"/>
        <v>0</v>
      </c>
      <c r="T115" s="656" t="str">
        <f>+VLOOKUP($L115,Data_Validation!$A:$D,1,0)</f>
        <v>1763</v>
      </c>
      <c r="U115" s="656" t="str">
        <f>+VLOOKUP($L115,Data_Validation!$A:$D,3,0)</f>
        <v>Bilan</v>
      </c>
      <c r="V115" s="656" t="str">
        <f>+VLOOKUP($L115,Data_Validation!$A:$D,4,0)</f>
        <v>Mobilier</v>
      </c>
      <c r="W115" s="656" t="str">
        <f>+VLOOKUP($L115,Data_Validation!$A:$E,5,0)</f>
        <v>$</v>
      </c>
      <c r="X115" s="656">
        <f>+VLOOKUP($L115,Data_Validation!$A:$F,6,0)</f>
        <v>0</v>
      </c>
    </row>
    <row r="116" spans="1:24" ht="15" customHeight="1">
      <c r="A116" s="1210" t="s">
        <v>893</v>
      </c>
      <c r="B116" s="1210" t="s">
        <v>1615</v>
      </c>
      <c r="C116" s="1212">
        <v>3987.88</v>
      </c>
      <c r="D116" s="1212">
        <v>0</v>
      </c>
      <c r="E116" s="1212">
        <v>3987.88</v>
      </c>
      <c r="F116" s="1210" t="s">
        <v>816</v>
      </c>
      <c r="G116" s="1210" t="s">
        <v>885</v>
      </c>
      <c r="H116" s="650"/>
      <c r="I116" s="652"/>
      <c r="J116" s="652"/>
      <c r="K116" s="652"/>
      <c r="L116" s="653" t="str">
        <f t="shared" si="67"/>
        <v>1772</v>
      </c>
      <c r="M116" s="654" t="str">
        <f t="shared" si="0"/>
        <v>VEHICULES DE CIE</v>
      </c>
      <c r="N116" s="655">
        <f>+IF(OR($Q116=Parametres!$G$2,$Q116=Parametres!$G$3),I116,C116)</f>
        <v>3987.88</v>
      </c>
      <c r="O116" s="655">
        <f>+IF(OR($Q116=Parametres!$G$2,$Q116=Parametres!$G$3),J116,D116)</f>
        <v>0</v>
      </c>
      <c r="P116" s="655">
        <f>+IF(OR($Q116=Parametres!$G$2,$Q116=Parametres!$G$3),K116,E116)</f>
        <v>3987.88</v>
      </c>
      <c r="Q116" s="654" t="str">
        <f t="shared" ref="Q116:S116" si="117">+F116</f>
        <v>2-Actifs</v>
      </c>
      <c r="R116" s="653" t="str">
        <f t="shared" si="117"/>
        <v>1700</v>
      </c>
      <c r="S116" s="654">
        <f t="shared" si="117"/>
        <v>0</v>
      </c>
      <c r="T116" s="656" t="str">
        <f>+VLOOKUP($L116,Data_Validation!$A:$D,1,0)</f>
        <v>1772</v>
      </c>
      <c r="U116" s="656" t="str">
        <f>+VLOOKUP($L116,Data_Validation!$A:$D,3,0)</f>
        <v>Bilan</v>
      </c>
      <c r="V116" s="656" t="str">
        <f>+VLOOKUP($L116,Data_Validation!$A:$D,4,0)</f>
        <v>Équipements Service</v>
      </c>
      <c r="W116" s="656" t="str">
        <f>+VLOOKUP($L116,Data_Validation!$A:$E,5,0)</f>
        <v>$</v>
      </c>
      <c r="X116" s="656">
        <f>+VLOOKUP($L116,Data_Validation!$A:$F,6,0)</f>
        <v>0</v>
      </c>
    </row>
    <row r="117" spans="1:24" ht="15.75" customHeight="1">
      <c r="A117" s="1210" t="s">
        <v>894</v>
      </c>
      <c r="B117" s="1210" t="s">
        <v>1618</v>
      </c>
      <c r="C117" s="1212">
        <v>-3987.88</v>
      </c>
      <c r="D117" s="1212">
        <v>0</v>
      </c>
      <c r="E117" s="1212">
        <v>-3987.88</v>
      </c>
      <c r="F117" s="1210" t="s">
        <v>816</v>
      </c>
      <c r="G117" s="1210" t="s">
        <v>885</v>
      </c>
      <c r="H117" s="650"/>
      <c r="I117" s="652"/>
      <c r="J117" s="652"/>
      <c r="K117" s="652"/>
      <c r="L117" s="653" t="str">
        <f t="shared" si="67"/>
        <v>1773</v>
      </c>
      <c r="M117" s="654" t="str">
        <f t="shared" si="0"/>
        <v>DEPRECIATION &amp; AMORT.</v>
      </c>
      <c r="N117" s="655">
        <f>+IF(OR($Q117=Parametres!$G$2,$Q117=Parametres!$G$3),I117,C117)</f>
        <v>-3987.88</v>
      </c>
      <c r="O117" s="655">
        <f>+IF(OR($Q117=Parametres!$G$2,$Q117=Parametres!$G$3),J117,D117)</f>
        <v>0</v>
      </c>
      <c r="P117" s="655">
        <f>+IF(OR($Q117=Parametres!$G$2,$Q117=Parametres!$G$3),K117,E117)</f>
        <v>-3987.88</v>
      </c>
      <c r="Q117" s="654" t="str">
        <f t="shared" ref="Q117:S117" si="118">+F117</f>
        <v>2-Actifs</v>
      </c>
      <c r="R117" s="653" t="str">
        <f t="shared" si="118"/>
        <v>1700</v>
      </c>
      <c r="S117" s="654">
        <f t="shared" si="118"/>
        <v>0</v>
      </c>
      <c r="T117" s="656" t="str">
        <f>+VLOOKUP($L117,Data_Validation!$A:$D,1,0)</f>
        <v>1773</v>
      </c>
      <c r="U117" s="656" t="str">
        <f>+VLOOKUP($L117,Data_Validation!$A:$D,3,0)</f>
        <v>Bilan</v>
      </c>
      <c r="V117" s="656" t="str">
        <f>+VLOOKUP($L117,Data_Validation!$A:$D,4,0)</f>
        <v>Équipements Service</v>
      </c>
      <c r="W117" s="656" t="str">
        <f>+VLOOKUP($L117,Data_Validation!$A:$E,5,0)</f>
        <v>$</v>
      </c>
      <c r="X117" s="656">
        <f>+VLOOKUP($L117,Data_Validation!$A:$F,6,0)</f>
        <v>0</v>
      </c>
    </row>
    <row r="118" spans="1:24" ht="15" customHeight="1">
      <c r="A118" s="1210" t="s">
        <v>895</v>
      </c>
      <c r="B118" s="1210" t="s">
        <v>1621</v>
      </c>
      <c r="C118" s="1212">
        <v>177685.04</v>
      </c>
      <c r="D118" s="1212">
        <v>3073.24</v>
      </c>
      <c r="E118" s="1212">
        <v>180758.28</v>
      </c>
      <c r="F118" s="1210" t="s">
        <v>816</v>
      </c>
      <c r="G118" s="1210" t="s">
        <v>885</v>
      </c>
      <c r="H118" s="650"/>
      <c r="I118" s="663"/>
      <c r="J118" s="663"/>
      <c r="K118" s="663"/>
      <c r="L118" s="653" t="str">
        <f t="shared" si="67"/>
        <v>1786</v>
      </c>
      <c r="M118" s="654" t="str">
        <f t="shared" si="0"/>
        <v>EQUIPEMENT INFORMATIQUE</v>
      </c>
      <c r="N118" s="655">
        <f>+IF(OR($Q118=Parametres!$G$2,$Q118=Parametres!$G$3),I118,C118)</f>
        <v>177685.04</v>
      </c>
      <c r="O118" s="655">
        <f>+IF(OR($Q118=Parametres!$G$2,$Q118=Parametres!$G$3),J118,D118)</f>
        <v>3073.24</v>
      </c>
      <c r="P118" s="655">
        <f>+IF(OR($Q118=Parametres!$G$2,$Q118=Parametres!$G$3),K118,E118)</f>
        <v>180758.28</v>
      </c>
      <c r="Q118" s="654" t="str">
        <f t="shared" ref="Q118:S118" si="119">+F118</f>
        <v>2-Actifs</v>
      </c>
      <c r="R118" s="653" t="str">
        <f t="shared" si="119"/>
        <v>1700</v>
      </c>
      <c r="S118" s="654">
        <f t="shared" si="119"/>
        <v>0</v>
      </c>
      <c r="T118" s="656" t="str">
        <f>+VLOOKUP($L118,Data_Validation!$A:$D,1,0)</f>
        <v>1786</v>
      </c>
      <c r="U118" s="656" t="str">
        <f>+VLOOKUP($L118,Data_Validation!$A:$D,3,0)</f>
        <v>Bilan</v>
      </c>
      <c r="V118" s="656" t="str">
        <f>+VLOOKUP($L118,Data_Validation!$A:$D,4,0)</f>
        <v>Équipements Informatique</v>
      </c>
      <c r="W118" s="656" t="str">
        <f>+VLOOKUP($L118,Data_Validation!$A:$E,5,0)</f>
        <v>$</v>
      </c>
      <c r="X118" s="656">
        <f>+VLOOKUP($L118,Data_Validation!$A:$F,6,0)</f>
        <v>0</v>
      </c>
    </row>
    <row r="119" spans="1:24" ht="15" customHeight="1">
      <c r="A119" s="1210" t="s">
        <v>896</v>
      </c>
      <c r="B119" s="1210" t="s">
        <v>1624</v>
      </c>
      <c r="C119" s="1212">
        <v>-129236.24</v>
      </c>
      <c r="D119" s="1212">
        <v>0</v>
      </c>
      <c r="E119" s="1212">
        <v>-129236.24</v>
      </c>
      <c r="F119" s="1210" t="s">
        <v>816</v>
      </c>
      <c r="G119" s="1210" t="s">
        <v>885</v>
      </c>
      <c r="H119" s="651"/>
      <c r="I119" s="652"/>
      <c r="J119" s="652"/>
      <c r="K119" s="652"/>
      <c r="L119" s="653" t="str">
        <f t="shared" si="67"/>
        <v>1787</v>
      </c>
      <c r="M119" s="654" t="str">
        <f t="shared" si="0"/>
        <v>AMORTISS.EQUIP.INFORMATIQUES</v>
      </c>
      <c r="N119" s="655">
        <f>+IF(OR($Q119=Parametres!$G$2,$Q119=Parametres!$G$3),I119,C119)</f>
        <v>-129236.24</v>
      </c>
      <c r="O119" s="655">
        <f>+IF(OR($Q119=Parametres!$G$2,$Q119=Parametres!$G$3),J119,D119)</f>
        <v>0</v>
      </c>
      <c r="P119" s="655">
        <f>+IF(OR($Q119=Parametres!$G$2,$Q119=Parametres!$G$3),K119,E119)</f>
        <v>-129236.24</v>
      </c>
      <c r="Q119" s="654" t="str">
        <f t="shared" ref="Q119:S119" si="120">+F119</f>
        <v>2-Actifs</v>
      </c>
      <c r="R119" s="653" t="str">
        <f t="shared" si="120"/>
        <v>1700</v>
      </c>
      <c r="S119" s="654">
        <f t="shared" si="120"/>
        <v>0</v>
      </c>
      <c r="T119" s="656" t="str">
        <f>+VLOOKUP($L119,Data_Validation!$A:$D,1,0)</f>
        <v>1787</v>
      </c>
      <c r="U119" s="656" t="str">
        <f>+VLOOKUP($L119,Data_Validation!$A:$D,3,0)</f>
        <v>Bilan</v>
      </c>
      <c r="V119" s="656" t="str">
        <f>+VLOOKUP($L119,Data_Validation!$A:$D,4,0)</f>
        <v>Équipements Informatique</v>
      </c>
      <c r="W119" s="656" t="str">
        <f>+VLOOKUP($L119,Data_Validation!$A:$E,5,0)</f>
        <v>$</v>
      </c>
      <c r="X119" s="656">
        <f>+VLOOKUP($L119,Data_Validation!$A:$F,6,0)</f>
        <v>0</v>
      </c>
    </row>
    <row r="120" spans="1:24" ht="15" customHeight="1">
      <c r="A120" s="1210" t="s">
        <v>897</v>
      </c>
      <c r="B120" s="1210" t="s">
        <v>1627</v>
      </c>
      <c r="C120" s="1212">
        <v>119393.66</v>
      </c>
      <c r="D120" s="1212">
        <v>0</v>
      </c>
      <c r="E120" s="1212">
        <v>119393.66</v>
      </c>
      <c r="F120" s="1210" t="s">
        <v>816</v>
      </c>
      <c r="G120" s="1210" t="s">
        <v>885</v>
      </c>
      <c r="H120" s="651"/>
      <c r="I120" s="652"/>
      <c r="J120" s="652"/>
      <c r="K120" s="652"/>
      <c r="L120" s="653" t="str">
        <f t="shared" si="67"/>
        <v>1792</v>
      </c>
      <c r="M120" s="654" t="str">
        <f t="shared" si="0"/>
        <v>ENSEIGNES</v>
      </c>
      <c r="N120" s="655">
        <f>+IF(OR($Q120=Parametres!$G$2,$Q120=Parametres!$G$3),I120,C120)</f>
        <v>119393.66</v>
      </c>
      <c r="O120" s="655">
        <f>+IF(OR($Q120=Parametres!$G$2,$Q120=Parametres!$G$3),J120,D120)</f>
        <v>0</v>
      </c>
      <c r="P120" s="655">
        <f>+IF(OR($Q120=Parametres!$G$2,$Q120=Parametres!$G$3),K120,E120)</f>
        <v>119393.66</v>
      </c>
      <c r="Q120" s="654" t="str">
        <f t="shared" ref="Q120:S120" si="121">+F120</f>
        <v>2-Actifs</v>
      </c>
      <c r="R120" s="653" t="str">
        <f t="shared" si="121"/>
        <v>1700</v>
      </c>
      <c r="S120" s="654">
        <f t="shared" si="121"/>
        <v>0</v>
      </c>
      <c r="T120" s="656" t="str">
        <f>+VLOOKUP($L120,Data_Validation!$A:$D,1,0)</f>
        <v>1792</v>
      </c>
      <c r="U120" s="656" t="str">
        <f>+VLOOKUP($L120,Data_Validation!$A:$D,3,0)</f>
        <v>Bilan</v>
      </c>
      <c r="V120" s="656" t="str">
        <f>+VLOOKUP($L120,Data_Validation!$A:$D,4,0)</f>
        <v>Enseigne</v>
      </c>
      <c r="W120" s="656" t="str">
        <f>+VLOOKUP($L120,Data_Validation!$A:$E,5,0)</f>
        <v>$</v>
      </c>
      <c r="X120" s="656">
        <f>+VLOOKUP($L120,Data_Validation!$A:$F,6,0)</f>
        <v>0</v>
      </c>
    </row>
    <row r="121" spans="1:24" ht="15" customHeight="1">
      <c r="A121" s="1210" t="s">
        <v>898</v>
      </c>
      <c r="B121" s="1210" t="s">
        <v>1630</v>
      </c>
      <c r="C121" s="1212">
        <v>-119393.65</v>
      </c>
      <c r="D121" s="1212">
        <v>0</v>
      </c>
      <c r="E121" s="1212">
        <v>-119393.65</v>
      </c>
      <c r="F121" s="1210" t="s">
        <v>816</v>
      </c>
      <c r="G121" s="1210" t="s">
        <v>885</v>
      </c>
      <c r="H121" s="651"/>
      <c r="I121" s="651"/>
      <c r="J121" s="651"/>
      <c r="K121" s="651"/>
      <c r="L121" s="653" t="str">
        <f t="shared" si="67"/>
        <v>1793</v>
      </c>
      <c r="M121" s="654" t="str">
        <f t="shared" si="0"/>
        <v>AMORT. CUM. ENSEIGNES</v>
      </c>
      <c r="N121" s="655">
        <f>+IF(OR($Q121=Parametres!$G$2,$Q121=Parametres!$G$3),I121,C121)</f>
        <v>-119393.65</v>
      </c>
      <c r="O121" s="659">
        <f>+IF(OR($Q121=Parametres!$G$2,$Q121=Parametres!$G$3),J121,D121)</f>
        <v>0</v>
      </c>
      <c r="P121" s="655">
        <f>+IF(OR($Q121=Parametres!$G$2,$Q121=Parametres!$G$3),K121,E121)</f>
        <v>-119393.65</v>
      </c>
      <c r="Q121" s="654" t="str">
        <f t="shared" ref="Q121:S121" si="122">+F121</f>
        <v>2-Actifs</v>
      </c>
      <c r="R121" s="653" t="str">
        <f t="shared" si="122"/>
        <v>1700</v>
      </c>
      <c r="S121" s="654">
        <f t="shared" si="122"/>
        <v>0</v>
      </c>
      <c r="T121" s="656" t="str">
        <f>+VLOOKUP($L121,Data_Validation!$A:$D,1,0)</f>
        <v>1793</v>
      </c>
      <c r="U121" s="656" t="str">
        <f>+VLOOKUP($L121,Data_Validation!$A:$D,3,0)</f>
        <v>Bilan</v>
      </c>
      <c r="V121" s="656" t="str">
        <f>+VLOOKUP($L121,Data_Validation!$A:$D,4,0)</f>
        <v>Enseigne</v>
      </c>
      <c r="W121" s="656" t="str">
        <f>+VLOOKUP($L121,Data_Validation!$A:$E,5,0)</f>
        <v>$</v>
      </c>
      <c r="X121" s="656">
        <f>+VLOOKUP($L121,Data_Validation!$A:$F,6,0)</f>
        <v>0</v>
      </c>
    </row>
    <row r="122" spans="1:24" ht="15" customHeight="1">
      <c r="A122" s="1210" t="s">
        <v>3335</v>
      </c>
      <c r="B122" s="1210" t="s">
        <v>899</v>
      </c>
      <c r="C122" s="1212">
        <v>1223600</v>
      </c>
      <c r="D122" s="1212">
        <v>0</v>
      </c>
      <c r="E122" s="1212">
        <v>1223600</v>
      </c>
      <c r="F122" s="1210" t="s">
        <v>816</v>
      </c>
      <c r="G122" s="1210" t="s">
        <v>899</v>
      </c>
      <c r="H122" s="651"/>
      <c r="I122" s="652"/>
      <c r="J122" s="652"/>
      <c r="K122" s="652"/>
      <c r="L122" s="653" t="str">
        <f t="shared" si="67"/>
        <v>1804</v>
      </c>
      <c r="M122" s="654" t="str">
        <f t="shared" si="0"/>
        <v>AVANCES COMPLEXE INTERCO</v>
      </c>
      <c r="N122" s="655">
        <f>+IF(OR($Q122=Parametres!$G$2,$Q122=Parametres!$G$3),I122,C122)</f>
        <v>1223600</v>
      </c>
      <c r="O122" s="655">
        <f>+IF(OR($Q122=Parametres!$G$2,$Q122=Parametres!$G$3),J122,D122)</f>
        <v>0</v>
      </c>
      <c r="P122" s="655">
        <f>+IF(OR($Q122=Parametres!$G$2,$Q122=Parametres!$G$3),K122,E122)</f>
        <v>1223600</v>
      </c>
      <c r="Q122" s="654" t="str">
        <f t="shared" ref="Q122:S122" si="123">+F122</f>
        <v>2-Actifs</v>
      </c>
      <c r="R122" s="653" t="str">
        <f t="shared" si="123"/>
        <v>1804</v>
      </c>
      <c r="S122" s="654">
        <f t="shared" si="123"/>
        <v>0</v>
      </c>
      <c r="T122" s="656" t="str">
        <f>+VLOOKUP($L122,Data_Validation!$A:$D,1,0)</f>
        <v>1804</v>
      </c>
      <c r="U122" s="656" t="str">
        <f>+VLOOKUP($L122,Data_Validation!$A:$D,3,0)</f>
        <v>Bilan</v>
      </c>
      <c r="V122" s="656" t="str">
        <f>+VLOOKUP($L122,Data_Validation!$A:$D,4,0)</f>
        <v>Avances à Recevoir Long Terme</v>
      </c>
      <c r="W122" s="656" t="str">
        <f>+VLOOKUP($L122,Data_Validation!$A:$E,5,0)</f>
        <v>$</v>
      </c>
      <c r="X122" s="656">
        <f>+VLOOKUP($L122,Data_Validation!$A:$F,6,0)</f>
        <v>0</v>
      </c>
    </row>
    <row r="123" spans="1:24" ht="15.75" customHeight="1">
      <c r="A123" s="1210" t="s">
        <v>900</v>
      </c>
      <c r="B123" s="1210" t="s">
        <v>1635</v>
      </c>
      <c r="C123" s="1212">
        <v>3064.24</v>
      </c>
      <c r="D123" s="1212">
        <v>-2302.4699999999998</v>
      </c>
      <c r="E123" s="1212">
        <v>761.77</v>
      </c>
      <c r="F123" s="1210" t="s">
        <v>816</v>
      </c>
      <c r="G123" s="1210" t="s">
        <v>821</v>
      </c>
      <c r="H123" s="651"/>
      <c r="I123" s="651"/>
      <c r="J123" s="651"/>
      <c r="K123" s="651"/>
      <c r="L123" s="653" t="str">
        <f t="shared" si="67"/>
        <v>1806</v>
      </c>
      <c r="M123" s="654" t="str">
        <f t="shared" si="0"/>
        <v>FINANCEMENT RECEVABLE</v>
      </c>
      <c r="N123" s="655">
        <f>+IF(OR($Q123=Parametres!$G$2,$Q123=Parametres!$G$3),I123,C123)</f>
        <v>3064.24</v>
      </c>
      <c r="O123" s="659">
        <f>+IF(OR($Q123=Parametres!$G$2,$Q123=Parametres!$G$3),J123,D123)</f>
        <v>-2302.4699999999998</v>
      </c>
      <c r="P123" s="655">
        <f>+IF(OR($Q123=Parametres!$G$2,$Q123=Parametres!$G$3),K123,E123)</f>
        <v>761.77</v>
      </c>
      <c r="Q123" s="654" t="str">
        <f t="shared" ref="Q123:S123" si="124">+F123</f>
        <v>2-Actifs</v>
      </c>
      <c r="R123" s="653" t="str">
        <f t="shared" si="124"/>
        <v>1382</v>
      </c>
      <c r="S123" s="654">
        <f t="shared" si="124"/>
        <v>0</v>
      </c>
      <c r="T123" s="656" t="str">
        <f>+VLOOKUP($L123,Data_Validation!$A:$D,1,0)</f>
        <v>1806</v>
      </c>
      <c r="U123" s="656" t="str">
        <f>+VLOOKUP($L123,Data_Validation!$A:$D,3,0)</f>
        <v>Bilan</v>
      </c>
      <c r="V123" s="656" t="str">
        <f>+VLOOKUP($L123,Data_Validation!$A:$D,4,0)</f>
        <v>Recevables Autres</v>
      </c>
      <c r="W123" s="656" t="str">
        <f>+VLOOKUP($L123,Data_Validation!$A:$E,5,0)</f>
        <v>$</v>
      </c>
      <c r="X123" s="656">
        <f>+VLOOKUP($L123,Data_Validation!$A:$F,6,0)</f>
        <v>0</v>
      </c>
    </row>
    <row r="124" spans="1:24" ht="15" customHeight="1">
      <c r="A124" s="1210" t="s">
        <v>901</v>
      </c>
      <c r="B124" s="1210" t="s">
        <v>903</v>
      </c>
      <c r="C124" s="1212">
        <v>-6464199.3099999996</v>
      </c>
      <c r="D124" s="1212">
        <v>-722136.45</v>
      </c>
      <c r="E124" s="1212">
        <v>-7186335.7599999998</v>
      </c>
      <c r="F124" s="1210" t="s">
        <v>902</v>
      </c>
      <c r="G124" s="1210" t="s">
        <v>903</v>
      </c>
      <c r="H124" s="651"/>
      <c r="I124" s="652"/>
      <c r="J124" s="652"/>
      <c r="K124" s="652"/>
      <c r="L124" s="653" t="str">
        <f t="shared" si="67"/>
        <v>2101</v>
      </c>
      <c r="M124" s="654" t="str">
        <f t="shared" si="0"/>
        <v>NOTE A PAYER VEH. NEUFS VOLKS</v>
      </c>
      <c r="N124" s="655">
        <f>+IF(OR($Q124=Parametres!$G$2,$Q124=Parametres!$G$3),I124,C124)</f>
        <v>-6464199.3099999996</v>
      </c>
      <c r="O124" s="655">
        <f>+IF(OR($Q124=Parametres!$G$2,$Q124=Parametres!$G$3),J124,D124)</f>
        <v>-722136.45</v>
      </c>
      <c r="P124" s="655">
        <f>+IF(OR($Q124=Parametres!$G$2,$Q124=Parametres!$G$3),K124,E124)</f>
        <v>-7186335.7599999998</v>
      </c>
      <c r="Q124" s="654" t="str">
        <f t="shared" ref="Q124:S124" si="125">+F124</f>
        <v>3-Passifs</v>
      </c>
      <c r="R124" s="653" t="str">
        <f t="shared" si="125"/>
        <v>2101</v>
      </c>
      <c r="S124" s="654">
        <f t="shared" si="125"/>
        <v>0</v>
      </c>
      <c r="T124" s="656" t="str">
        <f>+VLOOKUP($L124,Data_Validation!$A:$D,1,0)</f>
        <v>2101</v>
      </c>
      <c r="U124" s="656" t="str">
        <f>+VLOOKUP($L124,Data_Validation!$A:$D,3,0)</f>
        <v>Bilan</v>
      </c>
      <c r="V124" s="656" t="str">
        <f>+VLOOKUP($L124,Data_Validation!$A:$D,4,0)</f>
        <v>Effet à Payer Véhicules Neufs</v>
      </c>
      <c r="W124" s="656" t="str">
        <f>+VLOOKUP($L124,Data_Validation!$A:$E,5,0)</f>
        <v>$</v>
      </c>
      <c r="X124" s="656">
        <f>+VLOOKUP($L124,Data_Validation!$A:$F,6,0)</f>
        <v>0</v>
      </c>
    </row>
    <row r="125" spans="1:24" ht="15" customHeight="1">
      <c r="A125" s="1210" t="s">
        <v>904</v>
      </c>
      <c r="B125" s="1210" t="s">
        <v>905</v>
      </c>
      <c r="C125" s="1212">
        <v>-407635.87</v>
      </c>
      <c r="D125" s="1212">
        <v>119491.54</v>
      </c>
      <c r="E125" s="1212">
        <v>-288144.33</v>
      </c>
      <c r="F125" s="1210" t="s">
        <v>902</v>
      </c>
      <c r="G125" s="1210" t="s">
        <v>905</v>
      </c>
      <c r="H125" s="651"/>
      <c r="I125" s="651"/>
      <c r="J125" s="651"/>
      <c r="K125" s="651"/>
      <c r="L125" s="653" t="str">
        <f t="shared" si="67"/>
        <v>2103</v>
      </c>
      <c r="M125" s="654" t="str">
        <f t="shared" si="0"/>
        <v>NOTE PAYABLE-FIN. VEH. USAG.</v>
      </c>
      <c r="N125" s="655">
        <f>+IF(OR($Q125=Parametres!$G$2,$Q125=Parametres!$G$3),I125,C125)</f>
        <v>-407635.87</v>
      </c>
      <c r="O125" s="655">
        <f>+IF(OR($Q125=Parametres!$G$2,$Q125=Parametres!$G$3),J125,D125)</f>
        <v>119491.54</v>
      </c>
      <c r="P125" s="655">
        <f>+IF(OR($Q125=Parametres!$G$2,$Q125=Parametres!$G$3),K125,E125)</f>
        <v>-288144.33</v>
      </c>
      <c r="Q125" s="654" t="str">
        <f t="shared" ref="Q125:S125" si="126">+F125</f>
        <v>3-Passifs</v>
      </c>
      <c r="R125" s="653" t="str">
        <f t="shared" si="126"/>
        <v>2103</v>
      </c>
      <c r="S125" s="654">
        <f t="shared" si="126"/>
        <v>0</v>
      </c>
      <c r="T125" s="656" t="str">
        <f>+VLOOKUP($L125,Data_Validation!$A:$D,1,0)</f>
        <v>2103</v>
      </c>
      <c r="U125" s="656" t="str">
        <f>+VLOOKUP($L125,Data_Validation!$A:$D,3,0)</f>
        <v>Bilan</v>
      </c>
      <c r="V125" s="656" t="str">
        <f>+VLOOKUP($L125,Data_Validation!$A:$D,4,0)</f>
        <v>Effet à Payer Véhicules Usagés</v>
      </c>
      <c r="W125" s="656" t="str">
        <f>+VLOOKUP($L125,Data_Validation!$A:$E,5,0)</f>
        <v>$</v>
      </c>
      <c r="X125" s="656">
        <f>+VLOOKUP($L125,Data_Validation!$A:$F,6,0)</f>
        <v>0</v>
      </c>
    </row>
    <row r="126" spans="1:24" ht="15" customHeight="1">
      <c r="A126" s="1210" t="s">
        <v>908</v>
      </c>
      <c r="B126" s="1210" t="s">
        <v>909</v>
      </c>
      <c r="C126" s="1212">
        <v>-310.51</v>
      </c>
      <c r="D126" s="1212">
        <v>310.51</v>
      </c>
      <c r="E126" s="1212">
        <v>0</v>
      </c>
      <c r="F126" s="1210" t="s">
        <v>902</v>
      </c>
      <c r="G126" s="1210" t="s">
        <v>909</v>
      </c>
      <c r="H126" s="651"/>
      <c r="I126" s="652"/>
      <c r="J126" s="652"/>
      <c r="K126" s="652"/>
      <c r="L126" s="653" t="str">
        <f t="shared" si="67"/>
        <v>2220</v>
      </c>
      <c r="M126" s="654" t="str">
        <f t="shared" si="0"/>
        <v>TPA A PAYER</v>
      </c>
      <c r="N126" s="655">
        <f>+IF(OR($Q126=Parametres!$G$2,$Q126=Parametres!$G$3),I126,C126)</f>
        <v>-310.51</v>
      </c>
      <c r="O126" s="655">
        <f>+IF(OR($Q126=Parametres!$G$2,$Q126=Parametres!$G$3),J126,D126)</f>
        <v>310.51</v>
      </c>
      <c r="P126" s="655">
        <f>+IF(OR($Q126=Parametres!$G$2,$Q126=Parametres!$G$3),K126,E126)</f>
        <v>0</v>
      </c>
      <c r="Q126" s="654" t="str">
        <f t="shared" ref="Q126:S126" si="127">+F126</f>
        <v>3-Passifs</v>
      </c>
      <c r="R126" s="653" t="str">
        <f t="shared" si="127"/>
        <v>2220</v>
      </c>
      <c r="S126" s="654">
        <f t="shared" si="127"/>
        <v>0</v>
      </c>
      <c r="T126" s="656" t="str">
        <f>+VLOOKUP($L126,Data_Validation!$A:$D,1,0)</f>
        <v>2220</v>
      </c>
      <c r="U126" s="656" t="str">
        <f>+VLOOKUP($L126,Data_Validation!$A:$D,3,0)</f>
        <v>Bilan</v>
      </c>
      <c r="V126" s="656" t="str">
        <f>+VLOOKUP($L126,Data_Validation!$A:$D,4,0)</f>
        <v>Taxes de Vente à Payer</v>
      </c>
      <c r="W126" s="656" t="str">
        <f>+VLOOKUP($L126,Data_Validation!$A:$E,5,0)</f>
        <v>$</v>
      </c>
      <c r="X126" s="656">
        <f>+VLOOKUP($L126,Data_Validation!$A:$F,6,0)</f>
        <v>0</v>
      </c>
    </row>
    <row r="127" spans="1:24" ht="15" customHeight="1">
      <c r="A127" s="1210" t="s">
        <v>910</v>
      </c>
      <c r="B127" s="1210" t="s">
        <v>911</v>
      </c>
      <c r="C127" s="1212">
        <v>-89849</v>
      </c>
      <c r="D127" s="1212">
        <v>-22833.51</v>
      </c>
      <c r="E127" s="1212">
        <v>-112682.51</v>
      </c>
      <c r="F127" s="1210" t="s">
        <v>902</v>
      </c>
      <c r="G127" s="1210" t="s">
        <v>911</v>
      </c>
      <c r="H127" s="650"/>
      <c r="I127" s="663"/>
      <c r="J127" s="663"/>
      <c r="K127" s="663"/>
      <c r="L127" s="653" t="str">
        <f t="shared" si="67"/>
        <v>2221</v>
      </c>
      <c r="M127" s="654" t="str">
        <f t="shared" si="0"/>
        <v>TVQ A PAYER</v>
      </c>
      <c r="N127" s="655">
        <f>+IF(OR($Q127=Parametres!$G$2,$Q127=Parametres!$G$3),I127,C127)</f>
        <v>-89849</v>
      </c>
      <c r="O127" s="655">
        <f>+IF(OR($Q127=Parametres!$G$2,$Q127=Parametres!$G$3),J127,D127)</f>
        <v>-22833.51</v>
      </c>
      <c r="P127" s="655">
        <f>+IF(OR($Q127=Parametres!$G$2,$Q127=Parametres!$G$3),K127,E127)</f>
        <v>-112682.51</v>
      </c>
      <c r="Q127" s="654" t="str">
        <f t="shared" ref="Q127:S127" si="128">+F127</f>
        <v>3-Passifs</v>
      </c>
      <c r="R127" s="653" t="str">
        <f t="shared" si="128"/>
        <v>2221</v>
      </c>
      <c r="S127" s="654">
        <f t="shared" si="128"/>
        <v>0</v>
      </c>
      <c r="T127" s="656" t="str">
        <f>+VLOOKUP($L127,Data_Validation!$A:$D,1,0)</f>
        <v>2221</v>
      </c>
      <c r="U127" s="656" t="str">
        <f>+VLOOKUP($L127,Data_Validation!$A:$D,3,0)</f>
        <v>Bilan</v>
      </c>
      <c r="V127" s="656" t="str">
        <f>+VLOOKUP($L127,Data_Validation!$A:$D,4,0)</f>
        <v>Taxes de Vente à Payer</v>
      </c>
      <c r="W127" s="656" t="str">
        <f>+VLOOKUP($L127,Data_Validation!$A:$E,5,0)</f>
        <v>$</v>
      </c>
      <c r="X127" s="656">
        <f>+VLOOKUP($L127,Data_Validation!$A:$F,6,0)</f>
        <v>0</v>
      </c>
    </row>
    <row r="128" spans="1:24" ht="15" customHeight="1">
      <c r="A128" s="1210" t="s">
        <v>912</v>
      </c>
      <c r="B128" s="1210" t="s">
        <v>1652</v>
      </c>
      <c r="C128" s="1212">
        <v>51198.31</v>
      </c>
      <c r="D128" s="1212">
        <v>11243.34</v>
      </c>
      <c r="E128" s="1212">
        <v>62441.65</v>
      </c>
      <c r="F128" s="1210" t="s">
        <v>902</v>
      </c>
      <c r="G128" s="1210" t="s">
        <v>911</v>
      </c>
      <c r="H128" s="651"/>
      <c r="I128" s="652"/>
      <c r="J128" s="652"/>
      <c r="K128" s="652"/>
      <c r="L128" s="653" t="str">
        <f t="shared" si="67"/>
        <v>2222</v>
      </c>
      <c r="M128" s="654" t="str">
        <f t="shared" si="0"/>
        <v>TVQ A RECEVOIR</v>
      </c>
      <c r="N128" s="655">
        <f>+IF(OR($Q128=Parametres!$G$2,$Q128=Parametres!$G$3),I128,C128)</f>
        <v>51198.31</v>
      </c>
      <c r="O128" s="655">
        <f>+IF(OR($Q128=Parametres!$G$2,$Q128=Parametres!$G$3),J128,D128)</f>
        <v>11243.34</v>
      </c>
      <c r="P128" s="655">
        <f>+IF(OR($Q128=Parametres!$G$2,$Q128=Parametres!$G$3),K128,E128)</f>
        <v>62441.65</v>
      </c>
      <c r="Q128" s="654" t="str">
        <f t="shared" ref="Q128:S128" si="129">+F128</f>
        <v>3-Passifs</v>
      </c>
      <c r="R128" s="653" t="str">
        <f t="shared" si="129"/>
        <v>2221</v>
      </c>
      <c r="S128" s="654">
        <f t="shared" si="129"/>
        <v>0</v>
      </c>
      <c r="T128" s="656" t="str">
        <f>+VLOOKUP($L128,Data_Validation!$A:$D,1,0)</f>
        <v>2222</v>
      </c>
      <c r="U128" s="656" t="str">
        <f>+VLOOKUP($L128,Data_Validation!$A:$D,3,0)</f>
        <v>Bilan</v>
      </c>
      <c r="V128" s="656" t="str">
        <f>+VLOOKUP($L128,Data_Validation!$A:$D,4,0)</f>
        <v>Taxes de Vente à Payer</v>
      </c>
      <c r="W128" s="656" t="str">
        <f>+VLOOKUP($L128,Data_Validation!$A:$E,5,0)</f>
        <v>$</v>
      </c>
      <c r="X128" s="656">
        <f>+VLOOKUP($L128,Data_Validation!$A:$F,6,0)</f>
        <v>0</v>
      </c>
    </row>
    <row r="129" spans="1:24" ht="15" customHeight="1">
      <c r="A129" s="1210" t="s">
        <v>913</v>
      </c>
      <c r="B129" s="1210" t="s">
        <v>914</v>
      </c>
      <c r="C129" s="1212">
        <v>-239237.63</v>
      </c>
      <c r="D129" s="1212">
        <v>52062.18</v>
      </c>
      <c r="E129" s="1212">
        <v>-187175.45</v>
      </c>
      <c r="F129" s="1210" t="s">
        <v>902</v>
      </c>
      <c r="G129" s="1210" t="s">
        <v>914</v>
      </c>
      <c r="H129" s="650"/>
      <c r="I129" s="663"/>
      <c r="J129" s="663"/>
      <c r="K129" s="663"/>
      <c r="L129" s="653" t="str">
        <f t="shared" si="67"/>
        <v>2223</v>
      </c>
      <c r="M129" s="654" t="str">
        <f t="shared" si="0"/>
        <v>TPS A PAYER</v>
      </c>
      <c r="N129" s="655">
        <f>+IF(OR($Q129=Parametres!$G$2,$Q129=Parametres!$G$3),I129,C129)</f>
        <v>-239237.63</v>
      </c>
      <c r="O129" s="655">
        <f>+IF(OR($Q129=Parametres!$G$2,$Q129=Parametres!$G$3),J129,D129)</f>
        <v>52062.18</v>
      </c>
      <c r="P129" s="655">
        <f>+IF(OR($Q129=Parametres!$G$2,$Q129=Parametres!$G$3),K129,E129)</f>
        <v>-187175.45</v>
      </c>
      <c r="Q129" s="654" t="str">
        <f t="shared" ref="Q129:S129" si="130">+F129</f>
        <v>3-Passifs</v>
      </c>
      <c r="R129" s="653" t="str">
        <f t="shared" si="130"/>
        <v>2223</v>
      </c>
      <c r="S129" s="654">
        <f t="shared" si="130"/>
        <v>0</v>
      </c>
      <c r="T129" s="656" t="str">
        <f>+VLOOKUP($L129,Data_Validation!$A:$D,1,0)</f>
        <v>2223</v>
      </c>
      <c r="U129" s="656" t="str">
        <f>+VLOOKUP($L129,Data_Validation!$A:$D,3,0)</f>
        <v>Bilan</v>
      </c>
      <c r="V129" s="656" t="str">
        <f>+VLOOKUP($L129,Data_Validation!$A:$D,4,0)</f>
        <v>Taxes de Vente à Payer</v>
      </c>
      <c r="W129" s="656" t="str">
        <f>+VLOOKUP($L129,Data_Validation!$A:$E,5,0)</f>
        <v>$</v>
      </c>
      <c r="X129" s="656">
        <f>+VLOOKUP($L129,Data_Validation!$A:$F,6,0)</f>
        <v>0</v>
      </c>
    </row>
    <row r="130" spans="1:24" ht="15" customHeight="1">
      <c r="A130" s="1210" t="s">
        <v>915</v>
      </c>
      <c r="B130" s="1210" t="s">
        <v>1657</v>
      </c>
      <c r="C130" s="1212">
        <v>149246.22</v>
      </c>
      <c r="D130" s="1212">
        <v>72185.600000000006</v>
      </c>
      <c r="E130" s="1212">
        <v>221431.82</v>
      </c>
      <c r="F130" s="1210" t="s">
        <v>902</v>
      </c>
      <c r="G130" s="1210" t="s">
        <v>914</v>
      </c>
      <c r="H130" s="651"/>
      <c r="I130" s="651"/>
      <c r="J130" s="651"/>
      <c r="K130" s="651"/>
      <c r="L130" s="653" t="str">
        <f t="shared" si="67"/>
        <v>2224</v>
      </c>
      <c r="M130" s="654" t="str">
        <f t="shared" si="0"/>
        <v>TPS A RECEVOIR</v>
      </c>
      <c r="N130" s="655">
        <f>+IF(OR($Q130=Parametres!$G$2,$Q130=Parametres!$G$3),I130,C130)</f>
        <v>149246.22</v>
      </c>
      <c r="O130" s="655">
        <f>+IF(OR($Q130=Parametres!$G$2,$Q130=Parametres!$G$3),J130,D130)</f>
        <v>72185.600000000006</v>
      </c>
      <c r="P130" s="655">
        <f>+IF(OR($Q130=Parametres!$G$2,$Q130=Parametres!$G$3),K130,E130)</f>
        <v>221431.82</v>
      </c>
      <c r="Q130" s="654" t="str">
        <f t="shared" ref="Q130:S130" si="131">+F130</f>
        <v>3-Passifs</v>
      </c>
      <c r="R130" s="653" t="str">
        <f t="shared" si="131"/>
        <v>2223</v>
      </c>
      <c r="S130" s="654">
        <f t="shared" si="131"/>
        <v>0</v>
      </c>
      <c r="T130" s="656" t="str">
        <f>+VLOOKUP($L130,Data_Validation!$A:$D,1,0)</f>
        <v>2224</v>
      </c>
      <c r="U130" s="656" t="str">
        <f>+VLOOKUP($L130,Data_Validation!$A:$D,3,0)</f>
        <v>Bilan</v>
      </c>
      <c r="V130" s="656" t="str">
        <f>+VLOOKUP($L130,Data_Validation!$A:$D,4,0)</f>
        <v>Taxes de Vente à Payer</v>
      </c>
      <c r="W130" s="656" t="str">
        <f>+VLOOKUP($L130,Data_Validation!$A:$E,5,0)</f>
        <v>$</v>
      </c>
      <c r="X130" s="656">
        <f>+VLOOKUP($L130,Data_Validation!$A:$F,6,0)</f>
        <v>0</v>
      </c>
    </row>
    <row r="131" spans="1:24" ht="15.75" customHeight="1">
      <c r="A131" s="1210" t="s">
        <v>916</v>
      </c>
      <c r="B131" s="1210" t="s">
        <v>1660</v>
      </c>
      <c r="C131" s="1212">
        <v>-1890</v>
      </c>
      <c r="D131" s="1212">
        <v>450</v>
      </c>
      <c r="E131" s="1212">
        <v>-1440</v>
      </c>
      <c r="F131" s="1210" t="s">
        <v>902</v>
      </c>
      <c r="G131" s="1210" t="s">
        <v>911</v>
      </c>
      <c r="H131" s="651"/>
      <c r="I131" s="651"/>
      <c r="J131" s="651"/>
      <c r="K131" s="651"/>
      <c r="L131" s="653" t="str">
        <f t="shared" ref="L131:L179" si="132">TEXT(B131,0)</f>
        <v>2225</v>
      </c>
      <c r="M131" s="654" t="str">
        <f t="shared" si="0"/>
        <v>DROIT SUR PNEUS</v>
      </c>
      <c r="N131" s="655">
        <f>+IF(OR($Q131=Parametres!$G$2,$Q131=Parametres!$G$3),I131,C131)</f>
        <v>-1890</v>
      </c>
      <c r="O131" s="659">
        <f>+IF(OR($Q131=Parametres!$G$2,$Q131=Parametres!$G$3),J131,D131)</f>
        <v>450</v>
      </c>
      <c r="P131" s="655">
        <f>+IF(OR($Q131=Parametres!$G$2,$Q131=Parametres!$G$3),K131,E131)</f>
        <v>-1440</v>
      </c>
      <c r="Q131" s="654" t="str">
        <f t="shared" ref="Q131:S131" si="133">+F131</f>
        <v>3-Passifs</v>
      </c>
      <c r="R131" s="653" t="str">
        <f t="shared" si="133"/>
        <v>2221</v>
      </c>
      <c r="S131" s="654">
        <f t="shared" si="133"/>
        <v>0</v>
      </c>
      <c r="T131" s="656" t="str">
        <f>+VLOOKUP($L131,Data_Validation!$A:$D,1,0)</f>
        <v>2225</v>
      </c>
      <c r="U131" s="656" t="str">
        <f>+VLOOKUP($L131,Data_Validation!$A:$D,3,0)</f>
        <v>Bilan</v>
      </c>
      <c r="V131" s="656" t="str">
        <f>+VLOOKUP($L131,Data_Validation!$A:$D,4,0)</f>
        <v>Taxes de Vente à Payer</v>
      </c>
      <c r="W131" s="656" t="str">
        <f>+VLOOKUP($L131,Data_Validation!$A:$E,5,0)</f>
        <v>$</v>
      </c>
      <c r="X131" s="656">
        <f>+VLOOKUP($L131,Data_Validation!$A:$F,6,0)</f>
        <v>0</v>
      </c>
    </row>
    <row r="132" spans="1:24" ht="15" customHeight="1">
      <c r="A132" s="1210" t="s">
        <v>917</v>
      </c>
      <c r="B132" s="1210" t="s">
        <v>1663</v>
      </c>
      <c r="C132" s="1212">
        <v>-144954.69</v>
      </c>
      <c r="D132" s="1212">
        <v>44988.65</v>
      </c>
      <c r="E132" s="1212">
        <v>-99966.04</v>
      </c>
      <c r="F132" s="1210" t="s">
        <v>902</v>
      </c>
      <c r="G132" s="1210" t="s">
        <v>918</v>
      </c>
      <c r="H132" s="651"/>
      <c r="I132" s="651"/>
      <c r="J132" s="651"/>
      <c r="K132" s="651"/>
      <c r="L132" s="653" t="str">
        <f t="shared" si="132"/>
        <v>2281</v>
      </c>
      <c r="M132" s="654" t="str">
        <f t="shared" si="0"/>
        <v>LIEN A PAYER</v>
      </c>
      <c r="N132" s="655">
        <f>+IF(OR($Q132=Parametres!$G$2,$Q132=Parametres!$G$3),I132,C132)</f>
        <v>-144954.69</v>
      </c>
      <c r="O132" s="655">
        <f>+IF(OR($Q132=Parametres!$G$2,$Q132=Parametres!$G$3),J132,D132)</f>
        <v>44988.65</v>
      </c>
      <c r="P132" s="655">
        <f>+IF(OR($Q132=Parametres!$G$2,$Q132=Parametres!$G$3),K132,E132)</f>
        <v>-99966.04</v>
      </c>
      <c r="Q132" s="654" t="str">
        <f t="shared" ref="Q132:S132" si="134">+F132</f>
        <v>3-Passifs</v>
      </c>
      <c r="R132" s="653" t="str">
        <f t="shared" si="134"/>
        <v>2283</v>
      </c>
      <c r="S132" s="654">
        <f t="shared" si="134"/>
        <v>0</v>
      </c>
      <c r="T132" s="656" t="str">
        <f>+VLOOKUP($L132,Data_Validation!$A:$D,1,0)</f>
        <v>2281</v>
      </c>
      <c r="U132" s="656" t="str">
        <f>+VLOOKUP($L132,Data_Validation!$A:$D,3,0)</f>
        <v>Bilan</v>
      </c>
      <c r="V132" s="656" t="str">
        <f>+VLOOKUP($L132,Data_Validation!$A:$D,4,0)</f>
        <v>Autres Comptes à Payer</v>
      </c>
      <c r="W132" s="656" t="str">
        <f>+VLOOKUP($L132,Data_Validation!$A:$E,5,0)</f>
        <v>$</v>
      </c>
      <c r="X132" s="656">
        <f>+VLOOKUP($L132,Data_Validation!$A:$F,6,0)</f>
        <v>0</v>
      </c>
    </row>
    <row r="133" spans="1:24" ht="15" customHeight="1">
      <c r="A133" s="1210" t="s">
        <v>919</v>
      </c>
      <c r="B133" s="1210" t="s">
        <v>918</v>
      </c>
      <c r="C133" s="1212">
        <v>-767.92</v>
      </c>
      <c r="D133" s="1212">
        <v>-285.45</v>
      </c>
      <c r="E133" s="1212">
        <v>-1053.3699999999999</v>
      </c>
      <c r="F133" s="1210" t="s">
        <v>902</v>
      </c>
      <c r="G133" s="1210" t="s">
        <v>918</v>
      </c>
      <c r="H133" s="651"/>
      <c r="I133" s="652"/>
      <c r="J133" s="652"/>
      <c r="K133" s="652"/>
      <c r="L133" s="653" t="str">
        <f t="shared" si="132"/>
        <v>2283</v>
      </c>
      <c r="M133" s="654" t="str">
        <f t="shared" si="0"/>
        <v>PLAQUE A PAYER</v>
      </c>
      <c r="N133" s="655">
        <f>+IF(OR($Q133=Parametres!$G$2,$Q133=Parametres!$G$3),I133,C133)</f>
        <v>-767.92</v>
      </c>
      <c r="O133" s="655">
        <f>+IF(OR($Q133=Parametres!$G$2,$Q133=Parametres!$G$3),J133,D133)</f>
        <v>-285.45</v>
      </c>
      <c r="P133" s="655">
        <f>+IF(OR($Q133=Parametres!$G$2,$Q133=Parametres!$G$3),K133,E133)</f>
        <v>-1053.3699999999999</v>
      </c>
      <c r="Q133" s="654" t="str">
        <f t="shared" ref="Q133:S133" si="135">+F133</f>
        <v>3-Passifs</v>
      </c>
      <c r="R133" s="653" t="str">
        <f t="shared" si="135"/>
        <v>2283</v>
      </c>
      <c r="S133" s="654">
        <f t="shared" si="135"/>
        <v>0</v>
      </c>
      <c r="T133" s="656" t="str">
        <f>+VLOOKUP($L133,Data_Validation!$A:$D,1,0)</f>
        <v>2283</v>
      </c>
      <c r="U133" s="656" t="str">
        <f>+VLOOKUP($L133,Data_Validation!$A:$D,3,0)</f>
        <v>Bilan</v>
      </c>
      <c r="V133" s="656" t="str">
        <f>+VLOOKUP($L133,Data_Validation!$A:$D,4,0)</f>
        <v>Autres Comptes à Payer</v>
      </c>
      <c r="W133" s="656" t="str">
        <f>+VLOOKUP($L133,Data_Validation!$A:$E,5,0)</f>
        <v>$</v>
      </c>
      <c r="X133" s="656">
        <f>+VLOOKUP($L133,Data_Validation!$A:$F,6,0)</f>
        <v>0</v>
      </c>
    </row>
    <row r="134" spans="1:24" ht="15" customHeight="1">
      <c r="A134" s="1210" t="s">
        <v>920</v>
      </c>
      <c r="B134" s="1210" t="s">
        <v>1668</v>
      </c>
      <c r="C134" s="1212">
        <v>-85224.6</v>
      </c>
      <c r="D134" s="1212">
        <v>27025.8</v>
      </c>
      <c r="E134" s="1212">
        <v>-58198.8</v>
      </c>
      <c r="F134" s="1210" t="s">
        <v>902</v>
      </c>
      <c r="G134" s="1210" t="s">
        <v>918</v>
      </c>
      <c r="H134" s="650"/>
      <c r="I134" s="652"/>
      <c r="J134" s="652"/>
      <c r="K134" s="652"/>
      <c r="L134" s="653" t="str">
        <f t="shared" si="132"/>
        <v>2285</v>
      </c>
      <c r="M134" s="654" t="str">
        <f t="shared" si="0"/>
        <v>PROTECTIONS A PAYER</v>
      </c>
      <c r="N134" s="655">
        <f>+IF(OR($Q134=Parametres!$G$2,$Q134=Parametres!$G$3),I134,C134)</f>
        <v>-85224.6</v>
      </c>
      <c r="O134" s="655">
        <f>+IF(OR($Q134=Parametres!$G$2,$Q134=Parametres!$G$3),J134,D134)</f>
        <v>27025.8</v>
      </c>
      <c r="P134" s="655">
        <f>+IF(OR($Q134=Parametres!$G$2,$Q134=Parametres!$G$3),K134,E134)</f>
        <v>-58198.8</v>
      </c>
      <c r="Q134" s="654" t="str">
        <f t="shared" ref="Q134:S134" si="136">+F134</f>
        <v>3-Passifs</v>
      </c>
      <c r="R134" s="653" t="str">
        <f t="shared" si="136"/>
        <v>2283</v>
      </c>
      <c r="S134" s="654">
        <f t="shared" si="136"/>
        <v>0</v>
      </c>
      <c r="T134" s="656" t="str">
        <f>+VLOOKUP($L134,Data_Validation!$A:$D,1,0)</f>
        <v>2285</v>
      </c>
      <c r="U134" s="656" t="str">
        <f>+VLOOKUP($L134,Data_Validation!$A:$D,3,0)</f>
        <v>Bilan</v>
      </c>
      <c r="V134" s="656" t="str">
        <f>+VLOOKUP($L134,Data_Validation!$A:$D,4,0)</f>
        <v>Autres Comptes à Payer</v>
      </c>
      <c r="W134" s="656" t="str">
        <f>+VLOOKUP($L134,Data_Validation!$A:$E,5,0)</f>
        <v>$</v>
      </c>
      <c r="X134" s="656">
        <f>+VLOOKUP($L134,Data_Validation!$A:$F,6,0)</f>
        <v>0</v>
      </c>
    </row>
    <row r="135" spans="1:24" ht="15.75" customHeight="1">
      <c r="A135" s="1210" t="s">
        <v>921</v>
      </c>
      <c r="B135" s="1210" t="s">
        <v>1671</v>
      </c>
      <c r="C135" s="1212">
        <v>-3252.27</v>
      </c>
      <c r="D135" s="1212">
        <v>1200.24</v>
      </c>
      <c r="E135" s="1212">
        <v>-2052.0300000000002</v>
      </c>
      <c r="F135" s="1210" t="s">
        <v>902</v>
      </c>
      <c r="G135" s="1210" t="s">
        <v>918</v>
      </c>
      <c r="H135" s="651"/>
      <c r="I135" s="652"/>
      <c r="J135" s="652"/>
      <c r="K135" s="652"/>
      <c r="L135" s="653" t="str">
        <f t="shared" si="132"/>
        <v>2287</v>
      </c>
      <c r="M135" s="654" t="str">
        <f t="shared" si="0"/>
        <v>A PAYER INVAPLAN</v>
      </c>
      <c r="N135" s="655">
        <f>+IF(OR($Q135=Parametres!$G$2,$Q135=Parametres!$G$3),I135,C135)</f>
        <v>-3252.27</v>
      </c>
      <c r="O135" s="655">
        <f>+IF(OR($Q135=Parametres!$G$2,$Q135=Parametres!$G$3),J135,D135)</f>
        <v>1200.24</v>
      </c>
      <c r="P135" s="655">
        <f>+IF(OR($Q135=Parametres!$G$2,$Q135=Parametres!$G$3),K135,E135)</f>
        <v>-2052.0300000000002</v>
      </c>
      <c r="Q135" s="654" t="str">
        <f t="shared" ref="Q135:S135" si="137">+F135</f>
        <v>3-Passifs</v>
      </c>
      <c r="R135" s="653" t="str">
        <f t="shared" si="137"/>
        <v>2283</v>
      </c>
      <c r="S135" s="654">
        <f t="shared" si="137"/>
        <v>0</v>
      </c>
      <c r="T135" s="656" t="str">
        <f>+VLOOKUP($L135,Data_Validation!$A:$D,1,0)</f>
        <v>2287</v>
      </c>
      <c r="U135" s="656" t="str">
        <f>+VLOOKUP($L135,Data_Validation!$A:$D,3,0)</f>
        <v>Bilan</v>
      </c>
      <c r="V135" s="656" t="str">
        <f>+VLOOKUP($L135,Data_Validation!$A:$D,4,0)</f>
        <v>Autres Comptes à Payer</v>
      </c>
      <c r="W135" s="656" t="str">
        <f>+VLOOKUP($L135,Data_Validation!$A:$E,5,0)</f>
        <v>$</v>
      </c>
      <c r="X135" s="656">
        <f>+VLOOKUP($L135,Data_Validation!$A:$F,6,0)</f>
        <v>0</v>
      </c>
    </row>
    <row r="136" spans="1:24" ht="15" customHeight="1">
      <c r="A136" s="1210" t="s">
        <v>922</v>
      </c>
      <c r="B136" s="1210" t="s">
        <v>923</v>
      </c>
      <c r="C136" s="1212">
        <v>-384451.22</v>
      </c>
      <c r="D136" s="1212">
        <v>28832.62</v>
      </c>
      <c r="E136" s="1212">
        <v>-355618.6</v>
      </c>
      <c r="F136" s="1210" t="s">
        <v>902</v>
      </c>
      <c r="G136" s="1210" t="s">
        <v>923</v>
      </c>
      <c r="H136" s="650"/>
      <c r="I136" s="652"/>
      <c r="J136" s="652"/>
      <c r="K136" s="652"/>
      <c r="L136" s="653" t="str">
        <f t="shared" ref="L136:L151" si="138">TEXT(B136,0)</f>
        <v>2291</v>
      </c>
      <c r="M136" s="654" t="str">
        <f t="shared" ref="M136:M151" si="139">+A136</f>
        <v>COMPTES FOURNISSEURS</v>
      </c>
      <c r="N136" s="655">
        <f>+IF(OR($Q136=Parametres!$G$2,$Q136=Parametres!$G$3),I136,C136)</f>
        <v>-384451.22</v>
      </c>
      <c r="O136" s="655">
        <f>+IF(OR($Q136=Parametres!$G$2,$Q136=Parametres!$G$3),J136,D136)</f>
        <v>28832.62</v>
      </c>
      <c r="P136" s="655">
        <f>+IF(OR($Q136=Parametres!$G$2,$Q136=Parametres!$G$3),K136,E136)</f>
        <v>-355618.6</v>
      </c>
      <c r="Q136" s="654" t="str">
        <f t="shared" ref="Q136:Q151" si="140">+F136</f>
        <v>3-Passifs</v>
      </c>
      <c r="R136" s="653" t="str">
        <f t="shared" ref="R136:R151" si="141">+G136</f>
        <v>2291</v>
      </c>
      <c r="S136" s="654">
        <f t="shared" ref="S136:S151" si="142">+H136</f>
        <v>0</v>
      </c>
      <c r="T136" s="656" t="str">
        <f>+VLOOKUP($L136,Data_Validation!$A:$D,1,0)</f>
        <v>2291</v>
      </c>
      <c r="U136" s="656" t="str">
        <f>+VLOOKUP($L136,Data_Validation!$A:$D,3,0)</f>
        <v>Bilan</v>
      </c>
      <c r="V136" s="656" t="str">
        <f>+VLOOKUP($L136,Data_Validation!$A:$D,4,0)</f>
        <v>Comptes à Payer Fournisseurs</v>
      </c>
      <c r="W136" s="656" t="str">
        <f>+VLOOKUP($L136,Data_Validation!$A:$E,5,0)</f>
        <v>$</v>
      </c>
      <c r="X136" s="656">
        <f>+VLOOKUP($L136,Data_Validation!$A:$F,6,0)</f>
        <v>0</v>
      </c>
    </row>
    <row r="137" spans="1:24" ht="15" customHeight="1">
      <c r="A137" s="1210" t="s">
        <v>924</v>
      </c>
      <c r="B137" s="1210" t="s">
        <v>1679</v>
      </c>
      <c r="C137" s="1212">
        <v>53551.9</v>
      </c>
      <c r="D137" s="1212">
        <v>-87843.85</v>
      </c>
      <c r="E137" s="1212">
        <v>-34291.949999999997</v>
      </c>
      <c r="F137" s="1210" t="s">
        <v>902</v>
      </c>
      <c r="G137" s="1210" t="s">
        <v>923</v>
      </c>
      <c r="H137" s="651"/>
      <c r="I137" s="652"/>
      <c r="J137" s="652"/>
      <c r="K137" s="652"/>
      <c r="L137" s="653" t="str">
        <f t="shared" si="138"/>
        <v>2292</v>
      </c>
      <c r="M137" s="654" t="str">
        <f t="shared" si="139"/>
        <v>ECHANGE ENTRE CONCESSIONNAIRES</v>
      </c>
      <c r="N137" s="655">
        <f>+IF(OR($Q137=Parametres!$G$2,$Q137=Parametres!$G$3),I137,C137)</f>
        <v>53551.9</v>
      </c>
      <c r="O137" s="655">
        <f>+IF(OR($Q137=Parametres!$G$2,$Q137=Parametres!$G$3),J137,D137)</f>
        <v>-87843.85</v>
      </c>
      <c r="P137" s="655">
        <f>+IF(OR($Q137=Parametres!$G$2,$Q137=Parametres!$G$3),K137,E137)</f>
        <v>-34291.949999999997</v>
      </c>
      <c r="Q137" s="654" t="str">
        <f t="shared" si="140"/>
        <v>3-Passifs</v>
      </c>
      <c r="R137" s="653" t="str">
        <f t="shared" si="141"/>
        <v>2291</v>
      </c>
      <c r="S137" s="654">
        <f t="shared" si="142"/>
        <v>0</v>
      </c>
      <c r="T137" s="656" t="str">
        <f>+VLOOKUP($L137,Data_Validation!$A:$D,1,0)</f>
        <v>2292</v>
      </c>
      <c r="U137" s="656" t="str">
        <f>+VLOOKUP($L137,Data_Validation!$A:$D,3,0)</f>
        <v>Bilan</v>
      </c>
      <c r="V137" s="656" t="str">
        <f>+VLOOKUP($L137,Data_Validation!$A:$D,4,0)</f>
        <v>Autres Comptes à Payer</v>
      </c>
      <c r="W137" s="656" t="str">
        <f>+VLOOKUP($L137,Data_Validation!$A:$E,5,0)</f>
        <v>$</v>
      </c>
      <c r="X137" s="656">
        <f>+VLOOKUP($L137,Data_Validation!$A:$F,6,0)</f>
        <v>0</v>
      </c>
    </row>
    <row r="138" spans="1:24" ht="15" customHeight="1">
      <c r="A138" s="1210" t="s">
        <v>925</v>
      </c>
      <c r="B138" s="1210" t="s">
        <v>928</v>
      </c>
      <c r="C138" s="1212">
        <v>-23450</v>
      </c>
      <c r="D138" s="1212">
        <v>-3150</v>
      </c>
      <c r="E138" s="1212">
        <v>-26600</v>
      </c>
      <c r="F138" s="1210" t="s">
        <v>902</v>
      </c>
      <c r="G138" s="1210" t="s">
        <v>918</v>
      </c>
      <c r="H138" s="650"/>
      <c r="I138" s="663"/>
      <c r="J138" s="663"/>
      <c r="K138" s="663"/>
      <c r="L138" s="653" t="str">
        <f t="shared" si="138"/>
        <v>2293</v>
      </c>
      <c r="M138" s="654" t="str">
        <f t="shared" si="139"/>
        <v>PROVISIONS GARANTIES USAGEES</v>
      </c>
      <c r="N138" s="655">
        <f>+IF(OR($Q138=Parametres!$G$2,$Q138=Parametres!$G$3),I138,C138)</f>
        <v>-23450</v>
      </c>
      <c r="O138" s="655">
        <f>+IF(OR($Q138=Parametres!$G$2,$Q138=Parametres!$G$3),J138,D138)</f>
        <v>-3150</v>
      </c>
      <c r="P138" s="655">
        <f>+IF(OR($Q138=Parametres!$G$2,$Q138=Parametres!$G$3),K138,E138)</f>
        <v>-26600</v>
      </c>
      <c r="Q138" s="654" t="str">
        <f t="shared" si="140"/>
        <v>3-Passifs</v>
      </c>
      <c r="R138" s="653" t="str">
        <f t="shared" si="141"/>
        <v>2283</v>
      </c>
      <c r="S138" s="654">
        <f t="shared" si="142"/>
        <v>0</v>
      </c>
      <c r="T138" s="656" t="str">
        <f>+VLOOKUP($L138,Data_Validation!$A:$D,1,0)</f>
        <v>2293</v>
      </c>
      <c r="U138" s="656" t="str">
        <f>+VLOOKUP($L138,Data_Validation!$A:$D,3,0)</f>
        <v>Bilan</v>
      </c>
      <c r="V138" s="656" t="str">
        <f>+VLOOKUP($L138,Data_Validation!$A:$D,4,0)</f>
        <v>Autres Courus</v>
      </c>
      <c r="W138" s="656" t="str">
        <f>+VLOOKUP($L138,Data_Validation!$A:$E,5,0)</f>
        <v>$</v>
      </c>
      <c r="X138" s="656">
        <f>+VLOOKUP($L138,Data_Validation!$A:$F,6,0)</f>
        <v>0</v>
      </c>
    </row>
    <row r="139" spans="1:24" ht="15.75" customHeight="1">
      <c r="A139" s="1210" t="s">
        <v>926</v>
      </c>
      <c r="B139" s="1210" t="s">
        <v>3376</v>
      </c>
      <c r="C139" s="1212">
        <v>1343.25</v>
      </c>
      <c r="D139" s="1212">
        <v>0</v>
      </c>
      <c r="E139" s="1212">
        <v>1343.25</v>
      </c>
      <c r="F139" s="1210" t="s">
        <v>902</v>
      </c>
      <c r="G139" s="1210" t="s">
        <v>918</v>
      </c>
      <c r="H139" s="650"/>
      <c r="I139" s="652"/>
      <c r="J139" s="652"/>
      <c r="K139" s="652"/>
      <c r="L139" s="653" t="str">
        <f t="shared" si="138"/>
        <v>2294</v>
      </c>
      <c r="M139" s="654" t="str">
        <f t="shared" si="139"/>
        <v>Volks RESERVE PROMO SAISONNIERE</v>
      </c>
      <c r="N139" s="655">
        <f>+IF(OR($Q139=Parametres!$G$2,$Q139=Parametres!$G$3),I139,C139)</f>
        <v>1343.25</v>
      </c>
      <c r="O139" s="655">
        <f>+IF(OR($Q139=Parametres!$G$2,$Q139=Parametres!$G$3),J139,D139)</f>
        <v>0</v>
      </c>
      <c r="P139" s="655">
        <f>+IF(OR($Q139=Parametres!$G$2,$Q139=Parametres!$G$3),K139,E139)</f>
        <v>1343.25</v>
      </c>
      <c r="Q139" s="654" t="str">
        <f t="shared" si="140"/>
        <v>3-Passifs</v>
      </c>
      <c r="R139" s="653" t="str">
        <f t="shared" si="141"/>
        <v>2283</v>
      </c>
      <c r="S139" s="654">
        <f t="shared" si="142"/>
        <v>0</v>
      </c>
      <c r="T139" s="656" t="str">
        <f>+VLOOKUP($L139,Data_Validation!$A:$D,1,0)</f>
        <v>2294</v>
      </c>
      <c r="U139" s="656" t="str">
        <f>+VLOOKUP($L139,Data_Validation!$A:$D,3,0)</f>
        <v>Bilan</v>
      </c>
      <c r="V139" s="656" t="str">
        <f>+VLOOKUP($L139,Data_Validation!$A:$D,4,0)</f>
        <v>Autres Courus</v>
      </c>
      <c r="W139" s="656" t="str">
        <f>+VLOOKUP($L139,Data_Validation!$A:$E,5,0)</f>
        <v>$</v>
      </c>
      <c r="X139" s="656">
        <f>+VLOOKUP($L139,Data_Validation!$A:$F,6,0)</f>
        <v>0</v>
      </c>
    </row>
    <row r="140" spans="1:24" ht="15" customHeight="1">
      <c r="A140" s="1210" t="s">
        <v>929</v>
      </c>
      <c r="B140" s="1210" t="s">
        <v>3377</v>
      </c>
      <c r="C140" s="1212">
        <v>-111029.25</v>
      </c>
      <c r="D140" s="1212">
        <v>111029.25</v>
      </c>
      <c r="E140" s="1212">
        <v>0</v>
      </c>
      <c r="F140" s="1210" t="s">
        <v>902</v>
      </c>
      <c r="G140" s="1210" t="s">
        <v>923</v>
      </c>
      <c r="H140" s="650"/>
      <c r="I140" s="652"/>
      <c r="J140" s="652"/>
      <c r="K140" s="652"/>
      <c r="L140" s="653" t="str">
        <f t="shared" si="138"/>
        <v>2296</v>
      </c>
      <c r="M140" s="654" t="str">
        <f t="shared" si="139"/>
        <v>COMPTE FOURNISSEURS INTERCO</v>
      </c>
      <c r="N140" s="655">
        <f>+IF(OR($Q140=Parametres!$G$2,$Q140=Parametres!$G$3),I140,C140)</f>
        <v>-111029.25</v>
      </c>
      <c r="O140" s="655">
        <f>+IF(OR($Q140=Parametres!$G$2,$Q140=Parametres!$G$3),J140,D140)</f>
        <v>111029.25</v>
      </c>
      <c r="P140" s="655">
        <f>+IF(OR($Q140=Parametres!$G$2,$Q140=Parametres!$G$3),K140,E140)</f>
        <v>0</v>
      </c>
      <c r="Q140" s="654" t="str">
        <f t="shared" si="140"/>
        <v>3-Passifs</v>
      </c>
      <c r="R140" s="653" t="str">
        <f t="shared" si="141"/>
        <v>2291</v>
      </c>
      <c r="S140" s="654">
        <f t="shared" si="142"/>
        <v>0</v>
      </c>
      <c r="T140" s="656" t="str">
        <f>+VLOOKUP($L140,Data_Validation!$A:$D,1,0)</f>
        <v>2296</v>
      </c>
      <c r="U140" s="656" t="str">
        <f>+VLOOKUP($L140,Data_Validation!$A:$D,3,0)</f>
        <v>Bilan</v>
      </c>
      <c r="V140" s="656" t="str">
        <f>+VLOOKUP($L140,Data_Validation!$A:$D,4,0)</f>
        <v>Payables Intercos</v>
      </c>
      <c r="W140" s="656" t="str">
        <f>+VLOOKUP($L140,Data_Validation!$A:$E,5,0)</f>
        <v>$</v>
      </c>
      <c r="X140" s="656">
        <f>+VLOOKUP($L140,Data_Validation!$A:$F,6,0)</f>
        <v>0</v>
      </c>
    </row>
    <row r="141" spans="1:24" ht="15" customHeight="1">
      <c r="A141" s="1210" t="s">
        <v>930</v>
      </c>
      <c r="B141" s="1210" t="s">
        <v>1687</v>
      </c>
      <c r="C141" s="1212">
        <v>-1700</v>
      </c>
      <c r="D141" s="1212">
        <v>-3450</v>
      </c>
      <c r="E141" s="1212">
        <v>-5150</v>
      </c>
      <c r="F141" s="1210" t="s">
        <v>902</v>
      </c>
      <c r="G141" s="1210" t="s">
        <v>918</v>
      </c>
      <c r="H141" s="650"/>
      <c r="I141" s="663"/>
      <c r="J141" s="663"/>
      <c r="K141" s="663"/>
      <c r="L141" s="653" t="str">
        <f t="shared" si="138"/>
        <v>2297</v>
      </c>
      <c r="M141" s="654" t="str">
        <f t="shared" si="139"/>
        <v>RESERVE RENOUVELLEMENT</v>
      </c>
      <c r="N141" s="655">
        <f>+IF(OR($Q141=Parametres!$G$2,$Q141=Parametres!$G$3),I141,C141)</f>
        <v>-1700</v>
      </c>
      <c r="O141" s="655">
        <f>+IF(OR($Q141=Parametres!$G$2,$Q141=Parametres!$G$3),J141,D141)</f>
        <v>-3450</v>
      </c>
      <c r="P141" s="655">
        <f>+IF(OR($Q141=Parametres!$G$2,$Q141=Parametres!$G$3),K141,E141)</f>
        <v>-5150</v>
      </c>
      <c r="Q141" s="654" t="str">
        <f t="shared" si="140"/>
        <v>3-Passifs</v>
      </c>
      <c r="R141" s="653" t="str">
        <f t="shared" si="141"/>
        <v>2283</v>
      </c>
      <c r="S141" s="654">
        <f t="shared" si="142"/>
        <v>0</v>
      </c>
      <c r="T141" s="656" t="str">
        <f>+VLOOKUP($L141,Data_Validation!$A:$D,1,0)</f>
        <v>2297</v>
      </c>
      <c r="U141" s="656" t="str">
        <f>+VLOOKUP($L141,Data_Validation!$A:$D,3,0)</f>
        <v>Bilan</v>
      </c>
      <c r="V141" s="656" t="str">
        <f>+VLOOKUP($L141,Data_Validation!$A:$D,4,0)</f>
        <v>Autres Courus</v>
      </c>
      <c r="W141" s="656" t="str">
        <f>+VLOOKUP($L141,Data_Validation!$A:$E,5,0)</f>
        <v>$</v>
      </c>
      <c r="X141" s="656">
        <f>+VLOOKUP($L141,Data_Validation!$A:$F,6,0)</f>
        <v>0</v>
      </c>
    </row>
    <row r="142" spans="1:24" ht="15" customHeight="1">
      <c r="A142" s="1210" t="s">
        <v>3336</v>
      </c>
      <c r="B142" s="1210" t="s">
        <v>3337</v>
      </c>
      <c r="C142" s="1212">
        <v>27.79</v>
      </c>
      <c r="D142" s="1212">
        <v>0</v>
      </c>
      <c r="E142" s="1212">
        <v>27.79</v>
      </c>
      <c r="F142" s="1210" t="s">
        <v>902</v>
      </c>
      <c r="G142" s="1210" t="s">
        <v>3337</v>
      </c>
      <c r="H142" s="650"/>
      <c r="I142" s="663"/>
      <c r="J142" s="663"/>
      <c r="K142" s="663"/>
      <c r="L142" s="653" t="str">
        <f t="shared" si="138"/>
        <v>2305</v>
      </c>
      <c r="M142" s="654" t="str">
        <f t="shared" si="139"/>
        <v>FUTA ASSURANCE EMPLOYE</v>
      </c>
      <c r="N142" s="655">
        <f>+IF(OR($Q142=Parametres!$G$2,$Q142=Parametres!$G$3),I142,C142)</f>
        <v>27.79</v>
      </c>
      <c r="O142" s="655">
        <f>+IF(OR($Q142=Parametres!$G$2,$Q142=Parametres!$G$3),J142,D142)</f>
        <v>0</v>
      </c>
      <c r="P142" s="655">
        <f>+IF(OR($Q142=Parametres!$G$2,$Q142=Parametres!$G$3),K142,E142)</f>
        <v>27.79</v>
      </c>
      <c r="Q142" s="654" t="str">
        <f t="shared" si="140"/>
        <v>3-Passifs</v>
      </c>
      <c r="R142" s="653" t="str">
        <f t="shared" si="141"/>
        <v>2305</v>
      </c>
      <c r="S142" s="654">
        <f t="shared" si="142"/>
        <v>0</v>
      </c>
      <c r="T142" s="656" t="str">
        <f>+VLOOKUP($L142,Data_Validation!$A:$D,1,0)</f>
        <v>2305</v>
      </c>
      <c r="U142" s="656" t="str">
        <f>+VLOOKUP($L142,Data_Validation!$A:$D,3,0)</f>
        <v>Bilan</v>
      </c>
      <c r="V142" s="656" t="str">
        <f>+VLOOKUP($L142,Data_Validation!$A:$D,4,0)</f>
        <v>DAS à Payer</v>
      </c>
      <c r="W142" s="656" t="str">
        <f>+VLOOKUP($L142,Data_Validation!$A:$E,5,0)</f>
        <v>$</v>
      </c>
      <c r="X142" s="656">
        <f>+VLOOKUP($L142,Data_Validation!$A:$F,6,0)</f>
        <v>0</v>
      </c>
    </row>
    <row r="143" spans="1:24" ht="15.75" customHeight="1">
      <c r="A143" s="1210" t="s">
        <v>931</v>
      </c>
      <c r="B143" s="1210" t="s">
        <v>932</v>
      </c>
      <c r="C143" s="1212">
        <v>30339.45</v>
      </c>
      <c r="D143" s="1212">
        <v>716.14</v>
      </c>
      <c r="E143" s="1212">
        <v>31055.59</v>
      </c>
      <c r="F143" s="1210" t="s">
        <v>902</v>
      </c>
      <c r="G143" s="1210" t="s">
        <v>932</v>
      </c>
      <c r="H143" s="650"/>
      <c r="I143" s="652"/>
      <c r="J143" s="652"/>
      <c r="K143" s="652"/>
      <c r="L143" s="653" t="str">
        <f t="shared" si="138"/>
        <v>2315</v>
      </c>
      <c r="M143" s="654" t="str">
        <f t="shared" si="139"/>
        <v>PRIME ASSURANCE GROUPE</v>
      </c>
      <c r="N143" s="655">
        <f>+IF(OR($Q143=Parametres!$G$2,$Q143=Parametres!$G$3),I143,C143)</f>
        <v>30339.45</v>
      </c>
      <c r="O143" s="655">
        <f>+IF(OR($Q143=Parametres!$G$2,$Q143=Parametres!$G$3),J143,D143)</f>
        <v>716.14</v>
      </c>
      <c r="P143" s="655">
        <f>+IF(OR($Q143=Parametres!$G$2,$Q143=Parametres!$G$3),K143,E143)</f>
        <v>31055.59</v>
      </c>
      <c r="Q143" s="654" t="str">
        <f t="shared" si="140"/>
        <v>3-Passifs</v>
      </c>
      <c r="R143" s="653" t="str">
        <f t="shared" si="141"/>
        <v>2315</v>
      </c>
      <c r="S143" s="654">
        <f t="shared" si="142"/>
        <v>0</v>
      </c>
      <c r="T143" s="656" t="str">
        <f>+VLOOKUP($L143,Data_Validation!$A:$D,1,0)</f>
        <v>2315</v>
      </c>
      <c r="U143" s="656" t="str">
        <f>+VLOOKUP($L143,Data_Validation!$A:$D,3,0)</f>
        <v>Bilan</v>
      </c>
      <c r="V143" s="656" t="str">
        <f>+VLOOKUP($L143,Data_Validation!$A:$D,4,0)</f>
        <v>DAS à Payer</v>
      </c>
      <c r="W143" s="656" t="str">
        <f>+VLOOKUP($L143,Data_Validation!$A:$E,5,0)</f>
        <v>$</v>
      </c>
      <c r="X143" s="656">
        <f>+VLOOKUP($L143,Data_Validation!$A:$F,6,0)</f>
        <v>0</v>
      </c>
    </row>
    <row r="144" spans="1:24" ht="15" customHeight="1">
      <c r="A144" s="1210" t="s">
        <v>933</v>
      </c>
      <c r="B144" s="1210" t="s">
        <v>1695</v>
      </c>
      <c r="C144" s="1212">
        <v>52.35</v>
      </c>
      <c r="D144" s="1212">
        <v>0</v>
      </c>
      <c r="E144" s="1212">
        <v>52.35</v>
      </c>
      <c r="F144" s="1210" t="s">
        <v>902</v>
      </c>
      <c r="G144" s="1210" t="s">
        <v>932</v>
      </c>
      <c r="H144" s="650"/>
      <c r="I144" s="652"/>
      <c r="J144" s="652"/>
      <c r="K144" s="652"/>
      <c r="L144" s="653" t="str">
        <f t="shared" si="138"/>
        <v>2335</v>
      </c>
      <c r="M144" s="654" t="str">
        <f t="shared" si="139"/>
        <v>COMITE SOCIAL</v>
      </c>
      <c r="N144" s="655">
        <f>+IF(OR($Q144=Parametres!$G$2,$Q144=Parametres!$G$3),I144,C144)</f>
        <v>52.35</v>
      </c>
      <c r="O144" s="655">
        <f>+IF(OR($Q144=Parametres!$G$2,$Q144=Parametres!$G$3),J144,D144)</f>
        <v>0</v>
      </c>
      <c r="P144" s="655">
        <f>+IF(OR($Q144=Parametres!$G$2,$Q144=Parametres!$G$3),K144,E144)</f>
        <v>52.35</v>
      </c>
      <c r="Q144" s="654" t="str">
        <f t="shared" si="140"/>
        <v>3-Passifs</v>
      </c>
      <c r="R144" s="653" t="str">
        <f t="shared" si="141"/>
        <v>2315</v>
      </c>
      <c r="S144" s="654">
        <f t="shared" si="142"/>
        <v>0</v>
      </c>
      <c r="T144" s="656" t="str">
        <f>+VLOOKUP($L144,Data_Validation!$A:$D,1,0)</f>
        <v>2335</v>
      </c>
      <c r="U144" s="656" t="str">
        <f>+VLOOKUP($L144,Data_Validation!$A:$D,3,0)</f>
        <v>Bilan</v>
      </c>
      <c r="V144" s="656" t="str">
        <f>+VLOOKUP($L144,Data_Validation!$A:$D,4,0)</f>
        <v>DAS à Payer</v>
      </c>
      <c r="W144" s="656" t="str">
        <f>+VLOOKUP($L144,Data_Validation!$A:$E,5,0)</f>
        <v>$</v>
      </c>
      <c r="X144" s="656">
        <f>+VLOOKUP($L144,Data_Validation!$A:$F,6,0)</f>
        <v>0</v>
      </c>
    </row>
    <row r="145" spans="1:24" ht="15" customHeight="1">
      <c r="A145" s="1210" t="s">
        <v>934</v>
      </c>
      <c r="B145" s="1210" t="s">
        <v>1701</v>
      </c>
      <c r="C145" s="1212">
        <v>-29076.92</v>
      </c>
      <c r="D145" s="1212">
        <v>5130.78</v>
      </c>
      <c r="E145" s="1212">
        <v>-23946.14</v>
      </c>
      <c r="F145" s="1210" t="s">
        <v>902</v>
      </c>
      <c r="G145" s="1210" t="s">
        <v>932</v>
      </c>
      <c r="H145" s="650"/>
      <c r="I145" s="652"/>
      <c r="J145" s="652"/>
      <c r="K145" s="652"/>
      <c r="L145" s="653" t="str">
        <f t="shared" si="138"/>
        <v>2342</v>
      </c>
      <c r="M145" s="654" t="str">
        <f t="shared" si="139"/>
        <v>REER STANDARD LIFE</v>
      </c>
      <c r="N145" s="655">
        <f>+IF(OR($Q145=Parametres!$G$2,$Q145=Parametres!$G$3),I145,C145)</f>
        <v>-29076.92</v>
      </c>
      <c r="O145" s="655">
        <f>+IF(OR($Q145=Parametres!$G$2,$Q145=Parametres!$G$3),J145,D145)</f>
        <v>5130.78</v>
      </c>
      <c r="P145" s="655">
        <f>+IF(OR($Q145=Parametres!$G$2,$Q145=Parametres!$G$3),K145,E145)</f>
        <v>-23946.14</v>
      </c>
      <c r="Q145" s="654" t="str">
        <f t="shared" si="140"/>
        <v>3-Passifs</v>
      </c>
      <c r="R145" s="653" t="str">
        <f t="shared" si="141"/>
        <v>2315</v>
      </c>
      <c r="S145" s="654">
        <f t="shared" si="142"/>
        <v>0</v>
      </c>
      <c r="T145" s="656" t="str">
        <f>+VLOOKUP($L145,Data_Validation!$A:$D,1,0)</f>
        <v>2342</v>
      </c>
      <c r="U145" s="656" t="str">
        <f>+VLOOKUP($L145,Data_Validation!$A:$D,3,0)</f>
        <v>Bilan</v>
      </c>
      <c r="V145" s="656" t="str">
        <f>+VLOOKUP($L145,Data_Validation!$A:$D,4,0)</f>
        <v>DAS à Payer</v>
      </c>
      <c r="W145" s="656" t="str">
        <f>+VLOOKUP($L145,Data_Validation!$A:$E,5,0)</f>
        <v>$</v>
      </c>
      <c r="X145" s="656">
        <f>+VLOOKUP($L145,Data_Validation!$A:$F,6,0)</f>
        <v>0</v>
      </c>
    </row>
    <row r="146" spans="1:24" ht="15" customHeight="1">
      <c r="A146" s="1210" t="s">
        <v>935</v>
      </c>
      <c r="B146" s="1210" t="s">
        <v>1704</v>
      </c>
      <c r="C146" s="1212">
        <v>-743.38</v>
      </c>
      <c r="D146" s="1212">
        <v>165.34</v>
      </c>
      <c r="E146" s="1212">
        <v>-578.04</v>
      </c>
      <c r="F146" s="1210" t="s">
        <v>902</v>
      </c>
      <c r="G146" s="1210" t="s">
        <v>932</v>
      </c>
      <c r="H146" s="650"/>
      <c r="I146" s="652"/>
      <c r="J146" s="652"/>
      <c r="K146" s="652"/>
      <c r="L146" s="653" t="str">
        <f t="shared" si="138"/>
        <v>2343</v>
      </c>
      <c r="M146" s="654" t="str">
        <f t="shared" si="139"/>
        <v>COMITE PARITAIRE</v>
      </c>
      <c r="N146" s="655">
        <f>+IF(OR($Q146=Parametres!$G$2,$Q146=Parametres!$G$3),I146,C146)</f>
        <v>-743.38</v>
      </c>
      <c r="O146" s="655">
        <f>+IF(OR($Q146=Parametres!$G$2,$Q146=Parametres!$G$3),J146,D146)</f>
        <v>165.34</v>
      </c>
      <c r="P146" s="655">
        <f>+IF(OR($Q146=Parametres!$G$2,$Q146=Parametres!$G$3),K146,E146)</f>
        <v>-578.04</v>
      </c>
      <c r="Q146" s="654" t="str">
        <f t="shared" si="140"/>
        <v>3-Passifs</v>
      </c>
      <c r="R146" s="653" t="str">
        <f t="shared" si="141"/>
        <v>2315</v>
      </c>
      <c r="S146" s="654">
        <f t="shared" si="142"/>
        <v>0</v>
      </c>
      <c r="T146" s="656" t="str">
        <f>+VLOOKUP($L146,Data_Validation!$A:$D,1,0)</f>
        <v>2343</v>
      </c>
      <c r="U146" s="656" t="str">
        <f>+VLOOKUP($L146,Data_Validation!$A:$D,3,0)</f>
        <v>Bilan</v>
      </c>
      <c r="V146" s="656" t="str">
        <f>+VLOOKUP($L146,Data_Validation!$A:$D,4,0)</f>
        <v>DAS à Payer</v>
      </c>
      <c r="W146" s="656" t="str">
        <f>+VLOOKUP($L146,Data_Validation!$A:$E,5,0)</f>
        <v>$</v>
      </c>
      <c r="X146" s="656">
        <f>+VLOOKUP($L146,Data_Validation!$A:$F,6,0)</f>
        <v>0</v>
      </c>
    </row>
    <row r="147" spans="1:24" ht="15" customHeight="1">
      <c r="A147" s="1210" t="s">
        <v>936</v>
      </c>
      <c r="B147" s="1210" t="s">
        <v>1707</v>
      </c>
      <c r="C147" s="1212">
        <v>-546.65</v>
      </c>
      <c r="D147" s="1212">
        <v>-394.12</v>
      </c>
      <c r="E147" s="1212">
        <v>-940.77</v>
      </c>
      <c r="F147" s="1210" t="s">
        <v>902</v>
      </c>
      <c r="G147" s="1210" t="s">
        <v>932</v>
      </c>
      <c r="H147" s="650"/>
      <c r="I147" s="652"/>
      <c r="J147" s="652"/>
      <c r="K147" s="652"/>
      <c r="L147" s="653" t="str">
        <f t="shared" si="138"/>
        <v>2344</v>
      </c>
      <c r="M147" s="654" t="str">
        <f t="shared" si="139"/>
        <v>CENTRAIDE</v>
      </c>
      <c r="N147" s="655">
        <f>+IF(OR($Q147=Parametres!$G$2,$Q147=Parametres!$G$3),I147,C147)</f>
        <v>-546.65</v>
      </c>
      <c r="O147" s="655">
        <f>+IF(OR($Q147=Parametres!$G$2,$Q147=Parametres!$G$3),J147,D147)</f>
        <v>-394.12</v>
      </c>
      <c r="P147" s="655">
        <f>+IF(OR($Q147=Parametres!$G$2,$Q147=Parametres!$G$3),K147,E147)</f>
        <v>-940.77</v>
      </c>
      <c r="Q147" s="654" t="str">
        <f t="shared" si="140"/>
        <v>3-Passifs</v>
      </c>
      <c r="R147" s="653" t="str">
        <f t="shared" si="141"/>
        <v>2315</v>
      </c>
      <c r="S147" s="654">
        <f t="shared" si="142"/>
        <v>0</v>
      </c>
      <c r="T147" s="656" t="str">
        <f>+VLOOKUP($L147,Data_Validation!$A:$D,1,0)</f>
        <v>2344</v>
      </c>
      <c r="U147" s="656" t="str">
        <f>+VLOOKUP($L147,Data_Validation!$A:$D,3,0)</f>
        <v>Bilan</v>
      </c>
      <c r="V147" s="656" t="str">
        <f>+VLOOKUP($L147,Data_Validation!$A:$D,4,0)</f>
        <v>DAS à Payer</v>
      </c>
      <c r="W147" s="656" t="str">
        <f>+VLOOKUP($L147,Data_Validation!$A:$E,5,0)</f>
        <v>$</v>
      </c>
      <c r="X147" s="656">
        <f>+VLOOKUP($L147,Data_Validation!$A:$F,6,0)</f>
        <v>0</v>
      </c>
    </row>
    <row r="148" spans="1:24" ht="15" customHeight="1">
      <c r="A148" s="1210" t="s">
        <v>937</v>
      </c>
      <c r="B148" s="1210" t="s">
        <v>938</v>
      </c>
      <c r="C148" s="1212">
        <v>-21800</v>
      </c>
      <c r="D148" s="1212">
        <v>-2500</v>
      </c>
      <c r="E148" s="1212">
        <v>-24300</v>
      </c>
      <c r="F148" s="1210" t="s">
        <v>902</v>
      </c>
      <c r="G148" s="1210" t="s">
        <v>938</v>
      </c>
      <c r="H148" s="650"/>
      <c r="I148" s="663"/>
      <c r="J148" s="663"/>
      <c r="K148" s="663"/>
      <c r="L148" s="653" t="str">
        <f t="shared" si="138"/>
        <v>2401</v>
      </c>
      <c r="M148" s="654" t="str">
        <f t="shared" si="139"/>
        <v>DEPOTS FIDUCIE-VENTE CLIENTS</v>
      </c>
      <c r="N148" s="655">
        <f>+IF(OR($Q148=Parametres!$G$2,$Q148=Parametres!$G$3),I148,C148)</f>
        <v>-21800</v>
      </c>
      <c r="O148" s="655">
        <f>+IF(OR($Q148=Parametres!$G$2,$Q148=Parametres!$G$3),J148,D148)</f>
        <v>-2500</v>
      </c>
      <c r="P148" s="655">
        <f>+IF(OR($Q148=Parametres!$G$2,$Q148=Parametres!$G$3),K148,E148)</f>
        <v>-24300</v>
      </c>
      <c r="Q148" s="654" t="str">
        <f t="shared" si="140"/>
        <v>3-Passifs</v>
      </c>
      <c r="R148" s="653" t="str">
        <f t="shared" si="141"/>
        <v>2401</v>
      </c>
      <c r="S148" s="654">
        <f t="shared" si="142"/>
        <v>0</v>
      </c>
      <c r="T148" s="656" t="str">
        <f>+VLOOKUP($L148,Data_Validation!$A:$D,1,0)</f>
        <v>2401</v>
      </c>
      <c r="U148" s="656" t="str">
        <f>+VLOOKUP($L148,Data_Validation!$A:$D,3,0)</f>
        <v>Bilan</v>
      </c>
      <c r="V148" s="656" t="str">
        <f>+VLOOKUP($L148,Data_Validation!$A:$D,4,0)</f>
        <v>Dépôts de Client</v>
      </c>
      <c r="W148" s="656" t="str">
        <f>+VLOOKUP($L148,Data_Validation!$A:$E,5,0)</f>
        <v>$</v>
      </c>
      <c r="X148" s="656">
        <f>+VLOOKUP($L148,Data_Validation!$A:$F,6,0)</f>
        <v>0</v>
      </c>
    </row>
    <row r="149" spans="1:24" ht="15" customHeight="1">
      <c r="A149" s="1210" t="s">
        <v>939</v>
      </c>
      <c r="B149" s="1210" t="s">
        <v>940</v>
      </c>
      <c r="C149" s="1212">
        <v>-17693.310000000001</v>
      </c>
      <c r="D149" s="1212">
        <v>8642.8700000000008</v>
      </c>
      <c r="E149" s="1212">
        <v>-9050.44</v>
      </c>
      <c r="F149" s="1210" t="s">
        <v>902</v>
      </c>
      <c r="G149" s="1210" t="s">
        <v>940</v>
      </c>
      <c r="H149" s="650"/>
      <c r="I149" s="663"/>
      <c r="J149" s="663"/>
      <c r="K149" s="663"/>
      <c r="L149" s="653" t="str">
        <f t="shared" si="138"/>
        <v>2501</v>
      </c>
      <c r="M149" s="654" t="str">
        <f t="shared" si="139"/>
        <v>COMMISSION A PAYER</v>
      </c>
      <c r="N149" s="655">
        <f>+IF(OR($Q149=Parametres!$G$2,$Q149=Parametres!$G$3),I149,C149)</f>
        <v>-17693.310000000001</v>
      </c>
      <c r="O149" s="655">
        <f>+IF(OR($Q149=Parametres!$G$2,$Q149=Parametres!$G$3),J149,D149)</f>
        <v>8642.8700000000008</v>
      </c>
      <c r="P149" s="655">
        <f>+IF(OR($Q149=Parametres!$G$2,$Q149=Parametres!$G$3),K149,E149)</f>
        <v>-9050.44</v>
      </c>
      <c r="Q149" s="654" t="str">
        <f t="shared" si="140"/>
        <v>3-Passifs</v>
      </c>
      <c r="R149" s="653" t="str">
        <f t="shared" si="141"/>
        <v>2501</v>
      </c>
      <c r="S149" s="654">
        <f t="shared" si="142"/>
        <v>0</v>
      </c>
      <c r="T149" s="656" t="str">
        <f>+VLOOKUP($L149,Data_Validation!$A:$D,1,0)</f>
        <v>2501</v>
      </c>
      <c r="U149" s="656" t="str">
        <f>+VLOOKUP($L149,Data_Validation!$A:$D,3,0)</f>
        <v>Bilan</v>
      </c>
      <c r="V149" s="656" t="str">
        <f>+VLOOKUP($L149,Data_Validation!$A:$D,4,0)</f>
        <v>Salaires à Payer</v>
      </c>
      <c r="W149" s="656" t="str">
        <f>+VLOOKUP($L149,Data_Validation!$A:$E,5,0)</f>
        <v>$</v>
      </c>
      <c r="X149" s="656">
        <f>+VLOOKUP($L149,Data_Validation!$A:$F,6,0)</f>
        <v>0</v>
      </c>
    </row>
    <row r="150" spans="1:24" ht="15" customHeight="1">
      <c r="A150" s="1210" t="s">
        <v>941</v>
      </c>
      <c r="B150" s="1210" t="s">
        <v>3378</v>
      </c>
      <c r="C150" s="1212">
        <v>3205.11</v>
      </c>
      <c r="D150" s="1212">
        <v>-689.1</v>
      </c>
      <c r="E150" s="1212">
        <v>2516.0100000000002</v>
      </c>
      <c r="F150" s="1210" t="s">
        <v>902</v>
      </c>
      <c r="G150" s="1210" t="s">
        <v>942</v>
      </c>
      <c r="H150" s="650"/>
      <c r="I150" s="652"/>
      <c r="J150" s="652"/>
      <c r="K150" s="652"/>
      <c r="L150" s="653" t="str">
        <f t="shared" si="138"/>
        <v>2502</v>
      </c>
      <c r="M150" s="654" t="str">
        <f t="shared" si="139"/>
        <v>Compte de depense a payer</v>
      </c>
      <c r="N150" s="655">
        <f>+IF(OR($Q150=Parametres!$G$2,$Q150=Parametres!$G$3),I150,C150)</f>
        <v>3205.11</v>
      </c>
      <c r="O150" s="655">
        <f>+IF(OR($Q150=Parametres!$G$2,$Q150=Parametres!$G$3),J150,D150)</f>
        <v>-689.1</v>
      </c>
      <c r="P150" s="655">
        <f>+IF(OR($Q150=Parametres!$G$2,$Q150=Parametres!$G$3),K150,E150)</f>
        <v>2516.0100000000002</v>
      </c>
      <c r="Q150" s="654" t="str">
        <f t="shared" si="140"/>
        <v>3-Passifs</v>
      </c>
      <c r="R150" s="653" t="str">
        <f t="shared" si="141"/>
        <v>250</v>
      </c>
      <c r="S150" s="654">
        <f t="shared" si="142"/>
        <v>0</v>
      </c>
      <c r="T150" s="656" t="str">
        <f>+VLOOKUP($L150,Data_Validation!$A:$D,1,0)</f>
        <v>2502</v>
      </c>
      <c r="U150" s="656" t="str">
        <f>+VLOOKUP($L150,Data_Validation!$A:$D,3,0)</f>
        <v>Bilan</v>
      </c>
      <c r="V150" s="656" t="str">
        <f>+VLOOKUP($L150,Data_Validation!$A:$D,4,0)</f>
        <v>Salaires à Payer</v>
      </c>
      <c r="W150" s="656" t="str">
        <f>+VLOOKUP($L150,Data_Validation!$A:$E,5,0)</f>
        <v>$</v>
      </c>
      <c r="X150" s="656">
        <f>+VLOOKUP($L150,Data_Validation!$A:$F,6,0)</f>
        <v>0</v>
      </c>
    </row>
    <row r="151" spans="1:24" ht="15.75" customHeight="1">
      <c r="A151" s="1210" t="s">
        <v>943</v>
      </c>
      <c r="B151" s="1210" t="s">
        <v>944</v>
      </c>
      <c r="C151" s="1212">
        <v>-94588.37</v>
      </c>
      <c r="D151" s="1212">
        <v>40389.300000000003</v>
      </c>
      <c r="E151" s="1212">
        <v>-54199.07</v>
      </c>
      <c r="F151" s="1210" t="s">
        <v>902</v>
      </c>
      <c r="G151" s="1210" t="s">
        <v>944</v>
      </c>
      <c r="H151" s="651"/>
      <c r="I151" s="652"/>
      <c r="J151" s="652"/>
      <c r="K151" s="652"/>
      <c r="L151" s="653" t="str">
        <f t="shared" si="138"/>
        <v>2503</v>
      </c>
      <c r="M151" s="654" t="str">
        <f t="shared" si="139"/>
        <v>SALAIRES DES EMPLOYES</v>
      </c>
      <c r="N151" s="655">
        <f>+IF(OR($Q151=Parametres!$G$2,$Q151=Parametres!$G$3),I151,C151)</f>
        <v>-94588.37</v>
      </c>
      <c r="O151" s="655">
        <f>+IF(OR($Q151=Parametres!$G$2,$Q151=Parametres!$G$3),J151,D151)</f>
        <v>40389.300000000003</v>
      </c>
      <c r="P151" s="655">
        <f>+IF(OR($Q151=Parametres!$G$2,$Q151=Parametres!$G$3),K151,E151)</f>
        <v>-54199.07</v>
      </c>
      <c r="Q151" s="654" t="str">
        <f t="shared" si="140"/>
        <v>3-Passifs</v>
      </c>
      <c r="R151" s="653" t="str">
        <f t="shared" si="141"/>
        <v>2503</v>
      </c>
      <c r="S151" s="654">
        <f t="shared" si="142"/>
        <v>0</v>
      </c>
      <c r="T151" s="656" t="str">
        <f>+VLOOKUP($L151,Data_Validation!$A:$D,1,0)</f>
        <v>2503</v>
      </c>
      <c r="U151" s="656" t="str">
        <f>+VLOOKUP($L151,Data_Validation!$A:$D,3,0)</f>
        <v>Bilan</v>
      </c>
      <c r="V151" s="656" t="str">
        <f>+VLOOKUP($L151,Data_Validation!$A:$D,4,0)</f>
        <v>Salaires à Payer</v>
      </c>
      <c r="W151" s="656" t="str">
        <f>+VLOOKUP($L151,Data_Validation!$A:$E,5,0)</f>
        <v>$</v>
      </c>
      <c r="X151" s="656">
        <f>+VLOOKUP($L151,Data_Validation!$A:$F,6,0)</f>
        <v>0</v>
      </c>
    </row>
    <row r="152" spans="1:24" ht="15" customHeight="1">
      <c r="A152" s="1210" t="s">
        <v>946</v>
      </c>
      <c r="B152" s="1210" t="s">
        <v>1740</v>
      </c>
      <c r="C152" s="1212">
        <v>-236294.54</v>
      </c>
      <c r="D152" s="1212">
        <v>-7685.1</v>
      </c>
      <c r="E152" s="1212">
        <v>-243979.64</v>
      </c>
      <c r="F152" s="1210" t="s">
        <v>902</v>
      </c>
      <c r="G152" s="1210" t="s">
        <v>944</v>
      </c>
      <c r="H152" s="651"/>
      <c r="I152" s="651"/>
      <c r="J152" s="651"/>
      <c r="K152" s="651"/>
      <c r="L152" s="653" t="str">
        <f t="shared" si="132"/>
        <v>2509</v>
      </c>
      <c r="M152" s="654" t="str">
        <f t="shared" si="0"/>
        <v>SALAIRES DE VACANCES</v>
      </c>
      <c r="N152" s="655">
        <f>+IF(OR($Q152=Parametres!$G$2,$Q152=Parametres!$G$3),I152,C152)</f>
        <v>-236294.54</v>
      </c>
      <c r="O152" s="655">
        <f>+IF(OR($Q152=Parametres!$G$2,$Q152=Parametres!$G$3),J152,D152)</f>
        <v>-7685.1</v>
      </c>
      <c r="P152" s="655">
        <f>+IF(OR($Q152=Parametres!$G$2,$Q152=Parametres!$G$3),K152,E152)</f>
        <v>-243979.64</v>
      </c>
      <c r="Q152" s="654" t="str">
        <f t="shared" ref="Q152:S152" si="143">+F152</f>
        <v>3-Passifs</v>
      </c>
      <c r="R152" s="653" t="str">
        <f t="shared" si="143"/>
        <v>2503</v>
      </c>
      <c r="S152" s="654">
        <f t="shared" si="143"/>
        <v>0</v>
      </c>
      <c r="T152" s="656" t="str">
        <f>+VLOOKUP($L152,Data_Validation!$A:$D,1,0)</f>
        <v>2509</v>
      </c>
      <c r="U152" s="656" t="str">
        <f>+VLOOKUP($L152,Data_Validation!$A:$D,3,0)</f>
        <v>Bilan</v>
      </c>
      <c r="V152" s="656" t="str">
        <f>+VLOOKUP($L152,Data_Validation!$A:$D,4,0)</f>
        <v>Salaires à Payer</v>
      </c>
      <c r="W152" s="656" t="str">
        <f>+VLOOKUP($L152,Data_Validation!$A:$E,5,0)</f>
        <v>$</v>
      </c>
      <c r="X152" s="656">
        <f>+VLOOKUP($L152,Data_Validation!$A:$F,6,0)</f>
        <v>0</v>
      </c>
    </row>
    <row r="153" spans="1:24" ht="15" customHeight="1">
      <c r="A153" s="1210" t="s">
        <v>947</v>
      </c>
      <c r="B153" s="1210" t="s">
        <v>1743</v>
      </c>
      <c r="C153" s="1212">
        <v>-14702.63</v>
      </c>
      <c r="D153" s="1212">
        <v>0</v>
      </c>
      <c r="E153" s="1212">
        <v>-14702.63</v>
      </c>
      <c r="F153" s="1210" t="s">
        <v>902</v>
      </c>
      <c r="G153" s="1210" t="s">
        <v>944</v>
      </c>
      <c r="H153" s="651"/>
      <c r="I153" s="652"/>
      <c r="J153" s="652"/>
      <c r="K153" s="652"/>
      <c r="L153" s="653" t="str">
        <f t="shared" si="132"/>
        <v>2511</v>
      </c>
      <c r="M153" s="654" t="str">
        <f t="shared" si="0"/>
        <v>JOURNEE MALADIE</v>
      </c>
      <c r="N153" s="655">
        <f>+IF(OR($Q153=Parametres!$G$2,$Q153=Parametres!$G$3),I153,C153)</f>
        <v>-14702.63</v>
      </c>
      <c r="O153" s="655">
        <f>+IF(OR($Q153=Parametres!$G$2,$Q153=Parametres!$G$3),J153,D153)</f>
        <v>0</v>
      </c>
      <c r="P153" s="655">
        <f>+IF(OR($Q153=Parametres!$G$2,$Q153=Parametres!$G$3),K153,E153)</f>
        <v>-14702.63</v>
      </c>
      <c r="Q153" s="654" t="str">
        <f t="shared" ref="Q153:S153" si="144">+F153</f>
        <v>3-Passifs</v>
      </c>
      <c r="R153" s="653" t="str">
        <f t="shared" si="144"/>
        <v>2503</v>
      </c>
      <c r="S153" s="654">
        <f t="shared" si="144"/>
        <v>0</v>
      </c>
      <c r="T153" s="656" t="str">
        <f>+VLOOKUP($L153,Data_Validation!$A:$D,1,0)</f>
        <v>2511</v>
      </c>
      <c r="U153" s="656" t="str">
        <f>+VLOOKUP($L153,Data_Validation!$A:$D,3,0)</f>
        <v>Bilan</v>
      </c>
      <c r="V153" s="656" t="str">
        <f>+VLOOKUP($L153,Data_Validation!$A:$D,4,0)</f>
        <v>Salaires à Payer</v>
      </c>
      <c r="W153" s="656" t="str">
        <f>+VLOOKUP($L153,Data_Validation!$A:$E,5,0)</f>
        <v>$</v>
      </c>
      <c r="X153" s="656">
        <f>+VLOOKUP($L153,Data_Validation!$A:$F,6,0)</f>
        <v>0</v>
      </c>
    </row>
    <row r="154" spans="1:24" ht="15" customHeight="1">
      <c r="A154" s="1210" t="s">
        <v>948</v>
      </c>
      <c r="B154" s="1210" t="s">
        <v>949</v>
      </c>
      <c r="C154" s="1212">
        <v>-133787</v>
      </c>
      <c r="D154" s="1212">
        <v>-40883</v>
      </c>
      <c r="E154" s="1212">
        <v>-174670</v>
      </c>
      <c r="F154" s="1210" t="s">
        <v>902</v>
      </c>
      <c r="G154" s="1210" t="s">
        <v>949</v>
      </c>
      <c r="H154" s="651"/>
      <c r="I154" s="651"/>
      <c r="J154" s="651"/>
      <c r="K154" s="651"/>
      <c r="L154" s="653" t="str">
        <f t="shared" si="132"/>
        <v>2561</v>
      </c>
      <c r="M154" s="654" t="str">
        <f t="shared" si="0"/>
        <v>REVENUE HOLDBACK DIFFERE</v>
      </c>
      <c r="N154" s="655">
        <f>+IF(OR($Q154=Parametres!$G$2,$Q154=Parametres!$G$3),I154,C154)</f>
        <v>-133787</v>
      </c>
      <c r="O154" s="655">
        <f>+IF(OR($Q154=Parametres!$G$2,$Q154=Parametres!$G$3),J154,D154)</f>
        <v>-40883</v>
      </c>
      <c r="P154" s="655">
        <f>+IF(OR($Q154=Parametres!$G$2,$Q154=Parametres!$G$3),K154,E154)</f>
        <v>-174670</v>
      </c>
      <c r="Q154" s="654" t="str">
        <f t="shared" ref="Q154:S154" si="145">+F154</f>
        <v>3-Passifs</v>
      </c>
      <c r="R154" s="653" t="str">
        <f t="shared" si="145"/>
        <v>2561</v>
      </c>
      <c r="S154" s="654">
        <f t="shared" si="145"/>
        <v>0</v>
      </c>
      <c r="T154" s="656" t="str">
        <f>+VLOOKUP($L154,Data_Validation!$A:$D,1,0)</f>
        <v>2561</v>
      </c>
      <c r="U154" s="656" t="str">
        <f>+VLOOKUP($L154,Data_Validation!$A:$D,3,0)</f>
        <v>Bilan</v>
      </c>
      <c r="V154" s="656" t="str">
        <f>+VLOOKUP($L154,Data_Validation!$A:$D,4,0)</f>
        <v>Autres Courus</v>
      </c>
      <c r="W154" s="656" t="str">
        <f>+VLOOKUP($L154,Data_Validation!$A:$E,5,0)</f>
        <v>$</v>
      </c>
      <c r="X154" s="656">
        <f>+VLOOKUP($L154,Data_Validation!$A:$F,6,0)</f>
        <v>0</v>
      </c>
    </row>
    <row r="155" spans="1:24" ht="15.75" customHeight="1">
      <c r="A155" s="1210" t="s">
        <v>950</v>
      </c>
      <c r="B155" s="1210" t="s">
        <v>3379</v>
      </c>
      <c r="C155" s="1212">
        <v>-242566.15</v>
      </c>
      <c r="D155" s="1212">
        <v>0</v>
      </c>
      <c r="E155" s="1212">
        <v>-242566.15</v>
      </c>
      <c r="F155" s="1210" t="s">
        <v>902</v>
      </c>
      <c r="G155" s="1210" t="s">
        <v>951</v>
      </c>
      <c r="H155" s="651"/>
      <c r="I155" s="652"/>
      <c r="J155" s="652"/>
      <c r="K155" s="652"/>
      <c r="L155" s="653" t="str">
        <f t="shared" si="132"/>
        <v>2562</v>
      </c>
      <c r="M155" s="654" t="str">
        <f t="shared" si="0"/>
        <v>PROVISIONS QG</v>
      </c>
      <c r="N155" s="655">
        <f>+IF(OR($Q155=Parametres!$G$2,$Q155=Parametres!$G$3),I155,C155)</f>
        <v>-242566.15</v>
      </c>
      <c r="O155" s="655">
        <f>+IF(OR($Q155=Parametres!$G$2,$Q155=Parametres!$G$3),J155,D155)</f>
        <v>0</v>
      </c>
      <c r="P155" s="655">
        <f>+IF(OR($Q155=Parametres!$G$2,$Q155=Parametres!$G$3),K155,E155)</f>
        <v>-242566.15</v>
      </c>
      <c r="Q155" s="654" t="str">
        <f t="shared" ref="Q155:S155" si="146">+F155</f>
        <v>3-Passifs</v>
      </c>
      <c r="R155" s="653" t="str">
        <f t="shared" si="146"/>
        <v>256</v>
      </c>
      <c r="S155" s="654">
        <f t="shared" si="146"/>
        <v>0</v>
      </c>
      <c r="T155" s="656" t="str">
        <f>+VLOOKUP($L155,Data_Validation!$A:$D,1,0)</f>
        <v>2562</v>
      </c>
      <c r="U155" s="656" t="str">
        <f>+VLOOKUP($L155,Data_Validation!$A:$D,3,0)</f>
        <v>Bilan</v>
      </c>
      <c r="V155" s="656" t="str">
        <f>+VLOOKUP($L155,Data_Validation!$A:$D,4,0)</f>
        <v>Autres Courus</v>
      </c>
      <c r="W155" s="656" t="str">
        <f>+VLOOKUP($L155,Data_Validation!$A:$E,5,0)</f>
        <v>$</v>
      </c>
      <c r="X155" s="656">
        <f>+VLOOKUP($L155,Data_Validation!$A:$F,6,0)</f>
        <v>0</v>
      </c>
    </row>
    <row r="156" spans="1:24" ht="15" customHeight="1">
      <c r="A156" s="1210" t="s">
        <v>956</v>
      </c>
      <c r="B156" s="1210" t="s">
        <v>958</v>
      </c>
      <c r="C156" s="1212">
        <v>-2350000</v>
      </c>
      <c r="D156" s="1212">
        <v>0</v>
      </c>
      <c r="E156" s="1212">
        <v>-2350000</v>
      </c>
      <c r="F156" s="1210" t="s">
        <v>957</v>
      </c>
      <c r="G156" s="1210" t="s">
        <v>958</v>
      </c>
      <c r="H156" s="651"/>
      <c r="I156" s="651"/>
      <c r="J156" s="651"/>
      <c r="K156" s="651"/>
      <c r="L156" s="653" t="str">
        <f t="shared" si="132"/>
        <v>3001</v>
      </c>
      <c r="M156" s="654" t="str">
        <f t="shared" si="0"/>
        <v>ACTIONS CATEGORIE 1</v>
      </c>
      <c r="N156" s="655">
        <f>+IF(OR($Q156=Parametres!$G$2,$Q156=Parametres!$G$3),I156,C156)</f>
        <v>-2350000</v>
      </c>
      <c r="O156" s="655">
        <f>+IF(OR($Q156=Parametres!$G$2,$Q156=Parametres!$G$3),J156,D156)</f>
        <v>0</v>
      </c>
      <c r="P156" s="655">
        <f>+IF(OR($Q156=Parametres!$G$2,$Q156=Parametres!$G$3),K156,E156)</f>
        <v>-2350000</v>
      </c>
      <c r="Q156" s="654" t="str">
        <f t="shared" ref="Q156:S156" si="147">+F156</f>
        <v>4-Valeur nette</v>
      </c>
      <c r="R156" s="653" t="str">
        <f t="shared" si="147"/>
        <v>3001</v>
      </c>
      <c r="S156" s="654">
        <f t="shared" si="147"/>
        <v>0</v>
      </c>
      <c r="T156" s="656" t="str">
        <f>+VLOOKUP($L156,Data_Validation!$A:$D,1,0)</f>
        <v>3001</v>
      </c>
      <c r="U156" s="656" t="str">
        <f>+VLOOKUP($L156,Data_Validation!$A:$D,3,0)</f>
        <v>Bilan</v>
      </c>
      <c r="V156" s="656" t="str">
        <f>+VLOOKUP($L156,Data_Validation!$A:$D,4,0)</f>
        <v>Capital Actions</v>
      </c>
      <c r="W156" s="656" t="str">
        <f>+VLOOKUP($L156,Data_Validation!$A:$E,5,0)</f>
        <v>$</v>
      </c>
      <c r="X156" s="656">
        <f>+VLOOKUP($L156,Data_Validation!$A:$F,6,0)</f>
        <v>0</v>
      </c>
    </row>
    <row r="157" spans="1:24" ht="15" customHeight="1">
      <c r="A157" s="1210" t="s">
        <v>959</v>
      </c>
      <c r="B157" s="1210" t="s">
        <v>1768</v>
      </c>
      <c r="C157" s="1212">
        <v>-1723617</v>
      </c>
      <c r="D157" s="1212">
        <v>0</v>
      </c>
      <c r="E157" s="1212">
        <v>-1723617</v>
      </c>
      <c r="F157" s="1210" t="s">
        <v>957</v>
      </c>
      <c r="G157" s="1210" t="s">
        <v>958</v>
      </c>
      <c r="H157" s="650"/>
      <c r="I157" s="652"/>
      <c r="J157" s="652"/>
      <c r="K157" s="652"/>
      <c r="L157" s="653" t="str">
        <f t="shared" si="132"/>
        <v>3003</v>
      </c>
      <c r="M157" s="654" t="str">
        <f t="shared" si="0"/>
        <v>APPORT / RETRAIT</v>
      </c>
      <c r="N157" s="655">
        <f>+IF(OR($Q157=Parametres!$G$2,$Q157=Parametres!$G$3),I157,C157)</f>
        <v>-1723617</v>
      </c>
      <c r="O157" s="655">
        <f>+IF(OR($Q157=Parametres!$G$2,$Q157=Parametres!$G$3),J157,D157)</f>
        <v>0</v>
      </c>
      <c r="P157" s="655">
        <f>+IF(OR($Q157=Parametres!$G$2,$Q157=Parametres!$G$3),K157,E157)</f>
        <v>-1723617</v>
      </c>
      <c r="Q157" s="654" t="str">
        <f t="shared" ref="Q157:S157" si="148">+F157</f>
        <v>4-Valeur nette</v>
      </c>
      <c r="R157" s="653" t="str">
        <f t="shared" si="148"/>
        <v>3001</v>
      </c>
      <c r="S157" s="654">
        <f t="shared" si="148"/>
        <v>0</v>
      </c>
      <c r="T157" s="656" t="str">
        <f>+VLOOKUP($L157,Data_Validation!$A:$D,1,0)</f>
        <v>3003</v>
      </c>
      <c r="U157" s="656" t="str">
        <f>+VLOOKUP($L157,Data_Validation!$A:$D,3,0)</f>
        <v>Bilan</v>
      </c>
      <c r="V157" s="656" t="str">
        <f>+VLOOKUP($L157,Data_Validation!$A:$D,4,0)</f>
        <v>Apport</v>
      </c>
      <c r="W157" s="656" t="str">
        <f>+VLOOKUP($L157,Data_Validation!$A:$E,5,0)</f>
        <v>$</v>
      </c>
      <c r="X157" s="656">
        <f>+VLOOKUP($L157,Data_Validation!$A:$F,6,0)</f>
        <v>0</v>
      </c>
    </row>
    <row r="158" spans="1:24" ht="15" customHeight="1">
      <c r="A158" s="1210" t="s">
        <v>960</v>
      </c>
      <c r="B158" s="1210" t="s">
        <v>1771</v>
      </c>
      <c r="C158" s="1212">
        <v>-347547.5</v>
      </c>
      <c r="D158" s="1212">
        <v>0</v>
      </c>
      <c r="E158" s="1212">
        <v>-347547.5</v>
      </c>
      <c r="F158" s="1210" t="s">
        <v>957</v>
      </c>
      <c r="G158" s="1210" t="s">
        <v>958</v>
      </c>
      <c r="H158" s="650"/>
      <c r="I158" s="663"/>
      <c r="J158" s="663"/>
      <c r="K158" s="663"/>
      <c r="L158" s="653" t="str">
        <f t="shared" si="132"/>
        <v>3007</v>
      </c>
      <c r="M158" s="654" t="str">
        <f t="shared" si="0"/>
        <v>ACTIONS PARTICIPANTES</v>
      </c>
      <c r="N158" s="655">
        <f>+IF(OR($Q158=Parametres!$G$2,$Q158=Parametres!$G$3),I158,C158)</f>
        <v>-347547.5</v>
      </c>
      <c r="O158" s="655">
        <f>+IF(OR($Q158=Parametres!$G$2,$Q158=Parametres!$G$3),J158,D158)</f>
        <v>0</v>
      </c>
      <c r="P158" s="655">
        <f>+IF(OR($Q158=Parametres!$G$2,$Q158=Parametres!$G$3),K158,E158)</f>
        <v>-347547.5</v>
      </c>
      <c r="Q158" s="654" t="str">
        <f t="shared" ref="Q158:S158" si="149">+F158</f>
        <v>4-Valeur nette</v>
      </c>
      <c r="R158" s="653" t="str">
        <f t="shared" si="149"/>
        <v>3001</v>
      </c>
      <c r="S158" s="654">
        <f t="shared" si="149"/>
        <v>0</v>
      </c>
      <c r="T158" s="656" t="str">
        <f>+VLOOKUP($L158,Data_Validation!$A:$D,1,0)</f>
        <v>3007</v>
      </c>
      <c r="U158" s="656" t="str">
        <f>+VLOOKUP($L158,Data_Validation!$A:$D,3,0)</f>
        <v>Bilan</v>
      </c>
      <c r="V158" s="656" t="str">
        <f>+VLOOKUP($L158,Data_Validation!$A:$D,4,0)</f>
        <v>Capital Actions</v>
      </c>
      <c r="W158" s="656">
        <f>+VLOOKUP($L158,Data_Validation!$A:$E,5,0)</f>
        <v>0</v>
      </c>
      <c r="X158" s="656">
        <f>+VLOOKUP($L158,Data_Validation!$A:$F,6,0)</f>
        <v>0</v>
      </c>
    </row>
    <row r="159" spans="1:24" ht="15.75" customHeight="1">
      <c r="A159" s="1210" t="s">
        <v>961</v>
      </c>
      <c r="B159" s="1210" t="s">
        <v>1795</v>
      </c>
      <c r="C159" s="1212">
        <v>-8022643.4800000004</v>
      </c>
      <c r="D159" s="1212">
        <v>0</v>
      </c>
      <c r="E159" s="1212">
        <v>-8022643.4800000004</v>
      </c>
      <c r="F159" s="1210" t="s">
        <v>957</v>
      </c>
      <c r="G159" s="1210" t="s">
        <v>958</v>
      </c>
      <c r="H159" s="650"/>
      <c r="I159" s="664"/>
      <c r="J159" s="664"/>
      <c r="K159" s="664"/>
      <c r="L159" s="653" t="str">
        <f t="shared" si="132"/>
        <v>3201</v>
      </c>
      <c r="M159" s="654" t="str">
        <f t="shared" si="0"/>
        <v>BENEFICES NON-REPARTIS</v>
      </c>
      <c r="N159" s="655">
        <f>+IF(OR($Q159=Parametres!$G$2,$Q159=Parametres!$G$3),I159,C159)</f>
        <v>-8022643.4800000004</v>
      </c>
      <c r="O159" s="655">
        <f>+IF(OR($Q159=Parametres!$G$2,$Q159=Parametres!$G$3),J159,D159)</f>
        <v>0</v>
      </c>
      <c r="P159" s="655">
        <f>+IF(OR($Q159=Parametres!$G$2,$Q159=Parametres!$G$3),K159,E159)</f>
        <v>-8022643.4800000004</v>
      </c>
      <c r="Q159" s="654" t="str">
        <f t="shared" ref="Q159:S159" si="150">+F159</f>
        <v>4-Valeur nette</v>
      </c>
      <c r="R159" s="653" t="str">
        <f t="shared" si="150"/>
        <v>3001</v>
      </c>
      <c r="S159" s="654">
        <f t="shared" si="150"/>
        <v>0</v>
      </c>
      <c r="T159" s="656" t="str">
        <f>+VLOOKUP($L159,Data_Validation!$A:$D,1,0)</f>
        <v>3201</v>
      </c>
      <c r="U159" s="656" t="str">
        <f>+VLOOKUP($L159,Data_Validation!$A:$D,3,0)</f>
        <v>Bilan</v>
      </c>
      <c r="V159" s="656" t="str">
        <f>+VLOOKUP($L159,Data_Validation!$A:$D,4,0)</f>
        <v>Bénéfices non répartis</v>
      </c>
      <c r="W159" s="656" t="str">
        <f>+VLOOKUP($L159,Data_Validation!$A:$E,5,0)</f>
        <v>$</v>
      </c>
      <c r="X159" s="656">
        <f>+VLOOKUP($L159,Data_Validation!$A:$F,6,0)</f>
        <v>0</v>
      </c>
    </row>
    <row r="160" spans="1:24" ht="15" customHeight="1">
      <c r="A160" s="1210" t="s">
        <v>962</v>
      </c>
      <c r="B160" s="1210" t="s">
        <v>964</v>
      </c>
      <c r="C160" s="1212">
        <v>-120481.18</v>
      </c>
      <c r="D160" s="1212">
        <v>-288707.58</v>
      </c>
      <c r="E160" s="1212">
        <v>-409188.76</v>
      </c>
      <c r="F160" s="1210" t="s">
        <v>963</v>
      </c>
      <c r="G160" s="1210" t="s">
        <v>964</v>
      </c>
      <c r="H160" s="650"/>
      <c r="I160" s="663"/>
      <c r="J160" s="663"/>
      <c r="K160" s="663"/>
      <c r="L160" s="653" t="str">
        <f t="shared" si="132"/>
        <v>4100</v>
      </c>
      <c r="M160" s="654" t="str">
        <f t="shared" si="0"/>
        <v>VTE - RACHAT BAIL VW</v>
      </c>
      <c r="N160" s="655">
        <f>+IF(OR($Q160=Parametres!$G$2,$Q160=Parametres!$G$3),I160,C160)</f>
        <v>-120481.18</v>
      </c>
      <c r="O160" s="655">
        <f>+IF(OR($Q160=Parametres!$G$2,$Q160=Parametres!$G$3),J160,D160)</f>
        <v>-288707.58</v>
      </c>
      <c r="P160" s="655">
        <f>+IF(OR($Q160=Parametres!$G$2,$Q160=Parametres!$G$3),K160,E160)</f>
        <v>-409188.76</v>
      </c>
      <c r="Q160" s="654" t="str">
        <f t="shared" ref="Q160:S160" si="151">+F160</f>
        <v>5-Ventes</v>
      </c>
      <c r="R160" s="653" t="str">
        <f t="shared" si="151"/>
        <v>4100</v>
      </c>
      <c r="S160" s="654">
        <f t="shared" si="151"/>
        <v>0</v>
      </c>
      <c r="T160" s="656" t="str">
        <f>+VLOOKUP($L160,Data_Validation!$A:$D,1,0)</f>
        <v>4100</v>
      </c>
      <c r="U160" s="656" t="str">
        <f>+VLOOKUP($L160,Data_Validation!$A:$D,3,0)</f>
        <v>Véhicules neufs</v>
      </c>
      <c r="V160" s="656" t="str">
        <f>+VLOOKUP($L160,Data_Validation!$A:$D,4,0)</f>
        <v>Rachat bail</v>
      </c>
      <c r="W160" s="656" t="str">
        <f>+VLOOKUP($L160,Data_Validation!$A:$E,5,0)</f>
        <v>$</v>
      </c>
      <c r="X160" s="656" t="str">
        <f>+VLOOKUP($L160,Data_Validation!$A:$F,6,0)</f>
        <v>Oui</v>
      </c>
    </row>
    <row r="161" spans="1:24" ht="15" customHeight="1">
      <c r="A161" s="1210" t="s">
        <v>967</v>
      </c>
      <c r="B161" s="1210" t="s">
        <v>968</v>
      </c>
      <c r="C161" s="1212">
        <v>-55044.95</v>
      </c>
      <c r="D161" s="1212">
        <v>-107176.23</v>
      </c>
      <c r="E161" s="1212">
        <v>-162221.18</v>
      </c>
      <c r="F161" s="1210" t="s">
        <v>963</v>
      </c>
      <c r="G161" s="1210" t="s">
        <v>968</v>
      </c>
      <c r="H161" s="650"/>
      <c r="I161" s="664"/>
      <c r="J161" s="664"/>
      <c r="K161" s="664"/>
      <c r="L161" s="653" t="str">
        <f t="shared" si="132"/>
        <v>4109</v>
      </c>
      <c r="M161" s="654" t="str">
        <f t="shared" si="0"/>
        <v>VTE - GOLF R</v>
      </c>
      <c r="N161" s="655">
        <f>+IF(OR($Q161=Parametres!$G$2,$Q161=Parametres!$G$3),I161,C161)</f>
        <v>-55044.95</v>
      </c>
      <c r="O161" s="655">
        <f>+IF(OR($Q161=Parametres!$G$2,$Q161=Parametres!$G$3),J161,D161)</f>
        <v>-107176.23</v>
      </c>
      <c r="P161" s="655">
        <f>+IF(OR($Q161=Parametres!$G$2,$Q161=Parametres!$G$3),K161,E161)</f>
        <v>-162221.18</v>
      </c>
      <c r="Q161" s="654" t="str">
        <f t="shared" ref="Q161:S161" si="152">+F161</f>
        <v>5-Ventes</v>
      </c>
      <c r="R161" s="653" t="str">
        <f t="shared" si="152"/>
        <v>4109</v>
      </c>
      <c r="S161" s="654">
        <f t="shared" si="152"/>
        <v>0</v>
      </c>
      <c r="T161" s="656" t="str">
        <f>+VLOOKUP($L161,Data_Validation!$A:$D,1,0)</f>
        <v>4109</v>
      </c>
      <c r="U161" s="656" t="str">
        <f>+VLOOKUP($L161,Data_Validation!$A:$D,3,0)</f>
        <v>Véhicules neufs</v>
      </c>
      <c r="V161" s="656" t="str">
        <f>+VLOOKUP($L161,Data_Validation!$A:$D,4,0)</f>
        <v>Autos détail</v>
      </c>
      <c r="W161" s="656" t="str">
        <f>+VLOOKUP($L161,Data_Validation!$A:$E,5,0)</f>
        <v>$</v>
      </c>
      <c r="X161" s="656" t="str">
        <f>+VLOOKUP($L161,Data_Validation!$A:$F,6,0)</f>
        <v>Oui</v>
      </c>
    </row>
    <row r="162" spans="1:24" ht="15" customHeight="1">
      <c r="A162" s="1210" t="s">
        <v>971</v>
      </c>
      <c r="B162" s="1210" t="s">
        <v>972</v>
      </c>
      <c r="C162" s="1212">
        <v>-126493.9</v>
      </c>
      <c r="D162" s="1212">
        <v>-29075</v>
      </c>
      <c r="E162" s="1212">
        <v>-155568.9</v>
      </c>
      <c r="F162" s="1210" t="s">
        <v>963</v>
      </c>
      <c r="G162" s="1210" t="s">
        <v>972</v>
      </c>
      <c r="H162" s="651"/>
      <c r="I162" s="652"/>
      <c r="J162" s="652"/>
      <c r="K162" s="652"/>
      <c r="L162" s="653" t="str">
        <f t="shared" si="132"/>
        <v>4111</v>
      </c>
      <c r="M162" s="654" t="str">
        <f t="shared" si="0"/>
        <v>JETTA/ JETTA GLI</v>
      </c>
      <c r="N162" s="655">
        <f>+IF(OR($Q162=Parametres!$G$2,$Q162=Parametres!$G$3),I162,C162)</f>
        <v>-126493.9</v>
      </c>
      <c r="O162" s="655">
        <f>+IF(OR($Q162=Parametres!$G$2,$Q162=Parametres!$G$3),J162,D162)</f>
        <v>-29075</v>
      </c>
      <c r="P162" s="655">
        <f>+IF(OR($Q162=Parametres!$G$2,$Q162=Parametres!$G$3),K162,E162)</f>
        <v>-155568.9</v>
      </c>
      <c r="Q162" s="654" t="str">
        <f t="shared" ref="Q162:S162" si="153">+F162</f>
        <v>5-Ventes</v>
      </c>
      <c r="R162" s="653" t="str">
        <f t="shared" si="153"/>
        <v>4111</v>
      </c>
      <c r="S162" s="654">
        <f t="shared" si="153"/>
        <v>0</v>
      </c>
      <c r="T162" s="656" t="str">
        <f>+VLOOKUP($L162,Data_Validation!$A:$D,1,0)</f>
        <v>4111</v>
      </c>
      <c r="U162" s="656" t="str">
        <f>+VLOOKUP($L162,Data_Validation!$A:$D,3,0)</f>
        <v>Véhicules neufs</v>
      </c>
      <c r="V162" s="656" t="str">
        <f>+VLOOKUP($L162,Data_Validation!$A:$D,4,0)</f>
        <v>Autos détail</v>
      </c>
      <c r="W162" s="656" t="str">
        <f>+VLOOKUP($L162,Data_Validation!$A:$E,5,0)</f>
        <v>$</v>
      </c>
      <c r="X162" s="656" t="str">
        <f>+VLOOKUP($L162,Data_Validation!$A:$F,6,0)</f>
        <v>Oui</v>
      </c>
    </row>
    <row r="163" spans="1:24" ht="15.75" customHeight="1">
      <c r="A163" s="1210" t="s">
        <v>974</v>
      </c>
      <c r="B163" s="1210" t="s">
        <v>3380</v>
      </c>
      <c r="C163" s="1212">
        <v>-201478.66</v>
      </c>
      <c r="D163" s="1212">
        <v>-589482.15</v>
      </c>
      <c r="E163" s="1212">
        <v>-790960.81</v>
      </c>
      <c r="F163" s="1210" t="s">
        <v>963</v>
      </c>
      <c r="G163" s="1210" t="s">
        <v>975</v>
      </c>
      <c r="H163" s="651"/>
      <c r="I163" s="660"/>
      <c r="J163" s="651"/>
      <c r="K163" s="660"/>
      <c r="L163" s="653" t="str">
        <f t="shared" si="132"/>
        <v>4118</v>
      </c>
      <c r="M163" s="654" t="str">
        <f t="shared" si="0"/>
        <v>VTES -TAOS</v>
      </c>
      <c r="N163" s="655">
        <f>+IF(OR($Q163=Parametres!$G$2,$Q163=Parametres!$G$3),I163,C163)</f>
        <v>-201478.66</v>
      </c>
      <c r="O163" s="655">
        <f>+IF(OR($Q163=Parametres!$G$2,$Q163=Parametres!$G$3),J163,D163)</f>
        <v>-589482.15</v>
      </c>
      <c r="P163" s="655">
        <f>+IF(OR($Q163=Parametres!$G$2,$Q163=Parametres!$G$3),K163,E163)</f>
        <v>-790960.81</v>
      </c>
      <c r="Q163" s="654" t="str">
        <f t="shared" ref="Q163:S163" si="154">+F163</f>
        <v>5-Ventes</v>
      </c>
      <c r="R163" s="653" t="str">
        <f t="shared" si="154"/>
        <v>4117</v>
      </c>
      <c r="S163" s="654">
        <f t="shared" si="154"/>
        <v>0</v>
      </c>
      <c r="T163" s="656" t="str">
        <f>+VLOOKUP($L163,Data_Validation!$A:$D,1,0)</f>
        <v>4118</v>
      </c>
      <c r="U163" s="656" t="str">
        <f>+VLOOKUP($L163,Data_Validation!$A:$D,3,0)</f>
        <v>Véhicules neufs</v>
      </c>
      <c r="V163" s="656" t="str">
        <f>+VLOOKUP($L163,Data_Validation!$A:$D,4,0)</f>
        <v>Camions détail</v>
      </c>
      <c r="W163" s="656" t="str">
        <f>+VLOOKUP($L163,Data_Validation!$A:$E,5,0)</f>
        <v>$</v>
      </c>
      <c r="X163" s="656" t="str">
        <f>+VLOOKUP($L163,Data_Validation!$A:$F,6,0)</f>
        <v>Oui</v>
      </c>
    </row>
    <row r="164" spans="1:24" ht="15" customHeight="1">
      <c r="A164" s="1210" t="s">
        <v>979</v>
      </c>
      <c r="B164" s="1210" t="s">
        <v>980</v>
      </c>
      <c r="C164" s="1212">
        <v>-313339.59000000003</v>
      </c>
      <c r="D164" s="1212">
        <v>-251636.54</v>
      </c>
      <c r="E164" s="1212">
        <v>-564976.13</v>
      </c>
      <c r="F164" s="1210" t="s">
        <v>963</v>
      </c>
      <c r="G164" s="1210" t="s">
        <v>980</v>
      </c>
      <c r="H164" s="651"/>
      <c r="I164" s="651"/>
      <c r="J164" s="651"/>
      <c r="K164" s="651"/>
      <c r="L164" s="653" t="str">
        <f t="shared" si="132"/>
        <v>4119</v>
      </c>
      <c r="M164" s="654" t="str">
        <f t="shared" si="0"/>
        <v>VTE - ATLAS</v>
      </c>
      <c r="N164" s="655">
        <f>+IF(OR($Q164=Parametres!$G$2,$Q164=Parametres!$G$3),I164,C164)</f>
        <v>-313339.59000000003</v>
      </c>
      <c r="O164" s="655">
        <f>+IF(OR($Q164=Parametres!$G$2,$Q164=Parametres!$G$3),J164,D164)</f>
        <v>-251636.54</v>
      </c>
      <c r="P164" s="655">
        <f>+IF(OR($Q164=Parametres!$G$2,$Q164=Parametres!$G$3),K164,E164)</f>
        <v>-564976.13</v>
      </c>
      <c r="Q164" s="654" t="str">
        <f t="shared" ref="Q164:S164" si="155">+F164</f>
        <v>5-Ventes</v>
      </c>
      <c r="R164" s="653" t="str">
        <f t="shared" si="155"/>
        <v>4119</v>
      </c>
      <c r="S164" s="654">
        <f t="shared" si="155"/>
        <v>0</v>
      </c>
      <c r="T164" s="656" t="str">
        <f>+VLOOKUP($L164,Data_Validation!$A:$D,1,0)</f>
        <v>4119</v>
      </c>
      <c r="U164" s="656" t="str">
        <f>+VLOOKUP($L164,Data_Validation!$A:$D,3,0)</f>
        <v>Véhicules neufs</v>
      </c>
      <c r="V164" s="656" t="str">
        <f>+VLOOKUP($L164,Data_Validation!$A:$D,4,0)</f>
        <v>Camions détail</v>
      </c>
      <c r="W164" s="656" t="str">
        <f>+VLOOKUP($L164,Data_Validation!$A:$E,5,0)</f>
        <v>$</v>
      </c>
      <c r="X164" s="656" t="str">
        <f>+VLOOKUP($L164,Data_Validation!$A:$F,6,0)</f>
        <v>Oui</v>
      </c>
    </row>
    <row r="165" spans="1:24" ht="15" customHeight="1">
      <c r="A165" s="1210" t="s">
        <v>983</v>
      </c>
      <c r="B165" s="1210" t="s">
        <v>3349</v>
      </c>
      <c r="C165" s="1212">
        <v>-60439.839999999997</v>
      </c>
      <c r="D165" s="1212">
        <v>-121933.9</v>
      </c>
      <c r="E165" s="1212">
        <v>-182373.74</v>
      </c>
      <c r="F165" s="1210" t="s">
        <v>963</v>
      </c>
      <c r="G165" s="1210" t="s">
        <v>3349</v>
      </c>
      <c r="H165" s="651"/>
      <c r="I165" s="660"/>
      <c r="J165" s="660"/>
      <c r="K165" s="660"/>
      <c r="L165" s="653" t="str">
        <f t="shared" si="132"/>
        <v>4121</v>
      </c>
      <c r="M165" s="654" t="str">
        <f t="shared" si="0"/>
        <v>VTES -VTE - ATLAS CROSS SPORT</v>
      </c>
      <c r="N165" s="655">
        <f>+IF(OR($Q165=Parametres!$G$2,$Q165=Parametres!$G$3),I165,C165)</f>
        <v>-60439.839999999997</v>
      </c>
      <c r="O165" s="655">
        <f>+IF(OR($Q165=Parametres!$G$2,$Q165=Parametres!$G$3),J165,D165)</f>
        <v>-121933.9</v>
      </c>
      <c r="P165" s="655">
        <f>+IF(OR($Q165=Parametres!$G$2,$Q165=Parametres!$G$3),K165,E165)</f>
        <v>-182373.74</v>
      </c>
      <c r="Q165" s="654" t="str">
        <f t="shared" ref="Q165:S165" si="156">+F165</f>
        <v>5-Ventes</v>
      </c>
      <c r="R165" s="653" t="str">
        <f t="shared" si="156"/>
        <v>4121</v>
      </c>
      <c r="S165" s="654">
        <f t="shared" si="156"/>
        <v>0</v>
      </c>
      <c r="T165" s="656" t="str">
        <f>+VLOOKUP($L165,Data_Validation!$A:$D,1,0)</f>
        <v>4121</v>
      </c>
      <c r="U165" s="656" t="str">
        <f>+VLOOKUP($L165,Data_Validation!$A:$D,3,0)</f>
        <v>Véhicules neufs</v>
      </c>
      <c r="V165" s="656" t="str">
        <f>+VLOOKUP($L165,Data_Validation!$A:$D,4,0)</f>
        <v>Camions détail</v>
      </c>
      <c r="W165" s="656" t="str">
        <f>+VLOOKUP($L165,Data_Validation!$A:$E,5,0)</f>
        <v>$</v>
      </c>
      <c r="X165" s="656" t="str">
        <f>+VLOOKUP($L165,Data_Validation!$A:$F,6,0)</f>
        <v>oui</v>
      </c>
    </row>
    <row r="166" spans="1:24" ht="15" customHeight="1">
      <c r="A166" s="1210" t="s">
        <v>986</v>
      </c>
      <c r="B166" s="1210" t="s">
        <v>987</v>
      </c>
      <c r="C166" s="1212">
        <v>-81354.720000000001</v>
      </c>
      <c r="D166" s="1212">
        <v>-40526.01</v>
      </c>
      <c r="E166" s="1212">
        <v>-121880.73</v>
      </c>
      <c r="F166" s="1210" t="s">
        <v>963</v>
      </c>
      <c r="G166" s="1210" t="s">
        <v>987</v>
      </c>
      <c r="H166" s="650"/>
      <c r="I166" s="665"/>
      <c r="J166" s="665"/>
      <c r="K166" s="665"/>
      <c r="L166" s="653" t="str">
        <f t="shared" si="132"/>
        <v>4127</v>
      </c>
      <c r="M166" s="654" t="str">
        <f t="shared" si="0"/>
        <v>VTE - GOLF GTI</v>
      </c>
      <c r="N166" s="655">
        <f>+IF(OR($Q166=Parametres!$G$2,$Q166=Parametres!$G$3),I166,C166)</f>
        <v>-81354.720000000001</v>
      </c>
      <c r="O166" s="655">
        <f>+IF(OR($Q166=Parametres!$G$2,$Q166=Parametres!$G$3),J166,D166)</f>
        <v>-40526.01</v>
      </c>
      <c r="P166" s="655">
        <f>+IF(OR($Q166=Parametres!$G$2,$Q166=Parametres!$G$3),K166,E166)</f>
        <v>-121880.73</v>
      </c>
      <c r="Q166" s="654" t="str">
        <f t="shared" ref="Q166:S166" si="157">+F166</f>
        <v>5-Ventes</v>
      </c>
      <c r="R166" s="653" t="str">
        <f t="shared" si="157"/>
        <v>4127</v>
      </c>
      <c r="S166" s="654">
        <f t="shared" si="157"/>
        <v>0</v>
      </c>
      <c r="T166" s="656" t="str">
        <f>+VLOOKUP($L166,Data_Validation!$A:$D,1,0)</f>
        <v>4127</v>
      </c>
      <c r="U166" s="656" t="str">
        <f>+VLOOKUP($L166,Data_Validation!$A:$D,3,0)</f>
        <v>Véhicules neufs</v>
      </c>
      <c r="V166" s="656" t="str">
        <f>+VLOOKUP($L166,Data_Validation!$A:$D,4,0)</f>
        <v>Autos détail</v>
      </c>
      <c r="W166" s="656" t="str">
        <f>+VLOOKUP($L166,Data_Validation!$A:$E,5,0)</f>
        <v>$</v>
      </c>
      <c r="X166" s="656" t="str">
        <f>+VLOOKUP($L166,Data_Validation!$A:$F,6,0)</f>
        <v>Oui</v>
      </c>
    </row>
    <row r="167" spans="1:24" ht="15" customHeight="1">
      <c r="A167" s="1210" t="s">
        <v>990</v>
      </c>
      <c r="B167" s="1210" t="s">
        <v>991</v>
      </c>
      <c r="C167" s="1212">
        <v>-185924.77</v>
      </c>
      <c r="D167" s="1212">
        <v>-179572.2</v>
      </c>
      <c r="E167" s="1212">
        <v>-365496.97</v>
      </c>
      <c r="F167" s="1210" t="s">
        <v>963</v>
      </c>
      <c r="G167" s="1210" t="s">
        <v>991</v>
      </c>
      <c r="H167" s="650"/>
      <c r="I167" s="665"/>
      <c r="J167" s="665"/>
      <c r="K167" s="665"/>
      <c r="L167" s="653" t="str">
        <f t="shared" si="132"/>
        <v>4131</v>
      </c>
      <c r="M167" s="654" t="str">
        <f t="shared" si="0"/>
        <v>VTE - TIGUAN LWB</v>
      </c>
      <c r="N167" s="655">
        <f>+IF(OR($Q167=Parametres!$G$2,$Q167=Parametres!$G$3),I167,C167)</f>
        <v>-185924.77</v>
      </c>
      <c r="O167" s="655">
        <f>+IF(OR($Q167=Parametres!$G$2,$Q167=Parametres!$G$3),J167,D167)</f>
        <v>-179572.2</v>
      </c>
      <c r="P167" s="655">
        <f>+IF(OR($Q167=Parametres!$G$2,$Q167=Parametres!$G$3),K167,E167)</f>
        <v>-365496.97</v>
      </c>
      <c r="Q167" s="654" t="str">
        <f t="shared" ref="Q167:S167" si="158">+F167</f>
        <v>5-Ventes</v>
      </c>
      <c r="R167" s="653" t="str">
        <f t="shared" si="158"/>
        <v>4131</v>
      </c>
      <c r="S167" s="654">
        <f t="shared" si="158"/>
        <v>0</v>
      </c>
      <c r="T167" s="656" t="str">
        <f>+VLOOKUP($L167,Data_Validation!$A:$D,1,0)</f>
        <v>4131</v>
      </c>
      <c r="U167" s="656" t="str">
        <f>+VLOOKUP($L167,Data_Validation!$A:$D,3,0)</f>
        <v>Véhicules neufs</v>
      </c>
      <c r="V167" s="656" t="str">
        <f>+VLOOKUP($L167,Data_Validation!$A:$D,4,0)</f>
        <v>Camions détail</v>
      </c>
      <c r="W167" s="656" t="str">
        <f>+VLOOKUP($L167,Data_Validation!$A:$E,5,0)</f>
        <v>$</v>
      </c>
      <c r="X167" s="656" t="str">
        <f>+VLOOKUP($L167,Data_Validation!$A:$F,6,0)</f>
        <v>Oui</v>
      </c>
    </row>
    <row r="168" spans="1:24" ht="15.75" customHeight="1">
      <c r="A168" s="1210" t="s">
        <v>994</v>
      </c>
      <c r="B168" s="1210" t="s">
        <v>995</v>
      </c>
      <c r="C168" s="1212">
        <v>-198971.67</v>
      </c>
      <c r="D168" s="1212">
        <v>-294986</v>
      </c>
      <c r="E168" s="1212">
        <v>-493957.67</v>
      </c>
      <c r="F168" s="1210" t="s">
        <v>963</v>
      </c>
      <c r="G168" s="1210" t="s">
        <v>995</v>
      </c>
      <c r="H168" s="650"/>
      <c r="I168" s="665"/>
      <c r="J168" s="665"/>
      <c r="K168" s="665"/>
      <c r="L168" s="653" t="str">
        <f t="shared" si="132"/>
        <v>4137</v>
      </c>
      <c r="M168" s="654" t="str">
        <f t="shared" si="0"/>
        <v>VTE - VW-FLOTTE/VENTES ENTR/EMPLOYE/VEH DEMON</v>
      </c>
      <c r="N168" s="655">
        <f>+IF(OR($Q168=Parametres!$G$2,$Q168=Parametres!$G$3),I168,C168)</f>
        <v>-198971.67</v>
      </c>
      <c r="O168" s="655">
        <f>+IF(OR($Q168=Parametres!$G$2,$Q168=Parametres!$G$3),J168,D168)</f>
        <v>-294986</v>
      </c>
      <c r="P168" s="655">
        <f>+IF(OR($Q168=Parametres!$G$2,$Q168=Parametres!$G$3),K168,E168)</f>
        <v>-493957.67</v>
      </c>
      <c r="Q168" s="654" t="str">
        <f t="shared" ref="Q168:S168" si="159">+F168</f>
        <v>5-Ventes</v>
      </c>
      <c r="R168" s="653" t="str">
        <f t="shared" si="159"/>
        <v>4137</v>
      </c>
      <c r="S168" s="654">
        <f t="shared" si="159"/>
        <v>0</v>
      </c>
      <c r="T168" s="656" t="str">
        <f>+VLOOKUP($L168,Data_Validation!$A:$D,1,0)</f>
        <v>4137</v>
      </c>
      <c r="U168" s="656" t="str">
        <f>+VLOOKUP($L168,Data_Validation!$A:$D,3,0)</f>
        <v>Véhicules neufs</v>
      </c>
      <c r="V168" s="656" t="str">
        <f>+VLOOKUP($L168,Data_Validation!$A:$D,4,0)</f>
        <v>Flottes</v>
      </c>
      <c r="W168" s="656" t="str">
        <f>+VLOOKUP($L168,Data_Validation!$A:$E,5,0)</f>
        <v>$</v>
      </c>
      <c r="X168" s="656" t="str">
        <f>+VLOOKUP($L168,Data_Validation!$A:$F,6,0)</f>
        <v>Oui</v>
      </c>
    </row>
    <row r="169" spans="1:24" ht="15" customHeight="1">
      <c r="A169" s="1210" t="s">
        <v>998</v>
      </c>
      <c r="B169" s="1210" t="s">
        <v>999</v>
      </c>
      <c r="C169" s="1212">
        <v>-86935.41</v>
      </c>
      <c r="D169" s="1212">
        <v>-84301.65</v>
      </c>
      <c r="E169" s="1212">
        <v>-171237.06</v>
      </c>
      <c r="F169" s="1210" t="s">
        <v>963</v>
      </c>
      <c r="G169" s="1210" t="s">
        <v>999</v>
      </c>
      <c r="H169" s="651"/>
      <c r="I169" s="666"/>
      <c r="J169" s="666"/>
      <c r="K169" s="666"/>
      <c r="L169" s="653" t="str">
        <f t="shared" si="132"/>
        <v>4139</v>
      </c>
      <c r="M169" s="654" t="str">
        <f t="shared" si="0"/>
        <v>VTE - VW FLOTTE/VENTE ENTR/EMPLOYE/VEH DEMONS</v>
      </c>
      <c r="N169" s="655">
        <f>+IF(OR($Q169=Parametres!$G$2,$Q169=Parametres!$G$3),I169,C169)</f>
        <v>-86935.41</v>
      </c>
      <c r="O169" s="655">
        <f>+IF(OR($Q169=Parametres!$G$2,$Q169=Parametres!$G$3),J169,D169)</f>
        <v>-84301.65</v>
      </c>
      <c r="P169" s="655">
        <f>+IF(OR($Q169=Parametres!$G$2,$Q169=Parametres!$G$3),K169,E169)</f>
        <v>-171237.06</v>
      </c>
      <c r="Q169" s="654" t="str">
        <f t="shared" ref="Q169:S169" si="160">+F169</f>
        <v>5-Ventes</v>
      </c>
      <c r="R169" s="653" t="str">
        <f t="shared" si="160"/>
        <v>4139</v>
      </c>
      <c r="S169" s="654">
        <f t="shared" si="160"/>
        <v>0</v>
      </c>
      <c r="T169" s="656" t="str">
        <f>+VLOOKUP($L169,Data_Validation!$A:$D,1,0)</f>
        <v>4139</v>
      </c>
      <c r="U169" s="656" t="str">
        <f>+VLOOKUP($L169,Data_Validation!$A:$D,3,0)</f>
        <v>Véhicules neufs</v>
      </c>
      <c r="V169" s="656" t="str">
        <f>+VLOOKUP($L169,Data_Validation!$A:$D,4,0)</f>
        <v>Ex-Démos et courtoisies</v>
      </c>
      <c r="W169" s="656" t="str">
        <f>+VLOOKUP($L169,Data_Validation!$A:$E,5,0)</f>
        <v>$</v>
      </c>
      <c r="X169" s="656" t="str">
        <f>+VLOOKUP($L169,Data_Validation!$A:$F,6,0)</f>
        <v>Oui</v>
      </c>
    </row>
    <row r="170" spans="1:24" ht="15" customHeight="1">
      <c r="A170" s="1210" t="s">
        <v>3893</v>
      </c>
      <c r="B170" s="1210" t="s">
        <v>3894</v>
      </c>
      <c r="C170" s="1212">
        <v>-1390865.27</v>
      </c>
      <c r="D170" s="1212">
        <v>-55939.8</v>
      </c>
      <c r="E170" s="1212">
        <v>-1446805.07</v>
      </c>
      <c r="F170" s="1210" t="s">
        <v>963</v>
      </c>
      <c r="G170" s="1210" t="s">
        <v>3894</v>
      </c>
      <c r="H170" s="651"/>
      <c r="I170" s="666"/>
      <c r="J170" s="666"/>
      <c r="K170" s="666"/>
      <c r="L170" s="653" t="str">
        <f t="shared" si="132"/>
        <v>4141</v>
      </c>
      <c r="M170" s="654" t="str">
        <f t="shared" si="0"/>
        <v>VTES -VTE - ID4</v>
      </c>
      <c r="N170" s="655">
        <f>+IF(OR($Q170=Parametres!$G$2,$Q170=Parametres!$G$3),I170,C170)</f>
        <v>-1390865.27</v>
      </c>
      <c r="O170" s="655">
        <f>+IF(OR($Q170=Parametres!$G$2,$Q170=Parametres!$G$3),J170,D170)</f>
        <v>-55939.8</v>
      </c>
      <c r="P170" s="655">
        <f>+IF(OR($Q170=Parametres!$G$2,$Q170=Parametres!$G$3),K170,E170)</f>
        <v>-1446805.07</v>
      </c>
      <c r="Q170" s="654" t="str">
        <f t="shared" ref="Q170:S170" si="161">+F170</f>
        <v>5-Ventes</v>
      </c>
      <c r="R170" s="653" t="str">
        <f t="shared" si="161"/>
        <v>4141</v>
      </c>
      <c r="S170" s="654">
        <f t="shared" si="161"/>
        <v>0</v>
      </c>
      <c r="T170" s="656" t="str">
        <f>+VLOOKUP($L170,Data_Validation!$A:$D,1,0)</f>
        <v>4141</v>
      </c>
      <c r="U170" s="656" t="str">
        <f>+VLOOKUP($L170,Data_Validation!$A:$D,3,0)</f>
        <v>Véhicules neufs</v>
      </c>
      <c r="V170" s="656" t="str">
        <f>+VLOOKUP($L170,Data_Validation!$A:$D,4,0)</f>
        <v>Camions détail</v>
      </c>
      <c r="W170" s="656" t="str">
        <f>+VLOOKUP($L170,Data_Validation!$A:$E,5,0)</f>
        <v>$</v>
      </c>
      <c r="X170" s="656" t="str">
        <f>+VLOOKUP($L170,Data_Validation!$A:$F,6,0)</f>
        <v>Oui</v>
      </c>
    </row>
    <row r="171" spans="1:24" ht="15" customHeight="1">
      <c r="A171" s="1210" t="s">
        <v>1002</v>
      </c>
      <c r="B171" s="1210" t="s">
        <v>3381</v>
      </c>
      <c r="C171" s="1212">
        <v>-37915.61</v>
      </c>
      <c r="D171" s="1212">
        <v>0</v>
      </c>
      <c r="E171" s="1212">
        <v>-37915.61</v>
      </c>
      <c r="F171" s="1210" t="s">
        <v>963</v>
      </c>
      <c r="G171" s="1210" t="s">
        <v>1003</v>
      </c>
      <c r="H171" s="651"/>
      <c r="I171" s="666"/>
      <c r="J171" s="666"/>
      <c r="K171" s="666"/>
      <c r="L171" s="653" t="str">
        <f t="shared" si="132"/>
        <v>4144</v>
      </c>
      <c r="M171" s="654" t="str">
        <f t="shared" si="0"/>
        <v>VTES -JETTA GLI</v>
      </c>
      <c r="N171" s="655">
        <f>+IF(OR($Q171=Parametres!$G$2,$Q171=Parametres!$G$3),I171,C171)</f>
        <v>-37915.61</v>
      </c>
      <c r="O171" s="655">
        <f>+IF(OR($Q171=Parametres!$G$2,$Q171=Parametres!$G$3),J171,D171)</f>
        <v>0</v>
      </c>
      <c r="P171" s="655">
        <f>+IF(OR($Q171=Parametres!$G$2,$Q171=Parametres!$G$3),K171,E171)</f>
        <v>-37915.61</v>
      </c>
      <c r="Q171" s="654" t="str">
        <f t="shared" ref="Q171:S171" si="162">+F171</f>
        <v>5-Ventes</v>
      </c>
      <c r="R171" s="653" t="str">
        <f t="shared" si="162"/>
        <v>414</v>
      </c>
      <c r="S171" s="654">
        <f t="shared" si="162"/>
        <v>0</v>
      </c>
      <c r="T171" s="656" t="str">
        <f>+VLOOKUP($L171,Data_Validation!$A:$D,1,0)</f>
        <v>4144</v>
      </c>
      <c r="U171" s="656" t="str">
        <f>+VLOOKUP($L171,Data_Validation!$A:$D,3,0)</f>
        <v>Véhicules neufs</v>
      </c>
      <c r="V171" s="656" t="str">
        <f>+VLOOKUP($L171,Data_Validation!$A:$D,4,0)</f>
        <v>Autos détail</v>
      </c>
      <c r="W171" s="656" t="str">
        <f>+VLOOKUP($L171,Data_Validation!$A:$E,5,0)</f>
        <v>$</v>
      </c>
      <c r="X171" s="656" t="str">
        <f>+VLOOKUP($L171,Data_Validation!$A:$F,6,0)</f>
        <v>Oui</v>
      </c>
    </row>
    <row r="172" spans="1:24" ht="15.75" customHeight="1">
      <c r="A172" s="1210" t="s">
        <v>1006</v>
      </c>
      <c r="B172" s="1210" t="s">
        <v>1007</v>
      </c>
      <c r="C172" s="1212">
        <v>-403759.33</v>
      </c>
      <c r="D172" s="1212">
        <v>-325830.86</v>
      </c>
      <c r="E172" s="1212">
        <v>-729590.19</v>
      </c>
      <c r="F172" s="1210" t="s">
        <v>963</v>
      </c>
      <c r="G172" s="1210" t="s">
        <v>1007</v>
      </c>
      <c r="H172" s="651"/>
      <c r="I172" s="666"/>
      <c r="J172" s="666"/>
      <c r="K172" s="666"/>
      <c r="L172" s="653" t="str">
        <f t="shared" si="132"/>
        <v>4201</v>
      </c>
      <c r="M172" s="654" t="str">
        <f t="shared" si="0"/>
        <v>VTE - VEH.USAGE VW DETAIL CERTIFIE</v>
      </c>
      <c r="N172" s="655">
        <f>+IF(OR($Q172=Parametres!$G$2,$Q172=Parametres!$G$3),I172,C172)</f>
        <v>-403759.33</v>
      </c>
      <c r="O172" s="655">
        <f>+IF(OR($Q172=Parametres!$G$2,$Q172=Parametres!$G$3),J172,D172)</f>
        <v>-325830.86</v>
      </c>
      <c r="P172" s="655">
        <f>+IF(OR($Q172=Parametres!$G$2,$Q172=Parametres!$G$3),K172,E172)</f>
        <v>-729590.19</v>
      </c>
      <c r="Q172" s="654" t="str">
        <f t="shared" ref="Q172:S172" si="163">+F172</f>
        <v>5-Ventes</v>
      </c>
      <c r="R172" s="653" t="str">
        <f t="shared" si="163"/>
        <v>4201</v>
      </c>
      <c r="S172" s="654">
        <f t="shared" si="163"/>
        <v>0</v>
      </c>
      <c r="T172" s="656" t="str">
        <f>+VLOOKUP($L172,Data_Validation!$A:$D,1,0)</f>
        <v>4201</v>
      </c>
      <c r="U172" s="656" t="str">
        <f>+VLOOKUP($L172,Data_Validation!$A:$D,3,0)</f>
        <v>Véhicules usagés</v>
      </c>
      <c r="V172" s="656" t="str">
        <f>+VLOOKUP($L172,Data_Validation!$A:$D,4,0)</f>
        <v>Certifié</v>
      </c>
      <c r="W172" s="656" t="str">
        <f>+VLOOKUP($L172,Data_Validation!$A:$E,5,0)</f>
        <v>$</v>
      </c>
      <c r="X172" s="656" t="str">
        <f>+VLOOKUP($L172,Data_Validation!$A:$F,6,0)</f>
        <v>Oui</v>
      </c>
    </row>
    <row r="173" spans="1:24" ht="15" customHeight="1">
      <c r="A173" s="1210" t="s">
        <v>1010</v>
      </c>
      <c r="B173" s="1210" t="s">
        <v>1011</v>
      </c>
      <c r="C173" s="1212">
        <v>-73995.399999999994</v>
      </c>
      <c r="D173" s="1212">
        <v>-16595.2</v>
      </c>
      <c r="E173" s="1212">
        <v>-90590.6</v>
      </c>
      <c r="F173" s="1210" t="s">
        <v>963</v>
      </c>
      <c r="G173" s="1210" t="s">
        <v>1011</v>
      </c>
      <c r="H173" s="651"/>
      <c r="I173" s="666"/>
      <c r="J173" s="666"/>
      <c r="K173" s="666"/>
      <c r="L173" s="653" t="str">
        <f t="shared" si="132"/>
        <v>4211</v>
      </c>
      <c r="M173" s="654" t="str">
        <f t="shared" si="0"/>
        <v>VTE - VW USAGES DETAIL</v>
      </c>
      <c r="N173" s="655">
        <f>+IF(OR($Q173=Parametres!$G$2,$Q173=Parametres!$G$3),I173,C173)</f>
        <v>-73995.399999999994</v>
      </c>
      <c r="O173" s="655">
        <f>+IF(OR($Q173=Parametres!$G$2,$Q173=Parametres!$G$3),J173,D173)</f>
        <v>-16595.2</v>
      </c>
      <c r="P173" s="655">
        <f>+IF(OR($Q173=Parametres!$G$2,$Q173=Parametres!$G$3),K173,E173)</f>
        <v>-90590.6</v>
      </c>
      <c r="Q173" s="654" t="str">
        <f t="shared" ref="Q173:S173" si="164">+F173</f>
        <v>5-Ventes</v>
      </c>
      <c r="R173" s="653" t="str">
        <f t="shared" si="164"/>
        <v>4211</v>
      </c>
      <c r="S173" s="654">
        <f t="shared" si="164"/>
        <v>0</v>
      </c>
      <c r="T173" s="656" t="str">
        <f>+VLOOKUP($L173,Data_Validation!$A:$D,1,0)</f>
        <v>4211</v>
      </c>
      <c r="U173" s="656" t="str">
        <f>+VLOOKUP($L173,Data_Validation!$A:$D,3,0)</f>
        <v>Véhicules usagés</v>
      </c>
      <c r="V173" s="656" t="str">
        <f>+VLOOKUP($L173,Data_Validation!$A:$D,4,0)</f>
        <v>Non Certifié</v>
      </c>
      <c r="W173" s="656" t="str">
        <f>+VLOOKUP($L173,Data_Validation!$A:$E,5,0)</f>
        <v>$</v>
      </c>
      <c r="X173" s="656" t="str">
        <f>+VLOOKUP($L173,Data_Validation!$A:$F,6,0)</f>
        <v>Oui</v>
      </c>
    </row>
    <row r="174" spans="1:24" ht="15" customHeight="1">
      <c r="A174" s="1210" t="s">
        <v>1014</v>
      </c>
      <c r="B174" s="1210" t="s">
        <v>1933</v>
      </c>
      <c r="C174" s="1212">
        <v>-20404.849999999999</v>
      </c>
      <c r="D174" s="1212">
        <v>-26095.200000000001</v>
      </c>
      <c r="E174" s="1212">
        <v>-46500.05</v>
      </c>
      <c r="F174" s="1210" t="s">
        <v>963</v>
      </c>
      <c r="G174" s="1210" t="s">
        <v>1015</v>
      </c>
      <c r="H174" s="651"/>
      <c r="I174" s="666"/>
      <c r="J174" s="666"/>
      <c r="K174" s="666"/>
      <c r="L174" s="653" t="str">
        <f t="shared" si="132"/>
        <v>4285</v>
      </c>
      <c r="M174" s="654" t="str">
        <f t="shared" si="0"/>
        <v>VEH. D'OCC. AUTRE DETAIL</v>
      </c>
      <c r="N174" s="655">
        <f>+IF(OR($Q174=Parametres!$G$2,$Q174=Parametres!$G$3),I174,C174)</f>
        <v>-20404.849999999999</v>
      </c>
      <c r="O174" s="655">
        <f>+IF(OR($Q174=Parametres!$G$2,$Q174=Parametres!$G$3),J174,D174)</f>
        <v>-26095.200000000001</v>
      </c>
      <c r="P174" s="655">
        <f>+IF(OR($Q174=Parametres!$G$2,$Q174=Parametres!$G$3),K174,E174)</f>
        <v>-46500.05</v>
      </c>
      <c r="Q174" s="654" t="str">
        <f t="shared" ref="Q174:S174" si="165">+F174</f>
        <v>5-Ventes</v>
      </c>
      <c r="R174" s="653" t="str">
        <f t="shared" si="165"/>
        <v>4261</v>
      </c>
      <c r="S174" s="654">
        <f t="shared" si="165"/>
        <v>0</v>
      </c>
      <c r="T174" s="656" t="str">
        <f>+VLOOKUP($L174,Data_Validation!$A:$D,1,0)</f>
        <v>4285</v>
      </c>
      <c r="U174" s="656" t="str">
        <f>+VLOOKUP($L174,Data_Validation!$A:$D,3,0)</f>
        <v>Véhicules usagés</v>
      </c>
      <c r="V174" s="656" t="str">
        <f>+VLOOKUP($L174,Data_Validation!$A:$D,4,0)</f>
        <v>Autres Marques</v>
      </c>
      <c r="W174" s="656" t="str">
        <f>+VLOOKUP($L174,Data_Validation!$A:$E,5,0)</f>
        <v>$</v>
      </c>
      <c r="X174" s="656" t="str">
        <f>+VLOOKUP($L174,Data_Validation!$A:$F,6,0)</f>
        <v>Oui</v>
      </c>
    </row>
    <row r="175" spans="1:24" ht="15" customHeight="1">
      <c r="A175" s="1210" t="s">
        <v>1018</v>
      </c>
      <c r="B175" s="1210" t="s">
        <v>1942</v>
      </c>
      <c r="C175" s="1212">
        <v>-315330</v>
      </c>
      <c r="D175" s="1212">
        <v>-220905</v>
      </c>
      <c r="E175" s="1212">
        <v>-536235</v>
      </c>
      <c r="F175" s="1210" t="s">
        <v>963</v>
      </c>
      <c r="G175" s="1210" t="s">
        <v>1019</v>
      </c>
      <c r="H175" s="650"/>
      <c r="I175" s="665"/>
      <c r="J175" s="665"/>
      <c r="K175" s="665"/>
      <c r="L175" s="653" t="str">
        <f t="shared" si="132"/>
        <v>4291</v>
      </c>
      <c r="M175" s="654" t="str">
        <f t="shared" si="0"/>
        <v>VEH. D'OCC. AU GROS</v>
      </c>
      <c r="N175" s="655">
        <f>+IF(OR($Q175=Parametres!$G$2,$Q175=Parametres!$G$3),I175,C175)</f>
        <v>-315330</v>
      </c>
      <c r="O175" s="655">
        <f>+IF(OR($Q175=Parametres!$G$2,$Q175=Parametres!$G$3),J175,D175)</f>
        <v>-220905</v>
      </c>
      <c r="P175" s="655">
        <f>+IF(OR($Q175=Parametres!$G$2,$Q175=Parametres!$G$3),K175,E175)</f>
        <v>-536235</v>
      </c>
      <c r="Q175" s="654" t="str">
        <f t="shared" ref="Q175:S175" si="166">+F175</f>
        <v>5-Ventes</v>
      </c>
      <c r="R175" s="653" t="str">
        <f t="shared" si="166"/>
        <v>4281</v>
      </c>
      <c r="S175" s="654">
        <f t="shared" si="166"/>
        <v>0</v>
      </c>
      <c r="T175" s="656" t="str">
        <f>+VLOOKUP($L175,Data_Validation!$A:$D,1,0)</f>
        <v>4291</v>
      </c>
      <c r="U175" s="656" t="str">
        <f>+VLOOKUP($L175,Data_Validation!$A:$D,3,0)</f>
        <v>Véhicules usagés</v>
      </c>
      <c r="V175" s="656" t="str">
        <f>+VLOOKUP($L175,Data_Validation!$A:$D,4,0)</f>
        <v>Ventes au Gros</v>
      </c>
      <c r="W175" s="656" t="str">
        <f>+VLOOKUP($L175,Data_Validation!$A:$E,5,0)</f>
        <v>$</v>
      </c>
      <c r="X175" s="656" t="str">
        <f>+VLOOKUP($L175,Data_Validation!$A:$F,6,0)</f>
        <v>Oui</v>
      </c>
    </row>
    <row r="176" spans="1:24" ht="15.75" customHeight="1">
      <c r="A176" s="1210" t="s">
        <v>3671</v>
      </c>
      <c r="B176" s="1210" t="s">
        <v>1023</v>
      </c>
      <c r="C176" s="1212">
        <v>-97223.71</v>
      </c>
      <c r="D176" s="1212">
        <v>-93510.2</v>
      </c>
      <c r="E176" s="1212">
        <v>-190733.91</v>
      </c>
      <c r="F176" s="1210" t="s">
        <v>963</v>
      </c>
      <c r="G176" s="1210" t="s">
        <v>1023</v>
      </c>
      <c r="H176" s="650"/>
      <c r="I176" s="667"/>
      <c r="J176" s="667"/>
      <c r="K176" s="667"/>
      <c r="L176" s="653" t="str">
        <f t="shared" si="132"/>
        <v>4401</v>
      </c>
      <c r="M176" s="654" t="str">
        <f t="shared" si="0"/>
        <v>MAIN-D'OEUVRE - CLIENT VW - MCI</v>
      </c>
      <c r="N176" s="655">
        <f>+IF(OR($Q176=Parametres!$G$2,$Q176=Parametres!$G$3),I176,C176)</f>
        <v>-97223.71</v>
      </c>
      <c r="O176" s="655">
        <f>+IF(OR($Q176=Parametres!$G$2,$Q176=Parametres!$G$3),J176,D176)</f>
        <v>-93510.2</v>
      </c>
      <c r="P176" s="655">
        <f>+IF(OR($Q176=Parametres!$G$2,$Q176=Parametres!$G$3),K176,E176)</f>
        <v>-190733.91</v>
      </c>
      <c r="Q176" s="654" t="str">
        <f t="shared" ref="Q176:S176" si="167">+F176</f>
        <v>5-Ventes</v>
      </c>
      <c r="R176" s="653" t="str">
        <f t="shared" si="167"/>
        <v>4401</v>
      </c>
      <c r="S176" s="654">
        <f t="shared" si="167"/>
        <v>0</v>
      </c>
      <c r="T176" s="656" t="str">
        <f>+VLOOKUP($L176,Data_Validation!$A:$D,1,0)</f>
        <v>4401</v>
      </c>
      <c r="U176" s="656" t="str">
        <f>+VLOOKUP($L176,Data_Validation!$A:$D,3,0)</f>
        <v>Service</v>
      </c>
      <c r="V176" s="656" t="str">
        <f>+VLOOKUP($L176,Data_Validation!$A:$D,4,0)</f>
        <v>M/O Client</v>
      </c>
      <c r="W176" s="656" t="str">
        <f>+VLOOKUP($L176,Data_Validation!$A:$E,5,0)</f>
        <v>$</v>
      </c>
      <c r="X176" s="656" t="str">
        <f>+VLOOKUP($L176,Data_Validation!$A:$F,6,0)</f>
        <v>Oui</v>
      </c>
    </row>
    <row r="177" spans="1:24" ht="15" customHeight="1">
      <c r="A177" s="1210" t="s">
        <v>1025</v>
      </c>
      <c r="B177" s="1210" t="s">
        <v>1026</v>
      </c>
      <c r="C177" s="1212">
        <v>-3898.56</v>
      </c>
      <c r="D177" s="1212">
        <v>-3769.71</v>
      </c>
      <c r="E177" s="1212">
        <v>-7668.27</v>
      </c>
      <c r="F177" s="1210" t="s">
        <v>963</v>
      </c>
      <c r="G177" s="1210" t="s">
        <v>1026</v>
      </c>
      <c r="H177" s="651"/>
      <c r="I177" s="666"/>
      <c r="J177" s="666"/>
      <c r="K177" s="666"/>
      <c r="L177" s="653" t="str">
        <f t="shared" si="132"/>
        <v>4402</v>
      </c>
      <c r="M177" s="654" t="str">
        <f t="shared" si="0"/>
        <v>VTE - M.O. ESTHETIQUE CLIENT</v>
      </c>
      <c r="N177" s="655">
        <f>+IF(OR($Q177=Parametres!$G$2,$Q177=Parametres!$G$3),I177,C177)</f>
        <v>-3898.56</v>
      </c>
      <c r="O177" s="655">
        <f>+IF(OR($Q177=Parametres!$G$2,$Q177=Parametres!$G$3),J177,D177)</f>
        <v>-3769.71</v>
      </c>
      <c r="P177" s="655">
        <f>+IF(OR($Q177=Parametres!$G$2,$Q177=Parametres!$G$3),K177,E177)</f>
        <v>-7668.27</v>
      </c>
      <c r="Q177" s="654" t="str">
        <f t="shared" ref="Q177:S177" si="168">+F177</f>
        <v>5-Ventes</v>
      </c>
      <c r="R177" s="653" t="str">
        <f t="shared" si="168"/>
        <v>4402</v>
      </c>
      <c r="S177" s="654">
        <f t="shared" si="168"/>
        <v>0</v>
      </c>
      <c r="T177" s="656" t="str">
        <f>+VLOOKUP($L177,Data_Validation!$A:$D,1,0)</f>
        <v>4402</v>
      </c>
      <c r="U177" s="656" t="str">
        <f>+VLOOKUP($L177,Data_Validation!$A:$D,3,0)</f>
        <v>Service</v>
      </c>
      <c r="V177" s="656" t="str">
        <f>+VLOOKUP($L177,Data_Validation!$A:$D,4,0)</f>
        <v>M/O Esthétique</v>
      </c>
      <c r="W177" s="656" t="str">
        <f>+VLOOKUP($L177,Data_Validation!$A:$E,5,0)</f>
        <v>$</v>
      </c>
      <c r="X177" s="656" t="str">
        <f>+VLOOKUP($L177,Data_Validation!$A:$F,6,0)</f>
        <v>Oui</v>
      </c>
    </row>
    <row r="178" spans="1:24" ht="15" customHeight="1">
      <c r="A178" s="1210" t="s">
        <v>3672</v>
      </c>
      <c r="B178" s="1210" t="s">
        <v>1028</v>
      </c>
      <c r="C178" s="1212">
        <v>-78219.08</v>
      </c>
      <c r="D178" s="1212">
        <v>-67450.92</v>
      </c>
      <c r="E178" s="1212">
        <v>-145670</v>
      </c>
      <c r="F178" s="1210" t="s">
        <v>963</v>
      </c>
      <c r="G178" s="1210" t="s">
        <v>1028</v>
      </c>
      <c r="H178" s="651"/>
      <c r="I178" s="666"/>
      <c r="J178" s="666"/>
      <c r="K178" s="666"/>
      <c r="L178" s="653" t="str">
        <f t="shared" si="132"/>
        <v>4403</v>
      </c>
      <c r="M178" s="668" t="str">
        <f t="shared" si="0"/>
        <v>MAIN-D'OEUVRE - GARANTIE VW - MCI</v>
      </c>
      <c r="N178" s="655">
        <f>+IF(OR($Q178=Parametres!$G$2,$Q178=Parametres!$G$3),I178,C178)</f>
        <v>-78219.08</v>
      </c>
      <c r="O178" s="659">
        <f>+IF(OR($Q178=Parametres!$G$2,$Q178=Parametres!$G$3),J178,D178)</f>
        <v>-67450.92</v>
      </c>
      <c r="P178" s="669">
        <f>+IF(OR($Q178=Parametres!$G$2,$Q178=Parametres!$G$3),K178,E178)</f>
        <v>-145670</v>
      </c>
      <c r="Q178" s="654" t="str">
        <f t="shared" ref="Q178:S178" si="169">+F178</f>
        <v>5-Ventes</v>
      </c>
      <c r="R178" s="653" t="str">
        <f t="shared" si="169"/>
        <v>4403</v>
      </c>
      <c r="S178" s="654">
        <f t="shared" si="169"/>
        <v>0</v>
      </c>
      <c r="T178" s="656" t="str">
        <f>+VLOOKUP($L178,Data_Validation!$A:$D,1,0)</f>
        <v>4403</v>
      </c>
      <c r="U178" s="656" t="str">
        <f>+VLOOKUP($L178,Data_Validation!$A:$D,3,0)</f>
        <v>Service</v>
      </c>
      <c r="V178" s="656" t="str">
        <f>+VLOOKUP($L178,Data_Validation!$A:$D,4,0)</f>
        <v>M/O Garantie</v>
      </c>
      <c r="W178" s="656" t="str">
        <f>+VLOOKUP($L178,Data_Validation!$A:$E,5,0)</f>
        <v>$</v>
      </c>
      <c r="X178" s="656" t="str">
        <f>+VLOOKUP($L178,Data_Validation!$A:$F,6,0)</f>
        <v>Oui</v>
      </c>
    </row>
    <row r="179" spans="1:24" ht="15" customHeight="1">
      <c r="A179" s="1210" t="s">
        <v>3673</v>
      </c>
      <c r="B179" s="1210" t="s">
        <v>1031</v>
      </c>
      <c r="C179" s="1212">
        <v>-62020.07</v>
      </c>
      <c r="D179" s="1212">
        <v>-64648.27</v>
      </c>
      <c r="E179" s="1212">
        <v>-126668.34</v>
      </c>
      <c r="F179" s="1210" t="s">
        <v>963</v>
      </c>
      <c r="G179" s="1210" t="s">
        <v>1031</v>
      </c>
      <c r="H179" s="651"/>
      <c r="I179" s="666"/>
      <c r="J179" s="666"/>
      <c r="K179" s="666"/>
      <c r="L179" s="653" t="str">
        <f t="shared" si="132"/>
        <v>4405</v>
      </c>
      <c r="M179" s="654" t="str">
        <f t="shared" si="0"/>
        <v>MAIN-D'OEUVRE - INTERNE VW - MCI</v>
      </c>
      <c r="N179" s="655">
        <f>+IF(OR($Q179=Parametres!$G$2,$Q179=Parametres!$G$3),I179,C179)</f>
        <v>-62020.07</v>
      </c>
      <c r="O179" s="655">
        <f>+IF(OR($Q179=Parametres!$G$2,$Q179=Parametres!$G$3),J179,D179)</f>
        <v>-64648.27</v>
      </c>
      <c r="P179" s="655">
        <f>+IF(OR($Q179=Parametres!$G$2,$Q179=Parametres!$G$3),K179,E179)</f>
        <v>-126668.34</v>
      </c>
      <c r="Q179" s="654" t="str">
        <f t="shared" ref="Q179:S179" si="170">+F179</f>
        <v>5-Ventes</v>
      </c>
      <c r="R179" s="653" t="str">
        <f t="shared" si="170"/>
        <v>4405</v>
      </c>
      <c r="S179" s="654">
        <f t="shared" si="170"/>
        <v>0</v>
      </c>
      <c r="T179" s="656" t="str">
        <f>+VLOOKUP($L179,Data_Validation!$A:$D,1,0)</f>
        <v>4405</v>
      </c>
      <c r="U179" s="656" t="str">
        <f>+VLOOKUP($L179,Data_Validation!$A:$D,3,0)</f>
        <v>Service</v>
      </c>
      <c r="V179" s="656" t="str">
        <f>+VLOOKUP($L179,Data_Validation!$A:$D,4,0)</f>
        <v>M/O Interne</v>
      </c>
      <c r="W179" s="656" t="str">
        <f>+VLOOKUP($L179,Data_Validation!$A:$E,5,0)</f>
        <v>$</v>
      </c>
      <c r="X179" s="656" t="str">
        <f>+VLOOKUP($L179,Data_Validation!$A:$F,6,0)</f>
        <v>Oui</v>
      </c>
    </row>
    <row r="180" spans="1:24" ht="15" customHeight="1">
      <c r="A180" s="1210" t="s">
        <v>1033</v>
      </c>
      <c r="B180" s="1210" t="s">
        <v>1974</v>
      </c>
      <c r="C180" s="1212">
        <v>-16409.46</v>
      </c>
      <c r="D180" s="1212">
        <v>-16154.19</v>
      </c>
      <c r="E180" s="1212">
        <v>-32563.65</v>
      </c>
      <c r="F180" s="1210" t="s">
        <v>963</v>
      </c>
      <c r="G180" s="1210" t="s">
        <v>1034</v>
      </c>
      <c r="H180" s="651"/>
      <c r="I180" s="666"/>
      <c r="J180" s="666"/>
      <c r="K180" s="666"/>
      <c r="L180" s="653" t="str">
        <f t="shared" ref="L180:L243" si="171">TEXT(B180,0)</f>
        <v>4451</v>
      </c>
      <c r="M180" s="654" t="str">
        <f t="shared" ref="M180:M243" si="172">+A180</f>
        <v>CARBURANT/HUILE/GRAISSE</v>
      </c>
      <c r="N180" s="655">
        <f>+IF(OR($Q180=Parametres!$G$2,$Q180=Parametres!$G$3),I180,C180)</f>
        <v>-16409.46</v>
      </c>
      <c r="O180" s="659">
        <f>+IF(OR($Q180=Parametres!$G$2,$Q180=Parametres!$G$3),J180,D180)</f>
        <v>-16154.19</v>
      </c>
      <c r="P180" s="655">
        <f>+IF(OR($Q180=Parametres!$G$2,$Q180=Parametres!$G$3),K180,E180)</f>
        <v>-32563.65</v>
      </c>
      <c r="Q180" s="654" t="str">
        <f t="shared" ref="Q180:Q243" si="173">+F180</f>
        <v>5-Ventes</v>
      </c>
      <c r="R180" s="653" t="str">
        <f t="shared" ref="R180:R243" si="174">+G180</f>
        <v>4782</v>
      </c>
      <c r="S180" s="654">
        <f t="shared" ref="S180:S243" si="175">+H180</f>
        <v>0</v>
      </c>
      <c r="T180" s="656" t="str">
        <f>+VLOOKUP($L180,Data_Validation!$A:$D,1,0)</f>
        <v>4451</v>
      </c>
      <c r="U180" s="656" t="str">
        <f>+VLOOKUP($L180,Data_Validation!$A:$D,3,0)</f>
        <v>Pièces</v>
      </c>
      <c r="V180" s="656" t="str">
        <f>+VLOOKUP($L180,Data_Validation!$A:$D,4,0)</f>
        <v>Huiles et Graisse</v>
      </c>
      <c r="W180" s="656" t="str">
        <f>+VLOOKUP($L180,Data_Validation!$A:$E,5,0)</f>
        <v>$</v>
      </c>
      <c r="X180" s="656" t="str">
        <f>+VLOOKUP($L180,Data_Validation!$A:$F,6,0)</f>
        <v>Oui</v>
      </c>
    </row>
    <row r="181" spans="1:24" ht="15.75" customHeight="1">
      <c r="A181" s="1210" t="s">
        <v>1036</v>
      </c>
      <c r="B181" s="1210" t="s">
        <v>1037</v>
      </c>
      <c r="C181" s="1212">
        <v>-3334.65</v>
      </c>
      <c r="D181" s="1212">
        <v>-4675.8999999999996</v>
      </c>
      <c r="E181" s="1212">
        <v>-8010.55</v>
      </c>
      <c r="F181" s="1210" t="s">
        <v>963</v>
      </c>
      <c r="G181" s="1210" t="s">
        <v>1037</v>
      </c>
      <c r="H181" s="651"/>
      <c r="I181" s="666"/>
      <c r="J181" s="666"/>
      <c r="K181" s="666"/>
      <c r="L181" s="653" t="str">
        <f t="shared" si="171"/>
        <v>4491</v>
      </c>
      <c r="M181" s="654" t="str">
        <f t="shared" si="172"/>
        <v>REPARATION SOUS-LOC. - GENERAL</v>
      </c>
      <c r="N181" s="655">
        <f>+IF(OR($Q181=Parametres!$G$2,$Q181=Parametres!$G$3),I181,C181)</f>
        <v>-3334.65</v>
      </c>
      <c r="O181" s="655">
        <f>+IF(OR($Q181=Parametres!$G$2,$Q181=Parametres!$G$3),J181,D181)</f>
        <v>-4675.8999999999996</v>
      </c>
      <c r="P181" s="655">
        <f>+IF(OR($Q181=Parametres!$G$2,$Q181=Parametres!$G$3),K181,E181)</f>
        <v>-8010.55</v>
      </c>
      <c r="Q181" s="654" t="str">
        <f t="shared" si="173"/>
        <v>5-Ventes</v>
      </c>
      <c r="R181" s="653" t="str">
        <f t="shared" si="174"/>
        <v>4491</v>
      </c>
      <c r="S181" s="654">
        <f t="shared" si="175"/>
        <v>0</v>
      </c>
      <c r="T181" s="656" t="str">
        <f>+VLOOKUP($L181,Data_Validation!$A:$D,1,0)</f>
        <v>4491</v>
      </c>
      <c r="U181" s="656" t="str">
        <f>+VLOOKUP($L181,Data_Validation!$A:$D,3,0)</f>
        <v>Service</v>
      </c>
      <c r="V181" s="656" t="str">
        <f>+VLOOKUP($L181,Data_Validation!$A:$D,4,0)</f>
        <v>Sous-traitement</v>
      </c>
      <c r="W181" s="656" t="str">
        <f>+VLOOKUP($L181,Data_Validation!$A:$E,5,0)</f>
        <v>$</v>
      </c>
      <c r="X181" s="656" t="str">
        <f>+VLOOKUP($L181,Data_Validation!$A:$F,6,0)</f>
        <v>Oui</v>
      </c>
    </row>
    <row r="182" spans="1:24" ht="15.75" customHeight="1">
      <c r="A182" s="1210" t="s">
        <v>1039</v>
      </c>
      <c r="B182" s="1210" t="s">
        <v>1040</v>
      </c>
      <c r="C182" s="1212">
        <v>-210</v>
      </c>
      <c r="D182" s="1212">
        <v>-2850</v>
      </c>
      <c r="E182" s="1212">
        <v>-3060</v>
      </c>
      <c r="F182" s="1210" t="s">
        <v>963</v>
      </c>
      <c r="G182" s="1210" t="s">
        <v>1040</v>
      </c>
      <c r="H182" s="651"/>
      <c r="I182" s="666"/>
      <c r="J182" s="666"/>
      <c r="K182" s="666"/>
      <c r="L182" s="653" t="str">
        <f t="shared" si="171"/>
        <v>4493</v>
      </c>
      <c r="M182" s="654" t="str">
        <f t="shared" si="172"/>
        <v>VTE - SOUS-TRAITANCE GARANTIE</v>
      </c>
      <c r="N182" s="655">
        <f>+IF(OR($Q182=Parametres!$G$2,$Q182=Parametres!$G$3),I182,C182)</f>
        <v>-210</v>
      </c>
      <c r="O182" s="655">
        <f>+IF(OR($Q182=Parametres!$G$2,$Q182=Parametres!$G$3),J182,D182)</f>
        <v>-2850</v>
      </c>
      <c r="P182" s="655">
        <f>+IF(OR($Q182=Parametres!$G$2,$Q182=Parametres!$G$3),K182,E182)</f>
        <v>-3060</v>
      </c>
      <c r="Q182" s="654" t="str">
        <f t="shared" si="173"/>
        <v>5-Ventes</v>
      </c>
      <c r="R182" s="653" t="str">
        <f t="shared" si="174"/>
        <v>4493</v>
      </c>
      <c r="S182" s="654">
        <f t="shared" si="175"/>
        <v>0</v>
      </c>
      <c r="T182" s="656" t="str">
        <f>+VLOOKUP($L182,Data_Validation!$A:$D,1,0)</f>
        <v>4493</v>
      </c>
      <c r="U182" s="656" t="str">
        <f>+VLOOKUP($L182,Data_Validation!$A:$D,3,0)</f>
        <v>Service</v>
      </c>
      <c r="V182" s="656" t="str">
        <f>+VLOOKUP($L182,Data_Validation!$A:$D,4,0)</f>
        <v>Sous-traitement</v>
      </c>
      <c r="W182" s="656" t="str">
        <f>+VLOOKUP($L182,Data_Validation!$A:$E,5,0)</f>
        <v>$</v>
      </c>
      <c r="X182" s="656" t="str">
        <f>+VLOOKUP($L182,Data_Validation!$A:$F,6,0)</f>
        <v>Oui</v>
      </c>
    </row>
    <row r="183" spans="1:24" ht="15.75" customHeight="1">
      <c r="A183" s="1210" t="s">
        <v>1043</v>
      </c>
      <c r="B183" s="1210" t="s">
        <v>1044</v>
      </c>
      <c r="C183" s="1212">
        <v>-5399.5</v>
      </c>
      <c r="D183" s="1212">
        <v>-11884.5</v>
      </c>
      <c r="E183" s="1212">
        <v>-17284</v>
      </c>
      <c r="F183" s="1210" t="s">
        <v>963</v>
      </c>
      <c r="G183" s="1210" t="s">
        <v>1044</v>
      </c>
      <c r="H183" s="651"/>
      <c r="I183" s="666"/>
      <c r="J183" s="666"/>
      <c r="K183" s="666"/>
      <c r="L183" s="653" t="str">
        <f t="shared" si="171"/>
        <v>4495</v>
      </c>
      <c r="M183" s="654" t="str">
        <f t="shared" si="172"/>
        <v>VTE - S-TRAITANCE MEC.INTERNE VW</v>
      </c>
      <c r="N183" s="655">
        <f>+IF(OR($Q183=Parametres!$G$2,$Q183=Parametres!$G$3),I183,C183)</f>
        <v>-5399.5</v>
      </c>
      <c r="O183" s="655">
        <f>+IF(OR($Q183=Parametres!$G$2,$Q183=Parametres!$G$3),J183,D183)</f>
        <v>-11884.5</v>
      </c>
      <c r="P183" s="655">
        <f>+IF(OR($Q183=Parametres!$G$2,$Q183=Parametres!$G$3),K183,E183)</f>
        <v>-17284</v>
      </c>
      <c r="Q183" s="654" t="str">
        <f t="shared" si="173"/>
        <v>5-Ventes</v>
      </c>
      <c r="R183" s="653" t="str">
        <f t="shared" si="174"/>
        <v>4495</v>
      </c>
      <c r="S183" s="654">
        <f t="shared" si="175"/>
        <v>0</v>
      </c>
      <c r="T183" s="656" t="str">
        <f>+VLOOKUP($L183,Data_Validation!$A:$D,1,0)</f>
        <v>4495</v>
      </c>
      <c r="U183" s="656" t="str">
        <f>+VLOOKUP($L183,Data_Validation!$A:$D,3,0)</f>
        <v>Service</v>
      </c>
      <c r="V183" s="656" t="str">
        <f>+VLOOKUP($L183,Data_Validation!$A:$D,4,0)</f>
        <v>Sous-traitement</v>
      </c>
      <c r="W183" s="656" t="str">
        <f>+VLOOKUP($L183,Data_Validation!$A:$E,5,0)</f>
        <v>$</v>
      </c>
      <c r="X183" s="656" t="str">
        <f>+VLOOKUP($L183,Data_Validation!$A:$F,6,0)</f>
        <v>Oui</v>
      </c>
    </row>
    <row r="184" spans="1:24" ht="15.75" customHeight="1">
      <c r="A184" s="1210" t="s">
        <v>3426</v>
      </c>
      <c r="B184" s="1210" t="s">
        <v>3427</v>
      </c>
      <c r="C184" s="1212">
        <v>-4029.9</v>
      </c>
      <c r="D184" s="1212">
        <v>-6923.95</v>
      </c>
      <c r="E184" s="1212">
        <v>-10953.85</v>
      </c>
      <c r="F184" s="1210" t="s">
        <v>963</v>
      </c>
      <c r="G184" s="1210" t="s">
        <v>3427</v>
      </c>
      <c r="H184" s="651"/>
      <c r="I184" s="667"/>
      <c r="J184" s="667"/>
      <c r="K184" s="667"/>
      <c r="L184" s="653" t="str">
        <f t="shared" si="171"/>
        <v>4505</v>
      </c>
      <c r="M184" s="654" t="str">
        <f t="shared" si="172"/>
        <v>VTE - M.O. INTERNE CARROSSERIE</v>
      </c>
      <c r="N184" s="655">
        <f>+IF(OR($Q184=Parametres!$G$2,$Q184=Parametres!$G$3),I184,C184)</f>
        <v>-4029.9</v>
      </c>
      <c r="O184" s="659">
        <f>+IF(OR($Q184=Parametres!$G$2,$Q184=Parametres!$G$3),J184,D184)</f>
        <v>-6923.95</v>
      </c>
      <c r="P184" s="655">
        <f>+IF(OR($Q184=Parametres!$G$2,$Q184=Parametres!$G$3),K184,E184)</f>
        <v>-10953.85</v>
      </c>
      <c r="Q184" s="654" t="str">
        <f t="shared" si="173"/>
        <v>5-Ventes</v>
      </c>
      <c r="R184" s="653" t="str">
        <f t="shared" si="174"/>
        <v>4505</v>
      </c>
      <c r="S184" s="654">
        <f t="shared" si="175"/>
        <v>0</v>
      </c>
      <c r="T184" s="656" t="str">
        <f>+VLOOKUP($L184,Data_Validation!$A:$D,1,0)</f>
        <v>4505</v>
      </c>
      <c r="U184" s="656" t="str">
        <f>+VLOOKUP($L184,Data_Validation!$A:$D,3,0)</f>
        <v>Service</v>
      </c>
      <c r="V184" s="656" t="str">
        <f>+VLOOKUP($L184,Data_Validation!$A:$D,4,0)</f>
        <v>M.O. Recond. MCPA</v>
      </c>
      <c r="W184" s="656" t="str">
        <f>+VLOOKUP($L184,Data_Validation!$A:$E,5,0)</f>
        <v>$</v>
      </c>
      <c r="X184" s="656" t="str">
        <f>+VLOOKUP($L184,Data_Validation!$A:$F,6,0)</f>
        <v>Oui</v>
      </c>
    </row>
    <row r="185" spans="1:24" ht="15.75" customHeight="1">
      <c r="A185" s="1210" t="s">
        <v>1050</v>
      </c>
      <c r="B185" s="1210" t="s">
        <v>1051</v>
      </c>
      <c r="C185" s="1212">
        <v>-2613.14</v>
      </c>
      <c r="D185" s="1212">
        <v>-4905.91</v>
      </c>
      <c r="E185" s="1212">
        <v>-7519.05</v>
      </c>
      <c r="F185" s="1210" t="s">
        <v>963</v>
      </c>
      <c r="G185" s="1210" t="s">
        <v>1051</v>
      </c>
      <c r="H185" s="651"/>
      <c r="I185" s="666"/>
      <c r="J185" s="666"/>
      <c r="K185" s="666"/>
      <c r="L185" s="653" t="str">
        <f t="shared" si="171"/>
        <v>4591</v>
      </c>
      <c r="M185" s="654" t="str">
        <f t="shared" si="172"/>
        <v>VTE - S-TRAIT. CARR.</v>
      </c>
      <c r="N185" s="655">
        <f>+IF(OR($Q185=Parametres!$G$2,$Q185=Parametres!$G$3),I185,C185)</f>
        <v>-2613.14</v>
      </c>
      <c r="O185" s="655">
        <f>+IF(OR($Q185=Parametres!$G$2,$Q185=Parametres!$G$3),J185,D185)</f>
        <v>-4905.91</v>
      </c>
      <c r="P185" s="655">
        <f>+IF(OR($Q185=Parametres!$G$2,$Q185=Parametres!$G$3),K185,E185)</f>
        <v>-7519.05</v>
      </c>
      <c r="Q185" s="654" t="str">
        <f t="shared" si="173"/>
        <v>5-Ventes</v>
      </c>
      <c r="R185" s="653" t="str">
        <f t="shared" si="174"/>
        <v>4591</v>
      </c>
      <c r="S185" s="654">
        <f t="shared" si="175"/>
        <v>0</v>
      </c>
      <c r="T185" s="656" t="str">
        <f>+VLOOKUP($L185,Data_Validation!$A:$D,1,0)</f>
        <v>4591</v>
      </c>
      <c r="U185" s="656" t="str">
        <f>+VLOOKUP($L185,Data_Validation!$A:$D,3,0)</f>
        <v>Carrosserie</v>
      </c>
      <c r="V185" s="656" t="str">
        <f>+VLOOKUP($L185,Data_Validation!$A:$D,4,0)</f>
        <v>M/O Sous-traitement</v>
      </c>
      <c r="W185" s="656" t="str">
        <f>+VLOOKUP($L185,Data_Validation!$A:$E,5,0)</f>
        <v>$</v>
      </c>
      <c r="X185" s="656" t="str">
        <f>+VLOOKUP($L185,Data_Validation!$A:$F,6,0)</f>
        <v>Oui</v>
      </c>
    </row>
    <row r="186" spans="1:24" ht="15.75" customHeight="1">
      <c r="A186" s="1210" t="s">
        <v>1054</v>
      </c>
      <c r="B186" s="1210" t="s">
        <v>1055</v>
      </c>
      <c r="C186" s="1212">
        <v>-5120.99</v>
      </c>
      <c r="D186" s="1212">
        <v>-15702.99</v>
      </c>
      <c r="E186" s="1212">
        <v>-20823.98</v>
      </c>
      <c r="F186" s="1210" t="s">
        <v>963</v>
      </c>
      <c r="G186" s="1210" t="s">
        <v>1055</v>
      </c>
      <c r="H186" s="651"/>
      <c r="I186" s="667"/>
      <c r="J186" s="667"/>
      <c r="K186" s="667"/>
      <c r="L186" s="653" t="str">
        <f t="shared" si="171"/>
        <v>4593</v>
      </c>
      <c r="M186" s="654" t="str">
        <f t="shared" si="172"/>
        <v>VTE - SOUS-TRAITANCE GARANTIE CARR.</v>
      </c>
      <c r="N186" s="655">
        <f>+IF(OR($Q186=Parametres!$G$2,$Q186=Parametres!$G$3),I186,C186)</f>
        <v>-5120.99</v>
      </c>
      <c r="O186" s="659">
        <f>+IF(OR($Q186=Parametres!$G$2,$Q186=Parametres!$G$3),J186,D186)</f>
        <v>-15702.99</v>
      </c>
      <c r="P186" s="655">
        <f>+IF(OR($Q186=Parametres!$G$2,$Q186=Parametres!$G$3),K186,E186)</f>
        <v>-20823.98</v>
      </c>
      <c r="Q186" s="654" t="str">
        <f t="shared" si="173"/>
        <v>5-Ventes</v>
      </c>
      <c r="R186" s="653" t="str">
        <f t="shared" si="174"/>
        <v>4593</v>
      </c>
      <c r="S186" s="654">
        <f t="shared" si="175"/>
        <v>0</v>
      </c>
      <c r="T186" s="656" t="str">
        <f>+VLOOKUP($L186,Data_Validation!$A:$D,1,0)</f>
        <v>4593</v>
      </c>
      <c r="U186" s="656" t="str">
        <f>+VLOOKUP($L186,Data_Validation!$A:$D,3,0)</f>
        <v>Carrosserie</v>
      </c>
      <c r="V186" s="656" t="str">
        <f>+VLOOKUP($L186,Data_Validation!$A:$D,4,0)</f>
        <v>M/O Sous-traitement</v>
      </c>
      <c r="W186" s="656" t="str">
        <f>+VLOOKUP($L186,Data_Validation!$A:$E,5,0)</f>
        <v>$</v>
      </c>
      <c r="X186" s="656" t="str">
        <f>+VLOOKUP($L186,Data_Validation!$A:$F,6,0)</f>
        <v>Oui</v>
      </c>
    </row>
    <row r="187" spans="1:24" ht="15" customHeight="1">
      <c r="A187" s="1210" t="s">
        <v>1058</v>
      </c>
      <c r="B187" s="1210" t="s">
        <v>1059</v>
      </c>
      <c r="C187" s="1212">
        <v>-4190.22</v>
      </c>
      <c r="D187" s="1212">
        <v>0</v>
      </c>
      <c r="E187" s="1212">
        <v>-4190.22</v>
      </c>
      <c r="F187" s="1210" t="s">
        <v>963</v>
      </c>
      <c r="G187" s="1210" t="s">
        <v>1059</v>
      </c>
      <c r="H187" s="651"/>
      <c r="I187" s="666"/>
      <c r="J187" s="666"/>
      <c r="K187" s="666"/>
      <c r="L187" s="653" t="str">
        <f t="shared" si="171"/>
        <v>4595</v>
      </c>
      <c r="M187" s="654" t="str">
        <f t="shared" si="172"/>
        <v>VTE - SOUS-TRAITANCE INTERNE CARR.</v>
      </c>
      <c r="N187" s="655">
        <f>+IF(OR($Q187=Parametres!$G$2,$Q187=Parametres!$G$3),I187,C187)</f>
        <v>-4190.22</v>
      </c>
      <c r="O187" s="655">
        <f>+IF(OR($Q187=Parametres!$G$2,$Q187=Parametres!$G$3),J187,D187)</f>
        <v>0</v>
      </c>
      <c r="P187" s="655">
        <f>+IF(OR($Q187=Parametres!$G$2,$Q187=Parametres!$G$3),K187,E187)</f>
        <v>-4190.22</v>
      </c>
      <c r="Q187" s="654" t="str">
        <f t="shared" si="173"/>
        <v>5-Ventes</v>
      </c>
      <c r="R187" s="653" t="str">
        <f t="shared" si="174"/>
        <v>4595</v>
      </c>
      <c r="S187" s="654">
        <f t="shared" si="175"/>
        <v>0</v>
      </c>
      <c r="T187" s="656" t="str">
        <f>+VLOOKUP($L187,Data_Validation!$A:$D,1,0)</f>
        <v>4595</v>
      </c>
      <c r="U187" s="656" t="str">
        <f>+VLOOKUP($L187,Data_Validation!$A:$D,3,0)</f>
        <v>Carrosserie</v>
      </c>
      <c r="V187" s="656" t="str">
        <f>+VLOOKUP($L187,Data_Validation!$A:$D,4,0)</f>
        <v>M/O Sous-traitement</v>
      </c>
      <c r="W187" s="656" t="str">
        <f>+VLOOKUP($L187,Data_Validation!$A:$E,5,0)</f>
        <v>$</v>
      </c>
      <c r="X187" s="656" t="str">
        <f>+VLOOKUP($L187,Data_Validation!$A:$F,6,0)</f>
        <v>Oui</v>
      </c>
    </row>
    <row r="188" spans="1:24" ht="15" customHeight="1">
      <c r="A188" s="1210" t="s">
        <v>3674</v>
      </c>
      <c r="B188" s="1210" t="s">
        <v>1063</v>
      </c>
      <c r="C188" s="1212">
        <v>-63862.71</v>
      </c>
      <c r="D188" s="1212">
        <v>-58582.91</v>
      </c>
      <c r="E188" s="1212">
        <v>-122445.62</v>
      </c>
      <c r="F188" s="1210" t="s">
        <v>963</v>
      </c>
      <c r="G188" s="1210" t="s">
        <v>1063</v>
      </c>
      <c r="H188" s="651"/>
      <c r="I188" s="652"/>
      <c r="J188" s="652"/>
      <c r="K188" s="652"/>
      <c r="L188" s="653" t="str">
        <f t="shared" si="171"/>
        <v>4701</v>
      </c>
      <c r="M188" s="654" t="str">
        <f t="shared" si="172"/>
        <v>VW P&amp;A - BR - CLIENT - MCI</v>
      </c>
      <c r="N188" s="655">
        <f>+IF(OR($Q188=Parametres!$G$2,$Q188=Parametres!$G$3),I188,C188)</f>
        <v>-63862.71</v>
      </c>
      <c r="O188" s="655">
        <f>+IF(OR($Q188=Parametres!$G$2,$Q188=Parametres!$G$3),J188,D188)</f>
        <v>-58582.91</v>
      </c>
      <c r="P188" s="655">
        <f>+IF(OR($Q188=Parametres!$G$2,$Q188=Parametres!$G$3),K188,E188)</f>
        <v>-122445.62</v>
      </c>
      <c r="Q188" s="654" t="str">
        <f t="shared" si="173"/>
        <v>5-Ventes</v>
      </c>
      <c r="R188" s="653" t="str">
        <f t="shared" si="174"/>
        <v>4701</v>
      </c>
      <c r="S188" s="654">
        <f t="shared" si="175"/>
        <v>0</v>
      </c>
      <c r="T188" s="656" t="str">
        <f>+VLOOKUP($L188,Data_Validation!$A:$D,1,0)</f>
        <v>4701</v>
      </c>
      <c r="U188" s="656" t="str">
        <f>+VLOOKUP($L188,Data_Validation!$A:$D,3,0)</f>
        <v>Pièces</v>
      </c>
      <c r="V188" s="656" t="str">
        <f>+VLOOKUP($L188,Data_Validation!$A:$D,4,0)</f>
        <v>Pièces Ro Clients</v>
      </c>
      <c r="W188" s="656" t="str">
        <f>+VLOOKUP($L188,Data_Validation!$A:$E,5,0)</f>
        <v>$</v>
      </c>
      <c r="X188" s="656" t="str">
        <f>+VLOOKUP($L188,Data_Validation!$A:$F,6,0)</f>
        <v>Oui</v>
      </c>
    </row>
    <row r="189" spans="1:24" ht="15" customHeight="1">
      <c r="A189" s="1210" t="s">
        <v>1066</v>
      </c>
      <c r="B189" s="1210" t="s">
        <v>1067</v>
      </c>
      <c r="C189" s="1212">
        <v>-322.05</v>
      </c>
      <c r="D189" s="1212">
        <v>-381.8</v>
      </c>
      <c r="E189" s="1212">
        <v>-703.85</v>
      </c>
      <c r="F189" s="1210" t="s">
        <v>963</v>
      </c>
      <c r="G189" s="1210" t="s">
        <v>1067</v>
      </c>
      <c r="H189" s="651"/>
      <c r="I189" s="651"/>
      <c r="J189" s="651"/>
      <c r="K189" s="651"/>
      <c r="L189" s="653" t="str">
        <f t="shared" si="171"/>
        <v>4702</v>
      </c>
      <c r="M189" s="654" t="str">
        <f t="shared" si="172"/>
        <v>VTE - SHOP SUPPLY VW</v>
      </c>
      <c r="N189" s="655">
        <f>+IF(OR($Q189=Parametres!$G$2,$Q189=Parametres!$G$3),I189,C189)</f>
        <v>-322.05</v>
      </c>
      <c r="O189" s="655">
        <f>+IF(OR($Q189=Parametres!$G$2,$Q189=Parametres!$G$3),J189,D189)</f>
        <v>-381.8</v>
      </c>
      <c r="P189" s="655">
        <f>+IF(OR($Q189=Parametres!$G$2,$Q189=Parametres!$G$3),K189,E189)</f>
        <v>-703.85</v>
      </c>
      <c r="Q189" s="654" t="str">
        <f t="shared" si="173"/>
        <v>5-Ventes</v>
      </c>
      <c r="R189" s="653" t="str">
        <f t="shared" si="174"/>
        <v>4702</v>
      </c>
      <c r="S189" s="654">
        <f t="shared" si="175"/>
        <v>0</v>
      </c>
      <c r="T189" s="656" t="str">
        <f>+VLOOKUP($L189,Data_Validation!$A:$D,1,0)</f>
        <v>4702</v>
      </c>
      <c r="U189" s="656" t="str">
        <f>+VLOOKUP($L189,Data_Validation!$A:$D,3,0)</f>
        <v>Service</v>
      </c>
      <c r="V189" s="656" t="str">
        <f>+VLOOKUP($L189,Data_Validation!$A:$D,4,0)</f>
        <v>M/O Client</v>
      </c>
      <c r="W189" s="656" t="str">
        <f>+VLOOKUP($L189,Data_Validation!$A:$E,5,0)</f>
        <v>$</v>
      </c>
      <c r="X189" s="656" t="str">
        <f>+VLOOKUP($L189,Data_Validation!$A:$F,6,0)</f>
        <v>Oui</v>
      </c>
    </row>
    <row r="190" spans="1:24" ht="15" customHeight="1">
      <c r="A190" s="1210" t="s">
        <v>3675</v>
      </c>
      <c r="B190" s="1210" t="s">
        <v>1069</v>
      </c>
      <c r="C190" s="1212">
        <v>-93363.8</v>
      </c>
      <c r="D190" s="1212">
        <v>-81364.36</v>
      </c>
      <c r="E190" s="1212">
        <v>-174728.16</v>
      </c>
      <c r="F190" s="1210" t="s">
        <v>963</v>
      </c>
      <c r="G190" s="1210" t="s">
        <v>1069</v>
      </c>
      <c r="H190" s="651"/>
      <c r="I190" s="652"/>
      <c r="J190" s="652"/>
      <c r="K190" s="652"/>
      <c r="L190" s="653" t="str">
        <f t="shared" si="171"/>
        <v>4703</v>
      </c>
      <c r="M190" s="654" t="str">
        <f t="shared" si="172"/>
        <v>VW P&amp;A - BR - GARANTIE - MCI</v>
      </c>
      <c r="N190" s="655">
        <f>+IF(OR($Q190=Parametres!$G$2,$Q190=Parametres!$G$3),I190,C190)</f>
        <v>-93363.8</v>
      </c>
      <c r="O190" s="655">
        <f>+IF(OR($Q190=Parametres!$G$2,$Q190=Parametres!$G$3),J190,D190)</f>
        <v>-81364.36</v>
      </c>
      <c r="P190" s="655">
        <f>+IF(OR($Q190=Parametres!$G$2,$Q190=Parametres!$G$3),K190,E190)</f>
        <v>-174728.16</v>
      </c>
      <c r="Q190" s="654" t="str">
        <f t="shared" si="173"/>
        <v>5-Ventes</v>
      </c>
      <c r="R190" s="653" t="str">
        <f t="shared" si="174"/>
        <v>4703</v>
      </c>
      <c r="S190" s="654">
        <f t="shared" si="175"/>
        <v>0</v>
      </c>
      <c r="T190" s="656" t="str">
        <f>+VLOOKUP($L190,Data_Validation!$A:$D,1,0)</f>
        <v>4703</v>
      </c>
      <c r="U190" s="656" t="str">
        <f>+VLOOKUP($L190,Data_Validation!$A:$D,3,0)</f>
        <v>Pièces</v>
      </c>
      <c r="V190" s="656" t="str">
        <f>+VLOOKUP($L190,Data_Validation!$A:$D,4,0)</f>
        <v>P/A Garantie</v>
      </c>
      <c r="W190" s="656" t="str">
        <f>+VLOOKUP($L190,Data_Validation!$A:$E,5,0)</f>
        <v>$</v>
      </c>
      <c r="X190" s="656" t="str">
        <f>+VLOOKUP($L190,Data_Validation!$A:$F,6,0)</f>
        <v>Oui</v>
      </c>
    </row>
    <row r="191" spans="1:24" ht="15" customHeight="1">
      <c r="A191" s="1210" t="s">
        <v>3676</v>
      </c>
      <c r="B191" s="1210" t="s">
        <v>1073</v>
      </c>
      <c r="C191" s="1212">
        <v>-80439.509999999995</v>
      </c>
      <c r="D191" s="1212">
        <v>-63496.06</v>
      </c>
      <c r="E191" s="1212">
        <v>-143935.57</v>
      </c>
      <c r="F191" s="1210" t="s">
        <v>963</v>
      </c>
      <c r="G191" s="1210" t="s">
        <v>1073</v>
      </c>
      <c r="H191" s="651"/>
      <c r="I191" s="651"/>
      <c r="J191" s="651"/>
      <c r="K191" s="670"/>
      <c r="L191" s="653" t="str">
        <f t="shared" si="171"/>
        <v>4705</v>
      </c>
      <c r="M191" s="654" t="str">
        <f t="shared" si="172"/>
        <v>VW P&amp;A - BR - INTERNE - MCI</v>
      </c>
      <c r="N191" s="655">
        <f>+IF(OR($Q191=Parametres!$G$2,$Q191=Parametres!$G$3),I191,C191)</f>
        <v>-80439.509999999995</v>
      </c>
      <c r="O191" s="655">
        <f>+IF(OR($Q191=Parametres!$G$2,$Q191=Parametres!$G$3),J191,D191)</f>
        <v>-63496.06</v>
      </c>
      <c r="P191" s="655">
        <f>+IF(OR($Q191=Parametres!$G$2,$Q191=Parametres!$G$3),K191,E191)</f>
        <v>-143935.57</v>
      </c>
      <c r="Q191" s="654" t="str">
        <f t="shared" si="173"/>
        <v>5-Ventes</v>
      </c>
      <c r="R191" s="653" t="str">
        <f t="shared" si="174"/>
        <v>4705</v>
      </c>
      <c r="S191" s="654">
        <f t="shared" si="175"/>
        <v>0</v>
      </c>
      <c r="T191" s="656" t="str">
        <f>+VLOOKUP($L191,Data_Validation!$A:$D,1,0)</f>
        <v>4705</v>
      </c>
      <c r="U191" s="656" t="str">
        <f>+VLOOKUP($L191,Data_Validation!$A:$D,3,0)</f>
        <v>Pièces</v>
      </c>
      <c r="V191" s="656" t="str">
        <f>+VLOOKUP($L191,Data_Validation!$A:$D,4,0)</f>
        <v>Ventes Internes</v>
      </c>
      <c r="W191" s="656" t="str">
        <f>+VLOOKUP($L191,Data_Validation!$A:$E,5,0)</f>
        <v>$</v>
      </c>
      <c r="X191" s="656" t="str">
        <f>+VLOOKUP($L191,Data_Validation!$A:$F,6,0)</f>
        <v>Oui</v>
      </c>
    </row>
    <row r="192" spans="1:24" ht="15" customHeight="1">
      <c r="A192" s="1210" t="s">
        <v>3677</v>
      </c>
      <c r="B192" s="1210" t="s">
        <v>1076</v>
      </c>
      <c r="C192" s="1212">
        <v>-145.12</v>
      </c>
      <c r="D192" s="1212">
        <v>-105.07</v>
      </c>
      <c r="E192" s="1212">
        <v>-250.19</v>
      </c>
      <c r="F192" s="1210" t="s">
        <v>963</v>
      </c>
      <c r="G192" s="1210" t="s">
        <v>1076</v>
      </c>
      <c r="H192" s="651"/>
      <c r="I192" s="652"/>
      <c r="J192" s="652"/>
      <c r="K192" s="652"/>
      <c r="L192" s="653" t="str">
        <f t="shared" si="171"/>
        <v>4706</v>
      </c>
      <c r="M192" s="654" t="str">
        <f t="shared" si="172"/>
        <v>VW P&amp;A - BR - CLIENT - VEB</v>
      </c>
      <c r="N192" s="655">
        <f>+IF(OR($Q192=Parametres!$G$2,$Q192=Parametres!$G$3),I192,C192)</f>
        <v>-145.12</v>
      </c>
      <c r="O192" s="655">
        <f>+IF(OR($Q192=Parametres!$G$2,$Q192=Parametres!$G$3),J192,D192)</f>
        <v>-105.07</v>
      </c>
      <c r="P192" s="655">
        <f>+IF(OR($Q192=Parametres!$G$2,$Q192=Parametres!$G$3),K192,E192)</f>
        <v>-250.19</v>
      </c>
      <c r="Q192" s="654" t="str">
        <f t="shared" si="173"/>
        <v>5-Ventes</v>
      </c>
      <c r="R192" s="653" t="str">
        <f t="shared" si="174"/>
        <v>4706</v>
      </c>
      <c r="S192" s="654">
        <f t="shared" si="175"/>
        <v>0</v>
      </c>
      <c r="T192" s="656" t="str">
        <f>+VLOOKUP($L192,Data_Validation!$A:$D,1,0)</f>
        <v>4706</v>
      </c>
      <c r="U192" s="656" t="str">
        <f>+VLOOKUP($L192,Data_Validation!$A:$D,3,0)</f>
        <v>Service</v>
      </c>
      <c r="V192" s="656" t="str">
        <f>+VLOOKUP($L192,Data_Validation!$A:$D,4,0)</f>
        <v>M/O Interne</v>
      </c>
      <c r="W192" s="656" t="str">
        <f>+VLOOKUP($L192,Data_Validation!$A:$E,5,0)</f>
        <v>$</v>
      </c>
      <c r="X192" s="656" t="str">
        <f>+VLOOKUP($L192,Data_Validation!$A:$F,6,0)</f>
        <v>Oui</v>
      </c>
    </row>
    <row r="193" spans="1:24" ht="15" customHeight="1">
      <c r="A193" s="1210" t="s">
        <v>1077</v>
      </c>
      <c r="B193" s="1210" t="s">
        <v>1142</v>
      </c>
      <c r="C193" s="1212">
        <v>-3207.79</v>
      </c>
      <c r="D193" s="1212">
        <v>-1995.92</v>
      </c>
      <c r="E193" s="1212">
        <v>-5203.71</v>
      </c>
      <c r="F193" s="1210" t="s">
        <v>963</v>
      </c>
      <c r="G193" s="1210" t="s">
        <v>1078</v>
      </c>
      <c r="H193" s="651"/>
      <c r="I193" s="651"/>
      <c r="J193" s="651"/>
      <c r="K193" s="670"/>
      <c r="L193" s="653" t="str">
        <f t="shared" si="171"/>
        <v>4711</v>
      </c>
      <c r="M193" s="654" t="str">
        <f t="shared" si="172"/>
        <v>VTE - AUTRE PIECE/ACC/CARR B.R. CLIENT</v>
      </c>
      <c r="N193" s="655">
        <f>+IF(OR($Q193=Parametres!$G$2,$Q193=Parametres!$G$3),I193,C193)</f>
        <v>-3207.79</v>
      </c>
      <c r="O193" s="655">
        <f>+IF(OR($Q193=Parametres!$G$2,$Q193=Parametres!$G$3),J193,D193)</f>
        <v>-1995.92</v>
      </c>
      <c r="P193" s="655">
        <f>+IF(OR($Q193=Parametres!$G$2,$Q193=Parametres!$G$3),K193,E193)</f>
        <v>-5203.71</v>
      </c>
      <c r="Q193" s="654" t="str">
        <f t="shared" si="173"/>
        <v>5-Ventes</v>
      </c>
      <c r="R193" s="653" t="str">
        <f t="shared" si="174"/>
        <v>84711</v>
      </c>
      <c r="S193" s="654">
        <f t="shared" si="175"/>
        <v>0</v>
      </c>
      <c r="T193" s="656" t="str">
        <f>+VLOOKUP($L193,Data_Validation!$A:$D,1,0)</f>
        <v>4711</v>
      </c>
      <c r="U193" s="656" t="str">
        <f>+VLOOKUP($L193,Data_Validation!$A:$D,3,0)</f>
        <v>Pièces</v>
      </c>
      <c r="V193" s="656" t="str">
        <f>+VLOOKUP($L193,Data_Validation!$A:$D,4,0)</f>
        <v>Pièces Ro Clients</v>
      </c>
      <c r="W193" s="656" t="str">
        <f>+VLOOKUP($L193,Data_Validation!$A:$E,5,0)</f>
        <v>$</v>
      </c>
      <c r="X193" s="656" t="str">
        <f>+VLOOKUP($L193,Data_Validation!$A:$F,6,0)</f>
        <v>Oui</v>
      </c>
    </row>
    <row r="194" spans="1:24" ht="15.75" customHeight="1">
      <c r="A194" s="1210" t="s">
        <v>3679</v>
      </c>
      <c r="B194" s="1210" t="s">
        <v>1090</v>
      </c>
      <c r="C194" s="1212">
        <v>-1720.24</v>
      </c>
      <c r="D194" s="1212">
        <v>-10964.62</v>
      </c>
      <c r="E194" s="1212">
        <v>-12684.86</v>
      </c>
      <c r="F194" s="1210" t="s">
        <v>963</v>
      </c>
      <c r="G194" s="1210" t="s">
        <v>1090</v>
      </c>
      <c r="H194" s="651"/>
      <c r="I194" s="652"/>
      <c r="J194" s="652"/>
      <c r="K194" s="652"/>
      <c r="L194" s="653" t="str">
        <f t="shared" si="171"/>
        <v>4733</v>
      </c>
      <c r="M194" s="654" t="str">
        <f t="shared" si="172"/>
        <v>VW-P&amp;A-P&amp;BRO-GARANTIE - MCI</v>
      </c>
      <c r="N194" s="655">
        <f>+IF(OR($Q194=Parametres!$G$2,$Q194=Parametres!$G$3),I194,C194)</f>
        <v>-1720.24</v>
      </c>
      <c r="O194" s="655">
        <f>+IF(OR($Q194=Parametres!$G$2,$Q194=Parametres!$G$3),J194,D194)</f>
        <v>-10964.62</v>
      </c>
      <c r="P194" s="655">
        <f>+IF(OR($Q194=Parametres!$G$2,$Q194=Parametres!$G$3),K194,E194)</f>
        <v>-12684.86</v>
      </c>
      <c r="Q194" s="654" t="str">
        <f t="shared" si="173"/>
        <v>5-Ventes</v>
      </c>
      <c r="R194" s="653" t="str">
        <f t="shared" si="174"/>
        <v>4733</v>
      </c>
      <c r="S194" s="654">
        <f t="shared" si="175"/>
        <v>0</v>
      </c>
      <c r="T194" s="656" t="str">
        <f>+VLOOKUP($L194,Data_Validation!$A:$D,1,0)</f>
        <v>4733</v>
      </c>
      <c r="U194" s="656" t="str">
        <f>+VLOOKUP($L194,Data_Validation!$A:$D,3,0)</f>
        <v>Pièces</v>
      </c>
      <c r="V194" s="656" t="str">
        <f>+VLOOKUP($L194,Data_Validation!$A:$D,4,0)</f>
        <v>Pièces Ro Carrosserie</v>
      </c>
      <c r="W194" s="656" t="str">
        <f>+VLOOKUP($L194,Data_Validation!$A:$E,5,0)</f>
        <v>$</v>
      </c>
      <c r="X194" s="656" t="str">
        <f>+VLOOKUP($L194,Data_Validation!$A:$F,6,0)</f>
        <v>Oui</v>
      </c>
    </row>
    <row r="195" spans="1:24" ht="15" customHeight="1">
      <c r="A195" s="1210" t="s">
        <v>3680</v>
      </c>
      <c r="B195" s="1210" t="s">
        <v>1094</v>
      </c>
      <c r="C195" s="1212">
        <v>-633.58000000000004</v>
      </c>
      <c r="D195" s="1212">
        <v>0</v>
      </c>
      <c r="E195" s="1212">
        <v>-633.58000000000004</v>
      </c>
      <c r="F195" s="1210" t="s">
        <v>963</v>
      </c>
      <c r="G195" s="1210" t="s">
        <v>1094</v>
      </c>
      <c r="H195" s="651"/>
      <c r="I195" s="670"/>
      <c r="J195" s="651"/>
      <c r="K195" s="670"/>
      <c r="L195" s="653" t="str">
        <f t="shared" si="171"/>
        <v>4735</v>
      </c>
      <c r="M195" s="654" t="str">
        <f t="shared" si="172"/>
        <v>VW-P&amp;A-P&amp;BRO-INTERNE - MCI</v>
      </c>
      <c r="N195" s="655">
        <f>+IF(OR($Q195=Parametres!$G$2,$Q195=Parametres!$G$3),I195,C195)</f>
        <v>-633.58000000000004</v>
      </c>
      <c r="O195" s="655">
        <f>+IF(OR($Q195=Parametres!$G$2,$Q195=Parametres!$G$3),J195,D195)</f>
        <v>0</v>
      </c>
      <c r="P195" s="655">
        <f>+IF(OR($Q195=Parametres!$G$2,$Q195=Parametres!$G$3),K195,E195)</f>
        <v>-633.58000000000004</v>
      </c>
      <c r="Q195" s="654" t="str">
        <f t="shared" si="173"/>
        <v>5-Ventes</v>
      </c>
      <c r="R195" s="653" t="str">
        <f t="shared" si="174"/>
        <v>4735</v>
      </c>
      <c r="S195" s="654">
        <f t="shared" si="175"/>
        <v>0</v>
      </c>
      <c r="T195" s="656" t="str">
        <f>+VLOOKUP($L195,Data_Validation!$A:$D,1,0)</f>
        <v>4735</v>
      </c>
      <c r="U195" s="656" t="str">
        <f>+VLOOKUP($L195,Data_Validation!$A:$D,3,0)</f>
        <v>Pièces</v>
      </c>
      <c r="V195" s="656" t="str">
        <f>+VLOOKUP($L195,Data_Validation!$A:$D,4,0)</f>
        <v>Pièces Ro Carrosserie</v>
      </c>
      <c r="W195" s="656" t="str">
        <f>+VLOOKUP($L195,Data_Validation!$A:$E,5,0)</f>
        <v>$</v>
      </c>
      <c r="X195" s="656" t="str">
        <f>+VLOOKUP($L195,Data_Validation!$A:$F,6,0)</f>
        <v>Oui</v>
      </c>
    </row>
    <row r="196" spans="1:24" ht="15" customHeight="1">
      <c r="A196" s="1210" t="s">
        <v>1097</v>
      </c>
      <c r="B196" s="1210" t="s">
        <v>1098</v>
      </c>
      <c r="C196" s="1212">
        <v>-11490.9</v>
      </c>
      <c r="D196" s="1212">
        <v>-19021.86</v>
      </c>
      <c r="E196" s="1212">
        <v>-30512.76</v>
      </c>
      <c r="F196" s="1210" t="s">
        <v>963</v>
      </c>
      <c r="G196" s="1210" t="s">
        <v>1098</v>
      </c>
      <c r="H196" s="651"/>
      <c r="I196" s="652"/>
      <c r="J196" s="652"/>
      <c r="K196" s="652"/>
      <c r="L196" s="653" t="str">
        <f t="shared" si="171"/>
        <v>4761</v>
      </c>
      <c r="M196" s="654" t="str">
        <f t="shared" si="172"/>
        <v>VTE - P&amp;A VW COMPTOIR - DETAIL</v>
      </c>
      <c r="N196" s="655">
        <f>+IF(OR($Q196=Parametres!$G$2,$Q196=Parametres!$G$3),I196,C196)</f>
        <v>-11490.9</v>
      </c>
      <c r="O196" s="655">
        <f>+IF(OR($Q196=Parametres!$G$2,$Q196=Parametres!$G$3),J196,D196)</f>
        <v>-19021.86</v>
      </c>
      <c r="P196" s="655">
        <f>+IF(OR($Q196=Parametres!$G$2,$Q196=Parametres!$G$3),K196,E196)</f>
        <v>-30512.76</v>
      </c>
      <c r="Q196" s="654" t="str">
        <f t="shared" si="173"/>
        <v>5-Ventes</v>
      </c>
      <c r="R196" s="653" t="str">
        <f t="shared" si="174"/>
        <v>4761</v>
      </c>
      <c r="S196" s="654">
        <f t="shared" si="175"/>
        <v>0</v>
      </c>
      <c r="T196" s="656" t="str">
        <f>+VLOOKUP($L196,Data_Validation!$A:$D,1,0)</f>
        <v>4761</v>
      </c>
      <c r="U196" s="656" t="str">
        <f>+VLOOKUP($L196,Data_Validation!$A:$D,3,0)</f>
        <v>Pièces</v>
      </c>
      <c r="V196" s="656" t="str">
        <f>+VLOOKUP($L196,Data_Validation!$A:$D,4,0)</f>
        <v>Ventes Détails</v>
      </c>
      <c r="W196" s="656" t="str">
        <f>+VLOOKUP($L196,Data_Validation!$A:$E,5,0)</f>
        <v>$</v>
      </c>
      <c r="X196" s="656" t="str">
        <f>+VLOOKUP($L196,Data_Validation!$A:$F,6,0)</f>
        <v>Oui</v>
      </c>
    </row>
    <row r="197" spans="1:24" ht="15" customHeight="1">
      <c r="A197" s="1210" t="s">
        <v>1101</v>
      </c>
      <c r="B197" s="1210" t="s">
        <v>1102</v>
      </c>
      <c r="C197" s="1212">
        <v>-197836.52</v>
      </c>
      <c r="D197" s="1212">
        <v>-198781.86</v>
      </c>
      <c r="E197" s="1212">
        <v>-396618.38</v>
      </c>
      <c r="F197" s="1210" t="s">
        <v>963</v>
      </c>
      <c r="G197" s="1210" t="s">
        <v>1102</v>
      </c>
      <c r="H197" s="651"/>
      <c r="I197" s="651"/>
      <c r="J197" s="651"/>
      <c r="K197" s="670"/>
      <c r="L197" s="653" t="str">
        <f t="shared" si="171"/>
        <v>4763</v>
      </c>
      <c r="M197" s="654" t="str">
        <f t="shared" si="172"/>
        <v>VTE - P&amp;A VW COMPTOIR GROS - ECHANGE</v>
      </c>
      <c r="N197" s="655">
        <f>+IF(OR($Q197=Parametres!$G$2,$Q197=Parametres!$G$3),I197,C197)</f>
        <v>-197836.52</v>
      </c>
      <c r="O197" s="659">
        <f>+IF(OR($Q197=Parametres!$G$2,$Q197=Parametres!$G$3),J197,D197)</f>
        <v>-198781.86</v>
      </c>
      <c r="P197" s="655">
        <f>+IF(OR($Q197=Parametres!$G$2,$Q197=Parametres!$G$3),K197,E197)</f>
        <v>-396618.38</v>
      </c>
      <c r="Q197" s="654" t="str">
        <f t="shared" si="173"/>
        <v>5-Ventes</v>
      </c>
      <c r="R197" s="653" t="str">
        <f t="shared" si="174"/>
        <v>4763</v>
      </c>
      <c r="S197" s="654">
        <f t="shared" si="175"/>
        <v>0</v>
      </c>
      <c r="T197" s="656" t="str">
        <f>+VLOOKUP($L197,Data_Validation!$A:$D,1,0)</f>
        <v>4763</v>
      </c>
      <c r="U197" s="656" t="str">
        <f>+VLOOKUP($L197,Data_Validation!$A:$D,3,0)</f>
        <v>Pièces</v>
      </c>
      <c r="V197" s="656" t="str">
        <f>+VLOOKUP($L197,Data_Validation!$A:$D,4,0)</f>
        <v>Ventes de Gros</v>
      </c>
      <c r="W197" s="656" t="str">
        <f>+VLOOKUP($L197,Data_Validation!$A:$E,5,0)</f>
        <v>$</v>
      </c>
      <c r="X197" s="656" t="str">
        <f>+VLOOKUP($L197,Data_Validation!$A:$F,6,0)</f>
        <v>Oui</v>
      </c>
    </row>
    <row r="198" spans="1:24" ht="15" customHeight="1">
      <c r="A198" s="1210" t="s">
        <v>1105</v>
      </c>
      <c r="B198" s="1210" t="s">
        <v>1106</v>
      </c>
      <c r="C198" s="1212">
        <v>-53039.14</v>
      </c>
      <c r="D198" s="1212">
        <v>-46230.23</v>
      </c>
      <c r="E198" s="1212">
        <v>-99269.37</v>
      </c>
      <c r="F198" s="1210" t="s">
        <v>963</v>
      </c>
      <c r="G198" s="1210" t="s">
        <v>1106</v>
      </c>
      <c r="H198" s="651"/>
      <c r="I198" s="652"/>
      <c r="J198" s="652"/>
      <c r="K198" s="652"/>
      <c r="L198" s="653" t="str">
        <f t="shared" si="171"/>
        <v>4781</v>
      </c>
      <c r="M198" s="654" t="str">
        <f t="shared" si="172"/>
        <v>VENTES PNEUS</v>
      </c>
      <c r="N198" s="655">
        <f>+IF(OR($Q198=Parametres!$G$2,$Q198=Parametres!$G$3),I198,C198)</f>
        <v>-53039.14</v>
      </c>
      <c r="O198" s="655">
        <f>+IF(OR($Q198=Parametres!$G$2,$Q198=Parametres!$G$3),J198,D198)</f>
        <v>-46230.23</v>
      </c>
      <c r="P198" s="655">
        <f>+IF(OR($Q198=Parametres!$G$2,$Q198=Parametres!$G$3),K198,E198)</f>
        <v>-99269.37</v>
      </c>
      <c r="Q198" s="654" t="str">
        <f t="shared" si="173"/>
        <v>5-Ventes</v>
      </c>
      <c r="R198" s="653" t="str">
        <f t="shared" si="174"/>
        <v>4781</v>
      </c>
      <c r="S198" s="654">
        <f t="shared" si="175"/>
        <v>0</v>
      </c>
      <c r="T198" s="656" t="str">
        <f>+VLOOKUP($L198,Data_Validation!$A:$D,1,0)</f>
        <v>4781</v>
      </c>
      <c r="U198" s="656" t="str">
        <f>+VLOOKUP($L198,Data_Validation!$A:$D,3,0)</f>
        <v>Pièces</v>
      </c>
      <c r="V198" s="656" t="str">
        <f>+VLOOKUP($L198,Data_Validation!$A:$D,4,0)</f>
        <v>Ventes Pneus</v>
      </c>
      <c r="W198" s="656" t="str">
        <f>+VLOOKUP($L198,Data_Validation!$A:$E,5,0)</f>
        <v>$</v>
      </c>
      <c r="X198" s="656" t="str">
        <f>+VLOOKUP($L198,Data_Validation!$A:$F,6,0)</f>
        <v>Oui</v>
      </c>
    </row>
    <row r="199" spans="1:24" ht="15.75" customHeight="1">
      <c r="A199" s="1210" t="s">
        <v>1108</v>
      </c>
      <c r="B199" s="1210" t="s">
        <v>2050</v>
      </c>
      <c r="C199" s="1212">
        <v>-675.08</v>
      </c>
      <c r="D199" s="1212">
        <v>-3108.52</v>
      </c>
      <c r="E199" s="1212">
        <v>-3783.6</v>
      </c>
      <c r="F199" s="1210" t="s">
        <v>963</v>
      </c>
      <c r="G199" s="1210" t="s">
        <v>1106</v>
      </c>
      <c r="H199" s="651"/>
      <c r="I199" s="670"/>
      <c r="J199" s="651"/>
      <c r="K199" s="670"/>
      <c r="L199" s="653" t="str">
        <f t="shared" si="171"/>
        <v>4785</v>
      </c>
      <c r="M199" s="654" t="str">
        <f t="shared" si="172"/>
        <v>VTE - VW PNEUS</v>
      </c>
      <c r="N199" s="655">
        <f>+IF(OR($Q199=Parametres!$G$2,$Q199=Parametres!$G$3),I199,C199)</f>
        <v>-675.08</v>
      </c>
      <c r="O199" s="655">
        <f>+IF(OR($Q199=Parametres!$G$2,$Q199=Parametres!$G$3),J199,D199)</f>
        <v>-3108.52</v>
      </c>
      <c r="P199" s="655">
        <f>+IF(OR($Q199=Parametres!$G$2,$Q199=Parametres!$G$3),K199,E199)</f>
        <v>-3783.6</v>
      </c>
      <c r="Q199" s="654" t="str">
        <f t="shared" si="173"/>
        <v>5-Ventes</v>
      </c>
      <c r="R199" s="653" t="str">
        <f t="shared" si="174"/>
        <v>4781</v>
      </c>
      <c r="S199" s="654">
        <f t="shared" si="175"/>
        <v>0</v>
      </c>
      <c r="T199" s="656" t="str">
        <f>+VLOOKUP($L199,Data_Validation!$A:$D,1,0)</f>
        <v>4785</v>
      </c>
      <c r="U199" s="656" t="str">
        <f>+VLOOKUP($L199,Data_Validation!$A:$D,3,0)</f>
        <v>Pièces</v>
      </c>
      <c r="V199" s="656" t="str">
        <f>+VLOOKUP($L199,Data_Validation!$A:$D,4,0)</f>
        <v>Ventes Pneus</v>
      </c>
      <c r="W199" s="656" t="str">
        <f>+VLOOKUP($L199,Data_Validation!$A:$E,5,0)</f>
        <v>$</v>
      </c>
      <c r="X199" s="656" t="str">
        <f>+VLOOKUP($L199,Data_Validation!$A:$F,6,0)</f>
        <v>Oui</v>
      </c>
    </row>
    <row r="200" spans="1:24" ht="15" customHeight="1">
      <c r="A200" s="1210" t="s">
        <v>1109</v>
      </c>
      <c r="B200" s="1210" t="s">
        <v>2058</v>
      </c>
      <c r="C200" s="1212">
        <v>115525.18</v>
      </c>
      <c r="D200" s="1212">
        <v>281957.13</v>
      </c>
      <c r="E200" s="1212">
        <v>397482.31</v>
      </c>
      <c r="F200" s="1210" t="s">
        <v>1110</v>
      </c>
      <c r="G200" s="1210" t="s">
        <v>964</v>
      </c>
      <c r="H200" s="651"/>
      <c r="I200" s="652"/>
      <c r="J200" s="652"/>
      <c r="K200" s="652"/>
      <c r="L200" s="653" t="str">
        <f t="shared" si="171"/>
        <v>5100</v>
      </c>
      <c r="M200" s="654" t="str">
        <f t="shared" si="172"/>
        <v>C/V - RACHAT DE BAIL</v>
      </c>
      <c r="N200" s="655">
        <f>+IF(OR($Q200=Parametres!$G$2,$Q200=Parametres!$G$3),I200,C200)</f>
        <v>115525.18</v>
      </c>
      <c r="O200" s="655">
        <f>+IF(OR($Q200=Parametres!$G$2,$Q200=Parametres!$G$3),J200,D200)</f>
        <v>281957.13</v>
      </c>
      <c r="P200" s="655">
        <f>+IF(OR($Q200=Parametres!$G$2,$Q200=Parametres!$G$3),K200,E200)</f>
        <v>397482.31</v>
      </c>
      <c r="Q200" s="654" t="str">
        <f t="shared" si="173"/>
        <v>6-Coût des ventes</v>
      </c>
      <c r="R200" s="653" t="str">
        <f t="shared" si="174"/>
        <v>4100</v>
      </c>
      <c r="S200" s="654">
        <f t="shared" si="175"/>
        <v>0</v>
      </c>
      <c r="T200" s="656" t="str">
        <f>+VLOOKUP($L200,Data_Validation!$A:$D,1,0)</f>
        <v>5100</v>
      </c>
      <c r="U200" s="656" t="str">
        <f>+VLOOKUP($L200,Data_Validation!$A:$D,3,0)</f>
        <v>Véhicules neufs</v>
      </c>
      <c r="V200" s="656" t="str">
        <f>+VLOOKUP($L200,Data_Validation!$A:$D,4,0)</f>
        <v>Rachat bail</v>
      </c>
      <c r="W200" s="656" t="str">
        <f>+VLOOKUP($L200,Data_Validation!$A:$E,5,0)</f>
        <v>$</v>
      </c>
      <c r="X200" s="656">
        <f>+VLOOKUP($L200,Data_Validation!$A:$F,6,0)</f>
        <v>0</v>
      </c>
    </row>
    <row r="201" spans="1:24" ht="15" customHeight="1">
      <c r="A201" s="1210" t="s">
        <v>1111</v>
      </c>
      <c r="B201" s="1210" t="s">
        <v>2070</v>
      </c>
      <c r="C201" s="1212">
        <v>52386.879999999997</v>
      </c>
      <c r="D201" s="1212">
        <v>107791.44</v>
      </c>
      <c r="E201" s="1212">
        <v>160178.32</v>
      </c>
      <c r="F201" s="1210" t="s">
        <v>1110</v>
      </c>
      <c r="G201" s="1210" t="s">
        <v>968</v>
      </c>
      <c r="H201" s="650"/>
      <c r="I201" s="652"/>
      <c r="J201" s="652"/>
      <c r="K201" s="652"/>
      <c r="L201" s="653" t="str">
        <f t="shared" si="171"/>
        <v>5109</v>
      </c>
      <c r="M201" s="654" t="str">
        <f t="shared" si="172"/>
        <v>C/V - GOLF R</v>
      </c>
      <c r="N201" s="655">
        <f>+IF(OR($Q201=Parametres!$G$2,$Q201=Parametres!$G$3),I201,C201)</f>
        <v>52386.879999999997</v>
      </c>
      <c r="O201" s="655">
        <f>+IF(OR($Q201=Parametres!$G$2,$Q201=Parametres!$G$3),J201,D201)</f>
        <v>107791.44</v>
      </c>
      <c r="P201" s="655">
        <f>+IF(OR($Q201=Parametres!$G$2,$Q201=Parametres!$G$3),K201,E201)</f>
        <v>160178.32</v>
      </c>
      <c r="Q201" s="654" t="str">
        <f t="shared" si="173"/>
        <v>6-Coût des ventes</v>
      </c>
      <c r="R201" s="653" t="str">
        <f t="shared" si="174"/>
        <v>4109</v>
      </c>
      <c r="S201" s="654">
        <f t="shared" si="175"/>
        <v>0</v>
      </c>
      <c r="T201" s="656" t="str">
        <f>+VLOOKUP($L201,Data_Validation!$A:$D,1,0)</f>
        <v>5109</v>
      </c>
      <c r="U201" s="656" t="str">
        <f>+VLOOKUP($L201,Data_Validation!$A:$D,3,0)</f>
        <v>Véhicules neufs</v>
      </c>
      <c r="V201" s="656" t="str">
        <f>+VLOOKUP($L201,Data_Validation!$A:$D,4,0)</f>
        <v>Autos détail</v>
      </c>
      <c r="W201" s="656" t="str">
        <f>+VLOOKUP($L201,Data_Validation!$A:$E,5,0)</f>
        <v>$</v>
      </c>
      <c r="X201" s="656">
        <f>+VLOOKUP($L201,Data_Validation!$A:$F,6,0)</f>
        <v>0</v>
      </c>
    </row>
    <row r="202" spans="1:24" ht="15" customHeight="1">
      <c r="A202" s="1210" t="s">
        <v>971</v>
      </c>
      <c r="B202" s="1210" t="s">
        <v>2075</v>
      </c>
      <c r="C202" s="1212">
        <v>120571.83</v>
      </c>
      <c r="D202" s="1212">
        <v>28302.98</v>
      </c>
      <c r="E202" s="1212">
        <v>148874.81</v>
      </c>
      <c r="F202" s="1210" t="s">
        <v>1110</v>
      </c>
      <c r="G202" s="1210" t="s">
        <v>972</v>
      </c>
      <c r="H202" s="650"/>
      <c r="I202" s="652"/>
      <c r="J202" s="652"/>
      <c r="K202" s="652"/>
      <c r="L202" s="653" t="str">
        <f t="shared" si="171"/>
        <v>5111</v>
      </c>
      <c r="M202" s="654" t="str">
        <f t="shared" si="172"/>
        <v>JETTA/ JETTA GLI</v>
      </c>
      <c r="N202" s="655">
        <f>+IF(OR($Q202=Parametres!$G$2,$Q202=Parametres!$G$3),I202,C202)</f>
        <v>120571.83</v>
      </c>
      <c r="O202" s="655">
        <f>+IF(OR($Q202=Parametres!$G$2,$Q202=Parametres!$G$3),J202,D202)</f>
        <v>28302.98</v>
      </c>
      <c r="P202" s="655">
        <f>+IF(OR($Q202=Parametres!$G$2,$Q202=Parametres!$G$3),K202,E202)</f>
        <v>148874.81</v>
      </c>
      <c r="Q202" s="654" t="str">
        <f t="shared" si="173"/>
        <v>6-Coût des ventes</v>
      </c>
      <c r="R202" s="653" t="str">
        <f t="shared" si="174"/>
        <v>4111</v>
      </c>
      <c r="S202" s="654">
        <f t="shared" si="175"/>
        <v>0</v>
      </c>
      <c r="T202" s="656" t="str">
        <f>+VLOOKUP($L202,Data_Validation!$A:$D,1,0)</f>
        <v>5111</v>
      </c>
      <c r="U202" s="656" t="str">
        <f>+VLOOKUP($L202,Data_Validation!$A:$D,3,0)</f>
        <v>Véhicules neufs</v>
      </c>
      <c r="V202" s="656" t="str">
        <f>+VLOOKUP($L202,Data_Validation!$A:$D,4,0)</f>
        <v>Autos détail</v>
      </c>
      <c r="W202" s="656" t="str">
        <f>+VLOOKUP($L202,Data_Validation!$A:$E,5,0)</f>
        <v>$</v>
      </c>
      <c r="X202" s="656">
        <f>+VLOOKUP($L202,Data_Validation!$A:$F,6,0)</f>
        <v>0</v>
      </c>
    </row>
    <row r="203" spans="1:24" ht="15" customHeight="1">
      <c r="A203" s="1210" t="s">
        <v>1112</v>
      </c>
      <c r="B203" s="1210" t="s">
        <v>3384</v>
      </c>
      <c r="C203" s="1212">
        <v>192080.18</v>
      </c>
      <c r="D203" s="1212">
        <v>555774.78</v>
      </c>
      <c r="E203" s="1212">
        <v>747854.96</v>
      </c>
      <c r="F203" s="1210" t="s">
        <v>1110</v>
      </c>
      <c r="G203" s="1210" t="s">
        <v>1113</v>
      </c>
      <c r="H203" s="651"/>
      <c r="I203" s="660"/>
      <c r="J203" s="660"/>
      <c r="K203" s="660"/>
      <c r="L203" s="653" t="str">
        <f t="shared" si="171"/>
        <v>5118</v>
      </c>
      <c r="M203" s="654" t="str">
        <f t="shared" si="172"/>
        <v>C/V - TAOS</v>
      </c>
      <c r="N203" s="655">
        <f>+IF(OR($Q203=Parametres!$G$2,$Q203=Parametres!$G$3),I203,C203)</f>
        <v>192080.18</v>
      </c>
      <c r="O203" s="655">
        <f>+IF(OR($Q203=Parametres!$G$2,$Q203=Parametres!$G$3),J203,D203)</f>
        <v>555774.78</v>
      </c>
      <c r="P203" s="655">
        <f>+IF(OR($Q203=Parametres!$G$2,$Q203=Parametres!$G$3),K203,E203)</f>
        <v>747854.96</v>
      </c>
      <c r="Q203" s="654" t="str">
        <f t="shared" si="173"/>
        <v>6-Coût des ventes</v>
      </c>
      <c r="R203" s="653" t="str">
        <f t="shared" si="174"/>
        <v>511</v>
      </c>
      <c r="S203" s="654">
        <f t="shared" si="175"/>
        <v>0</v>
      </c>
      <c r="T203" s="656" t="str">
        <f>+VLOOKUP($L203,Data_Validation!$A:$D,1,0)</f>
        <v>5118</v>
      </c>
      <c r="U203" s="656" t="str">
        <f>+VLOOKUP($L203,Data_Validation!$A:$D,3,0)</f>
        <v>Véhicules neufs</v>
      </c>
      <c r="V203" s="656" t="str">
        <f>+VLOOKUP($L203,Data_Validation!$A:$D,4,0)</f>
        <v>Camions détail</v>
      </c>
      <c r="W203" s="656" t="str">
        <f>+VLOOKUP($L203,Data_Validation!$A:$E,5,0)</f>
        <v>$</v>
      </c>
      <c r="X203" s="656">
        <f>+VLOOKUP($L203,Data_Validation!$A:$F,6,0)</f>
        <v>0</v>
      </c>
    </row>
    <row r="204" spans="1:24" ht="15" customHeight="1">
      <c r="A204" s="1210" t="s">
        <v>1114</v>
      </c>
      <c r="B204" s="1210" t="s">
        <v>2084</v>
      </c>
      <c r="C204" s="1212">
        <v>294510.28000000003</v>
      </c>
      <c r="D204" s="1212">
        <v>237736.92</v>
      </c>
      <c r="E204" s="1212">
        <v>532247.19999999995</v>
      </c>
      <c r="F204" s="1210" t="s">
        <v>1110</v>
      </c>
      <c r="G204" s="1210" t="s">
        <v>980</v>
      </c>
      <c r="H204" s="651"/>
      <c r="I204" s="652"/>
      <c r="J204" s="652"/>
      <c r="K204" s="652"/>
      <c r="L204" s="653" t="str">
        <f t="shared" si="171"/>
        <v>5119</v>
      </c>
      <c r="M204" s="654" t="str">
        <f t="shared" si="172"/>
        <v>C/V - ATLAS</v>
      </c>
      <c r="N204" s="655">
        <f>+IF(OR($Q204=Parametres!$G$2,$Q204=Parametres!$G$3),I204,C204)</f>
        <v>294510.28000000003</v>
      </c>
      <c r="O204" s="659">
        <f>+IF(OR($Q204=Parametres!$G$2,$Q204=Parametres!$G$3),J204,D204)</f>
        <v>237736.92</v>
      </c>
      <c r="P204" s="655">
        <f>+IF(OR($Q204=Parametres!$G$2,$Q204=Parametres!$G$3),K204,E204)</f>
        <v>532247.19999999995</v>
      </c>
      <c r="Q204" s="654" t="str">
        <f t="shared" si="173"/>
        <v>6-Coût des ventes</v>
      </c>
      <c r="R204" s="653" t="str">
        <f t="shared" si="174"/>
        <v>4119</v>
      </c>
      <c r="S204" s="654">
        <f t="shared" si="175"/>
        <v>0</v>
      </c>
      <c r="T204" s="656" t="str">
        <f>+VLOOKUP($L204,Data_Validation!$A:$D,1,0)</f>
        <v>5119</v>
      </c>
      <c r="U204" s="656" t="str">
        <f>+VLOOKUP($L204,Data_Validation!$A:$D,3,0)</f>
        <v>Véhicules neufs</v>
      </c>
      <c r="V204" s="656" t="str">
        <f>+VLOOKUP($L204,Data_Validation!$A:$D,4,0)</f>
        <v>Camions détail</v>
      </c>
      <c r="W204" s="656" t="str">
        <f>+VLOOKUP($L204,Data_Validation!$A:$E,5,0)</f>
        <v>$</v>
      </c>
      <c r="X204" s="656">
        <f>+VLOOKUP($L204,Data_Validation!$A:$F,6,0)</f>
        <v>0</v>
      </c>
    </row>
    <row r="205" spans="1:24" ht="15" customHeight="1">
      <c r="A205" s="1210" t="s">
        <v>1115</v>
      </c>
      <c r="B205" s="1210" t="s">
        <v>3385</v>
      </c>
      <c r="C205" s="1212">
        <v>59320.3</v>
      </c>
      <c r="D205" s="1212">
        <v>115587.65</v>
      </c>
      <c r="E205" s="1212">
        <v>174907.95</v>
      </c>
      <c r="F205" s="1210" t="s">
        <v>1110</v>
      </c>
      <c r="G205" s="1210" t="s">
        <v>3349</v>
      </c>
      <c r="H205" s="651"/>
      <c r="I205" s="670"/>
      <c r="J205" s="651"/>
      <c r="K205" s="670"/>
      <c r="L205" s="653" t="str">
        <f t="shared" si="171"/>
        <v>5121</v>
      </c>
      <c r="M205" s="654" t="str">
        <f t="shared" si="172"/>
        <v>C/V - ATLAS CROSS SPORT</v>
      </c>
      <c r="N205" s="655">
        <f>+IF(OR($Q205=Parametres!$G$2,$Q205=Parametres!$G$3),I205,C205)</f>
        <v>59320.3</v>
      </c>
      <c r="O205" s="655">
        <f>+IF(OR($Q205=Parametres!$G$2,$Q205=Parametres!$G$3),J205,D205)</f>
        <v>115587.65</v>
      </c>
      <c r="P205" s="655">
        <f>+IF(OR($Q205=Parametres!$G$2,$Q205=Parametres!$G$3),K205,E205)</f>
        <v>174907.95</v>
      </c>
      <c r="Q205" s="654" t="str">
        <f t="shared" si="173"/>
        <v>6-Coût des ventes</v>
      </c>
      <c r="R205" s="653" t="str">
        <f t="shared" si="174"/>
        <v>4121</v>
      </c>
      <c r="S205" s="654">
        <f t="shared" si="175"/>
        <v>0</v>
      </c>
      <c r="T205" s="671" t="str">
        <f>+VLOOKUP($L205,Data_Validation!$A:$D,1,0)</f>
        <v>5121</v>
      </c>
      <c r="U205" s="656" t="str">
        <f>+VLOOKUP($L205,Data_Validation!$A:$D,3,0)</f>
        <v>Véhicules neufs</v>
      </c>
      <c r="V205" s="656" t="str">
        <f>+VLOOKUP($L205,Data_Validation!$A:$D,4,0)</f>
        <v>Camions détail</v>
      </c>
      <c r="W205" s="656" t="str">
        <f>+VLOOKUP($L205,Data_Validation!$A:$E,5,0)</f>
        <v>$</v>
      </c>
      <c r="X205" s="656">
        <f>+VLOOKUP($L205,Data_Validation!$A:$F,6,0)</f>
        <v>0</v>
      </c>
    </row>
    <row r="206" spans="1:24" ht="15.75" customHeight="1">
      <c r="A206" s="1210" t="s">
        <v>1116</v>
      </c>
      <c r="B206" s="1210" t="s">
        <v>2090</v>
      </c>
      <c r="C206" s="1212">
        <v>77992.240000000005</v>
      </c>
      <c r="D206" s="1212">
        <v>38525.97</v>
      </c>
      <c r="E206" s="1212">
        <v>116518.21</v>
      </c>
      <c r="F206" s="1210" t="s">
        <v>1110</v>
      </c>
      <c r="G206" s="1210" t="s">
        <v>987</v>
      </c>
      <c r="H206" s="651"/>
      <c r="I206" s="652"/>
      <c r="J206" s="652"/>
      <c r="K206" s="652"/>
      <c r="L206" s="653" t="str">
        <f t="shared" si="171"/>
        <v>5127</v>
      </c>
      <c r="M206" s="654" t="str">
        <f t="shared" si="172"/>
        <v>C/V - GOLF GTI</v>
      </c>
      <c r="N206" s="655">
        <f>+IF(OR($Q206=Parametres!$G$2,$Q206=Parametres!$G$3),I206,C206)</f>
        <v>77992.240000000005</v>
      </c>
      <c r="O206" s="655">
        <f>+IF(OR($Q206=Parametres!$G$2,$Q206=Parametres!$G$3),J206,D206)</f>
        <v>38525.97</v>
      </c>
      <c r="P206" s="655">
        <f>+IF(OR($Q206=Parametres!$G$2,$Q206=Parametres!$G$3),K206,E206)</f>
        <v>116518.21</v>
      </c>
      <c r="Q206" s="654" t="str">
        <f t="shared" si="173"/>
        <v>6-Coût des ventes</v>
      </c>
      <c r="R206" s="653" t="str">
        <f t="shared" si="174"/>
        <v>4127</v>
      </c>
      <c r="S206" s="654">
        <f t="shared" si="175"/>
        <v>0</v>
      </c>
      <c r="T206" s="656" t="str">
        <f>+VLOOKUP($L206,Data_Validation!$A:$D,1,0)</f>
        <v>5127</v>
      </c>
      <c r="U206" s="656" t="str">
        <f>+VLOOKUP($L206,Data_Validation!$A:$D,3,0)</f>
        <v>Véhicules neufs</v>
      </c>
      <c r="V206" s="656" t="str">
        <f>+VLOOKUP($L206,Data_Validation!$A:$D,4,0)</f>
        <v>Autos détail</v>
      </c>
      <c r="W206" s="656" t="str">
        <f>+VLOOKUP($L206,Data_Validation!$A:$E,5,0)</f>
        <v>$</v>
      </c>
      <c r="X206" s="656">
        <f>+VLOOKUP($L206,Data_Validation!$A:$F,6,0)</f>
        <v>0</v>
      </c>
    </row>
    <row r="207" spans="1:24" ht="15" customHeight="1">
      <c r="A207" s="1210" t="s">
        <v>1117</v>
      </c>
      <c r="B207" s="1210" t="s">
        <v>2093</v>
      </c>
      <c r="C207" s="1212">
        <v>178229.45</v>
      </c>
      <c r="D207" s="1212">
        <v>172782.91</v>
      </c>
      <c r="E207" s="1212">
        <v>351012.36</v>
      </c>
      <c r="F207" s="1210" t="s">
        <v>1110</v>
      </c>
      <c r="G207" s="1210" t="s">
        <v>991</v>
      </c>
      <c r="H207" s="651"/>
      <c r="I207" s="670"/>
      <c r="J207" s="651"/>
      <c r="K207" s="670"/>
      <c r="L207" s="653" t="str">
        <f t="shared" si="171"/>
        <v>5131</v>
      </c>
      <c r="M207" s="654" t="str">
        <f t="shared" si="172"/>
        <v>C/V - TIGUAN LWB</v>
      </c>
      <c r="N207" s="655">
        <f>+IF(OR($Q207=Parametres!$G$2,$Q207=Parametres!$G$3),I207,C207)</f>
        <v>178229.45</v>
      </c>
      <c r="O207" s="659">
        <f>+IF(OR($Q207=Parametres!$G$2,$Q207=Parametres!$G$3),J207,D207)</f>
        <v>172782.91</v>
      </c>
      <c r="P207" s="655">
        <f>+IF(OR($Q207=Parametres!$G$2,$Q207=Parametres!$G$3),K207,E207)</f>
        <v>351012.36</v>
      </c>
      <c r="Q207" s="654" t="str">
        <f t="shared" si="173"/>
        <v>6-Coût des ventes</v>
      </c>
      <c r="R207" s="653" t="str">
        <f t="shared" si="174"/>
        <v>4131</v>
      </c>
      <c r="S207" s="654">
        <f t="shared" si="175"/>
        <v>0</v>
      </c>
      <c r="T207" s="656" t="str">
        <f>+VLOOKUP($L207,Data_Validation!$A:$D,1,0)</f>
        <v>5131</v>
      </c>
      <c r="U207" s="656" t="str">
        <f>+VLOOKUP($L207,Data_Validation!$A:$D,3,0)</f>
        <v>Véhicules neufs</v>
      </c>
      <c r="V207" s="656" t="str">
        <f>+VLOOKUP($L207,Data_Validation!$A:$D,4,0)</f>
        <v>Camions détail</v>
      </c>
      <c r="W207" s="656" t="str">
        <f>+VLOOKUP($L207,Data_Validation!$A:$E,5,0)</f>
        <v>$</v>
      </c>
      <c r="X207" s="656">
        <f>+VLOOKUP($L207,Data_Validation!$A:$F,6,0)</f>
        <v>0</v>
      </c>
    </row>
    <row r="208" spans="1:24" ht="15" customHeight="1">
      <c r="A208" s="1210" t="s">
        <v>1118</v>
      </c>
      <c r="B208" s="1210" t="s">
        <v>2099</v>
      </c>
      <c r="C208" s="1212">
        <v>190709.8</v>
      </c>
      <c r="D208" s="1212">
        <v>288416.24</v>
      </c>
      <c r="E208" s="1212">
        <v>479126.04</v>
      </c>
      <c r="F208" s="1210" t="s">
        <v>1110</v>
      </c>
      <c r="G208" s="1210" t="s">
        <v>995</v>
      </c>
      <c r="H208" s="651"/>
      <c r="I208" s="652"/>
      <c r="J208" s="652"/>
      <c r="K208" s="652"/>
      <c r="L208" s="653" t="str">
        <f t="shared" si="171"/>
        <v>5137</v>
      </c>
      <c r="M208" s="654" t="str">
        <f t="shared" si="172"/>
        <v>C/V - VW FLOTTE/VENTE ENTR/EMPLOYE/VEH DEMONS</v>
      </c>
      <c r="N208" s="655">
        <f>+IF(OR($Q208=Parametres!$G$2,$Q208=Parametres!$G$3),I208,C208)</f>
        <v>190709.8</v>
      </c>
      <c r="O208" s="655">
        <f>+IF(OR($Q208=Parametres!$G$2,$Q208=Parametres!$G$3),J208,D208)</f>
        <v>288416.24</v>
      </c>
      <c r="P208" s="655">
        <f>+IF(OR($Q208=Parametres!$G$2,$Q208=Parametres!$G$3),K208,E208)</f>
        <v>479126.04</v>
      </c>
      <c r="Q208" s="654" t="str">
        <f t="shared" si="173"/>
        <v>6-Coût des ventes</v>
      </c>
      <c r="R208" s="653" t="str">
        <f t="shared" si="174"/>
        <v>4137</v>
      </c>
      <c r="S208" s="654">
        <f t="shared" si="175"/>
        <v>0</v>
      </c>
      <c r="T208" s="656" t="str">
        <f>+VLOOKUP($L208,Data_Validation!$A:$D,1,0)</f>
        <v>5137</v>
      </c>
      <c r="U208" s="656" t="str">
        <f>+VLOOKUP($L208,Data_Validation!$A:$D,3,0)</f>
        <v>Véhicules neufs</v>
      </c>
      <c r="V208" s="656" t="str">
        <f>+VLOOKUP($L208,Data_Validation!$A:$D,4,0)</f>
        <v>Flottes</v>
      </c>
      <c r="W208" s="656" t="str">
        <f>+VLOOKUP($L208,Data_Validation!$A:$E,5,0)</f>
        <v>$</v>
      </c>
      <c r="X208" s="656">
        <f>+VLOOKUP($L208,Data_Validation!$A:$F,6,0)</f>
        <v>0</v>
      </c>
    </row>
    <row r="209" spans="1:24" ht="15" customHeight="1">
      <c r="A209" s="1210" t="s">
        <v>1118</v>
      </c>
      <c r="B209" s="1210" t="s">
        <v>2102</v>
      </c>
      <c r="C209" s="1212">
        <v>82076.12</v>
      </c>
      <c r="D209" s="1212">
        <v>83926.25</v>
      </c>
      <c r="E209" s="1212">
        <v>166002.37</v>
      </c>
      <c r="F209" s="1210" t="s">
        <v>1110</v>
      </c>
      <c r="G209" s="1210" t="s">
        <v>999</v>
      </c>
      <c r="H209" s="651"/>
      <c r="I209" s="670"/>
      <c r="J209" s="651"/>
      <c r="K209" s="670"/>
      <c r="L209" s="653" t="str">
        <f t="shared" si="171"/>
        <v>5139</v>
      </c>
      <c r="M209" s="654" t="str">
        <f t="shared" si="172"/>
        <v>C/V - VW FLOTTE/VENTE ENTR/EMPLOYE/VEH DEMONS</v>
      </c>
      <c r="N209" s="655">
        <f>+IF(OR($Q209=Parametres!$G$2,$Q209=Parametres!$G$3),I209,C209)</f>
        <v>82076.12</v>
      </c>
      <c r="O209" s="655">
        <f>+IF(OR($Q209=Parametres!$G$2,$Q209=Parametres!$G$3),J209,D209)</f>
        <v>83926.25</v>
      </c>
      <c r="P209" s="655">
        <f>+IF(OR($Q209=Parametres!$G$2,$Q209=Parametres!$G$3),K209,E209)</f>
        <v>166002.37</v>
      </c>
      <c r="Q209" s="654" t="str">
        <f t="shared" si="173"/>
        <v>6-Coût des ventes</v>
      </c>
      <c r="R209" s="653" t="str">
        <f t="shared" si="174"/>
        <v>4139</v>
      </c>
      <c r="S209" s="654">
        <f t="shared" si="175"/>
        <v>0</v>
      </c>
      <c r="T209" s="671" t="str">
        <f>+VLOOKUP($L209,Data_Validation!$A:$D,1,0)</f>
        <v>5139</v>
      </c>
      <c r="U209" s="656" t="str">
        <f>+VLOOKUP($L209,Data_Validation!$A:$D,3,0)</f>
        <v>Véhicules neufs</v>
      </c>
      <c r="V209" s="656" t="str">
        <f>+VLOOKUP($L209,Data_Validation!$A:$D,4,0)</f>
        <v>Ex-Démos et courtoisies</v>
      </c>
      <c r="W209" s="656" t="str">
        <f>+VLOOKUP($L209,Data_Validation!$A:$E,5,0)</f>
        <v>$</v>
      </c>
      <c r="X209" s="656">
        <f>+VLOOKUP($L209,Data_Validation!$A:$F,6,0)</f>
        <v>0</v>
      </c>
    </row>
    <row r="210" spans="1:24" ht="15" customHeight="1">
      <c r="A210" s="1210" t="s">
        <v>3895</v>
      </c>
      <c r="B210" s="1210" t="s">
        <v>3896</v>
      </c>
      <c r="C210" s="1212">
        <v>1327886.99</v>
      </c>
      <c r="D210" s="1212">
        <v>49738.87</v>
      </c>
      <c r="E210" s="1212">
        <v>1377625.86</v>
      </c>
      <c r="F210" s="1210" t="s">
        <v>1110</v>
      </c>
      <c r="G210" s="1210" t="s">
        <v>3894</v>
      </c>
      <c r="H210" s="651"/>
      <c r="I210" s="652"/>
      <c r="J210" s="652"/>
      <c r="K210" s="652"/>
      <c r="L210" s="653" t="str">
        <f t="shared" si="171"/>
        <v>5141</v>
      </c>
      <c r="M210" s="654" t="str">
        <f t="shared" si="172"/>
        <v>C/V - ID4</v>
      </c>
      <c r="N210" s="655">
        <f>+IF(OR($Q210=Parametres!$G$2,$Q210=Parametres!$G$3),I210,C210)</f>
        <v>1327886.99</v>
      </c>
      <c r="O210" s="659">
        <f>+IF(OR($Q210=Parametres!$G$2,$Q210=Parametres!$G$3),J210,D210)</f>
        <v>49738.87</v>
      </c>
      <c r="P210" s="655">
        <f>+IF(OR($Q210=Parametres!$G$2,$Q210=Parametres!$G$3),K210,E210)</f>
        <v>1377625.86</v>
      </c>
      <c r="Q210" s="654" t="str">
        <f t="shared" si="173"/>
        <v>6-Coût des ventes</v>
      </c>
      <c r="R210" s="653" t="str">
        <f t="shared" si="174"/>
        <v>4141</v>
      </c>
      <c r="S210" s="654">
        <f t="shared" si="175"/>
        <v>0</v>
      </c>
      <c r="T210" s="656" t="str">
        <f>+VLOOKUP($L210,Data_Validation!$A:$D,1,0)</f>
        <v>5141</v>
      </c>
      <c r="U210" s="656" t="str">
        <f>+VLOOKUP($L210,Data_Validation!$A:$D,3,0)</f>
        <v>Véhicules neufs</v>
      </c>
      <c r="V210" s="656" t="str">
        <f>+VLOOKUP($L210,Data_Validation!$A:$D,4,0)</f>
        <v>Camions détail</v>
      </c>
      <c r="W210" s="656" t="str">
        <f>+VLOOKUP($L210,Data_Validation!$A:$E,5,0)</f>
        <v>$</v>
      </c>
      <c r="X210" s="656">
        <f>+VLOOKUP($L210,Data_Validation!$A:$F,6,0)</f>
        <v>0</v>
      </c>
    </row>
    <row r="211" spans="1:24" ht="15.75" customHeight="1">
      <c r="A211" s="1210" t="s">
        <v>1119</v>
      </c>
      <c r="B211" s="1210" t="s">
        <v>3386</v>
      </c>
      <c r="C211" s="1212">
        <v>36123.360000000001</v>
      </c>
      <c r="D211" s="1212">
        <v>0</v>
      </c>
      <c r="E211" s="1212">
        <v>36123.360000000001</v>
      </c>
      <c r="F211" s="1210" t="s">
        <v>1110</v>
      </c>
      <c r="G211" s="1210" t="s">
        <v>1120</v>
      </c>
      <c r="H211" s="651"/>
      <c r="I211" s="670"/>
      <c r="J211" s="651"/>
      <c r="K211" s="670"/>
      <c r="L211" s="653" t="str">
        <f t="shared" si="171"/>
        <v>5144</v>
      </c>
      <c r="M211" s="654" t="str">
        <f t="shared" si="172"/>
        <v>C/V - JETTA GLI</v>
      </c>
      <c r="N211" s="655">
        <f>+IF(OR($Q211=Parametres!$G$2,$Q211=Parametres!$G$3),I211,C211)</f>
        <v>36123.360000000001</v>
      </c>
      <c r="O211" s="655">
        <f>+IF(OR($Q211=Parametres!$G$2,$Q211=Parametres!$G$3),J211,D211)</f>
        <v>0</v>
      </c>
      <c r="P211" s="655">
        <f>+IF(OR($Q211=Parametres!$G$2,$Q211=Parametres!$G$3),K211,E211)</f>
        <v>36123.360000000001</v>
      </c>
      <c r="Q211" s="654" t="str">
        <f t="shared" si="173"/>
        <v>6-Coût des ventes</v>
      </c>
      <c r="R211" s="653" t="str">
        <f t="shared" si="174"/>
        <v>514</v>
      </c>
      <c r="S211" s="654">
        <f t="shared" si="175"/>
        <v>0</v>
      </c>
      <c r="T211" s="656" t="str">
        <f>+VLOOKUP($L211,Data_Validation!$A:$D,1,0)</f>
        <v>5144</v>
      </c>
      <c r="U211" s="656" t="str">
        <f>+VLOOKUP($L211,Data_Validation!$A:$D,3,0)</f>
        <v>Véhicules neufs</v>
      </c>
      <c r="V211" s="656" t="str">
        <f>+VLOOKUP($L211,Data_Validation!$A:$D,4,0)</f>
        <v>Autos détail</v>
      </c>
      <c r="W211" s="656" t="str">
        <f>+VLOOKUP($L211,Data_Validation!$A:$E,5,0)</f>
        <v>$</v>
      </c>
      <c r="X211" s="656">
        <f>+VLOOKUP($L211,Data_Validation!$A:$F,6,0)</f>
        <v>0</v>
      </c>
    </row>
    <row r="212" spans="1:24" ht="15" customHeight="1">
      <c r="A212" s="1210" t="s">
        <v>1121</v>
      </c>
      <c r="B212" s="1210" t="s">
        <v>2113</v>
      </c>
      <c r="C212" s="1212">
        <v>336900</v>
      </c>
      <c r="D212" s="1212">
        <v>277078.33</v>
      </c>
      <c r="E212" s="1212">
        <v>613978.32999999996</v>
      </c>
      <c r="F212" s="1210" t="s">
        <v>1110</v>
      </c>
      <c r="G212" s="1210" t="s">
        <v>1007</v>
      </c>
      <c r="H212" s="651"/>
      <c r="I212" s="652"/>
      <c r="J212" s="652"/>
      <c r="K212" s="652"/>
      <c r="L212" s="653" t="str">
        <f t="shared" si="171"/>
        <v>5201</v>
      </c>
      <c r="M212" s="654" t="str">
        <f t="shared" si="172"/>
        <v>C/V - VEH.USAGE VW DETAIL CERTIFIE</v>
      </c>
      <c r="N212" s="655">
        <f>+IF(OR($Q212=Parametres!$G$2,$Q212=Parametres!$G$3),I212,C212)</f>
        <v>336900</v>
      </c>
      <c r="O212" s="655">
        <f>+IF(OR($Q212=Parametres!$G$2,$Q212=Parametres!$G$3),J212,D212)</f>
        <v>277078.33</v>
      </c>
      <c r="P212" s="655">
        <f>+IF(OR($Q212=Parametres!$G$2,$Q212=Parametres!$G$3),K212,E212)</f>
        <v>613978.32999999996</v>
      </c>
      <c r="Q212" s="654" t="str">
        <f t="shared" si="173"/>
        <v>6-Coût des ventes</v>
      </c>
      <c r="R212" s="653" t="str">
        <f t="shared" si="174"/>
        <v>4201</v>
      </c>
      <c r="S212" s="654">
        <f t="shared" si="175"/>
        <v>0</v>
      </c>
      <c r="T212" s="656" t="str">
        <f>+VLOOKUP($L212,Data_Validation!$A:$D,1,0)</f>
        <v>5201</v>
      </c>
      <c r="U212" s="656" t="str">
        <f>+VLOOKUP($L212,Data_Validation!$A:$D,3,0)</f>
        <v>Véhicules usagés</v>
      </c>
      <c r="V212" s="656" t="str">
        <f>+VLOOKUP($L212,Data_Validation!$A:$D,4,0)</f>
        <v>Certifié</v>
      </c>
      <c r="W212" s="656" t="str">
        <f>+VLOOKUP($L212,Data_Validation!$A:$E,5,0)</f>
        <v>$</v>
      </c>
      <c r="X212" s="656">
        <f>+VLOOKUP($L212,Data_Validation!$A:$F,6,0)</f>
        <v>0</v>
      </c>
    </row>
    <row r="213" spans="1:24" ht="15" customHeight="1">
      <c r="A213" s="1210" t="s">
        <v>1122</v>
      </c>
      <c r="B213" s="1210" t="s">
        <v>2116</v>
      </c>
      <c r="C213" s="1212">
        <v>36014.550000000003</v>
      </c>
      <c r="D213" s="1212">
        <v>29312.25</v>
      </c>
      <c r="E213" s="1212">
        <v>65326.8</v>
      </c>
      <c r="F213" s="1210" t="s">
        <v>1110</v>
      </c>
      <c r="G213" s="1210" t="s">
        <v>1007</v>
      </c>
      <c r="H213" s="651"/>
      <c r="I213" s="670"/>
      <c r="J213" s="651"/>
      <c r="K213" s="670"/>
      <c r="L213" s="653" t="str">
        <f t="shared" si="171"/>
        <v>5203</v>
      </c>
      <c r="M213" s="654" t="str">
        <f t="shared" si="172"/>
        <v>C/V - RECOND USAGE VW CERT.</v>
      </c>
      <c r="N213" s="655">
        <f>+IF(OR($Q213=Parametres!$G$2,$Q213=Parametres!$G$3),I213,C213)</f>
        <v>36014.550000000003</v>
      </c>
      <c r="O213" s="655">
        <f>+IF(OR($Q213=Parametres!$G$2,$Q213=Parametres!$G$3),J213,D213)</f>
        <v>29312.25</v>
      </c>
      <c r="P213" s="655">
        <f>+IF(OR($Q213=Parametres!$G$2,$Q213=Parametres!$G$3),K213,E213)</f>
        <v>65326.8</v>
      </c>
      <c r="Q213" s="654" t="str">
        <f t="shared" si="173"/>
        <v>6-Coût des ventes</v>
      </c>
      <c r="R213" s="653" t="str">
        <f t="shared" si="174"/>
        <v>4201</v>
      </c>
      <c r="S213" s="654">
        <f t="shared" si="175"/>
        <v>0</v>
      </c>
      <c r="T213" s="656" t="str">
        <f>+VLOOKUP($L213,Data_Validation!$A:$D,1,0)</f>
        <v>5203</v>
      </c>
      <c r="U213" s="656" t="str">
        <f>+VLOOKUP($L213,Data_Validation!$A:$D,3,0)</f>
        <v>Véhicules usagés</v>
      </c>
      <c r="V213" s="656" t="str">
        <f>+VLOOKUP($L213,Data_Validation!$A:$D,4,0)</f>
        <v>Certifié</v>
      </c>
      <c r="W213" s="656" t="str">
        <f>+VLOOKUP($L213,Data_Validation!$A:$E,5,0)</f>
        <v>$</v>
      </c>
      <c r="X213" s="656">
        <f>+VLOOKUP($L213,Data_Validation!$A:$F,6,0)</f>
        <v>0</v>
      </c>
    </row>
    <row r="214" spans="1:24" ht="15" customHeight="1">
      <c r="A214" s="1210" t="s">
        <v>1123</v>
      </c>
      <c r="B214" s="1210" t="s">
        <v>2122</v>
      </c>
      <c r="C214" s="1212">
        <v>61197</v>
      </c>
      <c r="D214" s="1212">
        <v>10800</v>
      </c>
      <c r="E214" s="1212">
        <v>71997</v>
      </c>
      <c r="F214" s="1210" t="s">
        <v>1110</v>
      </c>
      <c r="G214" s="1210" t="s">
        <v>1011</v>
      </c>
      <c r="H214" s="651"/>
      <c r="I214" s="652"/>
      <c r="J214" s="652"/>
      <c r="K214" s="652"/>
      <c r="L214" s="653" t="str">
        <f t="shared" si="171"/>
        <v>5211</v>
      </c>
      <c r="M214" s="654" t="str">
        <f t="shared" si="172"/>
        <v>C/V - VW USAGES DETAIL</v>
      </c>
      <c r="N214" s="655">
        <f>+IF(OR($Q214=Parametres!$G$2,$Q214=Parametres!$G$3),I214,C214)</f>
        <v>61197</v>
      </c>
      <c r="O214" s="655">
        <f>+IF(OR($Q214=Parametres!$G$2,$Q214=Parametres!$G$3),J214,D214)</f>
        <v>10800</v>
      </c>
      <c r="P214" s="655">
        <f>+IF(OR($Q214=Parametres!$G$2,$Q214=Parametres!$G$3),K214,E214)</f>
        <v>71997</v>
      </c>
      <c r="Q214" s="654" t="str">
        <f t="shared" si="173"/>
        <v>6-Coût des ventes</v>
      </c>
      <c r="R214" s="653" t="str">
        <f t="shared" si="174"/>
        <v>4211</v>
      </c>
      <c r="S214" s="654">
        <f t="shared" si="175"/>
        <v>0</v>
      </c>
      <c r="T214" s="656" t="str">
        <f>+VLOOKUP($L214,Data_Validation!$A:$D,1,0)</f>
        <v>5211</v>
      </c>
      <c r="U214" s="656" t="str">
        <f>+VLOOKUP($L214,Data_Validation!$A:$D,3,0)</f>
        <v>Véhicules usagés</v>
      </c>
      <c r="V214" s="656" t="str">
        <f>+VLOOKUP($L214,Data_Validation!$A:$D,4,0)</f>
        <v>Non Certifié</v>
      </c>
      <c r="W214" s="656" t="str">
        <f>+VLOOKUP($L214,Data_Validation!$A:$E,5,0)</f>
        <v>$</v>
      </c>
      <c r="X214" s="656">
        <f>+VLOOKUP($L214,Data_Validation!$A:$F,6,0)</f>
        <v>0</v>
      </c>
    </row>
    <row r="215" spans="1:24" ht="15.75" customHeight="1">
      <c r="A215" s="1210" t="s">
        <v>1124</v>
      </c>
      <c r="B215" s="1210" t="s">
        <v>2125</v>
      </c>
      <c r="C215" s="1212">
        <v>5872.27</v>
      </c>
      <c r="D215" s="1212">
        <v>4785.2700000000004</v>
      </c>
      <c r="E215" s="1212">
        <v>10657.54</v>
      </c>
      <c r="F215" s="1210" t="s">
        <v>1110</v>
      </c>
      <c r="G215" s="1210" t="s">
        <v>1011</v>
      </c>
      <c r="H215" s="651"/>
      <c r="I215" s="670"/>
      <c r="J215" s="670"/>
      <c r="K215" s="670"/>
      <c r="L215" s="653" t="str">
        <f t="shared" si="171"/>
        <v>5213</v>
      </c>
      <c r="M215" s="654" t="str">
        <f t="shared" si="172"/>
        <v>C/V - RECOND. USAGE VW DETAIL</v>
      </c>
      <c r="N215" s="655">
        <f>+IF(OR($Q215=Parametres!$G$2,$Q215=Parametres!$G$3),I215,C215)</f>
        <v>5872.27</v>
      </c>
      <c r="O215" s="655">
        <f>+IF(OR($Q215=Parametres!$G$2,$Q215=Parametres!$G$3),J215,D215)</f>
        <v>4785.2700000000004</v>
      </c>
      <c r="P215" s="655">
        <f>+IF(OR($Q215=Parametres!$G$2,$Q215=Parametres!$G$3),K215,E215)</f>
        <v>10657.54</v>
      </c>
      <c r="Q215" s="654" t="str">
        <f t="shared" si="173"/>
        <v>6-Coût des ventes</v>
      </c>
      <c r="R215" s="653" t="str">
        <f t="shared" si="174"/>
        <v>4211</v>
      </c>
      <c r="S215" s="654">
        <f t="shared" si="175"/>
        <v>0</v>
      </c>
      <c r="T215" s="656" t="str">
        <f>+VLOOKUP($L215,Data_Validation!$A:$D,1,0)</f>
        <v>5213</v>
      </c>
      <c r="U215" s="656" t="str">
        <f>+VLOOKUP($L215,Data_Validation!$A:$D,3,0)</f>
        <v>Véhicules usagés</v>
      </c>
      <c r="V215" s="656" t="str">
        <f>+VLOOKUP($L215,Data_Validation!$A:$D,4,0)</f>
        <v>Non Certifié</v>
      </c>
      <c r="W215" s="656" t="str">
        <f>+VLOOKUP($L215,Data_Validation!$A:$E,5,0)</f>
        <v>$</v>
      </c>
      <c r="X215" s="656">
        <f>+VLOOKUP($L215,Data_Validation!$A:$F,6,0)</f>
        <v>0</v>
      </c>
    </row>
    <row r="216" spans="1:24" ht="15" customHeight="1">
      <c r="A216" s="1210" t="s">
        <v>1014</v>
      </c>
      <c r="B216" s="1210" t="s">
        <v>2136</v>
      </c>
      <c r="C216" s="1212">
        <v>17700</v>
      </c>
      <c r="D216" s="1212">
        <v>19879.849999999999</v>
      </c>
      <c r="E216" s="1212">
        <v>37579.85</v>
      </c>
      <c r="F216" s="1210" t="s">
        <v>1110</v>
      </c>
      <c r="G216" s="1210" t="s">
        <v>1015</v>
      </c>
      <c r="H216" s="651"/>
      <c r="I216" s="670"/>
      <c r="J216" s="660"/>
      <c r="K216" s="670"/>
      <c r="L216" s="653" t="str">
        <f t="shared" si="171"/>
        <v>5285</v>
      </c>
      <c r="M216" s="654" t="str">
        <f t="shared" si="172"/>
        <v>VEH. D'OCC. AUTRE DETAIL</v>
      </c>
      <c r="N216" s="655">
        <f>+IF(OR($Q216=Parametres!$G$2,$Q216=Parametres!$G$3),I216,C216)</f>
        <v>17700</v>
      </c>
      <c r="O216" s="655">
        <f>+IF(OR($Q216=Parametres!$G$2,$Q216=Parametres!$G$3),J216,D216)</f>
        <v>19879.849999999999</v>
      </c>
      <c r="P216" s="655">
        <f>+IF(OR($Q216=Parametres!$G$2,$Q216=Parametres!$G$3),K216,E216)</f>
        <v>37579.85</v>
      </c>
      <c r="Q216" s="654" t="str">
        <f t="shared" si="173"/>
        <v>6-Coût des ventes</v>
      </c>
      <c r="R216" s="653" t="str">
        <f t="shared" si="174"/>
        <v>4261</v>
      </c>
      <c r="S216" s="654">
        <f t="shared" si="175"/>
        <v>0</v>
      </c>
      <c r="T216" s="656" t="str">
        <f>+VLOOKUP($L216,Data_Validation!$A:$D,1,0)</f>
        <v>5285</v>
      </c>
      <c r="U216" s="656" t="str">
        <f>+VLOOKUP($L216,Data_Validation!$A:$D,3,0)</f>
        <v>Véhicules usagés</v>
      </c>
      <c r="V216" s="656" t="str">
        <f>+VLOOKUP($L216,Data_Validation!$A:$D,4,0)</f>
        <v>Autres Marques</v>
      </c>
      <c r="W216" s="656" t="str">
        <f>+VLOOKUP($L216,Data_Validation!$A:$E,5,0)</f>
        <v>$</v>
      </c>
      <c r="X216" s="656">
        <f>+VLOOKUP($L216,Data_Validation!$A:$F,6,0)</f>
        <v>0</v>
      </c>
    </row>
    <row r="217" spans="1:24" ht="15" customHeight="1">
      <c r="A217" s="1210" t="s">
        <v>1125</v>
      </c>
      <c r="B217" s="1210" t="s">
        <v>2139</v>
      </c>
      <c r="C217" s="1212">
        <v>2608.71</v>
      </c>
      <c r="D217" s="1212">
        <v>9972.52</v>
      </c>
      <c r="E217" s="1212">
        <v>12581.23</v>
      </c>
      <c r="F217" s="1210" t="s">
        <v>1110</v>
      </c>
      <c r="G217" s="1210" t="s">
        <v>1015</v>
      </c>
      <c r="H217" s="650"/>
      <c r="I217" s="672"/>
      <c r="J217" s="663"/>
      <c r="K217" s="672"/>
      <c r="L217" s="653" t="str">
        <f t="shared" si="171"/>
        <v>5286</v>
      </c>
      <c r="M217" s="654" t="str">
        <f t="shared" si="172"/>
        <v>RECOND. AUTRE DETAIL</v>
      </c>
      <c r="N217" s="655">
        <f>+IF(OR($Q217=Parametres!$G$2,$Q217=Parametres!$G$3),I217,C217)</f>
        <v>2608.71</v>
      </c>
      <c r="O217" s="655">
        <f>+IF(OR($Q217=Parametres!$G$2,$Q217=Parametres!$G$3),J217,D217)</f>
        <v>9972.52</v>
      </c>
      <c r="P217" s="655">
        <f>+IF(OR($Q217=Parametres!$G$2,$Q217=Parametres!$G$3),K217,E217)</f>
        <v>12581.23</v>
      </c>
      <c r="Q217" s="654" t="str">
        <f t="shared" si="173"/>
        <v>6-Coût des ventes</v>
      </c>
      <c r="R217" s="653" t="str">
        <f t="shared" si="174"/>
        <v>4261</v>
      </c>
      <c r="S217" s="654">
        <f t="shared" si="175"/>
        <v>0</v>
      </c>
      <c r="T217" s="656" t="str">
        <f>+VLOOKUP($L217,Data_Validation!$A:$D,1,0)</f>
        <v>5286</v>
      </c>
      <c r="U217" s="656" t="str">
        <f>+VLOOKUP($L217,Data_Validation!$A:$D,3,0)</f>
        <v>Véhicules usagés</v>
      </c>
      <c r="V217" s="656" t="str">
        <f>+VLOOKUP($L217,Data_Validation!$A:$D,4,0)</f>
        <v>Non Certifié</v>
      </c>
      <c r="W217" s="656" t="str">
        <f>+VLOOKUP($L217,Data_Validation!$A:$E,5,0)</f>
        <v>$</v>
      </c>
      <c r="X217" s="656">
        <f>+VLOOKUP($L217,Data_Validation!$A:$F,6,0)</f>
        <v>0</v>
      </c>
    </row>
    <row r="218" spans="1:24" ht="15" customHeight="1">
      <c r="A218" s="1210" t="s">
        <v>1018</v>
      </c>
      <c r="B218" s="1210" t="s">
        <v>2142</v>
      </c>
      <c r="C218" s="1212">
        <v>308796.98</v>
      </c>
      <c r="D218" s="1212">
        <v>213468.08</v>
      </c>
      <c r="E218" s="1212">
        <v>522265.06</v>
      </c>
      <c r="F218" s="1210" t="s">
        <v>1110</v>
      </c>
      <c r="G218" s="1210" t="s">
        <v>1019</v>
      </c>
      <c r="H218" s="650"/>
      <c r="I218" s="652"/>
      <c r="J218" s="652"/>
      <c r="K218" s="652"/>
      <c r="L218" s="653" t="str">
        <f t="shared" si="171"/>
        <v>5291</v>
      </c>
      <c r="M218" s="654" t="str">
        <f t="shared" si="172"/>
        <v>VEH. D'OCC. AU GROS</v>
      </c>
      <c r="N218" s="655">
        <f>+IF(OR($Q218=Parametres!$G$2,$Q218=Parametres!$G$3),I218,C218)</f>
        <v>308796.98</v>
      </c>
      <c r="O218" s="655">
        <f>+IF(OR($Q218=Parametres!$G$2,$Q218=Parametres!$G$3),J218,D218)</f>
        <v>213468.08</v>
      </c>
      <c r="P218" s="655">
        <f>+IF(OR($Q218=Parametres!$G$2,$Q218=Parametres!$G$3),K218,E218)</f>
        <v>522265.06</v>
      </c>
      <c r="Q218" s="654" t="str">
        <f t="shared" si="173"/>
        <v>6-Coût des ventes</v>
      </c>
      <c r="R218" s="653" t="str">
        <f t="shared" si="174"/>
        <v>4281</v>
      </c>
      <c r="S218" s="654">
        <f t="shared" si="175"/>
        <v>0</v>
      </c>
      <c r="T218" s="656" t="str">
        <f>+VLOOKUP($L218,Data_Validation!$A:$D,1,0)</f>
        <v>5291</v>
      </c>
      <c r="U218" s="656" t="str">
        <f>+VLOOKUP($L218,Data_Validation!$A:$D,3,0)</f>
        <v>Véhicules usagés</v>
      </c>
      <c r="V218" s="656" t="str">
        <f>+VLOOKUP($L218,Data_Validation!$A:$D,4,0)</f>
        <v>Ventes au Gros</v>
      </c>
      <c r="W218" s="656" t="str">
        <f>+VLOOKUP($L218,Data_Validation!$A:$E,5,0)</f>
        <v>$</v>
      </c>
      <c r="X218" s="656">
        <f>+VLOOKUP($L218,Data_Validation!$A:$F,6,0)</f>
        <v>0</v>
      </c>
    </row>
    <row r="219" spans="1:24" ht="15.75" customHeight="1">
      <c r="A219" s="1210" t="s">
        <v>3671</v>
      </c>
      <c r="B219" s="1210" t="s">
        <v>2145</v>
      </c>
      <c r="C219" s="1212">
        <v>18882.34</v>
      </c>
      <c r="D219" s="1212">
        <v>19613.599999999999</v>
      </c>
      <c r="E219" s="1212">
        <v>38495.94</v>
      </c>
      <c r="F219" s="1210" t="s">
        <v>1110</v>
      </c>
      <c r="G219" s="1210" t="s">
        <v>1023</v>
      </c>
      <c r="H219" s="651"/>
      <c r="I219" s="652"/>
      <c r="J219" s="652"/>
      <c r="K219" s="652"/>
      <c r="L219" s="653" t="str">
        <f t="shared" si="171"/>
        <v>5401</v>
      </c>
      <c r="M219" s="654" t="str">
        <f t="shared" si="172"/>
        <v>MAIN-D'OEUVRE - CLIENT VW - MCI</v>
      </c>
      <c r="N219" s="655">
        <f>+IF(OR($Q219=Parametres!$G$2,$Q219=Parametres!$G$3),I219,C219)</f>
        <v>18882.34</v>
      </c>
      <c r="O219" s="659">
        <f>+IF(OR($Q219=Parametres!$G$2,$Q219=Parametres!$G$3),J219,D219)</f>
        <v>19613.599999999999</v>
      </c>
      <c r="P219" s="655">
        <f>+IF(OR($Q219=Parametres!$G$2,$Q219=Parametres!$G$3),K219,E219)</f>
        <v>38495.94</v>
      </c>
      <c r="Q219" s="654" t="str">
        <f t="shared" si="173"/>
        <v>6-Coût des ventes</v>
      </c>
      <c r="R219" s="653" t="str">
        <f t="shared" si="174"/>
        <v>4401</v>
      </c>
      <c r="S219" s="654">
        <f t="shared" si="175"/>
        <v>0</v>
      </c>
      <c r="T219" s="656" t="str">
        <f>+VLOOKUP($L219,Data_Validation!$A:$D,1,0)</f>
        <v>5401</v>
      </c>
      <c r="U219" s="656" t="str">
        <f>+VLOOKUP($L219,Data_Validation!$A:$D,3,0)</f>
        <v>Service</v>
      </c>
      <c r="V219" s="656" t="str">
        <f>+VLOOKUP($L219,Data_Validation!$A:$D,4,0)</f>
        <v>M/O Client</v>
      </c>
      <c r="W219" s="656" t="str">
        <f>+VLOOKUP($L219,Data_Validation!$A:$E,5,0)</f>
        <v>$</v>
      </c>
      <c r="X219" s="656">
        <f>+VLOOKUP($L219,Data_Validation!$A:$F,6,0)</f>
        <v>0</v>
      </c>
    </row>
    <row r="220" spans="1:24" ht="15" customHeight="1">
      <c r="A220" s="1210" t="s">
        <v>1127</v>
      </c>
      <c r="B220" s="1210" t="s">
        <v>2148</v>
      </c>
      <c r="C220" s="1212">
        <v>1041.53</v>
      </c>
      <c r="D220" s="1212">
        <v>912.3</v>
      </c>
      <c r="E220" s="1212">
        <v>1953.83</v>
      </c>
      <c r="F220" s="1210" t="s">
        <v>1110</v>
      </c>
      <c r="G220" s="1210" t="s">
        <v>1026</v>
      </c>
      <c r="H220" s="650"/>
      <c r="I220" s="672"/>
      <c r="J220" s="663"/>
      <c r="K220" s="672"/>
      <c r="L220" s="653" t="str">
        <f t="shared" si="171"/>
        <v>5402</v>
      </c>
      <c r="M220" s="654" t="str">
        <f t="shared" si="172"/>
        <v>C/V - M.O. ESTHETIQUE CLIENT</v>
      </c>
      <c r="N220" s="655">
        <f>+IF(OR($Q220=Parametres!$G$2,$Q220=Parametres!$G$3),I220,C220)</f>
        <v>1041.53</v>
      </c>
      <c r="O220" s="655">
        <f>+IF(OR($Q220=Parametres!$G$2,$Q220=Parametres!$G$3),J220,D220)</f>
        <v>912.3</v>
      </c>
      <c r="P220" s="655">
        <f>+IF(OR($Q220=Parametres!$G$2,$Q220=Parametres!$G$3),K220,E220)</f>
        <v>1953.83</v>
      </c>
      <c r="Q220" s="654" t="str">
        <f t="shared" si="173"/>
        <v>6-Coût des ventes</v>
      </c>
      <c r="R220" s="653" t="str">
        <f t="shared" si="174"/>
        <v>4402</v>
      </c>
      <c r="S220" s="654">
        <f t="shared" si="175"/>
        <v>0</v>
      </c>
      <c r="T220" s="656" t="str">
        <f>+VLOOKUP($L220,Data_Validation!$A:$D,1,0)</f>
        <v>5402</v>
      </c>
      <c r="U220" s="656" t="str">
        <f>+VLOOKUP($L220,Data_Validation!$A:$D,3,0)</f>
        <v>Service</v>
      </c>
      <c r="V220" s="656" t="str">
        <f>+VLOOKUP($L220,Data_Validation!$A:$D,4,0)</f>
        <v>M/O Esthétique</v>
      </c>
      <c r="W220" s="656" t="str">
        <f>+VLOOKUP($L220,Data_Validation!$A:$E,5,0)</f>
        <v>$</v>
      </c>
      <c r="X220" s="656">
        <f>+VLOOKUP($L220,Data_Validation!$A:$F,6,0)</f>
        <v>0</v>
      </c>
    </row>
    <row r="221" spans="1:24" ht="15" customHeight="1">
      <c r="A221" s="1210" t="s">
        <v>3672</v>
      </c>
      <c r="B221" s="1210" t="s">
        <v>2151</v>
      </c>
      <c r="C221" s="1212">
        <v>24438.25</v>
      </c>
      <c r="D221" s="1212">
        <v>21773.48</v>
      </c>
      <c r="E221" s="1212">
        <v>46211.73</v>
      </c>
      <c r="F221" s="1210" t="s">
        <v>1110</v>
      </c>
      <c r="G221" s="1210" t="s">
        <v>1028</v>
      </c>
      <c r="H221" s="650"/>
      <c r="I221" s="672"/>
      <c r="J221" s="663"/>
      <c r="K221" s="672"/>
      <c r="L221" s="653" t="str">
        <f t="shared" si="171"/>
        <v>5403</v>
      </c>
      <c r="M221" s="654" t="str">
        <f t="shared" si="172"/>
        <v>MAIN-D'OEUVRE - GARANTIE VW - MCI</v>
      </c>
      <c r="N221" s="655">
        <f>+IF(OR($Q221=Parametres!$G$2,$Q221=Parametres!$G$3),I221,C221)</f>
        <v>24438.25</v>
      </c>
      <c r="O221" s="655">
        <f>+IF(OR($Q221=Parametres!$G$2,$Q221=Parametres!$G$3),J221,D221)</f>
        <v>21773.48</v>
      </c>
      <c r="P221" s="655">
        <f>+IF(OR($Q221=Parametres!$G$2,$Q221=Parametres!$G$3),K221,E221)</f>
        <v>46211.73</v>
      </c>
      <c r="Q221" s="654" t="str">
        <f t="shared" si="173"/>
        <v>6-Coût des ventes</v>
      </c>
      <c r="R221" s="653" t="str">
        <f t="shared" si="174"/>
        <v>4403</v>
      </c>
      <c r="S221" s="654">
        <f t="shared" si="175"/>
        <v>0</v>
      </c>
      <c r="T221" s="656" t="str">
        <f>+VLOOKUP($L221,Data_Validation!$A:$D,1,0)</f>
        <v>5403</v>
      </c>
      <c r="U221" s="656" t="str">
        <f>+VLOOKUP($L221,Data_Validation!$A:$D,3,0)</f>
        <v>Service</v>
      </c>
      <c r="V221" s="656" t="str">
        <f>+VLOOKUP($L221,Data_Validation!$A:$D,4,0)</f>
        <v>M/O Garantie</v>
      </c>
      <c r="W221" s="656" t="str">
        <f>+VLOOKUP($L221,Data_Validation!$A:$E,5,0)</f>
        <v>$</v>
      </c>
      <c r="X221" s="656">
        <f>+VLOOKUP($L221,Data_Validation!$A:$F,6,0)</f>
        <v>0</v>
      </c>
    </row>
    <row r="222" spans="1:24" ht="15" customHeight="1">
      <c r="A222" s="1210" t="s">
        <v>3673</v>
      </c>
      <c r="B222" s="1210" t="s">
        <v>2154</v>
      </c>
      <c r="C222" s="1212">
        <v>15373.55</v>
      </c>
      <c r="D222" s="1212">
        <v>15923.76</v>
      </c>
      <c r="E222" s="1212">
        <v>31297.31</v>
      </c>
      <c r="F222" s="1210" t="s">
        <v>1110</v>
      </c>
      <c r="G222" s="1210" t="s">
        <v>1031</v>
      </c>
      <c r="H222" s="650"/>
      <c r="I222" s="670"/>
      <c r="J222" s="651"/>
      <c r="K222" s="670"/>
      <c r="L222" s="653" t="str">
        <f t="shared" si="171"/>
        <v>5405</v>
      </c>
      <c r="M222" s="654" t="str">
        <f t="shared" si="172"/>
        <v>MAIN-D'OEUVRE - INTERNE VW - MCI</v>
      </c>
      <c r="N222" s="655">
        <f>+IF(OR($Q222=Parametres!$G$2,$Q222=Parametres!$G$3),I222,C222)</f>
        <v>15373.55</v>
      </c>
      <c r="O222" s="655">
        <f>+IF(OR($Q222=Parametres!$G$2,$Q222=Parametres!$G$3),J222,D222)</f>
        <v>15923.76</v>
      </c>
      <c r="P222" s="655">
        <f>+IF(OR($Q222=Parametres!$G$2,$Q222=Parametres!$G$3),K222,E222)</f>
        <v>31297.31</v>
      </c>
      <c r="Q222" s="654" t="str">
        <f t="shared" si="173"/>
        <v>6-Coût des ventes</v>
      </c>
      <c r="R222" s="653" t="str">
        <f t="shared" si="174"/>
        <v>4405</v>
      </c>
      <c r="S222" s="654">
        <f t="shared" si="175"/>
        <v>0</v>
      </c>
      <c r="T222" s="656" t="str">
        <f>+VLOOKUP($L222,Data_Validation!$A:$D,1,0)</f>
        <v>5405</v>
      </c>
      <c r="U222" s="656" t="str">
        <f>+VLOOKUP($L222,Data_Validation!$A:$D,3,0)</f>
        <v>Service</v>
      </c>
      <c r="V222" s="656" t="str">
        <f>+VLOOKUP($L222,Data_Validation!$A:$D,4,0)</f>
        <v>M/O Interne</v>
      </c>
      <c r="W222" s="656" t="str">
        <f>+VLOOKUP($L222,Data_Validation!$A:$E,5,0)</f>
        <v>$</v>
      </c>
      <c r="X222" s="656">
        <f>+VLOOKUP($L222,Data_Validation!$A:$F,6,0)</f>
        <v>0</v>
      </c>
    </row>
    <row r="223" spans="1:24" ht="15" customHeight="1">
      <c r="A223" s="1210" t="s">
        <v>3681</v>
      </c>
      <c r="B223" s="1210" t="s">
        <v>2160</v>
      </c>
      <c r="C223" s="1212">
        <v>3208.08</v>
      </c>
      <c r="D223" s="1212">
        <v>1540.85</v>
      </c>
      <c r="E223" s="1212">
        <v>4748.93</v>
      </c>
      <c r="F223" s="1210" t="s">
        <v>1110</v>
      </c>
      <c r="G223" s="1210" t="s">
        <v>1131</v>
      </c>
      <c r="H223" s="1157"/>
      <c r="I223" s="1158"/>
      <c r="J223" s="1158"/>
      <c r="K223" s="1158"/>
      <c r="L223" s="653" t="str">
        <f t="shared" si="171"/>
        <v>5416</v>
      </c>
      <c r="M223" s="654" t="str">
        <f t="shared" si="172"/>
        <v>C/V - MAIN D'OEUVRE SVC NON APP - TOUS</v>
      </c>
      <c r="N223" s="655">
        <f>+IF(OR($Q223=Parametres!$G$2,$Q223=Parametres!$G$3),I223,C223)</f>
        <v>3208.08</v>
      </c>
      <c r="O223" s="655">
        <f>+IF(OR($Q223=Parametres!$G$2,$Q223=Parametres!$G$3),J223,D223)</f>
        <v>1540.85</v>
      </c>
      <c r="P223" s="655">
        <f>+IF(OR($Q223=Parametres!$G$2,$Q223=Parametres!$G$3),K223,E223)</f>
        <v>4748.93</v>
      </c>
      <c r="Q223" s="654" t="str">
        <f t="shared" si="173"/>
        <v>6-Coût des ventes</v>
      </c>
      <c r="R223" s="653" t="str">
        <f t="shared" si="174"/>
        <v>4416</v>
      </c>
      <c r="S223" s="654">
        <f t="shared" si="175"/>
        <v>0</v>
      </c>
      <c r="T223" s="656" t="str">
        <f>+VLOOKUP($L223,Data_Validation!$A:$D,1,0)</f>
        <v>5416</v>
      </c>
      <c r="U223" s="656" t="str">
        <f>+VLOOKUP($L223,Data_Validation!$A:$D,3,0)</f>
        <v>Service</v>
      </c>
      <c r="V223" s="656" t="str">
        <f>+VLOOKUP($L223,Data_Validation!$A:$D,4,0)</f>
        <v>Ajustement M/O</v>
      </c>
      <c r="W223" s="656" t="str">
        <f>+VLOOKUP($L223,Data_Validation!$A:$E,5,0)</f>
        <v>$</v>
      </c>
      <c r="X223" s="656">
        <f>+VLOOKUP($L223,Data_Validation!$A:$F,6,0)</f>
        <v>0</v>
      </c>
    </row>
    <row r="224" spans="1:24" ht="15" customHeight="1">
      <c r="A224" s="1210" t="s">
        <v>1033</v>
      </c>
      <c r="B224" s="1210" t="s">
        <v>2166</v>
      </c>
      <c r="C224" s="1212">
        <v>12402</v>
      </c>
      <c r="D224" s="1212">
        <v>12105.11</v>
      </c>
      <c r="E224" s="1212">
        <v>24507.11</v>
      </c>
      <c r="F224" s="1210" t="s">
        <v>1110</v>
      </c>
      <c r="G224" s="1210" t="s">
        <v>1034</v>
      </c>
      <c r="H224" s="1157"/>
      <c r="I224" s="1158"/>
      <c r="J224" s="1158"/>
      <c r="K224" s="1158"/>
      <c r="L224" s="653" t="str">
        <f t="shared" si="171"/>
        <v>5451</v>
      </c>
      <c r="M224" s="654" t="str">
        <f t="shared" si="172"/>
        <v>CARBURANT/HUILE/GRAISSE</v>
      </c>
      <c r="N224" s="655">
        <f>+IF(OR($Q224=Parametres!$G$2,$Q224=Parametres!$G$3),I224,C224)</f>
        <v>12402</v>
      </c>
      <c r="O224" s="655">
        <f>+IF(OR($Q224=Parametres!$G$2,$Q224=Parametres!$G$3),J224,D224)</f>
        <v>12105.11</v>
      </c>
      <c r="P224" s="655">
        <f>+IF(OR($Q224=Parametres!$G$2,$Q224=Parametres!$G$3),K224,E224)</f>
        <v>24507.11</v>
      </c>
      <c r="Q224" s="654" t="str">
        <f t="shared" si="173"/>
        <v>6-Coût des ventes</v>
      </c>
      <c r="R224" s="653" t="str">
        <f t="shared" si="174"/>
        <v>4782</v>
      </c>
      <c r="S224" s="654">
        <f t="shared" si="175"/>
        <v>0</v>
      </c>
      <c r="T224" s="656" t="str">
        <f>+VLOOKUP($L224,Data_Validation!$A:$D,1,0)</f>
        <v>5451</v>
      </c>
      <c r="U224" s="656" t="str">
        <f>+VLOOKUP($L224,Data_Validation!$A:$D,3,0)</f>
        <v>Pièces</v>
      </c>
      <c r="V224" s="656" t="str">
        <f>+VLOOKUP($L224,Data_Validation!$A:$D,4,0)</f>
        <v>Huiles et Graisse</v>
      </c>
      <c r="W224" s="656" t="str">
        <f>+VLOOKUP($L224,Data_Validation!$A:$E,5,0)</f>
        <v>$</v>
      </c>
      <c r="X224" s="656">
        <f>+VLOOKUP($L224,Data_Validation!$A:$F,6,0)</f>
        <v>0</v>
      </c>
    </row>
    <row r="225" spans="1:24" ht="15.75" customHeight="1">
      <c r="A225" s="1210" t="s">
        <v>1036</v>
      </c>
      <c r="B225" s="1210" t="s">
        <v>2169</v>
      </c>
      <c r="C225" s="1212">
        <v>2466</v>
      </c>
      <c r="D225" s="1212">
        <v>3354.5</v>
      </c>
      <c r="E225" s="1212">
        <v>5820.5</v>
      </c>
      <c r="F225" s="1210" t="s">
        <v>1110</v>
      </c>
      <c r="G225" s="1210" t="s">
        <v>1037</v>
      </c>
      <c r="H225" s="1157"/>
      <c r="I225" s="1158"/>
      <c r="J225" s="1158"/>
      <c r="K225" s="1158"/>
      <c r="L225" s="653" t="str">
        <f t="shared" si="171"/>
        <v>5491</v>
      </c>
      <c r="M225" s="654" t="str">
        <f t="shared" si="172"/>
        <v>REPARATION SOUS-LOC. - GENERAL</v>
      </c>
      <c r="N225" s="655">
        <f>+IF(OR($Q225=Parametres!$G$2,$Q225=Parametres!$G$3),I225,C225)</f>
        <v>2466</v>
      </c>
      <c r="O225" s="655">
        <f>+IF(OR($Q225=Parametres!$G$2,$Q225=Parametres!$G$3),J225,D225)</f>
        <v>3354.5</v>
      </c>
      <c r="P225" s="655">
        <f>+IF(OR($Q225=Parametres!$G$2,$Q225=Parametres!$G$3),K225,E225)</f>
        <v>5820.5</v>
      </c>
      <c r="Q225" s="654" t="str">
        <f t="shared" si="173"/>
        <v>6-Coût des ventes</v>
      </c>
      <c r="R225" s="653" t="str">
        <f t="shared" si="174"/>
        <v>4491</v>
      </c>
      <c r="S225" s="654">
        <f t="shared" si="175"/>
        <v>0</v>
      </c>
      <c r="T225" s="656" t="str">
        <f>+VLOOKUP($L225,Data_Validation!$A:$D,1,0)</f>
        <v>5491</v>
      </c>
      <c r="U225" s="656" t="str">
        <f>+VLOOKUP($L225,Data_Validation!$A:$D,3,0)</f>
        <v>Service</v>
      </c>
      <c r="V225" s="656" t="str">
        <f>+VLOOKUP($L225,Data_Validation!$A:$D,4,0)</f>
        <v>Sous-traitement</v>
      </c>
      <c r="W225" s="656" t="str">
        <f>+VLOOKUP($L225,Data_Validation!$A:$E,5,0)</f>
        <v>$</v>
      </c>
      <c r="X225" s="656">
        <f>+VLOOKUP($L225,Data_Validation!$A:$F,6,0)</f>
        <v>0</v>
      </c>
    </row>
    <row r="226" spans="1:24" ht="15" customHeight="1">
      <c r="A226" s="1210" t="s">
        <v>1132</v>
      </c>
      <c r="B226" s="1210" t="s">
        <v>2172</v>
      </c>
      <c r="C226" s="1212">
        <v>210</v>
      </c>
      <c r="D226" s="1212">
        <v>2850</v>
      </c>
      <c r="E226" s="1212">
        <v>3060</v>
      </c>
      <c r="F226" s="1210" t="s">
        <v>1110</v>
      </c>
      <c r="G226" s="1210" t="s">
        <v>1040</v>
      </c>
      <c r="H226" s="651"/>
      <c r="I226" s="670"/>
      <c r="J226" s="651"/>
      <c r="K226" s="670"/>
      <c r="L226" s="653" t="str">
        <f t="shared" si="171"/>
        <v>5493</v>
      </c>
      <c r="M226" s="654" t="str">
        <f t="shared" si="172"/>
        <v>C/V - SOUS-TRAITANCE GARANTIE</v>
      </c>
      <c r="N226" s="655">
        <f>+IF(OR($Q226=Parametres!$G$2,$Q226=Parametres!$G$3),I226,C226)</f>
        <v>210</v>
      </c>
      <c r="O226" s="655">
        <f>+IF(OR($Q226=Parametres!$G$2,$Q226=Parametres!$G$3),J226,D226)</f>
        <v>2850</v>
      </c>
      <c r="P226" s="655">
        <f>+IF(OR($Q226=Parametres!$G$2,$Q226=Parametres!$G$3),K226,E226)</f>
        <v>3060</v>
      </c>
      <c r="Q226" s="654" t="str">
        <f t="shared" si="173"/>
        <v>6-Coût des ventes</v>
      </c>
      <c r="R226" s="653" t="str">
        <f t="shared" si="174"/>
        <v>4493</v>
      </c>
      <c r="S226" s="654">
        <f t="shared" si="175"/>
        <v>0</v>
      </c>
      <c r="T226" s="656" t="str">
        <f>+VLOOKUP($L226,Data_Validation!$A:$D,1,0)</f>
        <v>5493</v>
      </c>
      <c r="U226" s="656" t="str">
        <f>+VLOOKUP($L226,Data_Validation!$A:$D,3,0)</f>
        <v>Service</v>
      </c>
      <c r="V226" s="656" t="str">
        <f>+VLOOKUP($L226,Data_Validation!$A:$D,4,0)</f>
        <v>Sous-traitement</v>
      </c>
      <c r="W226" s="656" t="str">
        <f>+VLOOKUP($L226,Data_Validation!$A:$E,5,0)</f>
        <v>$</v>
      </c>
      <c r="X226" s="656">
        <f>+VLOOKUP($L226,Data_Validation!$A:$F,6,0)</f>
        <v>0</v>
      </c>
    </row>
    <row r="227" spans="1:24" ht="15" customHeight="1">
      <c r="A227" s="1210" t="s">
        <v>1133</v>
      </c>
      <c r="B227" s="1210" t="s">
        <v>2175</v>
      </c>
      <c r="C227" s="1212">
        <v>4006</v>
      </c>
      <c r="D227" s="1212">
        <v>9770</v>
      </c>
      <c r="E227" s="1212">
        <v>13776</v>
      </c>
      <c r="F227" s="1210" t="s">
        <v>1110</v>
      </c>
      <c r="G227" s="1210" t="s">
        <v>1044</v>
      </c>
      <c r="H227" s="650"/>
      <c r="I227" s="652"/>
      <c r="J227" s="652"/>
      <c r="K227" s="652"/>
      <c r="L227" s="653" t="str">
        <f t="shared" si="171"/>
        <v>5495</v>
      </c>
      <c r="M227" s="654" t="str">
        <f t="shared" si="172"/>
        <v>C/V - SOUS-TRAITANCE INTERNE</v>
      </c>
      <c r="N227" s="655">
        <f>+IF(OR($Q227=Parametres!$G$2,$Q227=Parametres!$G$3),I227,C227)</f>
        <v>4006</v>
      </c>
      <c r="O227" s="655">
        <f>+IF(OR($Q227=Parametres!$G$2,$Q227=Parametres!$G$3),J227,D227)</f>
        <v>9770</v>
      </c>
      <c r="P227" s="655">
        <f>+IF(OR($Q227=Parametres!$G$2,$Q227=Parametres!$G$3),K227,E227)</f>
        <v>13776</v>
      </c>
      <c r="Q227" s="654" t="str">
        <f t="shared" si="173"/>
        <v>6-Coût des ventes</v>
      </c>
      <c r="R227" s="653" t="str">
        <f t="shared" si="174"/>
        <v>4495</v>
      </c>
      <c r="S227" s="654">
        <f t="shared" si="175"/>
        <v>0</v>
      </c>
      <c r="T227" s="656" t="str">
        <f>+VLOOKUP($L227,Data_Validation!$A:$D,1,0)</f>
        <v>5495</v>
      </c>
      <c r="U227" s="656" t="str">
        <f>+VLOOKUP($L227,Data_Validation!$A:$D,3,0)</f>
        <v>Service</v>
      </c>
      <c r="V227" s="656" t="str">
        <f>+VLOOKUP($L227,Data_Validation!$A:$D,4,0)</f>
        <v>Sous-traitement</v>
      </c>
      <c r="W227" s="656" t="str">
        <f>+VLOOKUP($L227,Data_Validation!$A:$E,5,0)</f>
        <v>$</v>
      </c>
      <c r="X227" s="656">
        <f>+VLOOKUP($L227,Data_Validation!$A:$F,6,0)</f>
        <v>0</v>
      </c>
    </row>
    <row r="228" spans="1:24" ht="15" customHeight="1">
      <c r="A228" s="1210" t="s">
        <v>3428</v>
      </c>
      <c r="B228" s="1210" t="s">
        <v>3429</v>
      </c>
      <c r="C228" s="1212">
        <v>800.8</v>
      </c>
      <c r="D228" s="1212">
        <v>1586</v>
      </c>
      <c r="E228" s="1212">
        <v>2386.8000000000002</v>
      </c>
      <c r="F228" s="1210" t="s">
        <v>1110</v>
      </c>
      <c r="G228" s="1210" t="s">
        <v>3427</v>
      </c>
      <c r="H228" s="650"/>
      <c r="I228" s="652"/>
      <c r="J228" s="652"/>
      <c r="K228" s="652"/>
      <c r="L228" s="653" t="str">
        <f t="shared" si="171"/>
        <v>5505</v>
      </c>
      <c r="M228" s="654" t="str">
        <f t="shared" si="172"/>
        <v>C/V - M.O. INTERNE CARROSSERIE</v>
      </c>
      <c r="N228" s="655">
        <f>+IF(OR($Q228=Parametres!$G$2,$Q228=Parametres!$G$3),I228,C228)</f>
        <v>800.8</v>
      </c>
      <c r="O228" s="655">
        <f>+IF(OR($Q228=Parametres!$G$2,$Q228=Parametres!$G$3),J228,D228)</f>
        <v>1586</v>
      </c>
      <c r="P228" s="655">
        <f>+IF(OR($Q228=Parametres!$G$2,$Q228=Parametres!$G$3),K228,E228)</f>
        <v>2386.8000000000002</v>
      </c>
      <c r="Q228" s="654" t="str">
        <f t="shared" si="173"/>
        <v>6-Coût des ventes</v>
      </c>
      <c r="R228" s="653" t="str">
        <f t="shared" si="174"/>
        <v>4505</v>
      </c>
      <c r="S228" s="654">
        <f t="shared" si="175"/>
        <v>0</v>
      </c>
      <c r="T228" s="656" t="str">
        <f>+VLOOKUP($L228,Data_Validation!$A:$D,1,0)</f>
        <v>5505</v>
      </c>
      <c r="U228" s="656" t="str">
        <f>+VLOOKUP($L228,Data_Validation!$A:$D,3,0)</f>
        <v>Service</v>
      </c>
      <c r="V228" s="656" t="str">
        <f>+VLOOKUP($L228,Data_Validation!$A:$D,4,0)</f>
        <v>M.O. Recond. MCPA</v>
      </c>
      <c r="W228" s="656" t="str">
        <f>+VLOOKUP($L228,Data_Validation!$A:$E,5,0)</f>
        <v>$</v>
      </c>
      <c r="X228" s="656">
        <f>+VLOOKUP($L228,Data_Validation!$A:$F,6,0)</f>
        <v>0</v>
      </c>
    </row>
    <row r="229" spans="1:24" ht="15.75" customHeight="1">
      <c r="A229" s="1210" t="s">
        <v>1134</v>
      </c>
      <c r="B229" s="1210" t="s">
        <v>2184</v>
      </c>
      <c r="C229" s="1212">
        <v>333.58</v>
      </c>
      <c r="D229" s="1212">
        <v>0</v>
      </c>
      <c r="E229" s="1212">
        <v>333.58</v>
      </c>
      <c r="F229" s="1210" t="s">
        <v>1110</v>
      </c>
      <c r="G229" s="1210" t="s">
        <v>1051</v>
      </c>
      <c r="H229" s="650"/>
      <c r="I229" s="672"/>
      <c r="J229" s="663"/>
      <c r="K229" s="672"/>
      <c r="L229" s="653" t="str">
        <f t="shared" si="171"/>
        <v>5591</v>
      </c>
      <c r="M229" s="654" t="str">
        <f t="shared" si="172"/>
        <v>C/V - S-TRAIT. CARR.</v>
      </c>
      <c r="N229" s="655">
        <f>+IF(OR($Q229=Parametres!$G$2,$Q229=Parametres!$G$3),I229,C229)</f>
        <v>333.58</v>
      </c>
      <c r="O229" s="655">
        <f>+IF(OR($Q229=Parametres!$G$2,$Q229=Parametres!$G$3),J229,D229)</f>
        <v>0</v>
      </c>
      <c r="P229" s="655">
        <f>+IF(OR($Q229=Parametres!$G$2,$Q229=Parametres!$G$3),K229,E229)</f>
        <v>333.58</v>
      </c>
      <c r="Q229" s="654" t="str">
        <f t="shared" si="173"/>
        <v>6-Coût des ventes</v>
      </c>
      <c r="R229" s="653" t="str">
        <f t="shared" si="174"/>
        <v>4591</v>
      </c>
      <c r="S229" s="654">
        <f t="shared" si="175"/>
        <v>0</v>
      </c>
      <c r="T229" s="656" t="str">
        <f>+VLOOKUP($L229,Data_Validation!$A:$D,1,0)</f>
        <v>5591</v>
      </c>
      <c r="U229" s="656" t="str">
        <f>+VLOOKUP($L229,Data_Validation!$A:$D,3,0)</f>
        <v>Carrosserie</v>
      </c>
      <c r="V229" s="656" t="str">
        <f>+VLOOKUP($L229,Data_Validation!$A:$D,4,0)</f>
        <v>M/O Sous-traitement</v>
      </c>
      <c r="W229" s="656" t="str">
        <f>+VLOOKUP($L229,Data_Validation!$A:$E,5,0)</f>
        <v>$</v>
      </c>
      <c r="X229" s="656">
        <f>+VLOOKUP($L229,Data_Validation!$A:$F,6,0)</f>
        <v>0</v>
      </c>
    </row>
    <row r="230" spans="1:24" ht="15" customHeight="1">
      <c r="A230" s="1210" t="s">
        <v>1135</v>
      </c>
      <c r="B230" s="1210" t="s">
        <v>2187</v>
      </c>
      <c r="C230" s="1212">
        <v>5120.99</v>
      </c>
      <c r="D230" s="1212">
        <v>15702.99</v>
      </c>
      <c r="E230" s="1212">
        <v>20823.98</v>
      </c>
      <c r="F230" s="1210" t="s">
        <v>1110</v>
      </c>
      <c r="G230" s="1210" t="s">
        <v>1055</v>
      </c>
      <c r="H230" s="651"/>
      <c r="I230" s="670"/>
      <c r="J230" s="651"/>
      <c r="K230" s="670"/>
      <c r="L230" s="653" t="str">
        <f t="shared" si="171"/>
        <v>5593</v>
      </c>
      <c r="M230" s="654" t="str">
        <f t="shared" si="172"/>
        <v>C/V - S-TRAIT.GARANTIE CARROS.</v>
      </c>
      <c r="N230" s="655">
        <f>+IF(OR($Q230=Parametres!$G$2,$Q230=Parametres!$G$3),I230,C230)</f>
        <v>5120.99</v>
      </c>
      <c r="O230" s="655">
        <f>+IF(OR($Q230=Parametres!$G$2,$Q230=Parametres!$G$3),J230,D230)</f>
        <v>15702.99</v>
      </c>
      <c r="P230" s="655">
        <f>+IF(OR($Q230=Parametres!$G$2,$Q230=Parametres!$G$3),K230,E230)</f>
        <v>20823.98</v>
      </c>
      <c r="Q230" s="654" t="str">
        <f t="shared" si="173"/>
        <v>6-Coût des ventes</v>
      </c>
      <c r="R230" s="653" t="str">
        <f t="shared" si="174"/>
        <v>4593</v>
      </c>
      <c r="S230" s="654">
        <f t="shared" si="175"/>
        <v>0</v>
      </c>
      <c r="T230" s="656" t="str">
        <f>+VLOOKUP($L230,Data_Validation!$A:$D,1,0)</f>
        <v>5593</v>
      </c>
      <c r="U230" s="656" t="str">
        <f>+VLOOKUP($L230,Data_Validation!$A:$D,3,0)</f>
        <v>Carrosserie</v>
      </c>
      <c r="V230" s="656" t="str">
        <f>+VLOOKUP($L230,Data_Validation!$A:$D,4,0)</f>
        <v>M/O Sous-traitement</v>
      </c>
      <c r="W230" s="656" t="str">
        <f>+VLOOKUP($L230,Data_Validation!$A:$E,5,0)</f>
        <v>$</v>
      </c>
      <c r="X230" s="656">
        <f>+VLOOKUP($L230,Data_Validation!$A:$F,6,0)</f>
        <v>0</v>
      </c>
    </row>
    <row r="231" spans="1:24" ht="15" customHeight="1">
      <c r="A231" s="1210" t="s">
        <v>1136</v>
      </c>
      <c r="B231" s="1210" t="s">
        <v>2190</v>
      </c>
      <c r="C231" s="1212">
        <v>4190.22</v>
      </c>
      <c r="D231" s="1212">
        <v>0</v>
      </c>
      <c r="E231" s="1212">
        <v>4190.22</v>
      </c>
      <c r="F231" s="1210" t="s">
        <v>1110</v>
      </c>
      <c r="G231" s="1210" t="s">
        <v>1059</v>
      </c>
      <c r="H231" s="651"/>
      <c r="I231" s="652"/>
      <c r="J231" s="652"/>
      <c r="K231" s="652"/>
      <c r="L231" s="653" t="str">
        <f t="shared" si="171"/>
        <v>5595</v>
      </c>
      <c r="M231" s="654" t="str">
        <f t="shared" si="172"/>
        <v>C/V - S-TRAIT.INTERNE CARROS.</v>
      </c>
      <c r="N231" s="655">
        <f>+IF(OR($Q231=Parametres!$G$2,$Q231=Parametres!$G$3),I231,C231)</f>
        <v>4190.22</v>
      </c>
      <c r="O231" s="655">
        <f>+IF(OR($Q231=Parametres!$G$2,$Q231=Parametres!$G$3),J231,D231)</f>
        <v>0</v>
      </c>
      <c r="P231" s="655">
        <f>+IF(OR($Q231=Parametres!$G$2,$Q231=Parametres!$G$3),K231,E231)</f>
        <v>4190.22</v>
      </c>
      <c r="Q231" s="654" t="str">
        <f t="shared" si="173"/>
        <v>6-Coût des ventes</v>
      </c>
      <c r="R231" s="653" t="str">
        <f t="shared" si="174"/>
        <v>4595</v>
      </c>
      <c r="S231" s="654">
        <f t="shared" si="175"/>
        <v>0</v>
      </c>
      <c r="T231" s="656" t="str">
        <f>+VLOOKUP($L231,Data_Validation!$A:$D,1,0)</f>
        <v>5595</v>
      </c>
      <c r="U231" s="656" t="str">
        <f>+VLOOKUP($L231,Data_Validation!$A:$D,3,0)</f>
        <v>Carrosserie</v>
      </c>
      <c r="V231" s="656" t="str">
        <f>+VLOOKUP($L231,Data_Validation!$A:$D,4,0)</f>
        <v>M/O Sous-traitement</v>
      </c>
      <c r="W231" s="656" t="str">
        <f>+VLOOKUP($L231,Data_Validation!$A:$E,5,0)</f>
        <v>$</v>
      </c>
      <c r="X231" s="656">
        <f>+VLOOKUP($L231,Data_Validation!$A:$F,6,0)</f>
        <v>0</v>
      </c>
    </row>
    <row r="232" spans="1:24" ht="15" customHeight="1">
      <c r="A232" s="1210" t="s">
        <v>3674</v>
      </c>
      <c r="B232" s="1210" t="s">
        <v>2193</v>
      </c>
      <c r="C232" s="1212">
        <v>43155.21</v>
      </c>
      <c r="D232" s="1212">
        <v>42136.44</v>
      </c>
      <c r="E232" s="1212">
        <v>85291.65</v>
      </c>
      <c r="F232" s="1210" t="s">
        <v>1110</v>
      </c>
      <c r="G232" s="1210" t="s">
        <v>1063</v>
      </c>
      <c r="H232" s="650"/>
      <c r="I232" s="652"/>
      <c r="J232" s="652"/>
      <c r="K232" s="652"/>
      <c r="L232" s="653" t="str">
        <f t="shared" si="171"/>
        <v>5701</v>
      </c>
      <c r="M232" s="654" t="str">
        <f t="shared" si="172"/>
        <v>VW P&amp;A - BR - CLIENT - MCI</v>
      </c>
      <c r="N232" s="655">
        <f>+IF(OR($Q232=Parametres!$G$2,$Q232=Parametres!$G$3),I232,C232)</f>
        <v>43155.21</v>
      </c>
      <c r="O232" s="655">
        <f>+IF(OR($Q232=Parametres!$G$2,$Q232=Parametres!$G$3),J232,D232)</f>
        <v>42136.44</v>
      </c>
      <c r="P232" s="655">
        <f>+IF(OR($Q232=Parametres!$G$2,$Q232=Parametres!$G$3),K232,E232)</f>
        <v>85291.65</v>
      </c>
      <c r="Q232" s="654" t="str">
        <f t="shared" si="173"/>
        <v>6-Coût des ventes</v>
      </c>
      <c r="R232" s="653" t="str">
        <f t="shared" si="174"/>
        <v>4701</v>
      </c>
      <c r="S232" s="654">
        <f t="shared" si="175"/>
        <v>0</v>
      </c>
      <c r="T232" s="656" t="str">
        <f>+VLOOKUP($L232,Data_Validation!$A:$D,1,0)</f>
        <v>5701</v>
      </c>
      <c r="U232" s="656" t="str">
        <f>+VLOOKUP($L232,Data_Validation!$A:$D,3,0)</f>
        <v>Pièces</v>
      </c>
      <c r="V232" s="656" t="str">
        <f>+VLOOKUP($L232,Data_Validation!$A:$D,4,0)</f>
        <v>Pièces Ro Clients</v>
      </c>
      <c r="W232" s="656" t="str">
        <f>+VLOOKUP($L232,Data_Validation!$A:$E,5,0)</f>
        <v>$</v>
      </c>
      <c r="X232" s="656">
        <f>+VLOOKUP($L232,Data_Validation!$A:$F,6,0)</f>
        <v>0</v>
      </c>
    </row>
    <row r="233" spans="1:24" ht="15" customHeight="1">
      <c r="A233" s="1210" t="s">
        <v>1138</v>
      </c>
      <c r="B233" s="1210" t="s">
        <v>2196</v>
      </c>
      <c r="C233" s="1212">
        <v>220.42</v>
      </c>
      <c r="D233" s="1212">
        <v>258.68</v>
      </c>
      <c r="E233" s="1212">
        <v>479.1</v>
      </c>
      <c r="F233" s="1210" t="s">
        <v>1110</v>
      </c>
      <c r="G233" s="1210" t="s">
        <v>1067</v>
      </c>
      <c r="H233" s="651"/>
      <c r="I233" s="660"/>
      <c r="J233" s="660"/>
      <c r="K233" s="660"/>
      <c r="L233" s="653" t="str">
        <f t="shared" si="171"/>
        <v>5702</v>
      </c>
      <c r="M233" s="654" t="str">
        <f t="shared" si="172"/>
        <v>C/V - SHOP SUPPLY VW</v>
      </c>
      <c r="N233" s="655">
        <f>+IF(OR($Q233=Parametres!$G$2,$Q233=Parametres!$G$3),I233,C233)</f>
        <v>220.42</v>
      </c>
      <c r="O233" s="655">
        <f>+IF(OR($Q233=Parametres!$G$2,$Q233=Parametres!$G$3),J233,D233)</f>
        <v>258.68</v>
      </c>
      <c r="P233" s="655">
        <f>+IF(OR($Q233=Parametres!$G$2,$Q233=Parametres!$G$3),K233,E233)</f>
        <v>479.1</v>
      </c>
      <c r="Q233" s="654" t="str">
        <f t="shared" si="173"/>
        <v>6-Coût des ventes</v>
      </c>
      <c r="R233" s="653" t="str">
        <f t="shared" si="174"/>
        <v>4702</v>
      </c>
      <c r="S233" s="654">
        <f t="shared" si="175"/>
        <v>0</v>
      </c>
      <c r="T233" s="656" t="str">
        <f>+VLOOKUP($L233,Data_Validation!$A:$D,1,0)</f>
        <v>5702</v>
      </c>
      <c r="U233" s="656" t="str">
        <f>+VLOOKUP($L233,Data_Validation!$A:$D,3,0)</f>
        <v>Service</v>
      </c>
      <c r="V233" s="656" t="str">
        <f>+VLOOKUP($L233,Data_Validation!$A:$D,4,0)</f>
        <v>M/O Client</v>
      </c>
      <c r="W233" s="656" t="str">
        <f>+VLOOKUP($L233,Data_Validation!$A:$E,5,0)</f>
        <v>$</v>
      </c>
      <c r="X233" s="656">
        <f>+VLOOKUP($L233,Data_Validation!$A:$F,6,0)</f>
        <v>0</v>
      </c>
    </row>
    <row r="234" spans="1:24" ht="15.75" customHeight="1">
      <c r="A234" s="1210" t="s">
        <v>3675</v>
      </c>
      <c r="B234" s="1210" t="s">
        <v>2199</v>
      </c>
      <c r="C234" s="1212">
        <v>71790</v>
      </c>
      <c r="D234" s="1212">
        <v>62567.28</v>
      </c>
      <c r="E234" s="1212">
        <v>134357.28</v>
      </c>
      <c r="F234" s="1210" t="s">
        <v>1110</v>
      </c>
      <c r="G234" s="1210" t="s">
        <v>1069</v>
      </c>
      <c r="H234" s="651"/>
      <c r="I234" s="652"/>
      <c r="J234" s="652"/>
      <c r="K234" s="652"/>
      <c r="L234" s="653" t="str">
        <f t="shared" si="171"/>
        <v>5703</v>
      </c>
      <c r="M234" s="654" t="str">
        <f t="shared" si="172"/>
        <v>VW P&amp;A - BR - GARANTIE - MCI</v>
      </c>
      <c r="N234" s="655">
        <f>+IF(OR($Q234=Parametres!$G$2,$Q234=Parametres!$G$3),I234,C234)</f>
        <v>71790</v>
      </c>
      <c r="O234" s="655">
        <f>+IF(OR($Q234=Parametres!$G$2,$Q234=Parametres!$G$3),J234,D234)</f>
        <v>62567.28</v>
      </c>
      <c r="P234" s="655">
        <f>+IF(OR($Q234=Parametres!$G$2,$Q234=Parametres!$G$3),K234,E234)</f>
        <v>134357.28</v>
      </c>
      <c r="Q234" s="654" t="str">
        <f t="shared" si="173"/>
        <v>6-Coût des ventes</v>
      </c>
      <c r="R234" s="653" t="str">
        <f t="shared" si="174"/>
        <v>4703</v>
      </c>
      <c r="S234" s="654">
        <f t="shared" si="175"/>
        <v>0</v>
      </c>
      <c r="T234" s="656" t="str">
        <f>+VLOOKUP($L234,Data_Validation!$A:$D,1,0)</f>
        <v>5703</v>
      </c>
      <c r="U234" s="656" t="str">
        <f>+VLOOKUP($L234,Data_Validation!$A:$D,3,0)</f>
        <v>Pièces</v>
      </c>
      <c r="V234" s="656" t="str">
        <f>+VLOOKUP($L234,Data_Validation!$A:$D,4,0)</f>
        <v>P/A Garantie</v>
      </c>
      <c r="W234" s="656" t="str">
        <f>+VLOOKUP($L234,Data_Validation!$A:$E,5,0)</f>
        <v>$</v>
      </c>
      <c r="X234" s="656">
        <f>+VLOOKUP($L234,Data_Validation!$A:$F,6,0)</f>
        <v>0</v>
      </c>
    </row>
    <row r="235" spans="1:24" ht="15" customHeight="1">
      <c r="A235" s="1210" t="s">
        <v>3676</v>
      </c>
      <c r="B235" s="1210" t="s">
        <v>2202</v>
      </c>
      <c r="C235" s="1212">
        <v>58954.6</v>
      </c>
      <c r="D235" s="1212">
        <v>47017.74</v>
      </c>
      <c r="E235" s="1212">
        <v>105972.34</v>
      </c>
      <c r="F235" s="1210" t="s">
        <v>1110</v>
      </c>
      <c r="G235" s="1210" t="s">
        <v>1073</v>
      </c>
      <c r="H235" s="650"/>
      <c r="I235" s="652"/>
      <c r="J235" s="652"/>
      <c r="K235" s="652"/>
      <c r="L235" s="653" t="str">
        <f t="shared" si="171"/>
        <v>5705</v>
      </c>
      <c r="M235" s="654" t="str">
        <f t="shared" si="172"/>
        <v>VW P&amp;A - BR - INTERNE - MCI</v>
      </c>
      <c r="N235" s="655">
        <f>+IF(OR($Q235=Parametres!$G$2,$Q235=Parametres!$G$3),I235,C235)</f>
        <v>58954.6</v>
      </c>
      <c r="O235" s="655">
        <f>+IF(OR($Q235=Parametres!$G$2,$Q235=Parametres!$G$3),J235,D235)</f>
        <v>47017.74</v>
      </c>
      <c r="P235" s="655">
        <f>+IF(OR($Q235=Parametres!$G$2,$Q235=Parametres!$G$3),K235,E235)</f>
        <v>105972.34</v>
      </c>
      <c r="Q235" s="654" t="str">
        <f t="shared" si="173"/>
        <v>6-Coût des ventes</v>
      </c>
      <c r="R235" s="653" t="str">
        <f t="shared" si="174"/>
        <v>4705</v>
      </c>
      <c r="S235" s="654">
        <f t="shared" si="175"/>
        <v>0</v>
      </c>
      <c r="T235" s="656" t="str">
        <f>+VLOOKUP($L235,Data_Validation!$A:$D,1,0)</f>
        <v>5705</v>
      </c>
      <c r="U235" s="656" t="str">
        <f>+VLOOKUP($L235,Data_Validation!$A:$D,3,0)</f>
        <v>Pièces</v>
      </c>
      <c r="V235" s="656" t="str">
        <f>+VLOOKUP($L235,Data_Validation!$A:$D,4,0)</f>
        <v>Ventes Internes</v>
      </c>
      <c r="W235" s="656" t="str">
        <f>+VLOOKUP($L235,Data_Validation!$A:$E,5,0)</f>
        <v>$</v>
      </c>
      <c r="X235" s="656">
        <f>+VLOOKUP($L235,Data_Validation!$A:$F,6,0)</f>
        <v>0</v>
      </c>
    </row>
    <row r="236" spans="1:24" ht="15" customHeight="1">
      <c r="A236" s="1210" t="s">
        <v>3677</v>
      </c>
      <c r="B236" s="1210" t="s">
        <v>2205</v>
      </c>
      <c r="C236" s="1212">
        <v>101.2</v>
      </c>
      <c r="D236" s="1212">
        <v>74.790000000000006</v>
      </c>
      <c r="E236" s="1212">
        <v>175.99</v>
      </c>
      <c r="F236" s="1210" t="s">
        <v>1110</v>
      </c>
      <c r="G236" s="1210" t="s">
        <v>1076</v>
      </c>
      <c r="H236" s="651"/>
      <c r="I236" s="652"/>
      <c r="J236" s="652"/>
      <c r="K236" s="652"/>
      <c r="L236" s="653" t="str">
        <f t="shared" si="171"/>
        <v>5706</v>
      </c>
      <c r="M236" s="654" t="str">
        <f t="shared" si="172"/>
        <v>VW P&amp;A - BR - CLIENT - VEB</v>
      </c>
      <c r="N236" s="655">
        <f>+IF(OR($Q236=Parametres!$G$2,$Q236=Parametres!$G$3),I236,C236)</f>
        <v>101.2</v>
      </c>
      <c r="O236" s="655">
        <f>+IF(OR($Q236=Parametres!$G$2,$Q236=Parametres!$G$3),J236,D236)</f>
        <v>74.790000000000006</v>
      </c>
      <c r="P236" s="655">
        <f>+IF(OR($Q236=Parametres!$G$2,$Q236=Parametres!$G$3),K236,E236)</f>
        <v>175.99</v>
      </c>
      <c r="Q236" s="654" t="str">
        <f t="shared" si="173"/>
        <v>6-Coût des ventes</v>
      </c>
      <c r="R236" s="653" t="str">
        <f t="shared" si="174"/>
        <v>4706</v>
      </c>
      <c r="S236" s="654">
        <f t="shared" si="175"/>
        <v>0</v>
      </c>
      <c r="T236" s="656" t="str">
        <f>+VLOOKUP($L236,Data_Validation!$A:$D,1,0)</f>
        <v>5706</v>
      </c>
      <c r="U236" s="656" t="str">
        <f>+VLOOKUP($L236,Data_Validation!$A:$D,3,0)</f>
        <v>Service</v>
      </c>
      <c r="V236" s="656" t="str">
        <f>+VLOOKUP($L236,Data_Validation!$A:$D,4,0)</f>
        <v>M/O Interne</v>
      </c>
      <c r="W236" s="656" t="str">
        <f>+VLOOKUP($L236,Data_Validation!$A:$E,5,0)</f>
        <v>$</v>
      </c>
      <c r="X236" s="656">
        <f>+VLOOKUP($L236,Data_Validation!$A:$F,6,0)</f>
        <v>0</v>
      </c>
    </row>
    <row r="237" spans="1:24" ht="15" customHeight="1">
      <c r="A237" s="1210" t="s">
        <v>1141</v>
      </c>
      <c r="B237" s="1210" t="s">
        <v>2208</v>
      </c>
      <c r="C237" s="1212">
        <v>2149.66</v>
      </c>
      <c r="D237" s="1212">
        <v>1273.21</v>
      </c>
      <c r="E237" s="1212">
        <v>3422.87</v>
      </c>
      <c r="F237" s="1210" t="s">
        <v>1110</v>
      </c>
      <c r="G237" s="1210" t="s">
        <v>1142</v>
      </c>
      <c r="H237" s="651"/>
      <c r="I237" s="670"/>
      <c r="J237" s="651"/>
      <c r="K237" s="670"/>
      <c r="L237" s="653" t="str">
        <f t="shared" si="171"/>
        <v>5711</v>
      </c>
      <c r="M237" s="654" t="str">
        <f t="shared" si="172"/>
        <v>C/V - AUTRE PIECE/ACC/CARR B.R. CLIENT</v>
      </c>
      <c r="N237" s="655">
        <f>+IF(OR($Q237=Parametres!$G$2,$Q237=Parametres!$G$3),I237,C237)</f>
        <v>2149.66</v>
      </c>
      <c r="O237" s="659">
        <f>+IF(OR($Q237=Parametres!$G$2,$Q237=Parametres!$G$3),J237,D237)</f>
        <v>1273.21</v>
      </c>
      <c r="P237" s="655">
        <f>+IF(OR($Q237=Parametres!$G$2,$Q237=Parametres!$G$3),K237,E237)</f>
        <v>3422.87</v>
      </c>
      <c r="Q237" s="654" t="str">
        <f t="shared" si="173"/>
        <v>6-Coût des ventes</v>
      </c>
      <c r="R237" s="653" t="str">
        <f t="shared" si="174"/>
        <v>4711</v>
      </c>
      <c r="S237" s="654">
        <f t="shared" si="175"/>
        <v>0</v>
      </c>
      <c r="T237" s="656" t="str">
        <f>+VLOOKUP($L237,Data_Validation!$A:$D,1,0)</f>
        <v>5711</v>
      </c>
      <c r="U237" s="656" t="str">
        <f>+VLOOKUP($L237,Data_Validation!$A:$D,3,0)</f>
        <v>Pièces</v>
      </c>
      <c r="V237" s="656" t="str">
        <f>+VLOOKUP($L237,Data_Validation!$A:$D,4,0)</f>
        <v>Pièces Ro Clients</v>
      </c>
      <c r="W237" s="656" t="str">
        <f>+VLOOKUP($L237,Data_Validation!$A:$E,5,0)</f>
        <v>$</v>
      </c>
      <c r="X237" s="656">
        <f>+VLOOKUP($L237,Data_Validation!$A:$F,6,0)</f>
        <v>0</v>
      </c>
    </row>
    <row r="238" spans="1:24" ht="15.75" customHeight="1">
      <c r="A238" s="1210" t="s">
        <v>3679</v>
      </c>
      <c r="B238" s="1210" t="s">
        <v>2217</v>
      </c>
      <c r="C238" s="1212">
        <v>1305.45</v>
      </c>
      <c r="D238" s="1212">
        <v>8422.59</v>
      </c>
      <c r="E238" s="1212">
        <v>9728.0400000000009</v>
      </c>
      <c r="F238" s="1210" t="s">
        <v>1110</v>
      </c>
      <c r="G238" s="1210" t="s">
        <v>1090</v>
      </c>
      <c r="H238" s="651"/>
      <c r="I238" s="670"/>
      <c r="J238" s="670"/>
      <c r="K238" s="670"/>
      <c r="L238" s="653" t="str">
        <f t="shared" si="171"/>
        <v>5733</v>
      </c>
      <c r="M238" s="654" t="str">
        <f t="shared" si="172"/>
        <v>VW-P&amp;A-P&amp;BRO-GARANTIE - MCI</v>
      </c>
      <c r="N238" s="655">
        <f>+IF(OR($Q238=Parametres!$G$2,$Q238=Parametres!$G$3),I238,C238)</f>
        <v>1305.45</v>
      </c>
      <c r="O238" s="659">
        <f>+IF(OR($Q238=Parametres!$G$2,$Q238=Parametres!$G$3),J238,D238)</f>
        <v>8422.59</v>
      </c>
      <c r="P238" s="655">
        <f>+IF(OR($Q238=Parametres!$G$2,$Q238=Parametres!$G$3),K238,E238)</f>
        <v>9728.0400000000009</v>
      </c>
      <c r="Q238" s="654" t="str">
        <f t="shared" si="173"/>
        <v>6-Coût des ventes</v>
      </c>
      <c r="R238" s="653" t="str">
        <f t="shared" si="174"/>
        <v>4733</v>
      </c>
      <c r="S238" s="654">
        <f t="shared" si="175"/>
        <v>0</v>
      </c>
      <c r="T238" s="656" t="str">
        <f>+VLOOKUP($L238,Data_Validation!$A:$D,1,0)</f>
        <v>5733</v>
      </c>
      <c r="U238" s="656" t="str">
        <f>+VLOOKUP($L238,Data_Validation!$A:$D,3,0)</f>
        <v>Pièces</v>
      </c>
      <c r="V238" s="656" t="str">
        <f>+VLOOKUP($L238,Data_Validation!$A:$D,4,0)</f>
        <v>Pièces Ro Carrosserie</v>
      </c>
      <c r="W238" s="656" t="str">
        <f>+VLOOKUP($L238,Data_Validation!$A:$E,5,0)</f>
        <v>$</v>
      </c>
      <c r="X238" s="656">
        <f>+VLOOKUP($L238,Data_Validation!$A:$F,6,0)</f>
        <v>0</v>
      </c>
    </row>
    <row r="239" spans="1:24" ht="15" customHeight="1">
      <c r="A239" s="1210" t="s">
        <v>3680</v>
      </c>
      <c r="B239" s="1210" t="s">
        <v>2220</v>
      </c>
      <c r="C239" s="1212">
        <v>391.85</v>
      </c>
      <c r="D239" s="1212">
        <v>0</v>
      </c>
      <c r="E239" s="1212">
        <v>391.85</v>
      </c>
      <c r="F239" s="1210" t="s">
        <v>1110</v>
      </c>
      <c r="G239" s="1210" t="s">
        <v>1094</v>
      </c>
      <c r="H239" s="651"/>
      <c r="I239" s="652"/>
      <c r="J239" s="652"/>
      <c r="K239" s="652"/>
      <c r="L239" s="653" t="str">
        <f t="shared" si="171"/>
        <v>5735</v>
      </c>
      <c r="M239" s="654" t="str">
        <f t="shared" si="172"/>
        <v>VW-P&amp;A-P&amp;BRO-INTERNE - MCI</v>
      </c>
      <c r="N239" s="655">
        <f>+IF(OR($Q239=Parametres!$G$2,$Q239=Parametres!$G$3),I239,C239)</f>
        <v>391.85</v>
      </c>
      <c r="O239" s="655">
        <f>+IF(OR($Q239=Parametres!$G$2,$Q239=Parametres!$G$3),J239,D239)</f>
        <v>0</v>
      </c>
      <c r="P239" s="655">
        <f>+IF(OR($Q239=Parametres!$G$2,$Q239=Parametres!$G$3),K239,E239)</f>
        <v>391.85</v>
      </c>
      <c r="Q239" s="654" t="str">
        <f t="shared" si="173"/>
        <v>6-Coût des ventes</v>
      </c>
      <c r="R239" s="653" t="str">
        <f t="shared" si="174"/>
        <v>4735</v>
      </c>
      <c r="S239" s="654">
        <f t="shared" si="175"/>
        <v>0</v>
      </c>
      <c r="T239" s="656" t="str">
        <f>+VLOOKUP($L239,Data_Validation!$A:$D,1,0)</f>
        <v>5735</v>
      </c>
      <c r="U239" s="656" t="str">
        <f>+VLOOKUP($L239,Data_Validation!$A:$D,3,0)</f>
        <v>Pièces</v>
      </c>
      <c r="V239" s="656" t="str">
        <f>+VLOOKUP($L239,Data_Validation!$A:$D,4,0)</f>
        <v>Pièces Ro Carrosserie</v>
      </c>
      <c r="W239" s="656" t="str">
        <f>+VLOOKUP($L239,Data_Validation!$A:$E,5,0)</f>
        <v>$</v>
      </c>
      <c r="X239" s="656">
        <f>+VLOOKUP($L239,Data_Validation!$A:$F,6,0)</f>
        <v>0</v>
      </c>
    </row>
    <row r="240" spans="1:24" ht="15" customHeight="1">
      <c r="A240" s="1210" t="s">
        <v>1147</v>
      </c>
      <c r="B240" s="1210" t="s">
        <v>2223</v>
      </c>
      <c r="C240" s="1212">
        <v>7563.13</v>
      </c>
      <c r="D240" s="1212">
        <v>13517.47</v>
      </c>
      <c r="E240" s="1212">
        <v>21080.6</v>
      </c>
      <c r="F240" s="1210" t="s">
        <v>1110</v>
      </c>
      <c r="G240" s="1210" t="s">
        <v>1098</v>
      </c>
      <c r="H240" s="651"/>
      <c r="I240" s="667"/>
      <c r="J240" s="667"/>
      <c r="K240" s="667"/>
      <c r="L240" s="653" t="str">
        <f t="shared" si="171"/>
        <v>5761</v>
      </c>
      <c r="M240" s="654" t="str">
        <f t="shared" si="172"/>
        <v>C/V - P&amp;A VW COMPTOIR - DETAIL</v>
      </c>
      <c r="N240" s="655">
        <f>+IF(OR($Q240=Parametres!$G$2,$Q240=Parametres!$G$3),I240,C240)</f>
        <v>7563.13</v>
      </c>
      <c r="O240" s="655">
        <f>+IF(OR($Q240=Parametres!$G$2,$Q240=Parametres!$G$3),J240,D240)</f>
        <v>13517.47</v>
      </c>
      <c r="P240" s="655">
        <f>+IF(OR($Q240=Parametres!$G$2,$Q240=Parametres!$G$3),K240,E240)</f>
        <v>21080.6</v>
      </c>
      <c r="Q240" s="654" t="str">
        <f t="shared" si="173"/>
        <v>6-Coût des ventes</v>
      </c>
      <c r="R240" s="653" t="str">
        <f t="shared" si="174"/>
        <v>4761</v>
      </c>
      <c r="S240" s="654">
        <f t="shared" si="175"/>
        <v>0</v>
      </c>
      <c r="T240" s="656" t="str">
        <f>+VLOOKUP($L240,Data_Validation!$A:$D,1,0)</f>
        <v>5761</v>
      </c>
      <c r="U240" s="656" t="str">
        <f>+VLOOKUP($L240,Data_Validation!$A:$D,3,0)</f>
        <v>Pièces</v>
      </c>
      <c r="V240" s="656" t="str">
        <f>+VLOOKUP($L240,Data_Validation!$A:$D,4,0)</f>
        <v>Ventes Détails</v>
      </c>
      <c r="W240" s="656" t="str">
        <f>+VLOOKUP($L240,Data_Validation!$A:$E,5,0)</f>
        <v>$</v>
      </c>
      <c r="X240" s="656">
        <f>+VLOOKUP($L240,Data_Validation!$A:$F,6,0)</f>
        <v>0</v>
      </c>
    </row>
    <row r="241" spans="1:24" ht="15" customHeight="1">
      <c r="A241" s="1210" t="s">
        <v>1148</v>
      </c>
      <c r="B241" s="1210" t="s">
        <v>2226</v>
      </c>
      <c r="C241" s="1212">
        <v>168838.51</v>
      </c>
      <c r="D241" s="1212">
        <v>166918.96</v>
      </c>
      <c r="E241" s="1212">
        <v>335757.47</v>
      </c>
      <c r="F241" s="1210" t="s">
        <v>1110</v>
      </c>
      <c r="G241" s="1210" t="s">
        <v>1102</v>
      </c>
      <c r="H241" s="651"/>
      <c r="I241" s="666"/>
      <c r="J241" s="666"/>
      <c r="K241" s="666"/>
      <c r="L241" s="653" t="str">
        <f t="shared" si="171"/>
        <v>5763</v>
      </c>
      <c r="M241" s="654" t="str">
        <f t="shared" si="172"/>
        <v>C/V - P&amp;A VW COMPTOIR GROS - ECHANGE</v>
      </c>
      <c r="N241" s="655">
        <f>+IF(OR($Q241=Parametres!$G$2,$Q241=Parametres!$G$3),I241,C241)</f>
        <v>168838.51</v>
      </c>
      <c r="O241" s="655">
        <f>+IF(OR($Q241=Parametres!$G$2,$Q241=Parametres!$G$3),J241,D241)</f>
        <v>166918.96</v>
      </c>
      <c r="P241" s="655">
        <f>+IF(OR($Q241=Parametres!$G$2,$Q241=Parametres!$G$3),K241,E241)</f>
        <v>335757.47</v>
      </c>
      <c r="Q241" s="654" t="str">
        <f t="shared" si="173"/>
        <v>6-Coût des ventes</v>
      </c>
      <c r="R241" s="653" t="str">
        <f t="shared" si="174"/>
        <v>4763</v>
      </c>
      <c r="S241" s="654">
        <f t="shared" si="175"/>
        <v>0</v>
      </c>
      <c r="T241" s="656" t="str">
        <f>+VLOOKUP($L241,Data_Validation!$A:$D,1,0)</f>
        <v>5763</v>
      </c>
      <c r="U241" s="656" t="str">
        <f>+VLOOKUP($L241,Data_Validation!$A:$D,3,0)</f>
        <v>Pièces</v>
      </c>
      <c r="V241" s="656" t="str">
        <f>+VLOOKUP($L241,Data_Validation!$A:$D,4,0)</f>
        <v>Ventes de Gros</v>
      </c>
      <c r="W241" s="656" t="str">
        <f>+VLOOKUP($L241,Data_Validation!$A:$E,5,0)</f>
        <v>$</v>
      </c>
      <c r="X241" s="656">
        <f>+VLOOKUP($L241,Data_Validation!$A:$F,6,0)</f>
        <v>0</v>
      </c>
    </row>
    <row r="242" spans="1:24" ht="15" customHeight="1">
      <c r="A242" s="1210" t="s">
        <v>3683</v>
      </c>
      <c r="B242" s="1210" t="s">
        <v>3684</v>
      </c>
      <c r="C242" s="1212">
        <v>4602.13</v>
      </c>
      <c r="D242" s="1212">
        <v>6418.57</v>
      </c>
      <c r="E242" s="1212">
        <v>11020.7</v>
      </c>
      <c r="F242" s="1210" t="s">
        <v>1110</v>
      </c>
      <c r="G242" s="1210" t="s">
        <v>3685</v>
      </c>
      <c r="H242" s="651"/>
      <c r="I242" s="666"/>
      <c r="J242" s="666"/>
      <c r="K242" s="666"/>
      <c r="L242" s="653" t="str">
        <f t="shared" si="171"/>
        <v>5773</v>
      </c>
      <c r="M242" s="654" t="str">
        <f t="shared" si="172"/>
        <v>C/V - P&amp;A - COMPTOIR - ENGROS - AUDI</v>
      </c>
      <c r="N242" s="655">
        <f>+IF(OR($Q242=Parametres!$G$2,$Q242=Parametres!$G$3),I242,C242)</f>
        <v>4602.13</v>
      </c>
      <c r="O242" s="655">
        <f>+IF(OR($Q242=Parametres!$G$2,$Q242=Parametres!$G$3),J242,D242)</f>
        <v>6418.57</v>
      </c>
      <c r="P242" s="655">
        <f>+IF(OR($Q242=Parametres!$G$2,$Q242=Parametres!$G$3),K242,E242)</f>
        <v>11020.7</v>
      </c>
      <c r="Q242" s="654" t="str">
        <f t="shared" si="173"/>
        <v>6-Coût des ventes</v>
      </c>
      <c r="R242" s="653" t="str">
        <f t="shared" si="174"/>
        <v>4773</v>
      </c>
      <c r="S242" s="654">
        <f t="shared" si="175"/>
        <v>0</v>
      </c>
      <c r="T242" s="656" t="str">
        <f>+VLOOKUP($L242,Data_Validation!$A:$D,1,0)</f>
        <v>5773</v>
      </c>
      <c r="U242" s="656" t="str">
        <f>+VLOOKUP($L242,Data_Validation!$A:$D,3,0)</f>
        <v>Pièces</v>
      </c>
      <c r="V242" s="656" t="str">
        <f>+VLOOKUP($L242,Data_Validation!$A:$D,4,0)</f>
        <v>Ventes de Gros</v>
      </c>
      <c r="W242" s="656" t="str">
        <f>+VLOOKUP($L242,Data_Validation!$A:$E,5,0)</f>
        <v>$</v>
      </c>
      <c r="X242" s="656">
        <f>+VLOOKUP($L242,Data_Validation!$A:$F,6,0)</f>
        <v>0</v>
      </c>
    </row>
    <row r="243" spans="1:24" ht="15.75" customHeight="1">
      <c r="A243" s="1210" t="s">
        <v>1149</v>
      </c>
      <c r="B243" s="1210" t="s">
        <v>2229</v>
      </c>
      <c r="C243" s="1212">
        <v>45587.35</v>
      </c>
      <c r="D243" s="1212">
        <v>38133.800000000003</v>
      </c>
      <c r="E243" s="1212">
        <v>83721.149999999994</v>
      </c>
      <c r="F243" s="1210" t="s">
        <v>1110</v>
      </c>
      <c r="G243" s="1210" t="s">
        <v>1106</v>
      </c>
      <c r="H243" s="651"/>
      <c r="I243" s="667"/>
      <c r="J243" s="667"/>
      <c r="K243" s="667"/>
      <c r="L243" s="653" t="str">
        <f t="shared" si="171"/>
        <v>5781</v>
      </c>
      <c r="M243" s="654" t="str">
        <f t="shared" si="172"/>
        <v>COUT PNEUS</v>
      </c>
      <c r="N243" s="655">
        <f>+IF(OR($Q243=Parametres!$G$2,$Q243=Parametres!$G$3),I243,C243)</f>
        <v>45587.35</v>
      </c>
      <c r="O243" s="659">
        <f>+IF(OR($Q243=Parametres!$G$2,$Q243=Parametres!$G$3),J243,D243)</f>
        <v>38133.800000000003</v>
      </c>
      <c r="P243" s="655">
        <f>+IF(OR($Q243=Parametres!$G$2,$Q243=Parametres!$G$3),K243,E243)</f>
        <v>83721.149999999994</v>
      </c>
      <c r="Q243" s="654" t="str">
        <f t="shared" si="173"/>
        <v>6-Coût des ventes</v>
      </c>
      <c r="R243" s="653" t="str">
        <f t="shared" si="174"/>
        <v>4781</v>
      </c>
      <c r="S243" s="654">
        <f t="shared" si="175"/>
        <v>0</v>
      </c>
      <c r="T243" s="656" t="str">
        <f>+VLOOKUP($L243,Data_Validation!$A:$D,1,0)</f>
        <v>5781</v>
      </c>
      <c r="U243" s="656" t="str">
        <f>+VLOOKUP($L243,Data_Validation!$A:$D,3,0)</f>
        <v>Pièces</v>
      </c>
      <c r="V243" s="656" t="str">
        <f>+VLOOKUP($L243,Data_Validation!$A:$D,4,0)</f>
        <v>Ventes Pneus</v>
      </c>
      <c r="W243" s="656" t="str">
        <f>+VLOOKUP($L243,Data_Validation!$A:$E,5,0)</f>
        <v>$</v>
      </c>
      <c r="X243" s="656">
        <f>+VLOOKUP($L243,Data_Validation!$A:$F,6,0)</f>
        <v>0</v>
      </c>
    </row>
    <row r="244" spans="1:24" ht="15" customHeight="1">
      <c r="A244" s="1210" t="s">
        <v>1150</v>
      </c>
      <c r="B244" s="1210" t="s">
        <v>2232</v>
      </c>
      <c r="C244" s="1212">
        <v>536.04</v>
      </c>
      <c r="D244" s="1212">
        <v>2765.04</v>
      </c>
      <c r="E244" s="1212">
        <v>3301.08</v>
      </c>
      <c r="F244" s="1210" t="s">
        <v>1110</v>
      </c>
      <c r="G244" s="1210" t="s">
        <v>1106</v>
      </c>
      <c r="H244" s="651"/>
      <c r="I244" s="666"/>
      <c r="J244" s="666"/>
      <c r="K244" s="666"/>
      <c r="L244" s="653" t="str">
        <f t="shared" ref="L244:L307" si="176">TEXT(B244,0)</f>
        <v>5785</v>
      </c>
      <c r="M244" s="654" t="str">
        <f t="shared" ref="M244:M307" si="177">+A244</f>
        <v>C/V - VW PNEUS</v>
      </c>
      <c r="N244" s="655">
        <f>+IF(OR($Q244=Parametres!$G$2,$Q244=Parametres!$G$3),I244,C244)</f>
        <v>536.04</v>
      </c>
      <c r="O244" s="655">
        <f>+IF(OR($Q244=Parametres!$G$2,$Q244=Parametres!$G$3),J244,D244)</f>
        <v>2765.04</v>
      </c>
      <c r="P244" s="655">
        <f>+IF(OR($Q244=Parametres!$G$2,$Q244=Parametres!$G$3),K244,E244)</f>
        <v>3301.08</v>
      </c>
      <c r="Q244" s="654" t="str">
        <f t="shared" ref="Q244:Q307" si="178">+F244</f>
        <v>6-Coût des ventes</v>
      </c>
      <c r="R244" s="653" t="str">
        <f t="shared" ref="R244:R307" si="179">+G244</f>
        <v>4781</v>
      </c>
      <c r="S244" s="654">
        <f t="shared" ref="S244:S307" si="180">+H244</f>
        <v>0</v>
      </c>
      <c r="T244" s="671" t="str">
        <f>+VLOOKUP($L244,Data_Validation!$A:$D,1,0)</f>
        <v>5785</v>
      </c>
      <c r="U244" s="656" t="str">
        <f>+VLOOKUP($L244,Data_Validation!$A:$D,3,0)</f>
        <v>Pièces</v>
      </c>
      <c r="V244" s="656" t="str">
        <f>+VLOOKUP($L244,Data_Validation!$A:$D,4,0)</f>
        <v>Ventes Pneus</v>
      </c>
      <c r="W244" s="656" t="str">
        <f>+VLOOKUP($L244,Data_Validation!$A:$E,5,0)</f>
        <v>$</v>
      </c>
      <c r="X244" s="656">
        <f>+VLOOKUP($L244,Data_Validation!$A:$F,6,0)</f>
        <v>0</v>
      </c>
    </row>
    <row r="245" spans="1:24" ht="15" customHeight="1">
      <c r="A245" s="1210" t="s">
        <v>1151</v>
      </c>
      <c r="B245" s="1210" t="s">
        <v>2237</v>
      </c>
      <c r="C245" s="1212">
        <v>2882.75</v>
      </c>
      <c r="D245" s="1212">
        <v>3869.11</v>
      </c>
      <c r="E245" s="1212">
        <v>6751.86</v>
      </c>
      <c r="F245" s="1210" t="s">
        <v>1110</v>
      </c>
      <c r="G245" s="1210" t="s">
        <v>1152</v>
      </c>
      <c r="H245" s="651"/>
      <c r="I245" s="667"/>
      <c r="J245" s="667"/>
      <c r="K245" s="667"/>
      <c r="L245" s="653" t="str">
        <f t="shared" si="176"/>
        <v>5796</v>
      </c>
      <c r="M245" s="654" t="str">
        <f t="shared" si="177"/>
        <v>C/V - BONI / ESCPTE PI VW</v>
      </c>
      <c r="N245" s="655">
        <f>+IF(OR($Q245=Parametres!$G$2,$Q245=Parametres!$G$3),I245,C245)</f>
        <v>2882.75</v>
      </c>
      <c r="O245" s="655">
        <f>+IF(OR($Q245=Parametres!$G$2,$Q245=Parametres!$G$3),J245,D245)</f>
        <v>3869.11</v>
      </c>
      <c r="P245" s="655">
        <f>+IF(OR($Q245=Parametres!$G$2,$Q245=Parametres!$G$3),K245,E245)</f>
        <v>6751.86</v>
      </c>
      <c r="Q245" s="654" t="str">
        <f t="shared" si="178"/>
        <v>6-Coût des ventes</v>
      </c>
      <c r="R245" s="653" t="str">
        <f t="shared" si="179"/>
        <v>5792</v>
      </c>
      <c r="S245" s="654">
        <f t="shared" si="180"/>
        <v>0</v>
      </c>
      <c r="T245" s="656" t="str">
        <f>+VLOOKUP($L245,Data_Validation!$A:$D,1,0)</f>
        <v>5796</v>
      </c>
      <c r="U245" s="656" t="str">
        <f>+VLOOKUP($L245,Data_Validation!$A:$D,3,0)</f>
        <v>Pièces</v>
      </c>
      <c r="V245" s="656" t="str">
        <f>+VLOOKUP($L245,Data_Validation!$A:$D,4,0)</f>
        <v>Escomptes</v>
      </c>
      <c r="W245" s="656" t="str">
        <f>+VLOOKUP($L245,Data_Validation!$A:$E,5,0)</f>
        <v>$</v>
      </c>
      <c r="X245" s="656">
        <f>+VLOOKUP($L245,Data_Validation!$A:$F,6,0)</f>
        <v>0</v>
      </c>
    </row>
    <row r="246" spans="1:24" ht="15" customHeight="1">
      <c r="A246" s="1210" t="s">
        <v>1153</v>
      </c>
      <c r="B246" s="1210" t="s">
        <v>1155</v>
      </c>
      <c r="C246" s="1212">
        <v>43727.77</v>
      </c>
      <c r="D246" s="1212">
        <v>27089.919999999998</v>
      </c>
      <c r="E246" s="1212">
        <v>70817.69</v>
      </c>
      <c r="F246" s="1210" t="s">
        <v>1154</v>
      </c>
      <c r="G246" s="1210" t="s">
        <v>1155</v>
      </c>
      <c r="H246" s="651"/>
      <c r="I246" s="666"/>
      <c r="J246" s="666"/>
      <c r="K246" s="666"/>
      <c r="L246" s="653" t="str">
        <f t="shared" si="176"/>
        <v>6101</v>
      </c>
      <c r="M246" s="654" t="str">
        <f t="shared" si="177"/>
        <v>COMMISSION VENDEUR NEUFS</v>
      </c>
      <c r="N246" s="655">
        <f>+IF(OR($Q246=Parametres!$G$2,$Q246=Parametres!$G$3),I246,C246)</f>
        <v>43727.77</v>
      </c>
      <c r="O246" s="655">
        <f>+IF(OR($Q246=Parametres!$G$2,$Q246=Parametres!$G$3),J246,D246)</f>
        <v>27089.919999999998</v>
      </c>
      <c r="P246" s="655">
        <f>+IF(OR($Q246=Parametres!$G$2,$Q246=Parametres!$G$3),K246,E246)</f>
        <v>70817.69</v>
      </c>
      <c r="Q246" s="654" t="str">
        <f t="shared" si="178"/>
        <v>7-Dépenses</v>
      </c>
      <c r="R246" s="653" t="str">
        <f t="shared" si="179"/>
        <v>6101</v>
      </c>
      <c r="S246" s="654">
        <f t="shared" si="180"/>
        <v>0</v>
      </c>
      <c r="T246" s="656" t="str">
        <f>+VLOOKUP($L246,Data_Validation!$A:$D,1,0)</f>
        <v>6101</v>
      </c>
      <c r="U246" s="656" t="str">
        <f>+VLOOKUP($L246,Data_Validation!$A:$D,3,0)</f>
        <v>Véhicules neufs</v>
      </c>
      <c r="V246" s="656" t="str">
        <f>+VLOOKUP($L246,Data_Validation!$A:$D,4,0)</f>
        <v>Comm. vendeurs</v>
      </c>
      <c r="W246" s="656" t="str">
        <f>+VLOOKUP($L246,Data_Validation!$A:$E,5,0)</f>
        <v>$</v>
      </c>
      <c r="X246" s="656">
        <f>+VLOOKUP($L246,Data_Validation!$A:$F,6,0)</f>
        <v>0</v>
      </c>
    </row>
    <row r="247" spans="1:24" ht="15.75" customHeight="1">
      <c r="A247" s="1210" t="s">
        <v>1156</v>
      </c>
      <c r="B247" s="1210" t="s">
        <v>1157</v>
      </c>
      <c r="C247" s="1212">
        <v>17690.87</v>
      </c>
      <c r="D247" s="1212">
        <v>8138.27</v>
      </c>
      <c r="E247" s="1212">
        <v>25829.14</v>
      </c>
      <c r="F247" s="1210" t="s">
        <v>1154</v>
      </c>
      <c r="G247" s="1210" t="s">
        <v>1157</v>
      </c>
      <c r="H247" s="651"/>
      <c r="I247" s="667"/>
      <c r="J247" s="667"/>
      <c r="K247" s="667"/>
      <c r="L247" s="653" t="str">
        <f t="shared" si="176"/>
        <v>6102</v>
      </c>
      <c r="M247" s="654" t="str">
        <f t="shared" si="177"/>
        <v>RENUMERATION F &amp; I</v>
      </c>
      <c r="N247" s="655">
        <f>+IF(OR($Q247=Parametres!$G$2,$Q247=Parametres!$G$3),I247,C247)</f>
        <v>17690.87</v>
      </c>
      <c r="O247" s="655">
        <f>+IF(OR($Q247=Parametres!$G$2,$Q247=Parametres!$G$3),J247,D247)</f>
        <v>8138.27</v>
      </c>
      <c r="P247" s="655">
        <f>+IF(OR($Q247=Parametres!$G$2,$Q247=Parametres!$G$3),K247,E247)</f>
        <v>25829.14</v>
      </c>
      <c r="Q247" s="654" t="str">
        <f t="shared" si="178"/>
        <v>7-Dépenses</v>
      </c>
      <c r="R247" s="653" t="str">
        <f t="shared" si="179"/>
        <v>6102</v>
      </c>
      <c r="S247" s="654">
        <f t="shared" si="180"/>
        <v>0</v>
      </c>
      <c r="T247" s="656" t="str">
        <f>+VLOOKUP($L247,Data_Validation!$A:$D,1,0)</f>
        <v>6102</v>
      </c>
      <c r="U247" s="656" t="str">
        <f>+VLOOKUP($L247,Data_Validation!$A:$D,3,0)</f>
        <v>Véhicules neufs</v>
      </c>
      <c r="V247" s="656" t="str">
        <f>+VLOOKUP($L247,Data_Validation!$A:$D,4,0)</f>
        <v>Comm. F&amp;I</v>
      </c>
      <c r="W247" s="656" t="str">
        <f>+VLOOKUP($L247,Data_Validation!$A:$E,5,0)</f>
        <v>$</v>
      </c>
      <c r="X247" s="656">
        <f>+VLOOKUP($L247,Data_Validation!$A:$F,6,0)</f>
        <v>0</v>
      </c>
    </row>
    <row r="248" spans="1:24" ht="15" customHeight="1">
      <c r="A248" s="1210" t="s">
        <v>1158</v>
      </c>
      <c r="B248" s="1210" t="s">
        <v>1159</v>
      </c>
      <c r="C248" s="1212">
        <v>92.97</v>
      </c>
      <c r="D248" s="1212">
        <v>977.06</v>
      </c>
      <c r="E248" s="1212">
        <v>1070.03</v>
      </c>
      <c r="F248" s="1210" t="s">
        <v>1154</v>
      </c>
      <c r="G248" s="1210" t="s">
        <v>1159</v>
      </c>
      <c r="H248" s="651"/>
      <c r="I248" s="666"/>
      <c r="J248" s="666"/>
      <c r="K248" s="666"/>
      <c r="L248" s="653" t="str">
        <f t="shared" si="176"/>
        <v>6103</v>
      </c>
      <c r="M248" s="654" t="str">
        <f t="shared" si="177"/>
        <v>RELAT. A LA CLIENTELE &amp; AJUST.</v>
      </c>
      <c r="N248" s="655">
        <f>+IF(OR($Q248=Parametres!$G$2,$Q248=Parametres!$G$3),I248,C248)</f>
        <v>92.97</v>
      </c>
      <c r="O248" s="655">
        <f>+IF(OR($Q248=Parametres!$G$2,$Q248=Parametres!$G$3),J248,D248)</f>
        <v>977.06</v>
      </c>
      <c r="P248" s="655">
        <f>+IF(OR($Q248=Parametres!$G$2,$Q248=Parametres!$G$3),K248,E248)</f>
        <v>1070.03</v>
      </c>
      <c r="Q248" s="654" t="str">
        <f t="shared" si="178"/>
        <v>7-Dépenses</v>
      </c>
      <c r="R248" s="653" t="str">
        <f t="shared" si="179"/>
        <v>6103</v>
      </c>
      <c r="S248" s="654">
        <f t="shared" si="180"/>
        <v>0</v>
      </c>
      <c r="T248" s="656" t="str">
        <f>+VLOOKUP($L248,Data_Validation!$A:$D,1,0)</f>
        <v>6103</v>
      </c>
      <c r="U248" s="656" t="str">
        <f>+VLOOKUP($L248,Data_Validation!$A:$D,3,0)</f>
        <v>Véhicules neufs</v>
      </c>
      <c r="V248" s="656" t="str">
        <f>+VLOOKUP($L248,Data_Validation!$A:$D,4,0)</f>
        <v>Service gratuit 1</v>
      </c>
      <c r="W248" s="656" t="str">
        <f>+VLOOKUP($L248,Data_Validation!$A:$E,5,0)</f>
        <v>$</v>
      </c>
      <c r="X248" s="656">
        <f>+VLOOKUP($L248,Data_Validation!$A:$F,6,0)</f>
        <v>0</v>
      </c>
    </row>
    <row r="249" spans="1:24" ht="15" customHeight="1">
      <c r="A249" s="1210" t="s">
        <v>1160</v>
      </c>
      <c r="B249" s="1210" t="s">
        <v>1161</v>
      </c>
      <c r="C249" s="1212">
        <v>5797.21</v>
      </c>
      <c r="D249" s="1212">
        <v>8606.01</v>
      </c>
      <c r="E249" s="1212">
        <v>14403.22</v>
      </c>
      <c r="F249" s="1210" t="s">
        <v>1154</v>
      </c>
      <c r="G249" s="1210" t="s">
        <v>1161</v>
      </c>
      <c r="H249" s="651"/>
      <c r="I249" s="667"/>
      <c r="J249" s="667"/>
      <c r="K249" s="667"/>
      <c r="L249" s="653" t="str">
        <f t="shared" si="176"/>
        <v>6106</v>
      </c>
      <c r="M249" s="654" t="str">
        <f t="shared" si="177"/>
        <v>ENTRETIEN DES STOCKS</v>
      </c>
      <c r="N249" s="655">
        <f>+IF(OR($Q249=Parametres!$G$2,$Q249=Parametres!$G$3),I249,C249)</f>
        <v>5797.21</v>
      </c>
      <c r="O249" s="655">
        <f>+IF(OR($Q249=Parametres!$G$2,$Q249=Parametres!$G$3),J249,D249)</f>
        <v>8606.01</v>
      </c>
      <c r="P249" s="655">
        <f>+IF(OR($Q249=Parametres!$G$2,$Q249=Parametres!$G$3),K249,E249)</f>
        <v>14403.22</v>
      </c>
      <c r="Q249" s="654" t="str">
        <f t="shared" si="178"/>
        <v>7-Dépenses</v>
      </c>
      <c r="R249" s="653" t="str">
        <f t="shared" si="179"/>
        <v>6106</v>
      </c>
      <c r="S249" s="654">
        <f t="shared" si="180"/>
        <v>0</v>
      </c>
      <c r="T249" s="656" t="str">
        <f>+VLOOKUP($L249,Data_Validation!$A:$D,1,0)</f>
        <v>6106</v>
      </c>
      <c r="U249" s="656" t="str">
        <f>+VLOOKUP($L249,Data_Validation!$A:$D,3,0)</f>
        <v>Véhicules neufs</v>
      </c>
      <c r="V249" s="656" t="str">
        <f>+VLOOKUP($L249,Data_Validation!$A:$D,4,0)</f>
        <v>Entretien stock</v>
      </c>
      <c r="W249" s="656" t="str">
        <f>+VLOOKUP($L249,Data_Validation!$A:$E,5,0)</f>
        <v>$</v>
      </c>
      <c r="X249" s="656">
        <f>+VLOOKUP($L249,Data_Validation!$A:$F,6,0)</f>
        <v>0</v>
      </c>
    </row>
    <row r="250" spans="1:24" ht="15" customHeight="1">
      <c r="A250" s="1210" t="s">
        <v>1162</v>
      </c>
      <c r="B250" s="1210" t="s">
        <v>1163</v>
      </c>
      <c r="C250" s="1212">
        <v>26919.67</v>
      </c>
      <c r="D250" s="1212">
        <v>-11317.12</v>
      </c>
      <c r="E250" s="1212">
        <v>15602.55</v>
      </c>
      <c r="F250" s="1210" t="s">
        <v>1154</v>
      </c>
      <c r="G250" s="1210" t="s">
        <v>1163</v>
      </c>
      <c r="H250" s="651"/>
      <c r="I250" s="666"/>
      <c r="J250" s="666"/>
      <c r="K250" s="666"/>
      <c r="L250" s="653" t="str">
        <f t="shared" si="176"/>
        <v>6107</v>
      </c>
      <c r="M250" s="654" t="str">
        <f t="shared" si="177"/>
        <v>INTERET-PLAN DE FINANCEMENT</v>
      </c>
      <c r="N250" s="655">
        <f>+IF(OR($Q250=Parametres!$G$2,$Q250=Parametres!$G$3),I250,C250)</f>
        <v>26919.67</v>
      </c>
      <c r="O250" s="655">
        <f>+IF(OR($Q250=Parametres!$G$2,$Q250=Parametres!$G$3),J250,D250)</f>
        <v>-11317.12</v>
      </c>
      <c r="P250" s="655">
        <f>+IF(OR($Q250=Parametres!$G$2,$Q250=Parametres!$G$3),K250,E250)</f>
        <v>15602.55</v>
      </c>
      <c r="Q250" s="654" t="str">
        <f t="shared" si="178"/>
        <v>7-Dépenses</v>
      </c>
      <c r="R250" s="653" t="str">
        <f t="shared" si="179"/>
        <v>6107</v>
      </c>
      <c r="S250" s="654">
        <f t="shared" si="180"/>
        <v>0</v>
      </c>
      <c r="T250" s="656" t="str">
        <f>+VLOOKUP($L250,Data_Validation!$A:$D,1,0)</f>
        <v>6107</v>
      </c>
      <c r="U250" s="656" t="str">
        <f>+VLOOKUP($L250,Data_Validation!$A:$D,3,0)</f>
        <v>Véhicules neufs</v>
      </c>
      <c r="V250" s="656" t="str">
        <f>+VLOOKUP($L250,Data_Validation!$A:$D,4,0)</f>
        <v>Intérêt de gros</v>
      </c>
      <c r="W250" s="656" t="str">
        <f>+VLOOKUP($L250,Data_Validation!$A:$E,5,0)</f>
        <v>$</v>
      </c>
      <c r="X250" s="656">
        <f>+VLOOKUP($L250,Data_Validation!$A:$F,6,0)</f>
        <v>0</v>
      </c>
    </row>
    <row r="251" spans="1:24" ht="15" customHeight="1">
      <c r="A251" s="1210" t="s">
        <v>1164</v>
      </c>
      <c r="B251" s="1210" t="s">
        <v>1165</v>
      </c>
      <c r="C251" s="1212">
        <v>4432.42</v>
      </c>
      <c r="D251" s="1212">
        <v>3146.51</v>
      </c>
      <c r="E251" s="1212">
        <v>7578.93</v>
      </c>
      <c r="F251" s="1210" t="s">
        <v>1154</v>
      </c>
      <c r="G251" s="1210" t="s">
        <v>1165</v>
      </c>
      <c r="H251" s="651"/>
      <c r="I251" s="652"/>
      <c r="J251" s="652"/>
      <c r="K251" s="652"/>
      <c r="L251" s="653" t="str">
        <f t="shared" si="176"/>
        <v>6108</v>
      </c>
      <c r="M251" s="654" t="str">
        <f t="shared" si="177"/>
        <v>FRAIS DE LIVRAISON</v>
      </c>
      <c r="N251" s="655">
        <f>+IF(OR($Q251=Parametres!$G$2,$Q251=Parametres!$G$3),I251,C251)</f>
        <v>4432.42</v>
      </c>
      <c r="O251" s="655">
        <f>+IF(OR($Q251=Parametres!$G$2,$Q251=Parametres!$G$3),J251,D251)</f>
        <v>3146.51</v>
      </c>
      <c r="P251" s="655">
        <f>+IF(OR($Q251=Parametres!$G$2,$Q251=Parametres!$G$3),K251,E251)</f>
        <v>7578.93</v>
      </c>
      <c r="Q251" s="654" t="str">
        <f t="shared" si="178"/>
        <v>7-Dépenses</v>
      </c>
      <c r="R251" s="653" t="str">
        <f t="shared" si="179"/>
        <v>6108</v>
      </c>
      <c r="S251" s="654">
        <f t="shared" si="180"/>
        <v>0</v>
      </c>
      <c r="T251" s="656" t="str">
        <f>+VLOOKUP($L251,Data_Validation!$A:$D,1,0)</f>
        <v>6108</v>
      </c>
      <c r="U251" s="656" t="str">
        <f>+VLOOKUP($L251,Data_Validation!$A:$D,3,0)</f>
        <v>Véhicules neufs</v>
      </c>
      <c r="V251" s="656" t="str">
        <f>+VLOOKUP($L251,Data_Validation!$A:$D,4,0)</f>
        <v>Frais de livraison</v>
      </c>
      <c r="W251" s="656" t="str">
        <f>+VLOOKUP($L251,Data_Validation!$A:$E,5,0)</f>
        <v>$</v>
      </c>
      <c r="X251" s="656">
        <f>+VLOOKUP($L251,Data_Validation!$A:$F,6,0)</f>
        <v>0</v>
      </c>
    </row>
    <row r="252" spans="1:24" ht="15.75" customHeight="1">
      <c r="A252" s="1210" t="s">
        <v>1166</v>
      </c>
      <c r="B252" s="1210" t="s">
        <v>1167</v>
      </c>
      <c r="C252" s="1212">
        <v>12664.37</v>
      </c>
      <c r="D252" s="1212">
        <v>10399.25</v>
      </c>
      <c r="E252" s="1212">
        <v>23063.62</v>
      </c>
      <c r="F252" s="1210" t="s">
        <v>1154</v>
      </c>
      <c r="G252" s="1210" t="s">
        <v>1167</v>
      </c>
      <c r="H252" s="651"/>
      <c r="I252" s="670"/>
      <c r="J252" s="651"/>
      <c r="K252" s="670"/>
      <c r="L252" s="653" t="str">
        <f t="shared" si="176"/>
        <v>6114</v>
      </c>
      <c r="M252" s="654" t="str">
        <f t="shared" si="177"/>
        <v>PUBLICITE</v>
      </c>
      <c r="N252" s="655">
        <f>+IF(OR($Q252=Parametres!$G$2,$Q252=Parametres!$G$3),I252,C252)</f>
        <v>12664.37</v>
      </c>
      <c r="O252" s="655">
        <f>+IF(OR($Q252=Parametres!$G$2,$Q252=Parametres!$G$3),J252,D252)</f>
        <v>10399.25</v>
      </c>
      <c r="P252" s="655">
        <f>+IF(OR($Q252=Parametres!$G$2,$Q252=Parametres!$G$3),K252,E252)</f>
        <v>23063.62</v>
      </c>
      <c r="Q252" s="654" t="str">
        <f t="shared" si="178"/>
        <v>7-Dépenses</v>
      </c>
      <c r="R252" s="653" t="str">
        <f t="shared" si="179"/>
        <v>6114</v>
      </c>
      <c r="S252" s="654">
        <f t="shared" si="180"/>
        <v>0</v>
      </c>
      <c r="T252" s="656" t="str">
        <f>+VLOOKUP($L252,Data_Validation!$A:$D,1,0)</f>
        <v>6114</v>
      </c>
      <c r="U252" s="656" t="str">
        <f>+VLOOKUP($L252,Data_Validation!$A:$D,3,0)</f>
        <v>Véhicules neufs</v>
      </c>
      <c r="V252" s="656" t="str">
        <f>+VLOOKUP($L252,Data_Validation!$A:$D,4,0)</f>
        <v>Publicité 1</v>
      </c>
      <c r="W252" s="656" t="str">
        <f>+VLOOKUP($L252,Data_Validation!$A:$E,5,0)</f>
        <v>$</v>
      </c>
      <c r="X252" s="656">
        <f>+VLOOKUP($L252,Data_Validation!$A:$F,6,0)</f>
        <v>0</v>
      </c>
    </row>
    <row r="253" spans="1:24" ht="15" customHeight="1">
      <c r="A253" s="1210" t="s">
        <v>1168</v>
      </c>
      <c r="B253" s="1210" t="s">
        <v>2257</v>
      </c>
      <c r="C253" s="1212">
        <v>-8100</v>
      </c>
      <c r="D253" s="1212">
        <v>-6000</v>
      </c>
      <c r="E253" s="1212">
        <v>-14100</v>
      </c>
      <c r="F253" s="1210" t="s">
        <v>1154</v>
      </c>
      <c r="G253" s="1210" t="s">
        <v>1167</v>
      </c>
      <c r="H253" s="651"/>
      <c r="I253" s="652"/>
      <c r="J253" s="652"/>
      <c r="K253" s="652"/>
      <c r="L253" s="653" t="str">
        <f t="shared" si="176"/>
        <v>6115</v>
      </c>
      <c r="M253" s="654" t="str">
        <f t="shared" si="177"/>
        <v>CREDIT PUBLICITE NEUF</v>
      </c>
      <c r="N253" s="655">
        <f>+IF(OR($Q253=Parametres!$G$2,$Q253=Parametres!$G$3),I253,C253)</f>
        <v>-8100</v>
      </c>
      <c r="O253" s="655">
        <f>+IF(OR($Q253=Parametres!$G$2,$Q253=Parametres!$G$3),J253,D253)</f>
        <v>-6000</v>
      </c>
      <c r="P253" s="655">
        <f>+IF(OR($Q253=Parametres!$G$2,$Q253=Parametres!$G$3),K253,E253)</f>
        <v>-14100</v>
      </c>
      <c r="Q253" s="654" t="str">
        <f t="shared" si="178"/>
        <v>7-Dépenses</v>
      </c>
      <c r="R253" s="653" t="str">
        <f t="shared" si="179"/>
        <v>6114</v>
      </c>
      <c r="S253" s="654">
        <f t="shared" si="180"/>
        <v>0</v>
      </c>
      <c r="T253" s="656" t="str">
        <f>+VLOOKUP($L253,Data_Validation!$A:$D,1,0)</f>
        <v>6115</v>
      </c>
      <c r="U253" s="656" t="str">
        <f>+VLOOKUP($L253,Data_Validation!$A:$D,3,0)</f>
        <v>Véhicules neufs</v>
      </c>
      <c r="V253" s="656" t="str">
        <f>+VLOOKUP($L253,Data_Validation!$A:$D,4,0)</f>
        <v>Publicité 1</v>
      </c>
      <c r="W253" s="656" t="str">
        <f>+VLOOKUP($L253,Data_Validation!$A:$E,5,0)</f>
        <v>$</v>
      </c>
      <c r="X253" s="656">
        <f>+VLOOKUP($L253,Data_Validation!$A:$F,6,0)</f>
        <v>0</v>
      </c>
    </row>
    <row r="254" spans="1:24" ht="15" customHeight="1">
      <c r="A254" s="1210" t="s">
        <v>1169</v>
      </c>
      <c r="B254" s="1210" t="s">
        <v>1170</v>
      </c>
      <c r="C254" s="1212">
        <v>7001</v>
      </c>
      <c r="D254" s="1212">
        <v>7498.65</v>
      </c>
      <c r="E254" s="1212">
        <v>14499.65</v>
      </c>
      <c r="F254" s="1210" t="s">
        <v>1154</v>
      </c>
      <c r="G254" s="1210" t="s">
        <v>1170</v>
      </c>
      <c r="H254" s="651"/>
      <c r="I254" s="670"/>
      <c r="J254" s="651"/>
      <c r="K254" s="670"/>
      <c r="L254" s="653" t="str">
        <f t="shared" si="176"/>
        <v>6121</v>
      </c>
      <c r="M254" s="654" t="str">
        <f t="shared" si="177"/>
        <v>SALAIRES - PROPRIETAIRES</v>
      </c>
      <c r="N254" s="655">
        <f>+IF(OR($Q254=Parametres!$G$2,$Q254=Parametres!$G$3),I254,C254)</f>
        <v>7001</v>
      </c>
      <c r="O254" s="655">
        <f>+IF(OR($Q254=Parametres!$G$2,$Q254=Parametres!$G$3),J254,D254)</f>
        <v>7498.65</v>
      </c>
      <c r="P254" s="655">
        <f>+IF(OR($Q254=Parametres!$G$2,$Q254=Parametres!$G$3),K254,E254)</f>
        <v>14499.65</v>
      </c>
      <c r="Q254" s="654" t="str">
        <f t="shared" si="178"/>
        <v>7-Dépenses</v>
      </c>
      <c r="R254" s="653" t="str">
        <f t="shared" si="179"/>
        <v>6121</v>
      </c>
      <c r="S254" s="654">
        <f t="shared" si="180"/>
        <v>0</v>
      </c>
      <c r="T254" s="656" t="str">
        <f>+VLOOKUP($L254,Data_Validation!$A:$D,1,0)</f>
        <v>6121</v>
      </c>
      <c r="U254" s="656" t="str">
        <f>+VLOOKUP($L254,Data_Validation!$A:$D,3,0)</f>
        <v>Véhicules neufs</v>
      </c>
      <c r="V254" s="656" t="str">
        <f>+VLOOKUP($L254,Data_Validation!$A:$D,4,0)</f>
        <v>Salaires propriétaire</v>
      </c>
      <c r="W254" s="656" t="str">
        <f>+VLOOKUP($L254,Data_Validation!$A:$E,5,0)</f>
        <v>$</v>
      </c>
      <c r="X254" s="656">
        <f>+VLOOKUP($L254,Data_Validation!$A:$F,6,0)</f>
        <v>0</v>
      </c>
    </row>
    <row r="255" spans="1:24" ht="15" customHeight="1">
      <c r="A255" s="1210" t="s">
        <v>1171</v>
      </c>
      <c r="B255" s="1210" t="s">
        <v>1172</v>
      </c>
      <c r="C255" s="1212">
        <v>23989.06</v>
      </c>
      <c r="D255" s="1212">
        <v>14507.52</v>
      </c>
      <c r="E255" s="1212">
        <v>38496.58</v>
      </c>
      <c r="F255" s="1210" t="s">
        <v>1154</v>
      </c>
      <c r="G255" s="1210" t="s">
        <v>1172</v>
      </c>
      <c r="H255" s="651"/>
      <c r="I255" s="652"/>
      <c r="J255" s="652"/>
      <c r="K255" s="652"/>
      <c r="L255" s="653" t="str">
        <f t="shared" si="176"/>
        <v>6122</v>
      </c>
      <c r="M255" s="654" t="str">
        <f t="shared" si="177"/>
        <v>SAL SUPERVISION / GERANT</v>
      </c>
      <c r="N255" s="655">
        <f>+IF(OR($Q255=Parametres!$G$2,$Q255=Parametres!$G$3),I255,C255)</f>
        <v>23989.06</v>
      </c>
      <c r="O255" s="655">
        <f>+IF(OR($Q255=Parametres!$G$2,$Q255=Parametres!$G$3),J255,D255)</f>
        <v>14507.52</v>
      </c>
      <c r="P255" s="655">
        <f>+IF(OR($Q255=Parametres!$G$2,$Q255=Parametres!$G$3),K255,E255)</f>
        <v>38496.58</v>
      </c>
      <c r="Q255" s="654" t="str">
        <f t="shared" si="178"/>
        <v>7-Dépenses</v>
      </c>
      <c r="R255" s="653" t="str">
        <f t="shared" si="179"/>
        <v>6122</v>
      </c>
      <c r="S255" s="654">
        <f t="shared" si="180"/>
        <v>0</v>
      </c>
      <c r="T255" s="656" t="str">
        <f>+VLOOKUP($L255,Data_Validation!$A:$D,1,0)</f>
        <v>6122</v>
      </c>
      <c r="U255" s="656" t="str">
        <f>+VLOOKUP($L255,Data_Validation!$A:$D,3,0)</f>
        <v>Véhicules neufs</v>
      </c>
      <c r="V255" s="656" t="str">
        <f>+VLOOKUP($L255,Data_Validation!$A:$D,4,0)</f>
        <v>Salaires cadres</v>
      </c>
      <c r="W255" s="656" t="str">
        <f>+VLOOKUP($L255,Data_Validation!$A:$E,5,0)</f>
        <v>$</v>
      </c>
      <c r="X255" s="656">
        <f>+VLOOKUP($L255,Data_Validation!$A:$F,6,0)</f>
        <v>0</v>
      </c>
    </row>
    <row r="256" spans="1:24" ht="15.75" customHeight="1">
      <c r="A256" s="1210" t="s">
        <v>1173</v>
      </c>
      <c r="B256" s="1210" t="s">
        <v>1174</v>
      </c>
      <c r="C256" s="1212">
        <v>13193.79</v>
      </c>
      <c r="D256" s="1212">
        <v>12111.66</v>
      </c>
      <c r="E256" s="1212">
        <v>25305.45</v>
      </c>
      <c r="F256" s="1210" t="s">
        <v>1154</v>
      </c>
      <c r="G256" s="1210" t="s">
        <v>1174</v>
      </c>
      <c r="H256" s="651"/>
      <c r="I256" s="670"/>
      <c r="J256" s="651"/>
      <c r="K256" s="670"/>
      <c r="L256" s="653" t="str">
        <f t="shared" si="176"/>
        <v>6123</v>
      </c>
      <c r="M256" s="654" t="str">
        <f t="shared" si="177"/>
        <v>SAL. &amp; RENUM. - CLERICAL</v>
      </c>
      <c r="N256" s="655">
        <f>+IF(OR($Q256=Parametres!$G$2,$Q256=Parametres!$G$3),I256,C256)</f>
        <v>13193.79</v>
      </c>
      <c r="O256" s="655">
        <f>+IF(OR($Q256=Parametres!$G$2,$Q256=Parametres!$G$3),J256,D256)</f>
        <v>12111.66</v>
      </c>
      <c r="P256" s="655">
        <f>+IF(OR($Q256=Parametres!$G$2,$Q256=Parametres!$G$3),K256,E256)</f>
        <v>25305.45</v>
      </c>
      <c r="Q256" s="654" t="str">
        <f t="shared" si="178"/>
        <v>7-Dépenses</v>
      </c>
      <c r="R256" s="653" t="str">
        <f t="shared" si="179"/>
        <v>6123</v>
      </c>
      <c r="S256" s="654">
        <f t="shared" si="180"/>
        <v>0</v>
      </c>
      <c r="T256" s="656" t="str">
        <f>+VLOOKUP($L256,Data_Validation!$A:$D,1,0)</f>
        <v>6123</v>
      </c>
      <c r="U256" s="656" t="str">
        <f>+VLOOKUP($L256,Data_Validation!$A:$D,3,0)</f>
        <v>Véhicules neufs</v>
      </c>
      <c r="V256" s="656" t="str">
        <f>+VLOOKUP($L256,Data_Validation!$A:$D,4,0)</f>
        <v>Salaires commis</v>
      </c>
      <c r="W256" s="656" t="str">
        <f>+VLOOKUP($L256,Data_Validation!$A:$E,5,0)</f>
        <v>$</v>
      </c>
      <c r="X256" s="656">
        <f>+VLOOKUP($L256,Data_Validation!$A:$F,6,0)</f>
        <v>0</v>
      </c>
    </row>
    <row r="257" spans="1:24" ht="15" customHeight="1">
      <c r="A257" s="1210" t="s">
        <v>1175</v>
      </c>
      <c r="B257" s="1210" t="s">
        <v>1176</v>
      </c>
      <c r="C257" s="1212">
        <v>1613</v>
      </c>
      <c r="D257" s="1212">
        <v>2451</v>
      </c>
      <c r="E257" s="1212">
        <v>4064</v>
      </c>
      <c r="F257" s="1210" t="s">
        <v>1154</v>
      </c>
      <c r="G257" s="1210" t="s">
        <v>1176</v>
      </c>
      <c r="H257" s="651"/>
      <c r="I257" s="670"/>
      <c r="J257" s="651"/>
      <c r="K257" s="670"/>
      <c r="L257" s="653" t="str">
        <f t="shared" si="176"/>
        <v>6124</v>
      </c>
      <c r="M257" s="654" t="str">
        <f t="shared" si="177"/>
        <v>SALAIRES &amp; RENUM. - AUTRES</v>
      </c>
      <c r="N257" s="655">
        <f>+IF(OR($Q257=Parametres!$G$2,$Q257=Parametres!$G$3),I257,C257)</f>
        <v>1613</v>
      </c>
      <c r="O257" s="655">
        <f>+IF(OR($Q257=Parametres!$G$2,$Q257=Parametres!$G$3),J257,D257)</f>
        <v>2451</v>
      </c>
      <c r="P257" s="655">
        <f>+IF(OR($Q257=Parametres!$G$2,$Q257=Parametres!$G$3),K257,E257)</f>
        <v>4064</v>
      </c>
      <c r="Q257" s="654" t="str">
        <f t="shared" si="178"/>
        <v>7-Dépenses</v>
      </c>
      <c r="R257" s="653" t="str">
        <f t="shared" si="179"/>
        <v>6124</v>
      </c>
      <c r="S257" s="654">
        <f t="shared" si="180"/>
        <v>0</v>
      </c>
      <c r="T257" s="656" t="str">
        <f>+VLOOKUP($L257,Data_Validation!$A:$D,1,0)</f>
        <v>6124</v>
      </c>
      <c r="U257" s="656" t="str">
        <f>+VLOOKUP($L257,Data_Validation!$A:$D,3,0)</f>
        <v>Véhicules neufs</v>
      </c>
      <c r="V257" s="656" t="str">
        <f>+VLOOKUP($L257,Data_Validation!$A:$D,4,0)</f>
        <v>Salaires autres</v>
      </c>
      <c r="W257" s="656" t="str">
        <f>+VLOOKUP($L257,Data_Validation!$A:$E,5,0)</f>
        <v>$</v>
      </c>
      <c r="X257" s="656">
        <f>+VLOOKUP($L257,Data_Validation!$A:$F,6,0)</f>
        <v>0</v>
      </c>
    </row>
    <row r="258" spans="1:24" ht="15" customHeight="1">
      <c r="A258" s="1210" t="s">
        <v>1177</v>
      </c>
      <c r="B258" s="1210" t="s">
        <v>1178</v>
      </c>
      <c r="C258" s="1212">
        <v>11297.5</v>
      </c>
      <c r="D258" s="1212">
        <v>8944.73</v>
      </c>
      <c r="E258" s="1212">
        <v>20242.23</v>
      </c>
      <c r="F258" s="1210" t="s">
        <v>1154</v>
      </c>
      <c r="G258" s="1210" t="s">
        <v>1178</v>
      </c>
      <c r="H258" s="651"/>
      <c r="I258" s="670"/>
      <c r="J258" s="651"/>
      <c r="K258" s="670"/>
      <c r="L258" s="653" t="str">
        <f t="shared" si="176"/>
        <v>6129</v>
      </c>
      <c r="M258" s="654" t="str">
        <f t="shared" si="177"/>
        <v>ABS., VACANCE &amp; SAL. JOURS FER</v>
      </c>
      <c r="N258" s="655">
        <f>+IF(OR($Q258=Parametres!$G$2,$Q258=Parametres!$G$3),I258,C258)</f>
        <v>11297.5</v>
      </c>
      <c r="O258" s="655">
        <f>+IF(OR($Q258=Parametres!$G$2,$Q258=Parametres!$G$3),J258,D258)</f>
        <v>8944.73</v>
      </c>
      <c r="P258" s="655">
        <f>+IF(OR($Q258=Parametres!$G$2,$Q258=Parametres!$G$3),K258,E258)</f>
        <v>20242.23</v>
      </c>
      <c r="Q258" s="654" t="str">
        <f t="shared" si="178"/>
        <v>7-Dépenses</v>
      </c>
      <c r="R258" s="653" t="str">
        <f t="shared" si="179"/>
        <v>6129</v>
      </c>
      <c r="S258" s="654">
        <f t="shared" si="180"/>
        <v>0</v>
      </c>
      <c r="T258" s="656" t="str">
        <f>+VLOOKUP($L258,Data_Validation!$A:$D,1,0)</f>
        <v>6129</v>
      </c>
      <c r="U258" s="656" t="str">
        <f>+VLOOKUP($L258,Data_Validation!$A:$D,3,0)</f>
        <v>Véhicules neufs</v>
      </c>
      <c r="V258" s="656" t="str">
        <f>+VLOOKUP($L258,Data_Validation!$A:$D,4,0)</f>
        <v>Salaires en absences</v>
      </c>
      <c r="W258" s="656" t="str">
        <f>+VLOOKUP($L258,Data_Validation!$A:$E,5,0)</f>
        <v>$</v>
      </c>
      <c r="X258" s="656">
        <f>+VLOOKUP($L258,Data_Validation!$A:$F,6,0)</f>
        <v>0</v>
      </c>
    </row>
    <row r="259" spans="1:24" ht="15" customHeight="1">
      <c r="A259" s="1210" t="s">
        <v>1179</v>
      </c>
      <c r="B259" s="1210" t="s">
        <v>1180</v>
      </c>
      <c r="C259" s="1212">
        <v>2463.48</v>
      </c>
      <c r="D259" s="1212">
        <v>3329.22</v>
      </c>
      <c r="E259" s="1212">
        <v>5792.7</v>
      </c>
      <c r="F259" s="1210" t="s">
        <v>1154</v>
      </c>
      <c r="G259" s="1210" t="s">
        <v>1180</v>
      </c>
      <c r="H259" s="651"/>
      <c r="I259" s="670"/>
      <c r="J259" s="651"/>
      <c r="K259" s="670"/>
      <c r="L259" s="653" t="str">
        <f t="shared" si="176"/>
        <v>6131</v>
      </c>
      <c r="M259" s="654" t="str">
        <f t="shared" si="177"/>
        <v>CSST</v>
      </c>
      <c r="N259" s="655">
        <f>+IF(OR($Q259=Parametres!$G$2,$Q259=Parametres!$G$3),I259,C259)</f>
        <v>2463.48</v>
      </c>
      <c r="O259" s="659">
        <f>+IF(OR($Q259=Parametres!$G$2,$Q259=Parametres!$G$3),J259,D259)</f>
        <v>3329.22</v>
      </c>
      <c r="P259" s="655">
        <f>+IF(OR($Q259=Parametres!$G$2,$Q259=Parametres!$G$3),K259,E259)</f>
        <v>5792.7</v>
      </c>
      <c r="Q259" s="654" t="str">
        <f t="shared" si="178"/>
        <v>7-Dépenses</v>
      </c>
      <c r="R259" s="653" t="str">
        <f t="shared" si="179"/>
        <v>6131</v>
      </c>
      <c r="S259" s="654">
        <f t="shared" si="180"/>
        <v>0</v>
      </c>
      <c r="T259" s="656" t="str">
        <f>+VLOOKUP($L259,Data_Validation!$A:$D,1,0)</f>
        <v>6131</v>
      </c>
      <c r="U259" s="656" t="str">
        <f>+VLOOKUP($L259,Data_Validation!$A:$D,3,0)</f>
        <v>Véhicules neufs</v>
      </c>
      <c r="V259" s="656" t="str">
        <f>+VLOOKUP($L259,Data_Validation!$A:$D,4,0)</f>
        <v>Csst</v>
      </c>
      <c r="W259" s="656" t="str">
        <f>+VLOOKUP($L259,Data_Validation!$A:$E,5,0)</f>
        <v>$</v>
      </c>
      <c r="X259" s="656">
        <f>+VLOOKUP($L259,Data_Validation!$A:$F,6,0)</f>
        <v>0</v>
      </c>
    </row>
    <row r="260" spans="1:24" ht="15" customHeight="1">
      <c r="A260" s="1210" t="s">
        <v>1181</v>
      </c>
      <c r="B260" s="1210" t="s">
        <v>1182</v>
      </c>
      <c r="C260" s="1212">
        <v>14203.83</v>
      </c>
      <c r="D260" s="1212">
        <v>12821.25</v>
      </c>
      <c r="E260" s="1212">
        <v>27025.08</v>
      </c>
      <c r="F260" s="1210" t="s">
        <v>1154</v>
      </c>
      <c r="G260" s="1210" t="s">
        <v>1182</v>
      </c>
      <c r="H260" s="651"/>
      <c r="I260" s="670"/>
      <c r="J260" s="651"/>
      <c r="K260" s="670"/>
      <c r="L260" s="653" t="str">
        <f t="shared" si="176"/>
        <v>6132</v>
      </c>
      <c r="M260" s="654" t="str">
        <f t="shared" si="177"/>
        <v>RRQ RAMQ AC</v>
      </c>
      <c r="N260" s="655">
        <f>+IF(OR($Q260=Parametres!$G$2,$Q260=Parametres!$G$3),I260,C260)</f>
        <v>14203.83</v>
      </c>
      <c r="O260" s="655">
        <f>+IF(OR($Q260=Parametres!$G$2,$Q260=Parametres!$G$3),J260,D260)</f>
        <v>12821.25</v>
      </c>
      <c r="P260" s="655">
        <f>+IF(OR($Q260=Parametres!$G$2,$Q260=Parametres!$G$3),K260,E260)</f>
        <v>27025.08</v>
      </c>
      <c r="Q260" s="654" t="str">
        <f t="shared" si="178"/>
        <v>7-Dépenses</v>
      </c>
      <c r="R260" s="653" t="str">
        <f t="shared" si="179"/>
        <v>6132</v>
      </c>
      <c r="S260" s="654">
        <f t="shared" si="180"/>
        <v>0</v>
      </c>
      <c r="T260" s="656" t="str">
        <f>+VLOOKUP($L260,Data_Validation!$A:$D,1,0)</f>
        <v>6132</v>
      </c>
      <c r="U260" s="656" t="str">
        <f>+VLOOKUP($L260,Data_Validation!$A:$D,3,0)</f>
        <v>Véhicules neufs</v>
      </c>
      <c r="V260" s="656" t="str">
        <f>+VLOOKUP($L260,Data_Validation!$A:$D,4,0)</f>
        <v>Déduction à la source</v>
      </c>
      <c r="W260" s="656" t="str">
        <f>+VLOOKUP($L260,Data_Validation!$A:$E,5,0)</f>
        <v>$</v>
      </c>
      <c r="X260" s="656">
        <f>+VLOOKUP($L260,Data_Validation!$A:$F,6,0)</f>
        <v>0</v>
      </c>
    </row>
    <row r="261" spans="1:24" ht="15" customHeight="1">
      <c r="A261" s="1210" t="s">
        <v>1183</v>
      </c>
      <c r="B261" s="1210" t="s">
        <v>1184</v>
      </c>
      <c r="C261" s="1212">
        <v>3754.56</v>
      </c>
      <c r="D261" s="1212">
        <v>2199.2800000000002</v>
      </c>
      <c r="E261" s="1212">
        <v>5953.84</v>
      </c>
      <c r="F261" s="1210" t="s">
        <v>1154</v>
      </c>
      <c r="G261" s="1210" t="s">
        <v>1184</v>
      </c>
      <c r="H261" s="650"/>
      <c r="I261" s="652"/>
      <c r="J261" s="652"/>
      <c r="K261" s="652"/>
      <c r="L261" s="653" t="str">
        <f t="shared" si="176"/>
        <v>6133</v>
      </c>
      <c r="M261" s="654" t="str">
        <f t="shared" si="177"/>
        <v>FOND PENSION - NEUF</v>
      </c>
      <c r="N261" s="655">
        <f>+IF(OR($Q261=Parametres!$G$2,$Q261=Parametres!$G$3),I261,C261)</f>
        <v>3754.56</v>
      </c>
      <c r="O261" s="655">
        <f>+IF(OR($Q261=Parametres!$G$2,$Q261=Parametres!$G$3),J261,D261)</f>
        <v>2199.2800000000002</v>
      </c>
      <c r="P261" s="655">
        <f>+IF(OR($Q261=Parametres!$G$2,$Q261=Parametres!$G$3),K261,E261)</f>
        <v>5953.84</v>
      </c>
      <c r="Q261" s="654" t="str">
        <f t="shared" si="178"/>
        <v>7-Dépenses</v>
      </c>
      <c r="R261" s="653" t="str">
        <f t="shared" si="179"/>
        <v>6133</v>
      </c>
      <c r="S261" s="654">
        <f t="shared" si="180"/>
        <v>0</v>
      </c>
      <c r="T261" s="656" t="str">
        <f>+VLOOKUP($L261,Data_Validation!$A:$D,1,0)</f>
        <v>6133</v>
      </c>
      <c r="U261" s="656" t="str">
        <f>+VLOOKUP($L261,Data_Validation!$A:$D,3,0)</f>
        <v>Véhicules neufs</v>
      </c>
      <c r="V261" s="656" t="str">
        <f>+VLOOKUP($L261,Data_Validation!$A:$D,4,0)</f>
        <v>Bénéfices marginaux</v>
      </c>
      <c r="W261" s="656" t="str">
        <f>+VLOOKUP($L261,Data_Validation!$A:$E,5,0)</f>
        <v>$</v>
      </c>
      <c r="X261" s="656">
        <f>+VLOOKUP($L261,Data_Validation!$A:$F,6,0)</f>
        <v>0</v>
      </c>
    </row>
    <row r="262" spans="1:24" ht="15.75" customHeight="1">
      <c r="A262" s="1210" t="s">
        <v>1185</v>
      </c>
      <c r="B262" s="1210" t="s">
        <v>1186</v>
      </c>
      <c r="C262" s="1212">
        <v>3427.34</v>
      </c>
      <c r="D262" s="1212">
        <v>2765.63</v>
      </c>
      <c r="E262" s="1212">
        <v>6192.97</v>
      </c>
      <c r="F262" s="1210" t="s">
        <v>1154</v>
      </c>
      <c r="G262" s="1210" t="s">
        <v>1186</v>
      </c>
      <c r="H262" s="650"/>
      <c r="I262" s="672"/>
      <c r="J262" s="663"/>
      <c r="K262" s="672"/>
      <c r="L262" s="653" t="str">
        <f t="shared" si="176"/>
        <v>6139</v>
      </c>
      <c r="M262" s="654" t="str">
        <f t="shared" si="177"/>
        <v>ASSURANCE GROUPS</v>
      </c>
      <c r="N262" s="655">
        <f>+IF(OR($Q262=Parametres!$G$2,$Q262=Parametres!$G$3),I262,C262)</f>
        <v>3427.34</v>
      </c>
      <c r="O262" s="655">
        <f>+IF(OR($Q262=Parametres!$G$2,$Q262=Parametres!$G$3),J262,D262)</f>
        <v>2765.63</v>
      </c>
      <c r="P262" s="655">
        <f>+IF(OR($Q262=Parametres!$G$2,$Q262=Parametres!$G$3),K262,E262)</f>
        <v>6192.97</v>
      </c>
      <c r="Q262" s="654" t="str">
        <f t="shared" si="178"/>
        <v>7-Dépenses</v>
      </c>
      <c r="R262" s="653" t="str">
        <f t="shared" si="179"/>
        <v>6139</v>
      </c>
      <c r="S262" s="654">
        <f t="shared" si="180"/>
        <v>0</v>
      </c>
      <c r="T262" s="671" t="str">
        <f>+VLOOKUP($L262,Data_Validation!$A:$D,1,0)</f>
        <v>6139</v>
      </c>
      <c r="U262" s="656" t="str">
        <f>+VLOOKUP($L262,Data_Validation!$A:$D,3,0)</f>
        <v>Véhicules neufs</v>
      </c>
      <c r="V262" s="656" t="str">
        <f>+VLOOKUP($L262,Data_Validation!$A:$D,4,0)</f>
        <v>Bénéfices marginaux</v>
      </c>
      <c r="W262" s="656" t="str">
        <f>+VLOOKUP($L262,Data_Validation!$A:$E,5,0)</f>
        <v>$</v>
      </c>
      <c r="X262" s="656">
        <f>+VLOOKUP($L262,Data_Validation!$A:$F,6,0)</f>
        <v>0</v>
      </c>
    </row>
    <row r="263" spans="1:24" ht="15" customHeight="1">
      <c r="A263" s="1210" t="s">
        <v>1187</v>
      </c>
      <c r="B263" s="1210" t="s">
        <v>1188</v>
      </c>
      <c r="C263" s="1212">
        <v>0</v>
      </c>
      <c r="D263" s="1212">
        <v>165.98</v>
      </c>
      <c r="E263" s="1212">
        <v>165.98</v>
      </c>
      <c r="F263" s="1210" t="s">
        <v>1154</v>
      </c>
      <c r="G263" s="1210" t="s">
        <v>1188</v>
      </c>
      <c r="H263" s="651"/>
      <c r="I263" s="670"/>
      <c r="J263" s="651"/>
      <c r="K263" s="670"/>
      <c r="L263" s="653" t="str">
        <f t="shared" si="176"/>
        <v>6142</v>
      </c>
      <c r="M263" s="654" t="str">
        <f t="shared" si="177"/>
        <v>FOURNITURES &amp; PETITS OUTILS</v>
      </c>
      <c r="N263" s="655">
        <f>+IF(OR($Q263=Parametres!$G$2,$Q263=Parametres!$G$3),I263,C263)</f>
        <v>0</v>
      </c>
      <c r="O263" s="655">
        <f>+IF(OR($Q263=Parametres!$G$2,$Q263=Parametres!$G$3),J263,D263)</f>
        <v>165.98</v>
      </c>
      <c r="P263" s="655">
        <f>+IF(OR($Q263=Parametres!$G$2,$Q263=Parametres!$G$3),K263,E263)</f>
        <v>165.98</v>
      </c>
      <c r="Q263" s="654" t="str">
        <f t="shared" si="178"/>
        <v>7-Dépenses</v>
      </c>
      <c r="R263" s="653" t="str">
        <f t="shared" si="179"/>
        <v>6142</v>
      </c>
      <c r="S263" s="654">
        <f t="shared" si="180"/>
        <v>0</v>
      </c>
      <c r="T263" s="656" t="str">
        <f>+VLOOKUP($L263,Data_Validation!$A:$D,1,0)</f>
        <v>6142</v>
      </c>
      <c r="U263" s="656" t="str">
        <f>+VLOOKUP($L263,Data_Validation!$A:$D,3,0)</f>
        <v>Véhicules neufs</v>
      </c>
      <c r="V263" s="656" t="str">
        <f>+VLOOKUP($L263,Data_Validation!$A:$D,4,0)</f>
        <v>Fournitures autres</v>
      </c>
      <c r="W263" s="656" t="str">
        <f>+VLOOKUP($L263,Data_Validation!$A:$E,5,0)</f>
        <v>$</v>
      </c>
      <c r="X263" s="656">
        <f>+VLOOKUP($L263,Data_Validation!$A:$F,6,0)</f>
        <v>0</v>
      </c>
    </row>
    <row r="264" spans="1:24" ht="15" customHeight="1">
      <c r="A264" s="1210" t="s">
        <v>1189</v>
      </c>
      <c r="B264" s="1210" t="s">
        <v>1190</v>
      </c>
      <c r="C264" s="1212">
        <v>623</v>
      </c>
      <c r="D264" s="1212">
        <v>0</v>
      </c>
      <c r="E264" s="1212">
        <v>623</v>
      </c>
      <c r="F264" s="1210" t="s">
        <v>1154</v>
      </c>
      <c r="G264" s="1210" t="s">
        <v>1190</v>
      </c>
      <c r="H264" s="651"/>
      <c r="I264" s="652"/>
      <c r="J264" s="652"/>
      <c r="K264" s="652"/>
      <c r="L264" s="653" t="str">
        <f t="shared" si="176"/>
        <v>6143</v>
      </c>
      <c r="M264" s="654" t="str">
        <f t="shared" si="177"/>
        <v>UNIFORMES &amp; LESSIVE</v>
      </c>
      <c r="N264" s="655">
        <f>+IF(OR($Q264=Parametres!$G$2,$Q264=Parametres!$G$3),I264,C264)</f>
        <v>623</v>
      </c>
      <c r="O264" s="659">
        <f>+IF(OR($Q264=Parametres!$G$2,$Q264=Parametres!$G$3),J264,D264)</f>
        <v>0</v>
      </c>
      <c r="P264" s="655">
        <f>+IF(OR($Q264=Parametres!$G$2,$Q264=Parametres!$G$3),K264,E264)</f>
        <v>623</v>
      </c>
      <c r="Q264" s="654" t="str">
        <f t="shared" si="178"/>
        <v>7-Dépenses</v>
      </c>
      <c r="R264" s="653" t="str">
        <f t="shared" si="179"/>
        <v>6143</v>
      </c>
      <c r="S264" s="654">
        <f t="shared" si="180"/>
        <v>0</v>
      </c>
      <c r="T264" s="656" t="str">
        <f>+VLOOKUP($L264,Data_Validation!$A:$D,1,0)</f>
        <v>6143</v>
      </c>
      <c r="U264" s="656" t="str">
        <f>+VLOOKUP($L264,Data_Validation!$A:$D,3,0)</f>
        <v>Véhicules neufs</v>
      </c>
      <c r="V264" s="656" t="str">
        <f>+VLOOKUP($L264,Data_Validation!$A:$D,4,0)</f>
        <v>Uniformes</v>
      </c>
      <c r="W264" s="656" t="str">
        <f>+VLOOKUP($L264,Data_Validation!$A:$E,5,0)</f>
        <v>$</v>
      </c>
      <c r="X264" s="656">
        <f>+VLOOKUP($L264,Data_Validation!$A:$F,6,0)</f>
        <v>0</v>
      </c>
    </row>
    <row r="265" spans="1:24" ht="15" customHeight="1">
      <c r="A265" s="1210" t="s">
        <v>1191</v>
      </c>
      <c r="B265" s="1210" t="s">
        <v>1192</v>
      </c>
      <c r="C265" s="1212">
        <v>2282.7199999999998</v>
      </c>
      <c r="D265" s="1212">
        <v>683.97</v>
      </c>
      <c r="E265" s="1212">
        <v>2966.69</v>
      </c>
      <c r="F265" s="1210" t="s">
        <v>1154</v>
      </c>
      <c r="G265" s="1210" t="s">
        <v>1192</v>
      </c>
      <c r="H265" s="651"/>
      <c r="I265" s="651"/>
      <c r="J265" s="651"/>
      <c r="K265" s="651"/>
      <c r="L265" s="653" t="str">
        <f t="shared" si="176"/>
        <v>6144</v>
      </c>
      <c r="M265" s="654" t="str">
        <f t="shared" si="177"/>
        <v>FORMATION</v>
      </c>
      <c r="N265" s="655">
        <f>+IF(OR($Q265=Parametres!$G$2,$Q265=Parametres!$G$3),I265,C265)</f>
        <v>2282.7199999999998</v>
      </c>
      <c r="O265" s="659">
        <f>+IF(OR($Q265=Parametres!$G$2,$Q265=Parametres!$G$3),J265,D265)</f>
        <v>683.97</v>
      </c>
      <c r="P265" s="655">
        <f>+IF(OR($Q265=Parametres!$G$2,$Q265=Parametres!$G$3),K265,E265)</f>
        <v>2966.69</v>
      </c>
      <c r="Q265" s="654" t="str">
        <f t="shared" si="178"/>
        <v>7-Dépenses</v>
      </c>
      <c r="R265" s="653" t="str">
        <f t="shared" si="179"/>
        <v>6144</v>
      </c>
      <c r="S265" s="654">
        <f t="shared" si="180"/>
        <v>0</v>
      </c>
      <c r="T265" s="656" t="str">
        <f>+VLOOKUP($L265,Data_Validation!$A:$D,1,0)</f>
        <v>6144</v>
      </c>
      <c r="U265" s="656" t="str">
        <f>+VLOOKUP($L265,Data_Validation!$A:$D,3,0)</f>
        <v>Véhicules neufs</v>
      </c>
      <c r="V265" s="656" t="str">
        <f>+VLOOKUP($L265,Data_Validation!$A:$D,4,0)</f>
        <v>Formation</v>
      </c>
      <c r="W265" s="656" t="str">
        <f>+VLOOKUP($L265,Data_Validation!$A:$E,5,0)</f>
        <v>$</v>
      </c>
      <c r="X265" s="656">
        <f>+VLOOKUP($L265,Data_Validation!$A:$F,6,0)</f>
        <v>0</v>
      </c>
    </row>
    <row r="266" spans="1:24" ht="15" customHeight="1">
      <c r="A266" s="1210" t="s">
        <v>1193</v>
      </c>
      <c r="B266" s="1210" t="s">
        <v>1194</v>
      </c>
      <c r="C266" s="1212">
        <v>11043.63</v>
      </c>
      <c r="D266" s="1212">
        <v>10438.73</v>
      </c>
      <c r="E266" s="1212">
        <v>21482.36</v>
      </c>
      <c r="F266" s="1210" t="s">
        <v>1154</v>
      </c>
      <c r="G266" s="1210" t="s">
        <v>1194</v>
      </c>
      <c r="H266" s="651"/>
      <c r="I266" s="670"/>
      <c r="J266" s="651"/>
      <c r="K266" s="670"/>
      <c r="L266" s="653" t="str">
        <f t="shared" si="176"/>
        <v>6145</v>
      </c>
      <c r="M266" s="654" t="str">
        <f t="shared" si="177"/>
        <v>VEHICULE DE COMPAGNIE - DEPENS</v>
      </c>
      <c r="N266" s="655">
        <f>+IF(OR($Q266=Parametres!$G$2,$Q266=Parametres!$G$3),I266,C266)</f>
        <v>11043.63</v>
      </c>
      <c r="O266" s="655">
        <f>+IF(OR($Q266=Parametres!$G$2,$Q266=Parametres!$G$3),J266,D266)</f>
        <v>10438.73</v>
      </c>
      <c r="P266" s="655">
        <f>+IF(OR($Q266=Parametres!$G$2,$Q266=Parametres!$G$3),K266,E266)</f>
        <v>21482.36</v>
      </c>
      <c r="Q266" s="654" t="str">
        <f t="shared" si="178"/>
        <v>7-Dépenses</v>
      </c>
      <c r="R266" s="653" t="str">
        <f t="shared" si="179"/>
        <v>6145</v>
      </c>
      <c r="S266" s="654">
        <f t="shared" si="180"/>
        <v>0</v>
      </c>
      <c r="T266" s="656" t="str">
        <f>+VLOOKUP($L266,Data_Validation!$A:$D,1,0)</f>
        <v>6145</v>
      </c>
      <c r="U266" s="656" t="str">
        <f>+VLOOKUP($L266,Data_Validation!$A:$D,3,0)</f>
        <v>Véhicules neufs</v>
      </c>
      <c r="V266" s="656" t="str">
        <f>+VLOOKUP($L266,Data_Validation!$A:$D,4,0)</f>
        <v>Frais véhicules de cie</v>
      </c>
      <c r="W266" s="656" t="str">
        <f>+VLOOKUP($L266,Data_Validation!$A:$E,5,0)</f>
        <v>$</v>
      </c>
      <c r="X266" s="656">
        <f>+VLOOKUP($L266,Data_Validation!$A:$F,6,0)</f>
        <v>0</v>
      </c>
    </row>
    <row r="267" spans="1:24" ht="15" customHeight="1">
      <c r="A267" s="1210" t="s">
        <v>1195</v>
      </c>
      <c r="B267" s="1210" t="s">
        <v>1196</v>
      </c>
      <c r="C267" s="1212">
        <v>725.8</v>
      </c>
      <c r="D267" s="1212">
        <v>447.9</v>
      </c>
      <c r="E267" s="1212">
        <v>1173.7</v>
      </c>
      <c r="F267" s="1210" t="s">
        <v>1154</v>
      </c>
      <c r="G267" s="1210" t="s">
        <v>1196</v>
      </c>
      <c r="H267" s="651"/>
      <c r="I267" s="670"/>
      <c r="J267" s="651"/>
      <c r="K267" s="670"/>
      <c r="L267" s="653" t="str">
        <f t="shared" si="176"/>
        <v>6147</v>
      </c>
      <c r="M267" s="654" t="str">
        <f t="shared" si="177"/>
        <v>FRET/EXPRESS/TRANS. PAR CAMION</v>
      </c>
      <c r="N267" s="655">
        <f>+IF(OR($Q267=Parametres!$G$2,$Q267=Parametres!$G$3),I267,C267)</f>
        <v>725.8</v>
      </c>
      <c r="O267" s="655">
        <f>+IF(OR($Q267=Parametres!$G$2,$Q267=Parametres!$G$3),J267,D267)</f>
        <v>447.9</v>
      </c>
      <c r="P267" s="655">
        <f>+IF(OR($Q267=Parametres!$G$2,$Q267=Parametres!$G$3),K267,E267)</f>
        <v>1173.7</v>
      </c>
      <c r="Q267" s="654" t="str">
        <f t="shared" si="178"/>
        <v>7-Dépenses</v>
      </c>
      <c r="R267" s="653" t="str">
        <f t="shared" si="179"/>
        <v>6147</v>
      </c>
      <c r="S267" s="654">
        <f t="shared" si="180"/>
        <v>0</v>
      </c>
      <c r="T267" s="656" t="str">
        <f>+VLOOKUP($L267,Data_Validation!$A:$D,1,0)</f>
        <v>6147</v>
      </c>
      <c r="U267" s="656" t="str">
        <f>+VLOOKUP($L267,Data_Validation!$A:$D,3,0)</f>
        <v>Véhicules neufs</v>
      </c>
      <c r="V267" s="656" t="str">
        <f>+VLOOKUP($L267,Data_Validation!$A:$D,4,0)</f>
        <v>Frais postaux</v>
      </c>
      <c r="W267" s="656" t="str">
        <f>+VLOOKUP($L267,Data_Validation!$A:$E,5,0)</f>
        <v>$</v>
      </c>
      <c r="X267" s="656">
        <f>+VLOOKUP($L267,Data_Validation!$A:$F,6,0)</f>
        <v>0</v>
      </c>
    </row>
    <row r="268" spans="1:24" ht="15" customHeight="1">
      <c r="A268" s="1210" t="s">
        <v>1197</v>
      </c>
      <c r="B268" s="1210" t="s">
        <v>1198</v>
      </c>
      <c r="C268" s="1212">
        <v>6207.73</v>
      </c>
      <c r="D268" s="1212">
        <v>6313.34</v>
      </c>
      <c r="E268" s="1212">
        <v>12521.07</v>
      </c>
      <c r="F268" s="1210" t="s">
        <v>1154</v>
      </c>
      <c r="G268" s="1210" t="s">
        <v>1198</v>
      </c>
      <c r="H268" s="651"/>
      <c r="I268" s="670"/>
      <c r="J268" s="651"/>
      <c r="K268" s="670"/>
      <c r="L268" s="653" t="str">
        <f t="shared" si="176"/>
        <v>6151</v>
      </c>
      <c r="M268" s="654" t="str">
        <f t="shared" si="177"/>
        <v>DEP. DU TRAITEMENT DES DONNEES</v>
      </c>
      <c r="N268" s="655">
        <f>+IF(OR($Q268=Parametres!$G$2,$Q268=Parametres!$G$3),I268,C268)</f>
        <v>6207.73</v>
      </c>
      <c r="O268" s="655">
        <f>+IF(OR($Q268=Parametres!$G$2,$Q268=Parametres!$G$3),J268,D268)</f>
        <v>6313.34</v>
      </c>
      <c r="P268" s="655">
        <f>+IF(OR($Q268=Parametres!$G$2,$Q268=Parametres!$G$3),K268,E268)</f>
        <v>12521.07</v>
      </c>
      <c r="Q268" s="654" t="str">
        <f t="shared" si="178"/>
        <v>7-Dépenses</v>
      </c>
      <c r="R268" s="653" t="str">
        <f t="shared" si="179"/>
        <v>6151</v>
      </c>
      <c r="S268" s="654">
        <f t="shared" si="180"/>
        <v>0</v>
      </c>
      <c r="T268" s="656" t="str">
        <f>+VLOOKUP($L268,Data_Validation!$A:$D,1,0)</f>
        <v>6151</v>
      </c>
      <c r="U268" s="656" t="str">
        <f>+VLOOKUP($L268,Data_Validation!$A:$D,3,0)</f>
        <v>Véhicules neufs</v>
      </c>
      <c r="V268" s="656" t="str">
        <f>+VLOOKUP($L268,Data_Validation!$A:$D,4,0)</f>
        <v>Informatique</v>
      </c>
      <c r="W268" s="656" t="str">
        <f>+VLOOKUP($L268,Data_Validation!$A:$E,5,0)</f>
        <v>$</v>
      </c>
      <c r="X268" s="656">
        <f>+VLOOKUP($L268,Data_Validation!$A:$F,6,0)</f>
        <v>0</v>
      </c>
    </row>
    <row r="269" spans="1:24" ht="15" customHeight="1">
      <c r="A269" s="1210" t="s">
        <v>1199</v>
      </c>
      <c r="B269" s="1210" t="s">
        <v>1200</v>
      </c>
      <c r="C269" s="1212">
        <v>161.72999999999999</v>
      </c>
      <c r="D269" s="1212">
        <v>1041.95</v>
      </c>
      <c r="E269" s="1212">
        <v>1203.68</v>
      </c>
      <c r="F269" s="1210" t="s">
        <v>1154</v>
      </c>
      <c r="G269" s="1210" t="s">
        <v>1200</v>
      </c>
      <c r="H269" s="650"/>
      <c r="I269" s="652"/>
      <c r="J269" s="652"/>
      <c r="K269" s="652"/>
      <c r="L269" s="653" t="str">
        <f t="shared" si="176"/>
        <v>6152</v>
      </c>
      <c r="M269" s="654" t="str">
        <f t="shared" si="177"/>
        <v>PAPETERIE</v>
      </c>
      <c r="N269" s="655">
        <f>+IF(OR($Q269=Parametres!$G$2,$Q269=Parametres!$G$3),I269,C269)</f>
        <v>161.72999999999999</v>
      </c>
      <c r="O269" s="655">
        <f>+IF(OR($Q269=Parametres!$G$2,$Q269=Parametres!$G$3),J269,D269)</f>
        <v>1041.95</v>
      </c>
      <c r="P269" s="655">
        <f>+IF(OR($Q269=Parametres!$G$2,$Q269=Parametres!$G$3),K269,E269)</f>
        <v>1203.68</v>
      </c>
      <c r="Q269" s="654" t="str">
        <f t="shared" si="178"/>
        <v>7-Dépenses</v>
      </c>
      <c r="R269" s="653" t="str">
        <f t="shared" si="179"/>
        <v>6152</v>
      </c>
      <c r="S269" s="654">
        <f t="shared" si="180"/>
        <v>0</v>
      </c>
      <c r="T269" s="656" t="str">
        <f>+VLOOKUP($L269,Data_Validation!$A:$D,1,0)</f>
        <v>6152</v>
      </c>
      <c r="U269" s="656" t="str">
        <f>+VLOOKUP($L269,Data_Validation!$A:$D,3,0)</f>
        <v>Véhicules neufs</v>
      </c>
      <c r="V269" s="656" t="str">
        <f>+VLOOKUP($L269,Data_Validation!$A:$D,4,0)</f>
        <v>Papeterie</v>
      </c>
      <c r="W269" s="656" t="str">
        <f>+VLOOKUP($L269,Data_Validation!$A:$E,5,0)</f>
        <v>$</v>
      </c>
      <c r="X269" s="656">
        <f>+VLOOKUP($L269,Data_Validation!$A:$F,6,0)</f>
        <v>0</v>
      </c>
    </row>
    <row r="270" spans="1:24" ht="15" customHeight="1">
      <c r="A270" s="1210" t="s">
        <v>1201</v>
      </c>
      <c r="B270" s="1210" t="s">
        <v>1202</v>
      </c>
      <c r="C270" s="1212">
        <v>469.87</v>
      </c>
      <c r="D270" s="1212">
        <v>439.54</v>
      </c>
      <c r="E270" s="1212">
        <v>909.41</v>
      </c>
      <c r="F270" s="1210" t="s">
        <v>1154</v>
      </c>
      <c r="G270" s="1210" t="s">
        <v>1202</v>
      </c>
      <c r="H270" s="651"/>
      <c r="I270" s="652"/>
      <c r="J270" s="652"/>
      <c r="K270" s="652"/>
      <c r="L270" s="653" t="str">
        <f t="shared" si="176"/>
        <v>6153</v>
      </c>
      <c r="M270" s="654" t="str">
        <f t="shared" si="177"/>
        <v>TELEPHONE ET TELEX</v>
      </c>
      <c r="N270" s="655">
        <f>+IF(OR($Q270=Parametres!$G$2,$Q270=Parametres!$G$3),I270,C270)</f>
        <v>469.87</v>
      </c>
      <c r="O270" s="655">
        <f>+IF(OR($Q270=Parametres!$G$2,$Q270=Parametres!$G$3),J270,D270)</f>
        <v>439.54</v>
      </c>
      <c r="P270" s="655">
        <f>+IF(OR($Q270=Parametres!$G$2,$Q270=Parametres!$G$3),K270,E270)</f>
        <v>909.41</v>
      </c>
      <c r="Q270" s="654" t="str">
        <f t="shared" si="178"/>
        <v>7-Dépenses</v>
      </c>
      <c r="R270" s="653" t="str">
        <f t="shared" si="179"/>
        <v>6153</v>
      </c>
      <c r="S270" s="654">
        <f t="shared" si="180"/>
        <v>0</v>
      </c>
      <c r="T270" s="656" t="str">
        <f>+VLOOKUP($L270,Data_Validation!$A:$D,1,0)</f>
        <v>6153</v>
      </c>
      <c r="U270" s="656" t="str">
        <f>+VLOOKUP($L270,Data_Validation!$A:$D,3,0)</f>
        <v>Véhicules neufs</v>
      </c>
      <c r="V270" s="656" t="str">
        <f>+VLOOKUP($L270,Data_Validation!$A:$D,4,0)</f>
        <v>Téléphone</v>
      </c>
      <c r="W270" s="656" t="str">
        <f>+VLOOKUP($L270,Data_Validation!$A:$E,5,0)</f>
        <v>$</v>
      </c>
      <c r="X270" s="656">
        <f>+VLOOKUP($L270,Data_Validation!$A:$F,6,0)</f>
        <v>0</v>
      </c>
    </row>
    <row r="271" spans="1:24" ht="15" customHeight="1">
      <c r="A271" s="1210" t="s">
        <v>1203</v>
      </c>
      <c r="B271" s="1210" t="s">
        <v>1204</v>
      </c>
      <c r="C271" s="1212">
        <v>89.42</v>
      </c>
      <c r="D271" s="1212">
        <v>71.209999999999994</v>
      </c>
      <c r="E271" s="1212">
        <v>160.63</v>
      </c>
      <c r="F271" s="1210" t="s">
        <v>1154</v>
      </c>
      <c r="G271" s="1210" t="s">
        <v>1204</v>
      </c>
      <c r="H271" s="651"/>
      <c r="I271" s="670"/>
      <c r="J271" s="651"/>
      <c r="K271" s="670"/>
      <c r="L271" s="653" t="str">
        <f t="shared" si="176"/>
        <v>6155</v>
      </c>
      <c r="M271" s="654" t="str">
        <f t="shared" si="177"/>
        <v>DEPENSES DIVERS</v>
      </c>
      <c r="N271" s="655">
        <f>+IF(OR($Q271=Parametres!$G$2,$Q271=Parametres!$G$3),I271,C271)</f>
        <v>89.42</v>
      </c>
      <c r="O271" s="655">
        <f>+IF(OR($Q271=Parametres!$G$2,$Q271=Parametres!$G$3),J271,D271)</f>
        <v>71.209999999999994</v>
      </c>
      <c r="P271" s="655">
        <f>+IF(OR($Q271=Parametres!$G$2,$Q271=Parametres!$G$3),K271,E271)</f>
        <v>160.63</v>
      </c>
      <c r="Q271" s="654" t="str">
        <f t="shared" si="178"/>
        <v>7-Dépenses</v>
      </c>
      <c r="R271" s="653" t="str">
        <f t="shared" si="179"/>
        <v>6155</v>
      </c>
      <c r="S271" s="654">
        <f t="shared" si="180"/>
        <v>0</v>
      </c>
      <c r="T271" s="656" t="str">
        <f>+VLOOKUP($L271,Data_Validation!$A:$D,1,0)</f>
        <v>6155</v>
      </c>
      <c r="U271" s="656" t="str">
        <f>+VLOOKUP($L271,Data_Validation!$A:$D,3,0)</f>
        <v>Véhicules neufs</v>
      </c>
      <c r="V271" s="656" t="str">
        <f>+VLOOKUP($L271,Data_Validation!$A:$D,4,0)</f>
        <v>Divers</v>
      </c>
      <c r="W271" s="656" t="str">
        <f>+VLOOKUP($L271,Data_Validation!$A:$E,5,0)</f>
        <v>$</v>
      </c>
      <c r="X271" s="656">
        <f>+VLOOKUP($L271,Data_Validation!$A:$F,6,0)</f>
        <v>0</v>
      </c>
    </row>
    <row r="272" spans="1:24" ht="15.75" customHeight="1">
      <c r="A272" s="1210" t="s">
        <v>1205</v>
      </c>
      <c r="B272" s="1210" t="s">
        <v>1206</v>
      </c>
      <c r="C272" s="1212">
        <v>1811.46</v>
      </c>
      <c r="D272" s="1212">
        <v>995.9</v>
      </c>
      <c r="E272" s="1212">
        <v>2807.36</v>
      </c>
      <c r="F272" s="1210" t="s">
        <v>1154</v>
      </c>
      <c r="G272" s="1210" t="s">
        <v>1206</v>
      </c>
      <c r="H272" s="650"/>
      <c r="I272" s="672"/>
      <c r="J272" s="663"/>
      <c r="K272" s="672"/>
      <c r="L272" s="653" t="str">
        <f t="shared" si="176"/>
        <v>6156</v>
      </c>
      <c r="M272" s="654" t="str">
        <f t="shared" si="177"/>
        <v>FRAIS REPRESENTATION - NEUF</v>
      </c>
      <c r="N272" s="655">
        <f>+IF(OR($Q272=Parametres!$G$2,$Q272=Parametres!$G$3),I272,C272)</f>
        <v>1811.46</v>
      </c>
      <c r="O272" s="655">
        <f>+IF(OR($Q272=Parametres!$G$2,$Q272=Parametres!$G$3),J272,D272)</f>
        <v>995.9</v>
      </c>
      <c r="P272" s="655">
        <f>+IF(OR($Q272=Parametres!$G$2,$Q272=Parametres!$G$3),K272,E272)</f>
        <v>2807.36</v>
      </c>
      <c r="Q272" s="654" t="str">
        <f t="shared" si="178"/>
        <v>7-Dépenses</v>
      </c>
      <c r="R272" s="653" t="str">
        <f t="shared" si="179"/>
        <v>6156</v>
      </c>
      <c r="S272" s="654">
        <f t="shared" si="180"/>
        <v>0</v>
      </c>
      <c r="T272" s="656" t="str">
        <f>+VLOOKUP($L272,Data_Validation!$A:$D,1,0)</f>
        <v>6156</v>
      </c>
      <c r="U272" s="656" t="str">
        <f>+VLOOKUP($L272,Data_Validation!$A:$D,3,0)</f>
        <v>Véhicules neufs</v>
      </c>
      <c r="V272" s="656" t="str">
        <f>+VLOOKUP($L272,Data_Validation!$A:$D,4,0)</f>
        <v>Frais de déplacement</v>
      </c>
      <c r="W272" s="656" t="str">
        <f>+VLOOKUP($L272,Data_Validation!$A:$E,5,0)</f>
        <v>$</v>
      </c>
      <c r="X272" s="656">
        <f>+VLOOKUP($L272,Data_Validation!$A:$F,6,0)</f>
        <v>0</v>
      </c>
    </row>
    <row r="273" spans="1:24" ht="15" customHeight="1">
      <c r="A273" s="1210" t="s">
        <v>1207</v>
      </c>
      <c r="B273" s="1210" t="s">
        <v>3388</v>
      </c>
      <c r="C273" s="1212">
        <v>2802.79</v>
      </c>
      <c r="D273" s="1212">
        <v>2165.37</v>
      </c>
      <c r="E273" s="1212">
        <v>4968.16</v>
      </c>
      <c r="F273" s="1210" t="s">
        <v>1154</v>
      </c>
      <c r="G273" s="1210" t="s">
        <v>1208</v>
      </c>
      <c r="H273" s="651"/>
      <c r="I273" s="652"/>
      <c r="J273" s="652"/>
      <c r="K273" s="652"/>
      <c r="L273" s="653" t="str">
        <f t="shared" si="176"/>
        <v>6157</v>
      </c>
      <c r="M273" s="654" t="str">
        <f t="shared" si="177"/>
        <v>FRAIS BANCAIRES - NEUF</v>
      </c>
      <c r="N273" s="655">
        <f>+IF(OR($Q273=Parametres!$G$2,$Q273=Parametres!$G$3),I273,C273)</f>
        <v>2802.79</v>
      </c>
      <c r="O273" s="659">
        <f>+IF(OR($Q273=Parametres!$G$2,$Q273=Parametres!$G$3),J273,D273)</f>
        <v>2165.37</v>
      </c>
      <c r="P273" s="655">
        <f>+IF(OR($Q273=Parametres!$G$2,$Q273=Parametres!$G$3),K273,E273)</f>
        <v>4968.16</v>
      </c>
      <c r="Q273" s="654" t="str">
        <f t="shared" si="178"/>
        <v>7-Dépenses</v>
      </c>
      <c r="R273" s="653" t="str">
        <f t="shared" si="179"/>
        <v>615</v>
      </c>
      <c r="S273" s="654">
        <f t="shared" si="180"/>
        <v>0</v>
      </c>
      <c r="T273" s="656" t="str">
        <f>+VLOOKUP($L273,Data_Validation!$A:$D,1,0)</f>
        <v>6157</v>
      </c>
      <c r="U273" s="656" t="str">
        <f>+VLOOKUP($L273,Data_Validation!$A:$D,3,0)</f>
        <v>Véhicules neufs</v>
      </c>
      <c r="V273" s="656" t="str">
        <f>+VLOOKUP($L273,Data_Validation!$A:$D,4,0)</f>
        <v>Frais bancaires</v>
      </c>
      <c r="W273" s="656" t="str">
        <f>+VLOOKUP($L273,Data_Validation!$A:$E,5,0)</f>
        <v>$</v>
      </c>
      <c r="X273" s="656">
        <f>+VLOOKUP($L273,Data_Validation!$A:$F,6,0)</f>
        <v>0</v>
      </c>
    </row>
    <row r="274" spans="1:24" ht="15" customHeight="1">
      <c r="A274" s="1210" t="s">
        <v>1209</v>
      </c>
      <c r="B274" s="1210" t="s">
        <v>1210</v>
      </c>
      <c r="C274" s="1212">
        <v>7697.88</v>
      </c>
      <c r="D274" s="1212">
        <v>7771.09</v>
      </c>
      <c r="E274" s="1212">
        <v>15468.97</v>
      </c>
      <c r="F274" s="1210" t="s">
        <v>1154</v>
      </c>
      <c r="G274" s="1210" t="s">
        <v>1210</v>
      </c>
      <c r="H274" s="651"/>
      <c r="I274" s="670"/>
      <c r="J274" s="651"/>
      <c r="K274" s="670"/>
      <c r="L274" s="653" t="str">
        <f t="shared" si="176"/>
        <v>6159</v>
      </c>
      <c r="M274" s="654" t="str">
        <f t="shared" si="177"/>
        <v>SERVICE EXTERIEUR</v>
      </c>
      <c r="N274" s="655">
        <f>+IF(OR($Q274=Parametres!$G$2,$Q274=Parametres!$G$3),I274,C274)</f>
        <v>7697.88</v>
      </c>
      <c r="O274" s="655">
        <f>+IF(OR($Q274=Parametres!$G$2,$Q274=Parametres!$G$3),J274,D274)</f>
        <v>7771.09</v>
      </c>
      <c r="P274" s="655">
        <f>+IF(OR($Q274=Parametres!$G$2,$Q274=Parametres!$G$3),K274,E274)</f>
        <v>15468.97</v>
      </c>
      <c r="Q274" s="654" t="str">
        <f t="shared" si="178"/>
        <v>7-Dépenses</v>
      </c>
      <c r="R274" s="653" t="str">
        <f t="shared" si="179"/>
        <v>6159</v>
      </c>
      <c r="S274" s="654">
        <f t="shared" si="180"/>
        <v>0</v>
      </c>
      <c r="T274" s="656" t="str">
        <f>+VLOOKUP($L274,Data_Validation!$A:$D,1,0)</f>
        <v>6159</v>
      </c>
      <c r="U274" s="656" t="str">
        <f>+VLOOKUP($L274,Data_Validation!$A:$D,3,0)</f>
        <v>Véhicules neufs</v>
      </c>
      <c r="V274" s="656" t="str">
        <f>+VLOOKUP($L274,Data_Validation!$A:$D,4,0)</f>
        <v>Services extérieurs</v>
      </c>
      <c r="W274" s="656" t="str">
        <f>+VLOOKUP($L274,Data_Validation!$A:$E,5,0)</f>
        <v>$</v>
      </c>
      <c r="X274" s="656">
        <f>+VLOOKUP($L274,Data_Validation!$A:$F,6,0)</f>
        <v>0</v>
      </c>
    </row>
    <row r="275" spans="1:24" ht="15" customHeight="1">
      <c r="A275" s="1210" t="s">
        <v>1211</v>
      </c>
      <c r="B275" s="1210" t="s">
        <v>1212</v>
      </c>
      <c r="C275" s="1212">
        <v>13647.36</v>
      </c>
      <c r="D275" s="1212">
        <v>13647.36</v>
      </c>
      <c r="E275" s="1212">
        <v>27294.720000000001</v>
      </c>
      <c r="F275" s="1210" t="s">
        <v>1154</v>
      </c>
      <c r="G275" s="1210" t="s">
        <v>1212</v>
      </c>
      <c r="H275" s="651"/>
      <c r="I275" s="652"/>
      <c r="J275" s="652"/>
      <c r="K275" s="652"/>
      <c r="L275" s="653" t="str">
        <f t="shared" si="176"/>
        <v>6161</v>
      </c>
      <c r="M275" s="654" t="str">
        <f t="shared" si="177"/>
        <v>DEPRECIATION EQUIP. &amp; FIXTURES</v>
      </c>
      <c r="N275" s="655">
        <f>+IF(OR($Q275=Parametres!$G$2,$Q275=Parametres!$G$3),I275,C275)</f>
        <v>13647.36</v>
      </c>
      <c r="O275" s="655">
        <f>+IF(OR($Q275=Parametres!$G$2,$Q275=Parametres!$G$3),J275,D275)</f>
        <v>13647.36</v>
      </c>
      <c r="P275" s="655">
        <f>+IF(OR($Q275=Parametres!$G$2,$Q275=Parametres!$G$3),K275,E275)</f>
        <v>27294.720000000001</v>
      </c>
      <c r="Q275" s="654" t="str">
        <f t="shared" si="178"/>
        <v>7-Dépenses</v>
      </c>
      <c r="R275" s="653" t="str">
        <f t="shared" si="179"/>
        <v>6161</v>
      </c>
      <c r="S275" s="654">
        <f t="shared" si="180"/>
        <v>0</v>
      </c>
      <c r="T275" s="656" t="str">
        <f>+VLOOKUP($L275,Data_Validation!$A:$D,1,0)</f>
        <v>6161</v>
      </c>
      <c r="U275" s="656" t="str">
        <f>+VLOOKUP($L275,Data_Validation!$A:$D,3,0)</f>
        <v>Véhicules neufs</v>
      </c>
      <c r="V275" s="656" t="str">
        <f>+VLOOKUP($L275,Data_Validation!$A:$D,4,0)</f>
        <v>Amortissement</v>
      </c>
      <c r="W275" s="656" t="str">
        <f>+VLOOKUP($L275,Data_Validation!$A:$E,5,0)</f>
        <v>$</v>
      </c>
      <c r="X275" s="656">
        <f>+VLOOKUP($L275,Data_Validation!$A:$F,6,0)</f>
        <v>0</v>
      </c>
    </row>
    <row r="276" spans="1:24" ht="15" customHeight="1">
      <c r="A276" s="1210" t="s">
        <v>1213</v>
      </c>
      <c r="B276" s="1210" t="s">
        <v>1214</v>
      </c>
      <c r="C276" s="1212">
        <v>3287.94</v>
      </c>
      <c r="D276" s="1212">
        <v>2764.56</v>
      </c>
      <c r="E276" s="1212">
        <v>6052.5</v>
      </c>
      <c r="F276" s="1210" t="s">
        <v>1154</v>
      </c>
      <c r="G276" s="1210" t="s">
        <v>1214</v>
      </c>
      <c r="H276" s="651"/>
      <c r="I276" s="670"/>
      <c r="J276" s="651"/>
      <c r="K276" s="670"/>
      <c r="L276" s="653" t="str">
        <f t="shared" si="176"/>
        <v>6181</v>
      </c>
      <c r="M276" s="654" t="str">
        <f t="shared" si="177"/>
        <v>ELECTRICITE CHAUFFAGE</v>
      </c>
      <c r="N276" s="655">
        <f>+IF(OR($Q276=Parametres!$G$2,$Q276=Parametres!$G$3),I276,C276)</f>
        <v>3287.94</v>
      </c>
      <c r="O276" s="655">
        <f>+IF(OR($Q276=Parametres!$G$2,$Q276=Parametres!$G$3),J276,D276)</f>
        <v>2764.56</v>
      </c>
      <c r="P276" s="655">
        <f>+IF(OR($Q276=Parametres!$G$2,$Q276=Parametres!$G$3),K276,E276)</f>
        <v>6052.5</v>
      </c>
      <c r="Q276" s="654" t="str">
        <f t="shared" si="178"/>
        <v>7-Dépenses</v>
      </c>
      <c r="R276" s="653" t="str">
        <f t="shared" si="179"/>
        <v>6181</v>
      </c>
      <c r="S276" s="654">
        <f t="shared" si="180"/>
        <v>0</v>
      </c>
      <c r="T276" s="656" t="str">
        <f>+VLOOKUP($L276,Data_Validation!$A:$D,1,0)</f>
        <v>6181</v>
      </c>
      <c r="U276" s="656" t="str">
        <f>+VLOOKUP($L276,Data_Validation!$A:$D,3,0)</f>
        <v>Véhicules neufs</v>
      </c>
      <c r="V276" s="656" t="str">
        <f>+VLOOKUP($L276,Data_Validation!$A:$D,4,0)</f>
        <v>Chauffage, éclairage</v>
      </c>
      <c r="W276" s="656" t="str">
        <f>+VLOOKUP($L276,Data_Validation!$A:$E,5,0)</f>
        <v>$</v>
      </c>
      <c r="X276" s="656">
        <f>+VLOOKUP($L276,Data_Validation!$A:$F,6,0)</f>
        <v>0</v>
      </c>
    </row>
    <row r="277" spans="1:24" ht="15" customHeight="1">
      <c r="A277" s="1210" t="s">
        <v>1215</v>
      </c>
      <c r="B277" s="1210" t="s">
        <v>1216</v>
      </c>
      <c r="C277" s="1212">
        <v>11520</v>
      </c>
      <c r="D277" s="1212">
        <v>11520</v>
      </c>
      <c r="E277" s="1212">
        <v>23040</v>
      </c>
      <c r="F277" s="1210" t="s">
        <v>1154</v>
      </c>
      <c r="G277" s="1210" t="s">
        <v>1216</v>
      </c>
      <c r="H277" s="651"/>
      <c r="I277" s="652"/>
      <c r="J277" s="652"/>
      <c r="K277" s="652"/>
      <c r="L277" s="653" t="str">
        <f t="shared" si="176"/>
        <v>6182</v>
      </c>
      <c r="M277" s="654" t="str">
        <f t="shared" si="177"/>
        <v>LOYER NEUFS</v>
      </c>
      <c r="N277" s="655">
        <f>+IF(OR($Q277=Parametres!$G$2,$Q277=Parametres!$G$3),I277,C277)</f>
        <v>11520</v>
      </c>
      <c r="O277" s="655">
        <f>+IF(OR($Q277=Parametres!$G$2,$Q277=Parametres!$G$3),J277,D277)</f>
        <v>11520</v>
      </c>
      <c r="P277" s="655">
        <f>+IF(OR($Q277=Parametres!$G$2,$Q277=Parametres!$G$3),K277,E277)</f>
        <v>23040</v>
      </c>
      <c r="Q277" s="654" t="str">
        <f t="shared" si="178"/>
        <v>7-Dépenses</v>
      </c>
      <c r="R277" s="653" t="str">
        <f t="shared" si="179"/>
        <v>6182</v>
      </c>
      <c r="S277" s="654">
        <f t="shared" si="180"/>
        <v>0</v>
      </c>
      <c r="T277" s="656" t="str">
        <f>+VLOOKUP($L277,Data_Validation!$A:$D,1,0)</f>
        <v>6182</v>
      </c>
      <c r="U277" s="656" t="str">
        <f>+VLOOKUP($L277,Data_Validation!$A:$D,3,0)</f>
        <v>Véhicules neufs</v>
      </c>
      <c r="V277" s="656" t="str">
        <f>+VLOOKUP($L277,Data_Validation!$A:$D,4,0)</f>
        <v>Loyer</v>
      </c>
      <c r="W277" s="656" t="str">
        <f>+VLOOKUP($L277,Data_Validation!$A:$E,5,0)</f>
        <v>$</v>
      </c>
      <c r="X277" s="656">
        <f>+VLOOKUP($L277,Data_Validation!$A:$F,6,0)</f>
        <v>0</v>
      </c>
    </row>
    <row r="278" spans="1:24" ht="15" customHeight="1">
      <c r="A278" s="1210" t="s">
        <v>1217</v>
      </c>
      <c r="B278" s="1210" t="s">
        <v>1218</v>
      </c>
      <c r="C278" s="1212">
        <v>1390.16</v>
      </c>
      <c r="D278" s="1212">
        <v>1390.16</v>
      </c>
      <c r="E278" s="1212">
        <v>2780.32</v>
      </c>
      <c r="F278" s="1210" t="s">
        <v>1154</v>
      </c>
      <c r="G278" s="1210" t="s">
        <v>1218</v>
      </c>
      <c r="H278" s="651"/>
      <c r="I278" s="670"/>
      <c r="J278" s="651"/>
      <c r="K278" s="670"/>
      <c r="L278" s="653" t="str">
        <f t="shared" si="176"/>
        <v>6186</v>
      </c>
      <c r="M278" s="654" t="str">
        <f t="shared" si="177"/>
        <v>ASSURANCE BATIMENT</v>
      </c>
      <c r="N278" s="655">
        <f>+IF(OR($Q278=Parametres!$G$2,$Q278=Parametres!$G$3),I278,C278)</f>
        <v>1390.16</v>
      </c>
      <c r="O278" s="659">
        <f>+IF(OR($Q278=Parametres!$G$2,$Q278=Parametres!$G$3),J278,D278)</f>
        <v>1390.16</v>
      </c>
      <c r="P278" s="655">
        <f>+IF(OR($Q278=Parametres!$G$2,$Q278=Parametres!$G$3),K278,E278)</f>
        <v>2780.32</v>
      </c>
      <c r="Q278" s="654" t="str">
        <f t="shared" si="178"/>
        <v>7-Dépenses</v>
      </c>
      <c r="R278" s="653" t="str">
        <f t="shared" si="179"/>
        <v>6186</v>
      </c>
      <c r="S278" s="654">
        <f t="shared" si="180"/>
        <v>0</v>
      </c>
      <c r="T278" s="656" t="str">
        <f>+VLOOKUP($L278,Data_Validation!$A:$D,1,0)</f>
        <v>6186</v>
      </c>
      <c r="U278" s="656" t="str">
        <f>+VLOOKUP($L278,Data_Validation!$A:$D,3,0)</f>
        <v>Véhicules neufs</v>
      </c>
      <c r="V278" s="656" t="str">
        <f>+VLOOKUP($L278,Data_Validation!$A:$D,4,0)</f>
        <v>Assurances</v>
      </c>
      <c r="W278" s="656" t="str">
        <f>+VLOOKUP($L278,Data_Validation!$A:$E,5,0)</f>
        <v>$</v>
      </c>
      <c r="X278" s="656">
        <f>+VLOOKUP($L278,Data_Validation!$A:$F,6,0)</f>
        <v>0</v>
      </c>
    </row>
    <row r="279" spans="1:24" ht="15.75" customHeight="1">
      <c r="A279" s="1210" t="s">
        <v>1219</v>
      </c>
      <c r="B279" s="1210" t="s">
        <v>1220</v>
      </c>
      <c r="C279" s="1212">
        <v>1735.36</v>
      </c>
      <c r="D279" s="1212">
        <v>1735.36</v>
      </c>
      <c r="E279" s="1212">
        <v>3470.72</v>
      </c>
      <c r="F279" s="1210" t="s">
        <v>1154</v>
      </c>
      <c r="G279" s="1210" t="s">
        <v>1220</v>
      </c>
      <c r="H279" s="651"/>
      <c r="I279" s="652"/>
      <c r="J279" s="652"/>
      <c r="K279" s="652"/>
      <c r="L279" s="653" t="str">
        <f t="shared" si="176"/>
        <v>6187</v>
      </c>
      <c r="M279" s="654" t="str">
        <f t="shared" si="177"/>
        <v>TAXE SUR PROPRIETE</v>
      </c>
      <c r="N279" s="655">
        <f>+IF(OR($Q279=Parametres!$G$2,$Q279=Parametres!$G$3),I279,C279)</f>
        <v>1735.36</v>
      </c>
      <c r="O279" s="659">
        <f>+IF(OR($Q279=Parametres!$G$2,$Q279=Parametres!$G$3),J279,D279)</f>
        <v>1735.36</v>
      </c>
      <c r="P279" s="655">
        <f>+IF(OR($Q279=Parametres!$G$2,$Q279=Parametres!$G$3),K279,E279)</f>
        <v>3470.72</v>
      </c>
      <c r="Q279" s="654" t="str">
        <f t="shared" si="178"/>
        <v>7-Dépenses</v>
      </c>
      <c r="R279" s="653" t="str">
        <f t="shared" si="179"/>
        <v>6187</v>
      </c>
      <c r="S279" s="654">
        <f t="shared" si="180"/>
        <v>0</v>
      </c>
      <c r="T279" s="656" t="str">
        <f>+VLOOKUP($L279,Data_Validation!$A:$D,1,0)</f>
        <v>6187</v>
      </c>
      <c r="U279" s="656" t="str">
        <f>+VLOOKUP($L279,Data_Validation!$A:$D,3,0)</f>
        <v>Véhicules neufs</v>
      </c>
      <c r="V279" s="656" t="str">
        <f>+VLOOKUP($L279,Data_Validation!$A:$D,4,0)</f>
        <v>Taxes foncières</v>
      </c>
      <c r="W279" s="656" t="str">
        <f>+VLOOKUP($L279,Data_Validation!$A:$E,5,0)</f>
        <v>$</v>
      </c>
      <c r="X279" s="656">
        <f>+VLOOKUP($L279,Data_Validation!$A:$F,6,0)</f>
        <v>0</v>
      </c>
    </row>
    <row r="280" spans="1:24" ht="15" customHeight="1">
      <c r="A280" s="1210" t="s">
        <v>1221</v>
      </c>
      <c r="B280" s="1210" t="s">
        <v>1222</v>
      </c>
      <c r="C280" s="1212">
        <v>1154.8800000000001</v>
      </c>
      <c r="D280" s="1212">
        <v>1570.88</v>
      </c>
      <c r="E280" s="1212">
        <v>2725.76</v>
      </c>
      <c r="F280" s="1210" t="s">
        <v>1154</v>
      </c>
      <c r="G280" s="1210" t="s">
        <v>1222</v>
      </c>
      <c r="H280" s="651"/>
      <c r="I280" s="652"/>
      <c r="J280" s="652"/>
      <c r="K280" s="652"/>
      <c r="L280" s="653" t="str">
        <f t="shared" si="176"/>
        <v>6193</v>
      </c>
      <c r="M280" s="654" t="str">
        <f t="shared" si="177"/>
        <v>TAXES AUTRES PERMIS LICENCE</v>
      </c>
      <c r="N280" s="655">
        <f>+IF(OR($Q280=Parametres!$G$2,$Q280=Parametres!$G$3),I280,C280)</f>
        <v>1154.8800000000001</v>
      </c>
      <c r="O280" s="655">
        <f>+IF(OR($Q280=Parametres!$G$2,$Q280=Parametres!$G$3),J280,D280)</f>
        <v>1570.88</v>
      </c>
      <c r="P280" s="655">
        <f>+IF(OR($Q280=Parametres!$G$2,$Q280=Parametres!$G$3),K280,E280)</f>
        <v>2725.76</v>
      </c>
      <c r="Q280" s="654" t="str">
        <f t="shared" si="178"/>
        <v>7-Dépenses</v>
      </c>
      <c r="R280" s="653" t="str">
        <f t="shared" si="179"/>
        <v>6193</v>
      </c>
      <c r="S280" s="654">
        <f t="shared" si="180"/>
        <v>0</v>
      </c>
      <c r="T280" s="656" t="str">
        <f>+VLOOKUP($L280,Data_Validation!$A:$D,1,0)</f>
        <v>6193</v>
      </c>
      <c r="U280" s="656" t="str">
        <f>+VLOOKUP($L280,Data_Validation!$A:$D,3,0)</f>
        <v>Véhicules neufs</v>
      </c>
      <c r="V280" s="656" t="str">
        <f>+VLOOKUP($L280,Data_Validation!$A:$D,4,0)</f>
        <v>Taxes d`affaires</v>
      </c>
      <c r="W280" s="656" t="str">
        <f>+VLOOKUP($L280,Data_Validation!$A:$E,5,0)</f>
        <v>$</v>
      </c>
      <c r="X280" s="656">
        <f>+VLOOKUP($L280,Data_Validation!$A:$F,6,0)</f>
        <v>0</v>
      </c>
    </row>
    <row r="281" spans="1:24" ht="15" customHeight="1">
      <c r="A281" s="1210" t="s">
        <v>1223</v>
      </c>
      <c r="B281" s="1210" t="s">
        <v>1224</v>
      </c>
      <c r="C281" s="1212">
        <v>2343.67</v>
      </c>
      <c r="D281" s="1212">
        <v>2221.02</v>
      </c>
      <c r="E281" s="1212">
        <v>4564.6899999999996</v>
      </c>
      <c r="F281" s="1210" t="s">
        <v>1154</v>
      </c>
      <c r="G281" s="1210" t="s">
        <v>1224</v>
      </c>
      <c r="H281" s="651"/>
      <c r="I281" s="670"/>
      <c r="J281" s="660"/>
      <c r="K281" s="670"/>
      <c r="L281" s="653" t="str">
        <f t="shared" si="176"/>
        <v>6194</v>
      </c>
      <c r="M281" s="668" t="str">
        <f t="shared" si="177"/>
        <v>HONORAIRES PROFESSIONNELS</v>
      </c>
      <c r="N281" s="655">
        <f>+IF(OR($Q281=Parametres!$G$2,$Q281=Parametres!$G$3),I281,C281)</f>
        <v>2343.67</v>
      </c>
      <c r="O281" s="659">
        <f>+IF(OR($Q281=Parametres!$G$2,$Q281=Parametres!$G$3),J281,D281)</f>
        <v>2221.02</v>
      </c>
      <c r="P281" s="669">
        <f>+IF(OR($Q281=Parametres!$G$2,$Q281=Parametres!$G$3),K281,E281)</f>
        <v>4564.6899999999996</v>
      </c>
      <c r="Q281" s="654" t="str">
        <f t="shared" si="178"/>
        <v>7-Dépenses</v>
      </c>
      <c r="R281" s="653" t="str">
        <f t="shared" si="179"/>
        <v>6194</v>
      </c>
      <c r="S281" s="654">
        <f t="shared" si="180"/>
        <v>0</v>
      </c>
      <c r="T281" s="656" t="str">
        <f>+VLOOKUP($L281,Data_Validation!$A:$D,1,0)</f>
        <v>6194</v>
      </c>
      <c r="U281" s="656" t="str">
        <f>+VLOOKUP($L281,Data_Validation!$A:$D,3,0)</f>
        <v>Véhicules neufs</v>
      </c>
      <c r="V281" s="656" t="str">
        <f>+VLOOKUP($L281,Data_Validation!$A:$D,4,0)</f>
        <v>Honoraires</v>
      </c>
      <c r="W281" s="656" t="str">
        <f>+VLOOKUP($L281,Data_Validation!$A:$E,5,0)</f>
        <v>$</v>
      </c>
      <c r="X281" s="656">
        <f>+VLOOKUP($L281,Data_Validation!$A:$F,6,0)</f>
        <v>0</v>
      </c>
    </row>
    <row r="282" spans="1:24" ht="15" customHeight="1">
      <c r="A282" s="1210" t="s">
        <v>1225</v>
      </c>
      <c r="B282" s="1210" t="s">
        <v>2319</v>
      </c>
      <c r="C282" s="1212">
        <v>14348.92</v>
      </c>
      <c r="D282" s="1212">
        <v>8911.1</v>
      </c>
      <c r="E282" s="1212">
        <v>23260.02</v>
      </c>
      <c r="F282" s="1210" t="s">
        <v>1154</v>
      </c>
      <c r="G282" s="1210" t="s">
        <v>1155</v>
      </c>
      <c r="H282" s="651"/>
      <c r="I282" s="652"/>
      <c r="J282" s="652"/>
      <c r="K282" s="652"/>
      <c r="L282" s="653" t="str">
        <f t="shared" si="176"/>
        <v>6201</v>
      </c>
      <c r="M282" s="654" t="str">
        <f t="shared" si="177"/>
        <v>COMMISSION USAGES</v>
      </c>
      <c r="N282" s="655">
        <f>+IF(OR($Q282=Parametres!$G$2,$Q282=Parametres!$G$3),I282,C282)</f>
        <v>14348.92</v>
      </c>
      <c r="O282" s="655">
        <f>+IF(OR($Q282=Parametres!$G$2,$Q282=Parametres!$G$3),J282,D282)</f>
        <v>8911.1</v>
      </c>
      <c r="P282" s="655">
        <f>+IF(OR($Q282=Parametres!$G$2,$Q282=Parametres!$G$3),K282,E282)</f>
        <v>23260.02</v>
      </c>
      <c r="Q282" s="654" t="str">
        <f t="shared" si="178"/>
        <v>7-Dépenses</v>
      </c>
      <c r="R282" s="653" t="str">
        <f t="shared" si="179"/>
        <v>6101</v>
      </c>
      <c r="S282" s="654">
        <f t="shared" si="180"/>
        <v>0</v>
      </c>
      <c r="T282" s="656" t="str">
        <f>+VLOOKUP($L282,Data_Validation!$A:$D,1,0)</f>
        <v>6201</v>
      </c>
      <c r="U282" s="656" t="str">
        <f>+VLOOKUP($L282,Data_Validation!$A:$D,3,0)</f>
        <v>Véhicules usagés</v>
      </c>
      <c r="V282" s="656" t="str">
        <f>+VLOOKUP($L282,Data_Validation!$A:$D,4,0)</f>
        <v>Comm. vendeurs</v>
      </c>
      <c r="W282" s="656" t="str">
        <f>+VLOOKUP($L282,Data_Validation!$A:$E,5,0)</f>
        <v>$</v>
      </c>
      <c r="X282" s="656">
        <f>+VLOOKUP($L282,Data_Validation!$A:$F,6,0)</f>
        <v>0</v>
      </c>
    </row>
    <row r="283" spans="1:24" ht="15.75" customHeight="1">
      <c r="A283" s="1210" t="s">
        <v>1156</v>
      </c>
      <c r="B283" s="1210" t="s">
        <v>2322</v>
      </c>
      <c r="C283" s="1212">
        <v>13219.9</v>
      </c>
      <c r="D283" s="1212">
        <v>6721.09</v>
      </c>
      <c r="E283" s="1212">
        <v>19940.990000000002</v>
      </c>
      <c r="F283" s="1210" t="s">
        <v>1154</v>
      </c>
      <c r="G283" s="1210" t="s">
        <v>1157</v>
      </c>
      <c r="H283" s="650"/>
      <c r="I283" s="663"/>
      <c r="J283" s="663"/>
      <c r="K283" s="663"/>
      <c r="L283" s="653" t="str">
        <f t="shared" si="176"/>
        <v>6202</v>
      </c>
      <c r="M283" s="654" t="str">
        <f t="shared" si="177"/>
        <v>RENUMERATION F &amp; I</v>
      </c>
      <c r="N283" s="655">
        <f>+IF(OR($Q283=Parametres!$G$2,$Q283=Parametres!$G$3),I283,C283)</f>
        <v>13219.9</v>
      </c>
      <c r="O283" s="655">
        <f>+IF(OR($Q283=Parametres!$G$2,$Q283=Parametres!$G$3),J283,D283)</f>
        <v>6721.09</v>
      </c>
      <c r="P283" s="655">
        <f>+IF(OR($Q283=Parametres!$G$2,$Q283=Parametres!$G$3),K283,E283)</f>
        <v>19940.990000000002</v>
      </c>
      <c r="Q283" s="654" t="str">
        <f t="shared" si="178"/>
        <v>7-Dépenses</v>
      </c>
      <c r="R283" s="653" t="str">
        <f t="shared" si="179"/>
        <v>6102</v>
      </c>
      <c r="S283" s="654">
        <f t="shared" si="180"/>
        <v>0</v>
      </c>
      <c r="T283" s="656" t="str">
        <f>+VLOOKUP($L283,Data_Validation!$A:$D,1,0)</f>
        <v>6202</v>
      </c>
      <c r="U283" s="656" t="str">
        <f>+VLOOKUP($L283,Data_Validation!$A:$D,3,0)</f>
        <v>Véhicules usagés</v>
      </c>
      <c r="V283" s="656" t="str">
        <f>+VLOOKUP($L283,Data_Validation!$A:$D,4,0)</f>
        <v>Comm. F&amp;I</v>
      </c>
      <c r="W283" s="656" t="str">
        <f>+VLOOKUP($L283,Data_Validation!$A:$E,5,0)</f>
        <v>$</v>
      </c>
      <c r="X283" s="656">
        <f>+VLOOKUP($L283,Data_Validation!$A:$F,6,0)</f>
        <v>0</v>
      </c>
    </row>
    <row r="284" spans="1:24" ht="15" customHeight="1">
      <c r="A284" s="1210" t="s">
        <v>1226</v>
      </c>
      <c r="B284" s="1210" t="s">
        <v>2325</v>
      </c>
      <c r="C284" s="1212">
        <v>948.61</v>
      </c>
      <c r="D284" s="1212">
        <v>429.95</v>
      </c>
      <c r="E284" s="1212">
        <v>1378.56</v>
      </c>
      <c r="F284" s="1210" t="s">
        <v>1154</v>
      </c>
      <c r="G284" s="1210" t="s">
        <v>1159</v>
      </c>
      <c r="H284" s="651"/>
      <c r="I284" s="651"/>
      <c r="J284" s="651"/>
      <c r="K284" s="670"/>
      <c r="L284" s="653" t="str">
        <f t="shared" si="176"/>
        <v>6203</v>
      </c>
      <c r="M284" s="654" t="str">
        <f t="shared" si="177"/>
        <v>RELAT. A LA CLIENTELLE &amp; AJUST</v>
      </c>
      <c r="N284" s="655">
        <f>+IF(OR($Q284=Parametres!$G$2,$Q284=Parametres!$G$3),I284,C284)</f>
        <v>948.61</v>
      </c>
      <c r="O284" s="659">
        <f>+IF(OR($Q284=Parametres!$G$2,$Q284=Parametres!$G$3),J284,D284)</f>
        <v>429.95</v>
      </c>
      <c r="P284" s="655">
        <f>+IF(OR($Q284=Parametres!$G$2,$Q284=Parametres!$G$3),K284,E284)</f>
        <v>1378.56</v>
      </c>
      <c r="Q284" s="654" t="str">
        <f t="shared" si="178"/>
        <v>7-Dépenses</v>
      </c>
      <c r="R284" s="653" t="str">
        <f t="shared" si="179"/>
        <v>6103</v>
      </c>
      <c r="S284" s="654">
        <f t="shared" si="180"/>
        <v>0</v>
      </c>
      <c r="T284" s="656" t="str">
        <f>+VLOOKUP($L284,Data_Validation!$A:$D,1,0)</f>
        <v>6203</v>
      </c>
      <c r="U284" s="656" t="str">
        <f>+VLOOKUP($L284,Data_Validation!$A:$D,3,0)</f>
        <v>Véhicules usagés</v>
      </c>
      <c r="V284" s="656" t="str">
        <f>+VLOOKUP($L284,Data_Validation!$A:$D,4,0)</f>
        <v>Service gratuit 1</v>
      </c>
      <c r="W284" s="656" t="str">
        <f>+VLOOKUP($L284,Data_Validation!$A:$E,5,0)</f>
        <v>$</v>
      </c>
      <c r="X284" s="656">
        <f>+VLOOKUP($L284,Data_Validation!$A:$F,6,0)</f>
        <v>0</v>
      </c>
    </row>
    <row r="285" spans="1:24" ht="15" customHeight="1">
      <c r="A285" s="1210" t="s">
        <v>1160</v>
      </c>
      <c r="B285" s="1210" t="s">
        <v>2328</v>
      </c>
      <c r="C285" s="1212">
        <v>3324.66</v>
      </c>
      <c r="D285" s="1212">
        <v>1795</v>
      </c>
      <c r="E285" s="1212">
        <v>5119.66</v>
      </c>
      <c r="F285" s="1210" t="s">
        <v>1154</v>
      </c>
      <c r="G285" s="1210" t="s">
        <v>1161</v>
      </c>
      <c r="H285" s="651"/>
      <c r="I285" s="652"/>
      <c r="J285" s="652"/>
      <c r="K285" s="652"/>
      <c r="L285" s="653" t="str">
        <f t="shared" si="176"/>
        <v>6206</v>
      </c>
      <c r="M285" s="654" t="str">
        <f t="shared" si="177"/>
        <v>ENTRETIEN DES STOCKS</v>
      </c>
      <c r="N285" s="655">
        <f>+IF(OR($Q285=Parametres!$G$2,$Q285=Parametres!$G$3),I285,C285)</f>
        <v>3324.66</v>
      </c>
      <c r="O285" s="655">
        <f>+IF(OR($Q285=Parametres!$G$2,$Q285=Parametres!$G$3),J285,D285)</f>
        <v>1795</v>
      </c>
      <c r="P285" s="655">
        <f>+IF(OR($Q285=Parametres!$G$2,$Q285=Parametres!$G$3),K285,E285)</f>
        <v>5119.66</v>
      </c>
      <c r="Q285" s="654" t="str">
        <f t="shared" si="178"/>
        <v>7-Dépenses</v>
      </c>
      <c r="R285" s="653" t="str">
        <f t="shared" si="179"/>
        <v>6106</v>
      </c>
      <c r="S285" s="654">
        <f t="shared" si="180"/>
        <v>0</v>
      </c>
      <c r="T285" s="656" t="str">
        <f>+VLOOKUP($L285,Data_Validation!$A:$D,1,0)</f>
        <v>6206</v>
      </c>
      <c r="U285" s="656" t="str">
        <f>+VLOOKUP($L285,Data_Validation!$A:$D,3,0)</f>
        <v>Véhicules usagés</v>
      </c>
      <c r="V285" s="656" t="str">
        <f>+VLOOKUP($L285,Data_Validation!$A:$D,4,0)</f>
        <v>Entretien stock</v>
      </c>
      <c r="W285" s="656" t="str">
        <f>+VLOOKUP($L285,Data_Validation!$A:$E,5,0)</f>
        <v>$</v>
      </c>
      <c r="X285" s="656">
        <f>+VLOOKUP($L285,Data_Validation!$A:$F,6,0)</f>
        <v>0</v>
      </c>
    </row>
    <row r="286" spans="1:24" ht="15" customHeight="1">
      <c r="A286" s="1210" t="s">
        <v>1162</v>
      </c>
      <c r="B286" s="1210" t="s">
        <v>2331</v>
      </c>
      <c r="C286" s="1212">
        <v>2608.6799999999998</v>
      </c>
      <c r="D286" s="1212">
        <v>2122.41</v>
      </c>
      <c r="E286" s="1212">
        <v>4731.09</v>
      </c>
      <c r="F286" s="1210" t="s">
        <v>1154</v>
      </c>
      <c r="G286" s="1210" t="s">
        <v>1163</v>
      </c>
      <c r="H286" s="651"/>
      <c r="I286" s="652"/>
      <c r="J286" s="652"/>
      <c r="K286" s="652"/>
      <c r="L286" s="653" t="str">
        <f t="shared" si="176"/>
        <v>6207</v>
      </c>
      <c r="M286" s="654" t="str">
        <f t="shared" si="177"/>
        <v>INTERET-PLAN DE FINANCEMENT</v>
      </c>
      <c r="N286" s="655">
        <f>+IF(OR($Q286=Parametres!$G$2,$Q286=Parametres!$G$3),I286,C286)</f>
        <v>2608.6799999999998</v>
      </c>
      <c r="O286" s="659">
        <f>+IF(OR($Q286=Parametres!$G$2,$Q286=Parametres!$G$3),J286,D286)</f>
        <v>2122.41</v>
      </c>
      <c r="P286" s="655">
        <f>+IF(OR($Q286=Parametres!$G$2,$Q286=Parametres!$G$3),K286,E286)</f>
        <v>4731.09</v>
      </c>
      <c r="Q286" s="654" t="str">
        <f t="shared" si="178"/>
        <v>7-Dépenses</v>
      </c>
      <c r="R286" s="653" t="str">
        <f t="shared" si="179"/>
        <v>6107</v>
      </c>
      <c r="S286" s="654">
        <f t="shared" si="180"/>
        <v>0</v>
      </c>
      <c r="T286" s="656" t="str">
        <f>+VLOOKUP($L286,Data_Validation!$A:$D,1,0)</f>
        <v>6207</v>
      </c>
      <c r="U286" s="656" t="str">
        <f>+VLOOKUP($L286,Data_Validation!$A:$D,3,0)</f>
        <v>Véhicules usagés</v>
      </c>
      <c r="V286" s="656" t="str">
        <f>+VLOOKUP($L286,Data_Validation!$A:$D,4,0)</f>
        <v>Intérêt de gros</v>
      </c>
      <c r="W286" s="656" t="str">
        <f>+VLOOKUP($L286,Data_Validation!$A:$E,5,0)</f>
        <v>$</v>
      </c>
      <c r="X286" s="656">
        <f>+VLOOKUP($L286,Data_Validation!$A:$F,6,0)</f>
        <v>0</v>
      </c>
    </row>
    <row r="287" spans="1:24" ht="15.75" customHeight="1">
      <c r="A287" s="1210" t="s">
        <v>1164</v>
      </c>
      <c r="B287" s="1210" t="s">
        <v>2334</v>
      </c>
      <c r="C287" s="1212">
        <v>-405.32</v>
      </c>
      <c r="D287" s="1212">
        <v>-670.79</v>
      </c>
      <c r="E287" s="1212">
        <v>-1076.1099999999999</v>
      </c>
      <c r="F287" s="1210" t="s">
        <v>1154</v>
      </c>
      <c r="G287" s="1210" t="s">
        <v>1165</v>
      </c>
      <c r="H287" s="650"/>
      <c r="I287" s="652"/>
      <c r="J287" s="652"/>
      <c r="K287" s="652"/>
      <c r="L287" s="653" t="str">
        <f t="shared" si="176"/>
        <v>6208</v>
      </c>
      <c r="M287" s="654" t="str">
        <f t="shared" si="177"/>
        <v>FRAIS DE LIVRAISON</v>
      </c>
      <c r="N287" s="655">
        <f>+IF(OR($Q287=Parametres!$G$2,$Q287=Parametres!$G$3),I287,C287)</f>
        <v>-405.32</v>
      </c>
      <c r="O287" s="655">
        <f>+IF(OR($Q287=Parametres!$G$2,$Q287=Parametres!$G$3),J287,D287)</f>
        <v>-670.79</v>
      </c>
      <c r="P287" s="655">
        <f>+IF(OR($Q287=Parametres!$G$2,$Q287=Parametres!$G$3),K287,E287)</f>
        <v>-1076.1099999999999</v>
      </c>
      <c r="Q287" s="654" t="str">
        <f t="shared" si="178"/>
        <v>7-Dépenses</v>
      </c>
      <c r="R287" s="653" t="str">
        <f t="shared" si="179"/>
        <v>6108</v>
      </c>
      <c r="S287" s="654">
        <f t="shared" si="180"/>
        <v>0</v>
      </c>
      <c r="T287" s="656" t="str">
        <f>+VLOOKUP($L287,Data_Validation!$A:$D,1,0)</f>
        <v>6208</v>
      </c>
      <c r="U287" s="656" t="str">
        <f>+VLOOKUP($L287,Data_Validation!$A:$D,3,0)</f>
        <v>Véhicules usagés</v>
      </c>
      <c r="V287" s="656" t="str">
        <f>+VLOOKUP($L287,Data_Validation!$A:$D,4,0)</f>
        <v>Frais de livraison</v>
      </c>
      <c r="W287" s="656" t="str">
        <f>+VLOOKUP($L287,Data_Validation!$A:$E,5,0)</f>
        <v>$</v>
      </c>
      <c r="X287" s="656">
        <f>+VLOOKUP($L287,Data_Validation!$A:$F,6,0)</f>
        <v>0</v>
      </c>
    </row>
    <row r="288" spans="1:24" ht="15" customHeight="1">
      <c r="A288" s="1210" t="s">
        <v>1166</v>
      </c>
      <c r="B288" s="1210" t="s">
        <v>2340</v>
      </c>
      <c r="C288" s="1212">
        <v>14532.35</v>
      </c>
      <c r="D288" s="1212">
        <v>8719.61</v>
      </c>
      <c r="E288" s="1212">
        <v>23251.96</v>
      </c>
      <c r="F288" s="1210" t="s">
        <v>1154</v>
      </c>
      <c r="G288" s="1210" t="s">
        <v>1167</v>
      </c>
      <c r="H288" s="650"/>
      <c r="I288" s="663"/>
      <c r="J288" s="663"/>
      <c r="K288" s="663"/>
      <c r="L288" s="653" t="str">
        <f t="shared" si="176"/>
        <v>6214</v>
      </c>
      <c r="M288" s="654" t="str">
        <f t="shared" si="177"/>
        <v>PUBLICITE</v>
      </c>
      <c r="N288" s="655">
        <f>+IF(OR($Q288=Parametres!$G$2,$Q288=Parametres!$G$3),I288,C288)</f>
        <v>14532.35</v>
      </c>
      <c r="O288" s="655">
        <f>+IF(OR($Q288=Parametres!$G$2,$Q288=Parametres!$G$3),J288,D288)</f>
        <v>8719.61</v>
      </c>
      <c r="P288" s="655">
        <f>+IF(OR($Q288=Parametres!$G$2,$Q288=Parametres!$G$3),K288,E288)</f>
        <v>23251.96</v>
      </c>
      <c r="Q288" s="654" t="str">
        <f t="shared" si="178"/>
        <v>7-Dépenses</v>
      </c>
      <c r="R288" s="653" t="str">
        <f t="shared" si="179"/>
        <v>6114</v>
      </c>
      <c r="S288" s="654">
        <f t="shared" si="180"/>
        <v>0</v>
      </c>
      <c r="T288" s="656" t="str">
        <f>+VLOOKUP($L288,Data_Validation!$A:$D,1,0)</f>
        <v>6214</v>
      </c>
      <c r="U288" s="656" t="str">
        <f>+VLOOKUP($L288,Data_Validation!$A:$D,3,0)</f>
        <v>Véhicules usagés</v>
      </c>
      <c r="V288" s="656" t="str">
        <f>+VLOOKUP($L288,Data_Validation!$A:$D,4,0)</f>
        <v>Publicité 1</v>
      </c>
      <c r="W288" s="656" t="str">
        <f>+VLOOKUP($L288,Data_Validation!$A:$E,5,0)</f>
        <v>$</v>
      </c>
      <c r="X288" s="656">
        <f>+VLOOKUP($L288,Data_Validation!$A:$F,6,0)</f>
        <v>0</v>
      </c>
    </row>
    <row r="289" spans="1:24" ht="15" customHeight="1">
      <c r="A289" s="1210" t="s">
        <v>1227</v>
      </c>
      <c r="B289" s="1210" t="s">
        <v>2343</v>
      </c>
      <c r="C289" s="1212">
        <v>-2300</v>
      </c>
      <c r="D289" s="1212">
        <v>-1700</v>
      </c>
      <c r="E289" s="1212">
        <v>-4000</v>
      </c>
      <c r="F289" s="1210" t="s">
        <v>1154</v>
      </c>
      <c r="G289" s="1210" t="s">
        <v>1167</v>
      </c>
      <c r="H289" s="651"/>
      <c r="I289" s="670"/>
      <c r="J289" s="651"/>
      <c r="K289" s="670"/>
      <c r="L289" s="653" t="str">
        <f t="shared" si="176"/>
        <v>6215</v>
      </c>
      <c r="M289" s="654" t="str">
        <f t="shared" si="177"/>
        <v>CREDIT PUBLICITE USAGES</v>
      </c>
      <c r="N289" s="655">
        <f>+IF(OR($Q289=Parametres!$G$2,$Q289=Parametres!$G$3),I289,C289)</f>
        <v>-2300</v>
      </c>
      <c r="O289" s="655">
        <f>+IF(OR($Q289=Parametres!$G$2,$Q289=Parametres!$G$3),J289,D289)</f>
        <v>-1700</v>
      </c>
      <c r="P289" s="655">
        <f>+IF(OR($Q289=Parametres!$G$2,$Q289=Parametres!$G$3),K289,E289)</f>
        <v>-4000</v>
      </c>
      <c r="Q289" s="654" t="str">
        <f t="shared" si="178"/>
        <v>7-Dépenses</v>
      </c>
      <c r="R289" s="653" t="str">
        <f t="shared" si="179"/>
        <v>6114</v>
      </c>
      <c r="S289" s="654">
        <f t="shared" si="180"/>
        <v>0</v>
      </c>
      <c r="T289" s="656" t="str">
        <f>+VLOOKUP($L289,Data_Validation!$A:$D,1,0)</f>
        <v>6215</v>
      </c>
      <c r="U289" s="656" t="str">
        <f>+VLOOKUP($L289,Data_Validation!$A:$D,3,0)</f>
        <v>Véhicules usagés</v>
      </c>
      <c r="V289" s="656" t="str">
        <f>+VLOOKUP($L289,Data_Validation!$A:$D,4,0)</f>
        <v>Publicité 1</v>
      </c>
      <c r="W289" s="656" t="str">
        <f>+VLOOKUP($L289,Data_Validation!$A:$E,5,0)</f>
        <v>$</v>
      </c>
      <c r="X289" s="656">
        <f>+VLOOKUP($L289,Data_Validation!$A:$F,6,0)</f>
        <v>0</v>
      </c>
    </row>
    <row r="290" spans="1:24" ht="15" customHeight="1">
      <c r="A290" s="1210" t="s">
        <v>1169</v>
      </c>
      <c r="B290" s="1210" t="s">
        <v>2349</v>
      </c>
      <c r="C290" s="1212">
        <v>1555.78</v>
      </c>
      <c r="D290" s="1212">
        <v>1666.37</v>
      </c>
      <c r="E290" s="1212">
        <v>3222.15</v>
      </c>
      <c r="F290" s="1210" t="s">
        <v>1154</v>
      </c>
      <c r="G290" s="1210" t="s">
        <v>1170</v>
      </c>
      <c r="H290" s="651"/>
      <c r="I290" s="652"/>
      <c r="J290" s="652"/>
      <c r="K290" s="652"/>
      <c r="L290" s="653" t="str">
        <f t="shared" si="176"/>
        <v>6221</v>
      </c>
      <c r="M290" s="654" t="str">
        <f t="shared" si="177"/>
        <v>SALAIRES - PROPRIETAIRES</v>
      </c>
      <c r="N290" s="655">
        <f>+IF(OR($Q290=Parametres!$G$2,$Q290=Parametres!$G$3),I290,C290)</f>
        <v>1555.78</v>
      </c>
      <c r="O290" s="655">
        <f>+IF(OR($Q290=Parametres!$G$2,$Q290=Parametres!$G$3),J290,D290)</f>
        <v>1666.37</v>
      </c>
      <c r="P290" s="655">
        <f>+IF(OR($Q290=Parametres!$G$2,$Q290=Parametres!$G$3),K290,E290)</f>
        <v>3222.15</v>
      </c>
      <c r="Q290" s="654" t="str">
        <f t="shared" si="178"/>
        <v>7-Dépenses</v>
      </c>
      <c r="R290" s="653" t="str">
        <f t="shared" si="179"/>
        <v>6121</v>
      </c>
      <c r="S290" s="654">
        <f t="shared" si="180"/>
        <v>0</v>
      </c>
      <c r="T290" s="656" t="str">
        <f>+VLOOKUP($L290,Data_Validation!$A:$D,1,0)</f>
        <v>6221</v>
      </c>
      <c r="U290" s="656" t="str">
        <f>+VLOOKUP($L290,Data_Validation!$A:$D,3,0)</f>
        <v>Véhicules usagés</v>
      </c>
      <c r="V290" s="656" t="str">
        <f>+VLOOKUP($L290,Data_Validation!$A:$D,4,0)</f>
        <v>Salaires propriétaire</v>
      </c>
      <c r="W290" s="656" t="str">
        <f>+VLOOKUP($L290,Data_Validation!$A:$E,5,0)</f>
        <v>$</v>
      </c>
      <c r="X290" s="656">
        <f>+VLOOKUP($L290,Data_Validation!$A:$F,6,0)</f>
        <v>0</v>
      </c>
    </row>
    <row r="291" spans="1:24" ht="15.75" customHeight="1">
      <c r="A291" s="1210" t="s">
        <v>1171</v>
      </c>
      <c r="B291" s="1210" t="s">
        <v>2352</v>
      </c>
      <c r="C291" s="1212">
        <v>12489.2</v>
      </c>
      <c r="D291" s="1212">
        <v>5199.93</v>
      </c>
      <c r="E291" s="1212">
        <v>17689.13</v>
      </c>
      <c r="F291" s="1210" t="s">
        <v>1154</v>
      </c>
      <c r="G291" s="1210" t="s">
        <v>1172</v>
      </c>
      <c r="H291" s="651"/>
      <c r="I291" s="651"/>
      <c r="J291" s="651"/>
      <c r="K291" s="670"/>
      <c r="L291" s="653" t="str">
        <f t="shared" si="176"/>
        <v>6222</v>
      </c>
      <c r="M291" s="654" t="str">
        <f t="shared" si="177"/>
        <v>SAL SUPERVISION / GERANT</v>
      </c>
      <c r="N291" s="655">
        <f>+IF(OR($Q291=Parametres!$G$2,$Q291=Parametres!$G$3),I291,C291)</f>
        <v>12489.2</v>
      </c>
      <c r="O291" s="659">
        <f>+IF(OR($Q291=Parametres!$G$2,$Q291=Parametres!$G$3),J291,D291)</f>
        <v>5199.93</v>
      </c>
      <c r="P291" s="655">
        <f>+IF(OR($Q291=Parametres!$G$2,$Q291=Parametres!$G$3),K291,E291)</f>
        <v>17689.13</v>
      </c>
      <c r="Q291" s="654" t="str">
        <f t="shared" si="178"/>
        <v>7-Dépenses</v>
      </c>
      <c r="R291" s="653" t="str">
        <f t="shared" si="179"/>
        <v>6122</v>
      </c>
      <c r="S291" s="654">
        <f t="shared" si="180"/>
        <v>0</v>
      </c>
      <c r="T291" s="656" t="str">
        <f>+VLOOKUP($L291,Data_Validation!$A:$D,1,0)</f>
        <v>6222</v>
      </c>
      <c r="U291" s="656" t="str">
        <f>+VLOOKUP($L291,Data_Validation!$A:$D,3,0)</f>
        <v>Véhicules usagés</v>
      </c>
      <c r="V291" s="656" t="str">
        <f>+VLOOKUP($L291,Data_Validation!$A:$D,4,0)</f>
        <v>Salaires cadres</v>
      </c>
      <c r="W291" s="656" t="str">
        <f>+VLOOKUP($L291,Data_Validation!$A:$E,5,0)</f>
        <v>$</v>
      </c>
      <c r="X291" s="656">
        <f>+VLOOKUP($L291,Data_Validation!$A:$F,6,0)</f>
        <v>0</v>
      </c>
    </row>
    <row r="292" spans="1:24" ht="15" customHeight="1">
      <c r="A292" s="1210" t="s">
        <v>1173</v>
      </c>
      <c r="B292" s="1210" t="s">
        <v>2355</v>
      </c>
      <c r="C292" s="1212">
        <v>5874.45</v>
      </c>
      <c r="D292" s="1212">
        <v>5400.97</v>
      </c>
      <c r="E292" s="1212">
        <v>11275.42</v>
      </c>
      <c r="F292" s="1210" t="s">
        <v>1154</v>
      </c>
      <c r="G292" s="1210" t="s">
        <v>1174</v>
      </c>
      <c r="H292" s="651"/>
      <c r="I292" s="652"/>
      <c r="J292" s="652"/>
      <c r="K292" s="652"/>
      <c r="L292" s="653" t="str">
        <f t="shared" si="176"/>
        <v>6223</v>
      </c>
      <c r="M292" s="654" t="str">
        <f t="shared" si="177"/>
        <v>SAL. &amp; RENUM. - CLERICAL</v>
      </c>
      <c r="N292" s="655">
        <f>+IF(OR($Q292=Parametres!$G$2,$Q292=Parametres!$G$3),I292,C292)</f>
        <v>5874.45</v>
      </c>
      <c r="O292" s="655">
        <f>+IF(OR($Q292=Parametres!$G$2,$Q292=Parametres!$G$3),J292,D292)</f>
        <v>5400.97</v>
      </c>
      <c r="P292" s="655">
        <f>+IF(OR($Q292=Parametres!$G$2,$Q292=Parametres!$G$3),K292,E292)</f>
        <v>11275.42</v>
      </c>
      <c r="Q292" s="654" t="str">
        <f t="shared" si="178"/>
        <v>7-Dépenses</v>
      </c>
      <c r="R292" s="653" t="str">
        <f t="shared" si="179"/>
        <v>6123</v>
      </c>
      <c r="S292" s="654">
        <f t="shared" si="180"/>
        <v>0</v>
      </c>
      <c r="T292" s="656" t="str">
        <f>+VLOOKUP($L292,Data_Validation!$A:$D,1,0)</f>
        <v>6223</v>
      </c>
      <c r="U292" s="656" t="str">
        <f>+VLOOKUP($L292,Data_Validation!$A:$D,3,0)</f>
        <v>Véhicules usagés</v>
      </c>
      <c r="V292" s="656" t="str">
        <f>+VLOOKUP($L292,Data_Validation!$A:$D,4,0)</f>
        <v>Salaires commis</v>
      </c>
      <c r="W292" s="656" t="str">
        <f>+VLOOKUP($L292,Data_Validation!$A:$E,5,0)</f>
        <v>$</v>
      </c>
      <c r="X292" s="656">
        <f>+VLOOKUP($L292,Data_Validation!$A:$F,6,0)</f>
        <v>0</v>
      </c>
    </row>
    <row r="293" spans="1:24" ht="15" customHeight="1">
      <c r="A293" s="1210" t="s">
        <v>1228</v>
      </c>
      <c r="B293" s="1210" t="s">
        <v>2358</v>
      </c>
      <c r="C293" s="1212">
        <v>5161</v>
      </c>
      <c r="D293" s="1212">
        <v>5999</v>
      </c>
      <c r="E293" s="1212">
        <v>11160</v>
      </c>
      <c r="F293" s="1210" t="s">
        <v>1154</v>
      </c>
      <c r="G293" s="1210" t="s">
        <v>1176</v>
      </c>
      <c r="H293" s="651"/>
      <c r="I293" s="651"/>
      <c r="J293" s="651"/>
      <c r="K293" s="651"/>
      <c r="L293" s="653" t="str">
        <f t="shared" si="176"/>
        <v>6224</v>
      </c>
      <c r="M293" s="654" t="str">
        <f t="shared" si="177"/>
        <v>SALAIRE &amp; RENUM. - AUTRES</v>
      </c>
      <c r="N293" s="655">
        <f>+IF(OR($Q293=Parametres!$G$2,$Q293=Parametres!$G$3),I293,C293)</f>
        <v>5161</v>
      </c>
      <c r="O293" s="655">
        <f>+IF(OR($Q293=Parametres!$G$2,$Q293=Parametres!$G$3),J293,D293)</f>
        <v>5999</v>
      </c>
      <c r="P293" s="655">
        <f>+IF(OR($Q293=Parametres!$G$2,$Q293=Parametres!$G$3),K293,E293)</f>
        <v>11160</v>
      </c>
      <c r="Q293" s="654" t="str">
        <f t="shared" si="178"/>
        <v>7-Dépenses</v>
      </c>
      <c r="R293" s="653" t="str">
        <f t="shared" si="179"/>
        <v>6124</v>
      </c>
      <c r="S293" s="654">
        <f t="shared" si="180"/>
        <v>0</v>
      </c>
      <c r="T293" s="656" t="str">
        <f>+VLOOKUP($L293,Data_Validation!$A:$D,1,0)</f>
        <v>6224</v>
      </c>
      <c r="U293" s="656" t="str">
        <f>+VLOOKUP($L293,Data_Validation!$A:$D,3,0)</f>
        <v>Véhicules usagés</v>
      </c>
      <c r="V293" s="656" t="str">
        <f>+VLOOKUP($L293,Data_Validation!$A:$D,4,0)</f>
        <v>Salaires autres</v>
      </c>
      <c r="W293" s="656" t="str">
        <f>+VLOOKUP($L293,Data_Validation!$A:$E,5,0)</f>
        <v>$</v>
      </c>
      <c r="X293" s="656">
        <f>+VLOOKUP($L293,Data_Validation!$A:$F,6,0)</f>
        <v>0</v>
      </c>
    </row>
    <row r="294" spans="1:24" ht="15" customHeight="1">
      <c r="A294" s="1210" t="s">
        <v>1229</v>
      </c>
      <c r="B294" s="1210" t="s">
        <v>2359</v>
      </c>
      <c r="C294" s="1212">
        <v>8116.46</v>
      </c>
      <c r="D294" s="1212">
        <v>6772.12</v>
      </c>
      <c r="E294" s="1212">
        <v>14888.58</v>
      </c>
      <c r="F294" s="1210" t="s">
        <v>1154</v>
      </c>
      <c r="G294" s="1210" t="s">
        <v>1178</v>
      </c>
      <c r="H294" s="651"/>
      <c r="I294" s="651"/>
      <c r="J294" s="651"/>
      <c r="K294" s="651"/>
      <c r="L294" s="653" t="str">
        <f t="shared" si="176"/>
        <v>6229</v>
      </c>
      <c r="M294" s="654" t="str">
        <f t="shared" si="177"/>
        <v>ABS.,VACANCES &amp; SAL. JOURS FER</v>
      </c>
      <c r="N294" s="655">
        <f>+IF(OR($Q294=Parametres!$G$2,$Q294=Parametres!$G$3),I294,C294)</f>
        <v>8116.46</v>
      </c>
      <c r="O294" s="655">
        <f>+IF(OR($Q294=Parametres!$G$2,$Q294=Parametres!$G$3),J294,D294)</f>
        <v>6772.12</v>
      </c>
      <c r="P294" s="655">
        <f>+IF(OR($Q294=Parametres!$G$2,$Q294=Parametres!$G$3),K294,E294)</f>
        <v>14888.58</v>
      </c>
      <c r="Q294" s="654" t="str">
        <f t="shared" si="178"/>
        <v>7-Dépenses</v>
      </c>
      <c r="R294" s="653" t="str">
        <f t="shared" si="179"/>
        <v>6129</v>
      </c>
      <c r="S294" s="654">
        <f t="shared" si="180"/>
        <v>0</v>
      </c>
      <c r="T294" s="656" t="str">
        <f>+VLOOKUP($L294,Data_Validation!$A:$D,1,0)</f>
        <v>6229</v>
      </c>
      <c r="U294" s="656" t="str">
        <f>+VLOOKUP($L294,Data_Validation!$A:$D,3,0)</f>
        <v>Véhicules usagés</v>
      </c>
      <c r="V294" s="656" t="str">
        <f>+VLOOKUP($L294,Data_Validation!$A:$D,4,0)</f>
        <v>Salaires en absences</v>
      </c>
      <c r="W294" s="656" t="str">
        <f>+VLOOKUP($L294,Data_Validation!$A:$E,5,0)</f>
        <v>$</v>
      </c>
      <c r="X294" s="656">
        <f>+VLOOKUP($L294,Data_Validation!$A:$F,6,0)</f>
        <v>0</v>
      </c>
    </row>
    <row r="295" spans="1:24" ht="15" customHeight="1">
      <c r="A295" s="1210" t="s">
        <v>1179</v>
      </c>
      <c r="B295" s="1210" t="s">
        <v>2362</v>
      </c>
      <c r="C295" s="1212">
        <v>1542.62</v>
      </c>
      <c r="D295" s="1212">
        <v>1459.12</v>
      </c>
      <c r="E295" s="1212">
        <v>3001.74</v>
      </c>
      <c r="F295" s="1210" t="s">
        <v>1154</v>
      </c>
      <c r="G295" s="1210" t="s">
        <v>1180</v>
      </c>
      <c r="H295" s="650"/>
      <c r="I295" s="663"/>
      <c r="J295" s="663"/>
      <c r="K295" s="663"/>
      <c r="L295" s="653" t="str">
        <f t="shared" si="176"/>
        <v>6231</v>
      </c>
      <c r="M295" s="654" t="str">
        <f t="shared" si="177"/>
        <v>CSST</v>
      </c>
      <c r="N295" s="655">
        <f>+IF(OR($Q295=Parametres!$G$2,$Q295=Parametres!$G$3),I295,C295)</f>
        <v>1542.62</v>
      </c>
      <c r="O295" s="655">
        <f>+IF(OR($Q295=Parametres!$G$2,$Q295=Parametres!$G$3),J295,D295)</f>
        <v>1459.12</v>
      </c>
      <c r="P295" s="655">
        <f>+IF(OR($Q295=Parametres!$G$2,$Q295=Parametres!$G$3),K295,E295)</f>
        <v>3001.74</v>
      </c>
      <c r="Q295" s="654" t="str">
        <f t="shared" si="178"/>
        <v>7-Dépenses</v>
      </c>
      <c r="R295" s="653" t="str">
        <f t="shared" si="179"/>
        <v>6131</v>
      </c>
      <c r="S295" s="654">
        <f t="shared" si="180"/>
        <v>0</v>
      </c>
      <c r="T295" s="656" t="str">
        <f>+VLOOKUP($L295,Data_Validation!$A:$D,1,0)</f>
        <v>6231</v>
      </c>
      <c r="U295" s="656" t="str">
        <f>+VLOOKUP($L295,Data_Validation!$A:$D,3,0)</f>
        <v>Véhicules usagés</v>
      </c>
      <c r="V295" s="656" t="str">
        <f>+VLOOKUP($L295,Data_Validation!$A:$D,4,0)</f>
        <v>Csst</v>
      </c>
      <c r="W295" s="656" t="str">
        <f>+VLOOKUP($L295,Data_Validation!$A:$E,5,0)</f>
        <v>$</v>
      </c>
      <c r="X295" s="656">
        <f>+VLOOKUP($L295,Data_Validation!$A:$F,6,0)</f>
        <v>0</v>
      </c>
    </row>
    <row r="296" spans="1:24" ht="15" customHeight="1">
      <c r="A296" s="1210" t="s">
        <v>1181</v>
      </c>
      <c r="B296" s="1210" t="s">
        <v>2365</v>
      </c>
      <c r="C296" s="1212">
        <v>8563.31</v>
      </c>
      <c r="D296" s="1212">
        <v>8042.92</v>
      </c>
      <c r="E296" s="1212">
        <v>16606.23</v>
      </c>
      <c r="F296" s="1210" t="s">
        <v>1154</v>
      </c>
      <c r="G296" s="1210" t="s">
        <v>1182</v>
      </c>
      <c r="H296" s="651"/>
      <c r="I296" s="652"/>
      <c r="J296" s="652"/>
      <c r="K296" s="652"/>
      <c r="L296" s="653" t="str">
        <f t="shared" si="176"/>
        <v>6232</v>
      </c>
      <c r="M296" s="654" t="str">
        <f t="shared" si="177"/>
        <v>RRQ RAMQ AC</v>
      </c>
      <c r="N296" s="655">
        <f>+IF(OR($Q296=Parametres!$G$2,$Q296=Parametres!$G$3),I296,C296)</f>
        <v>8563.31</v>
      </c>
      <c r="O296" s="655">
        <f>+IF(OR($Q296=Parametres!$G$2,$Q296=Parametres!$G$3),J296,D296)</f>
        <v>8042.92</v>
      </c>
      <c r="P296" s="655">
        <f>+IF(OR($Q296=Parametres!$G$2,$Q296=Parametres!$G$3),K296,E296)</f>
        <v>16606.23</v>
      </c>
      <c r="Q296" s="654" t="str">
        <f t="shared" si="178"/>
        <v>7-Dépenses</v>
      </c>
      <c r="R296" s="653" t="str">
        <f t="shared" si="179"/>
        <v>6132</v>
      </c>
      <c r="S296" s="654">
        <f t="shared" si="180"/>
        <v>0</v>
      </c>
      <c r="T296" s="656" t="str">
        <f>+VLOOKUP($L296,Data_Validation!$A:$D,1,0)</f>
        <v>6232</v>
      </c>
      <c r="U296" s="656" t="str">
        <f>+VLOOKUP($L296,Data_Validation!$A:$D,3,0)</f>
        <v>Véhicules usagés</v>
      </c>
      <c r="V296" s="656" t="str">
        <f>+VLOOKUP($L296,Data_Validation!$A:$D,4,0)</f>
        <v>Déduction à la source</v>
      </c>
      <c r="W296" s="656" t="str">
        <f>+VLOOKUP($L296,Data_Validation!$A:$E,5,0)</f>
        <v>$</v>
      </c>
      <c r="X296" s="656">
        <f>+VLOOKUP($L296,Data_Validation!$A:$F,6,0)</f>
        <v>0</v>
      </c>
    </row>
    <row r="297" spans="1:24" ht="15.75" customHeight="1">
      <c r="A297" s="1210" t="s">
        <v>1230</v>
      </c>
      <c r="B297" s="1210" t="s">
        <v>3390</v>
      </c>
      <c r="C297" s="1212">
        <v>2984.53</v>
      </c>
      <c r="D297" s="1212">
        <v>3412.2</v>
      </c>
      <c r="E297" s="1212">
        <v>6396.73</v>
      </c>
      <c r="F297" s="1210" t="s">
        <v>1154</v>
      </c>
      <c r="G297" s="1210" t="s">
        <v>1184</v>
      </c>
      <c r="H297" s="650"/>
      <c r="I297" s="663"/>
      <c r="J297" s="663"/>
      <c r="K297" s="663"/>
      <c r="L297" s="653" t="str">
        <f t="shared" si="176"/>
        <v>6233</v>
      </c>
      <c r="M297" s="654" t="str">
        <f t="shared" si="177"/>
        <v>FOND PENSION - USAGE</v>
      </c>
      <c r="N297" s="655">
        <f>+IF(OR($Q297=Parametres!$G$2,$Q297=Parametres!$G$3),I297,C297)</f>
        <v>2984.53</v>
      </c>
      <c r="O297" s="655">
        <f>+IF(OR($Q297=Parametres!$G$2,$Q297=Parametres!$G$3),J297,D297)</f>
        <v>3412.2</v>
      </c>
      <c r="P297" s="655">
        <f>+IF(OR($Q297=Parametres!$G$2,$Q297=Parametres!$G$3),K297,E297)</f>
        <v>6396.73</v>
      </c>
      <c r="Q297" s="654" t="str">
        <f t="shared" si="178"/>
        <v>7-Dépenses</v>
      </c>
      <c r="R297" s="653" t="str">
        <f t="shared" si="179"/>
        <v>6133</v>
      </c>
      <c r="S297" s="654">
        <f t="shared" si="180"/>
        <v>0</v>
      </c>
      <c r="T297" s="656" t="str">
        <f>+VLOOKUP($L297,Data_Validation!$A:$D,1,0)</f>
        <v>6233</v>
      </c>
      <c r="U297" s="656" t="str">
        <f>+VLOOKUP($L297,Data_Validation!$A:$D,3,0)</f>
        <v>Véhicules usagés</v>
      </c>
      <c r="V297" s="656" t="str">
        <f>+VLOOKUP($L297,Data_Validation!$A:$D,4,0)</f>
        <v>Bénéfices marginaux</v>
      </c>
      <c r="W297" s="656" t="str">
        <f>+VLOOKUP($L297,Data_Validation!$A:$E,5,0)</f>
        <v>$</v>
      </c>
      <c r="X297" s="656">
        <f>+VLOOKUP($L297,Data_Validation!$A:$F,6,0)</f>
        <v>0</v>
      </c>
    </row>
    <row r="298" spans="1:24" ht="15" customHeight="1">
      <c r="A298" s="1210" t="s">
        <v>1231</v>
      </c>
      <c r="B298" s="1210" t="s">
        <v>2368</v>
      </c>
      <c r="C298" s="1212">
        <v>877.29</v>
      </c>
      <c r="D298" s="1212">
        <v>807.66</v>
      </c>
      <c r="E298" s="1212">
        <v>1684.95</v>
      </c>
      <c r="F298" s="1210" t="s">
        <v>1154</v>
      </c>
      <c r="G298" s="1210" t="s">
        <v>1186</v>
      </c>
      <c r="H298" s="651"/>
      <c r="I298" s="651"/>
      <c r="J298" s="651"/>
      <c r="K298" s="651"/>
      <c r="L298" s="653" t="str">
        <f t="shared" si="176"/>
        <v>6239</v>
      </c>
      <c r="M298" s="654" t="str">
        <f t="shared" si="177"/>
        <v>ASSURANCE GROUPE</v>
      </c>
      <c r="N298" s="655">
        <f>+IF(OR($Q298=Parametres!$G$2,$Q298=Parametres!$G$3),I298,C298)</f>
        <v>877.29</v>
      </c>
      <c r="O298" s="655">
        <f>+IF(OR($Q298=Parametres!$G$2,$Q298=Parametres!$G$3),J298,D298)</f>
        <v>807.66</v>
      </c>
      <c r="P298" s="655">
        <f>+IF(OR($Q298=Parametres!$G$2,$Q298=Parametres!$G$3),K298,E298)</f>
        <v>1684.95</v>
      </c>
      <c r="Q298" s="654" t="str">
        <f t="shared" si="178"/>
        <v>7-Dépenses</v>
      </c>
      <c r="R298" s="653" t="str">
        <f t="shared" si="179"/>
        <v>6139</v>
      </c>
      <c r="S298" s="654">
        <f t="shared" si="180"/>
        <v>0</v>
      </c>
      <c r="T298" s="656" t="str">
        <f>+VLOOKUP($L298,Data_Validation!$A:$D,1,0)</f>
        <v>6239</v>
      </c>
      <c r="U298" s="656" t="str">
        <f>+VLOOKUP($L298,Data_Validation!$A:$D,3,0)</f>
        <v>Véhicules usagés</v>
      </c>
      <c r="V298" s="656" t="str">
        <f>+VLOOKUP($L298,Data_Validation!$A:$D,4,0)</f>
        <v>Bénéfices marginaux</v>
      </c>
      <c r="W298" s="656" t="str">
        <f>+VLOOKUP($L298,Data_Validation!$A:$E,5,0)</f>
        <v>$</v>
      </c>
      <c r="X298" s="656">
        <f>+VLOOKUP($L298,Data_Validation!$A:$F,6,0)</f>
        <v>0</v>
      </c>
    </row>
    <row r="299" spans="1:24" ht="15" customHeight="1">
      <c r="A299" s="1210" t="s">
        <v>1187</v>
      </c>
      <c r="B299" s="1210" t="s">
        <v>2374</v>
      </c>
      <c r="C299" s="1212">
        <v>0</v>
      </c>
      <c r="D299" s="1212">
        <v>165.98</v>
      </c>
      <c r="E299" s="1212">
        <v>165.98</v>
      </c>
      <c r="F299" s="1210" t="s">
        <v>1154</v>
      </c>
      <c r="G299" s="1210" t="s">
        <v>1188</v>
      </c>
      <c r="H299" s="651"/>
      <c r="I299" s="651"/>
      <c r="J299" s="651"/>
      <c r="K299" s="651"/>
      <c r="L299" s="653" t="str">
        <f t="shared" si="176"/>
        <v>6242</v>
      </c>
      <c r="M299" s="654" t="str">
        <f t="shared" si="177"/>
        <v>FOURNITURES &amp; PETITS OUTILS</v>
      </c>
      <c r="N299" s="655">
        <f>+IF(OR($Q299=Parametres!$G$2,$Q299=Parametres!$G$3),I299,C299)</f>
        <v>0</v>
      </c>
      <c r="O299" s="655">
        <f>+IF(OR($Q299=Parametres!$G$2,$Q299=Parametres!$G$3),J299,D299)</f>
        <v>165.98</v>
      </c>
      <c r="P299" s="655">
        <f>+IF(OR($Q299=Parametres!$G$2,$Q299=Parametres!$G$3),K299,E299)</f>
        <v>165.98</v>
      </c>
      <c r="Q299" s="654" t="str">
        <f t="shared" si="178"/>
        <v>7-Dépenses</v>
      </c>
      <c r="R299" s="653" t="str">
        <f t="shared" si="179"/>
        <v>6142</v>
      </c>
      <c r="S299" s="654">
        <f t="shared" si="180"/>
        <v>0</v>
      </c>
      <c r="T299" s="656" t="str">
        <f>+VLOOKUP($L299,Data_Validation!$A:$D,1,0)</f>
        <v>6242</v>
      </c>
      <c r="U299" s="656" t="str">
        <f>+VLOOKUP($L299,Data_Validation!$A:$D,3,0)</f>
        <v>Véhicules usagés</v>
      </c>
      <c r="V299" s="656" t="str">
        <f>+VLOOKUP($L299,Data_Validation!$A:$D,4,0)</f>
        <v>Fournitures autres</v>
      </c>
      <c r="W299" s="656" t="str">
        <f>+VLOOKUP($L299,Data_Validation!$A:$E,5,0)</f>
        <v>$</v>
      </c>
      <c r="X299" s="656">
        <f>+VLOOKUP($L299,Data_Validation!$A:$F,6,0)</f>
        <v>0</v>
      </c>
    </row>
    <row r="300" spans="1:24" ht="15" customHeight="1">
      <c r="A300" s="1210" t="s">
        <v>1191</v>
      </c>
      <c r="B300" s="1210" t="s">
        <v>2379</v>
      </c>
      <c r="C300" s="1212">
        <v>38.28</v>
      </c>
      <c r="D300" s="1212">
        <v>240.65</v>
      </c>
      <c r="E300" s="1212">
        <v>278.93</v>
      </c>
      <c r="F300" s="1210" t="s">
        <v>1154</v>
      </c>
      <c r="G300" s="1210" t="s">
        <v>1192</v>
      </c>
      <c r="H300" s="651"/>
      <c r="I300" s="651"/>
      <c r="J300" s="651"/>
      <c r="K300" s="670"/>
      <c r="L300" s="653" t="str">
        <f t="shared" si="176"/>
        <v>6244</v>
      </c>
      <c r="M300" s="654" t="str">
        <f t="shared" si="177"/>
        <v>FORMATION</v>
      </c>
      <c r="N300" s="655">
        <f>+IF(OR($Q300=Parametres!$G$2,$Q300=Parametres!$G$3),I300,C300)</f>
        <v>38.28</v>
      </c>
      <c r="O300" s="655">
        <f>+IF(OR($Q300=Parametres!$G$2,$Q300=Parametres!$G$3),J300,D300)</f>
        <v>240.65</v>
      </c>
      <c r="P300" s="655">
        <f>+IF(OR($Q300=Parametres!$G$2,$Q300=Parametres!$G$3),K300,E300)</f>
        <v>278.93</v>
      </c>
      <c r="Q300" s="654" t="str">
        <f t="shared" si="178"/>
        <v>7-Dépenses</v>
      </c>
      <c r="R300" s="653" t="str">
        <f t="shared" si="179"/>
        <v>6144</v>
      </c>
      <c r="S300" s="654">
        <f t="shared" si="180"/>
        <v>0</v>
      </c>
      <c r="T300" s="656" t="str">
        <f>+VLOOKUP($L300,Data_Validation!$A:$D,1,0)</f>
        <v>6244</v>
      </c>
      <c r="U300" s="656" t="str">
        <f>+VLOOKUP($L300,Data_Validation!$A:$D,3,0)</f>
        <v>Véhicules usagés</v>
      </c>
      <c r="V300" s="656" t="str">
        <f>+VLOOKUP($L300,Data_Validation!$A:$D,4,0)</f>
        <v>Formation</v>
      </c>
      <c r="W300" s="656" t="str">
        <f>+VLOOKUP($L300,Data_Validation!$A:$E,5,0)</f>
        <v>$</v>
      </c>
      <c r="X300" s="656">
        <f>+VLOOKUP($L300,Data_Validation!$A:$F,6,0)</f>
        <v>0</v>
      </c>
    </row>
    <row r="301" spans="1:24" ht="15.75" customHeight="1">
      <c r="A301" s="1210" t="s">
        <v>1193</v>
      </c>
      <c r="B301" s="1210" t="s">
        <v>2382</v>
      </c>
      <c r="C301" s="1212">
        <v>4220.58</v>
      </c>
      <c r="D301" s="1212">
        <v>5234.58</v>
      </c>
      <c r="E301" s="1212">
        <v>9455.16</v>
      </c>
      <c r="F301" s="1210" t="s">
        <v>1154</v>
      </c>
      <c r="G301" s="1210" t="s">
        <v>1194</v>
      </c>
      <c r="H301" s="651"/>
      <c r="I301" s="652"/>
      <c r="J301" s="652"/>
      <c r="K301" s="652"/>
      <c r="L301" s="653" t="str">
        <f t="shared" si="176"/>
        <v>6245</v>
      </c>
      <c r="M301" s="654" t="str">
        <f t="shared" si="177"/>
        <v>VEHICULE DE COMPAGNIE - DEPENS</v>
      </c>
      <c r="N301" s="655">
        <f>+IF(OR($Q301=Parametres!$G$2,$Q301=Parametres!$G$3),I301,C301)</f>
        <v>4220.58</v>
      </c>
      <c r="O301" s="655">
        <f>+IF(OR($Q301=Parametres!$G$2,$Q301=Parametres!$G$3),J301,D301)</f>
        <v>5234.58</v>
      </c>
      <c r="P301" s="655">
        <f>+IF(OR($Q301=Parametres!$G$2,$Q301=Parametres!$G$3),K301,E301)</f>
        <v>9455.16</v>
      </c>
      <c r="Q301" s="654" t="str">
        <f t="shared" si="178"/>
        <v>7-Dépenses</v>
      </c>
      <c r="R301" s="653" t="str">
        <f t="shared" si="179"/>
        <v>6145</v>
      </c>
      <c r="S301" s="654">
        <f t="shared" si="180"/>
        <v>0</v>
      </c>
      <c r="T301" s="656" t="str">
        <f>+VLOOKUP($L301,Data_Validation!$A:$D,1,0)</f>
        <v>6245</v>
      </c>
      <c r="U301" s="656" t="str">
        <f>+VLOOKUP($L301,Data_Validation!$A:$D,3,0)</f>
        <v>Véhicules usagés</v>
      </c>
      <c r="V301" s="656" t="str">
        <f>+VLOOKUP($L301,Data_Validation!$A:$D,4,0)</f>
        <v>Frais véhicules de cie</v>
      </c>
      <c r="W301" s="656" t="str">
        <f>+VLOOKUP($L301,Data_Validation!$A:$E,5,0)</f>
        <v>$</v>
      </c>
      <c r="X301" s="656">
        <f>+VLOOKUP($L301,Data_Validation!$A:$F,6,0)</f>
        <v>0</v>
      </c>
    </row>
    <row r="302" spans="1:24" ht="15" customHeight="1">
      <c r="A302" s="1210" t="s">
        <v>1195</v>
      </c>
      <c r="B302" s="1210" t="s">
        <v>2385</v>
      </c>
      <c r="C302" s="1212">
        <v>289.95999999999998</v>
      </c>
      <c r="D302" s="1212">
        <v>167.97</v>
      </c>
      <c r="E302" s="1212">
        <v>457.93</v>
      </c>
      <c r="F302" s="1210" t="s">
        <v>1154</v>
      </c>
      <c r="G302" s="1210" t="s">
        <v>1196</v>
      </c>
      <c r="H302" s="650"/>
      <c r="I302" s="663"/>
      <c r="J302" s="663"/>
      <c r="K302" s="663"/>
      <c r="L302" s="653" t="str">
        <f t="shared" si="176"/>
        <v>6247</v>
      </c>
      <c r="M302" s="654" t="str">
        <f t="shared" si="177"/>
        <v>FRET/EXPRESS/TRANS. PAR CAMION</v>
      </c>
      <c r="N302" s="655">
        <f>+IF(OR($Q302=Parametres!$G$2,$Q302=Parametres!$G$3),I302,C302)</f>
        <v>289.95999999999998</v>
      </c>
      <c r="O302" s="655">
        <f>+IF(OR($Q302=Parametres!$G$2,$Q302=Parametres!$G$3),J302,D302)</f>
        <v>167.97</v>
      </c>
      <c r="P302" s="655">
        <f>+IF(OR($Q302=Parametres!$G$2,$Q302=Parametres!$G$3),K302,E302)</f>
        <v>457.93</v>
      </c>
      <c r="Q302" s="654" t="str">
        <f t="shared" si="178"/>
        <v>7-Dépenses</v>
      </c>
      <c r="R302" s="653" t="str">
        <f t="shared" si="179"/>
        <v>6147</v>
      </c>
      <c r="S302" s="654">
        <f t="shared" si="180"/>
        <v>0</v>
      </c>
      <c r="T302" s="656" t="str">
        <f>+VLOOKUP($L302,Data_Validation!$A:$D,1,0)</f>
        <v>6247</v>
      </c>
      <c r="U302" s="656" t="str">
        <f>+VLOOKUP($L302,Data_Validation!$A:$D,3,0)</f>
        <v>Véhicules usagés</v>
      </c>
      <c r="V302" s="656" t="str">
        <f>+VLOOKUP($L302,Data_Validation!$A:$D,4,0)</f>
        <v>Frais postaux</v>
      </c>
      <c r="W302" s="656" t="str">
        <f>+VLOOKUP($L302,Data_Validation!$A:$E,5,0)</f>
        <v>$</v>
      </c>
      <c r="X302" s="656">
        <f>+VLOOKUP($L302,Data_Validation!$A:$F,6,0)</f>
        <v>0</v>
      </c>
    </row>
    <row r="303" spans="1:24" ht="15" customHeight="1">
      <c r="A303" s="1210" t="s">
        <v>1197</v>
      </c>
      <c r="B303" s="1210" t="s">
        <v>2388</v>
      </c>
      <c r="C303" s="1212">
        <v>3170.37</v>
      </c>
      <c r="D303" s="1212">
        <v>2511.36</v>
      </c>
      <c r="E303" s="1212">
        <v>5681.73</v>
      </c>
      <c r="F303" s="1210" t="s">
        <v>1154</v>
      </c>
      <c r="G303" s="1210" t="s">
        <v>1198</v>
      </c>
      <c r="H303" s="650"/>
      <c r="I303" s="652"/>
      <c r="J303" s="652"/>
      <c r="K303" s="652"/>
      <c r="L303" s="653" t="str">
        <f t="shared" si="176"/>
        <v>6251</v>
      </c>
      <c r="M303" s="654" t="str">
        <f t="shared" si="177"/>
        <v>DEP. DU TRAITEMENT DES DONNEES</v>
      </c>
      <c r="N303" s="655">
        <f>+IF(OR($Q303=Parametres!$G$2,$Q303=Parametres!$G$3),I303,C303)</f>
        <v>3170.37</v>
      </c>
      <c r="O303" s="655">
        <f>+IF(OR($Q303=Parametres!$G$2,$Q303=Parametres!$G$3),J303,D303)</f>
        <v>2511.36</v>
      </c>
      <c r="P303" s="655">
        <f>+IF(OR($Q303=Parametres!$G$2,$Q303=Parametres!$G$3),K303,E303)</f>
        <v>5681.73</v>
      </c>
      <c r="Q303" s="654" t="str">
        <f t="shared" si="178"/>
        <v>7-Dépenses</v>
      </c>
      <c r="R303" s="653" t="str">
        <f t="shared" si="179"/>
        <v>6151</v>
      </c>
      <c r="S303" s="654">
        <f t="shared" si="180"/>
        <v>0</v>
      </c>
      <c r="T303" s="656" t="str">
        <f>+VLOOKUP($L303,Data_Validation!$A:$D,1,0)</f>
        <v>6251</v>
      </c>
      <c r="U303" s="656" t="str">
        <f>+VLOOKUP($L303,Data_Validation!$A:$D,3,0)</f>
        <v>Véhicules usagés</v>
      </c>
      <c r="V303" s="656" t="str">
        <f>+VLOOKUP($L303,Data_Validation!$A:$D,4,0)</f>
        <v>Informatique</v>
      </c>
      <c r="W303" s="656" t="str">
        <f>+VLOOKUP($L303,Data_Validation!$A:$E,5,0)</f>
        <v>$</v>
      </c>
      <c r="X303" s="656">
        <f>+VLOOKUP($L303,Data_Validation!$A:$F,6,0)</f>
        <v>0</v>
      </c>
    </row>
    <row r="304" spans="1:24" ht="15" customHeight="1">
      <c r="A304" s="1210" t="s">
        <v>1199</v>
      </c>
      <c r="B304" s="1210" t="s">
        <v>2391</v>
      </c>
      <c r="C304" s="1212">
        <v>60.66</v>
      </c>
      <c r="D304" s="1212">
        <v>390.74</v>
      </c>
      <c r="E304" s="1212">
        <v>451.4</v>
      </c>
      <c r="F304" s="1210" t="s">
        <v>1154</v>
      </c>
      <c r="G304" s="1210" t="s">
        <v>1200</v>
      </c>
      <c r="H304" s="650"/>
      <c r="I304" s="652"/>
      <c r="J304" s="652"/>
      <c r="K304" s="652"/>
      <c r="L304" s="653" t="str">
        <f t="shared" si="176"/>
        <v>6252</v>
      </c>
      <c r="M304" s="654" t="str">
        <f t="shared" si="177"/>
        <v>PAPETERIE</v>
      </c>
      <c r="N304" s="655">
        <f>+IF(OR($Q304=Parametres!$G$2,$Q304=Parametres!$G$3),I304,C304)</f>
        <v>60.66</v>
      </c>
      <c r="O304" s="655">
        <f>+IF(OR($Q304=Parametres!$G$2,$Q304=Parametres!$G$3),J304,D304)</f>
        <v>390.74</v>
      </c>
      <c r="P304" s="655">
        <f>+IF(OR($Q304=Parametres!$G$2,$Q304=Parametres!$G$3),K304,E304)</f>
        <v>451.4</v>
      </c>
      <c r="Q304" s="654" t="str">
        <f t="shared" si="178"/>
        <v>7-Dépenses</v>
      </c>
      <c r="R304" s="653" t="str">
        <f t="shared" si="179"/>
        <v>6152</v>
      </c>
      <c r="S304" s="654">
        <f t="shared" si="180"/>
        <v>0</v>
      </c>
      <c r="T304" s="656" t="str">
        <f>+VLOOKUP($L304,Data_Validation!$A:$D,1,0)</f>
        <v>6252</v>
      </c>
      <c r="U304" s="656" t="str">
        <f>+VLOOKUP($L304,Data_Validation!$A:$D,3,0)</f>
        <v>Véhicules usagés</v>
      </c>
      <c r="V304" s="656" t="str">
        <f>+VLOOKUP($L304,Data_Validation!$A:$D,4,0)</f>
        <v>Papeterie</v>
      </c>
      <c r="W304" s="656" t="str">
        <f>+VLOOKUP($L304,Data_Validation!$A:$E,5,0)</f>
        <v>$</v>
      </c>
      <c r="X304" s="656">
        <f>+VLOOKUP($L304,Data_Validation!$A:$F,6,0)</f>
        <v>0</v>
      </c>
    </row>
    <row r="305" spans="1:24" ht="15.75" customHeight="1">
      <c r="A305" s="1210" t="s">
        <v>1201</v>
      </c>
      <c r="B305" s="1210" t="s">
        <v>2394</v>
      </c>
      <c r="C305" s="1212">
        <v>108.67</v>
      </c>
      <c r="D305" s="1212">
        <v>94.99</v>
      </c>
      <c r="E305" s="1212">
        <v>203.66</v>
      </c>
      <c r="F305" s="1210" t="s">
        <v>1154</v>
      </c>
      <c r="G305" s="1210" t="s">
        <v>1202</v>
      </c>
      <c r="H305" s="650"/>
      <c r="I305" s="663"/>
      <c r="J305" s="663"/>
      <c r="K305" s="663"/>
      <c r="L305" s="653" t="str">
        <f t="shared" si="176"/>
        <v>6253</v>
      </c>
      <c r="M305" s="654" t="str">
        <f t="shared" si="177"/>
        <v>TELEPHONE ET TELEX</v>
      </c>
      <c r="N305" s="655">
        <f>+IF(OR($Q305=Parametres!$G$2,$Q305=Parametres!$G$3),I305,C305)</f>
        <v>108.67</v>
      </c>
      <c r="O305" s="655">
        <f>+IF(OR($Q305=Parametres!$G$2,$Q305=Parametres!$G$3),J305,D305)</f>
        <v>94.99</v>
      </c>
      <c r="P305" s="655">
        <f>+IF(OR($Q305=Parametres!$G$2,$Q305=Parametres!$G$3),K305,E305)</f>
        <v>203.66</v>
      </c>
      <c r="Q305" s="654" t="str">
        <f t="shared" si="178"/>
        <v>7-Dépenses</v>
      </c>
      <c r="R305" s="653" t="str">
        <f t="shared" si="179"/>
        <v>6153</v>
      </c>
      <c r="S305" s="654">
        <f t="shared" si="180"/>
        <v>0</v>
      </c>
      <c r="T305" s="656" t="str">
        <f>+VLOOKUP($L305,Data_Validation!$A:$D,1,0)</f>
        <v>6253</v>
      </c>
      <c r="U305" s="656" t="str">
        <f>+VLOOKUP($L305,Data_Validation!$A:$D,3,0)</f>
        <v>Véhicules usagés</v>
      </c>
      <c r="V305" s="656" t="str">
        <f>+VLOOKUP($L305,Data_Validation!$A:$D,4,0)</f>
        <v>Téléphone</v>
      </c>
      <c r="W305" s="656" t="str">
        <f>+VLOOKUP($L305,Data_Validation!$A:$E,5,0)</f>
        <v>$</v>
      </c>
      <c r="X305" s="656">
        <f>+VLOOKUP($L305,Data_Validation!$A:$F,6,0)</f>
        <v>0</v>
      </c>
    </row>
    <row r="306" spans="1:24" ht="15" customHeight="1">
      <c r="A306" s="1210" t="s">
        <v>1203</v>
      </c>
      <c r="B306" s="1210" t="s">
        <v>2397</v>
      </c>
      <c r="C306" s="1212">
        <v>33.53</v>
      </c>
      <c r="D306" s="1212">
        <v>26.7</v>
      </c>
      <c r="E306" s="1212">
        <v>60.23</v>
      </c>
      <c r="F306" s="1210" t="s">
        <v>1154</v>
      </c>
      <c r="G306" s="1210" t="s">
        <v>1204</v>
      </c>
      <c r="H306" s="651"/>
      <c r="I306" s="670"/>
      <c r="J306" s="651"/>
      <c r="K306" s="670"/>
      <c r="L306" s="653" t="str">
        <f t="shared" si="176"/>
        <v>6255</v>
      </c>
      <c r="M306" s="654" t="str">
        <f t="shared" si="177"/>
        <v>DEPENSES DIVERS</v>
      </c>
      <c r="N306" s="655">
        <f>+IF(OR($Q306=Parametres!$G$2,$Q306=Parametres!$G$3),I306,C306)</f>
        <v>33.53</v>
      </c>
      <c r="O306" s="659">
        <f>+IF(OR($Q306=Parametres!$G$2,$Q306=Parametres!$G$3),J306,D306)</f>
        <v>26.7</v>
      </c>
      <c r="P306" s="655">
        <f>+IF(OR($Q306=Parametres!$G$2,$Q306=Parametres!$G$3),K306,E306)</f>
        <v>60.23</v>
      </c>
      <c r="Q306" s="654" t="str">
        <f t="shared" si="178"/>
        <v>7-Dépenses</v>
      </c>
      <c r="R306" s="653" t="str">
        <f t="shared" si="179"/>
        <v>6155</v>
      </c>
      <c r="S306" s="654">
        <f t="shared" si="180"/>
        <v>0</v>
      </c>
      <c r="T306" s="656" t="str">
        <f>+VLOOKUP($L306,Data_Validation!$A:$D,1,0)</f>
        <v>6255</v>
      </c>
      <c r="U306" s="656" t="str">
        <f>+VLOOKUP($L306,Data_Validation!$A:$D,3,0)</f>
        <v>Véhicules usagés</v>
      </c>
      <c r="V306" s="656" t="str">
        <f>+VLOOKUP($L306,Data_Validation!$A:$D,4,0)</f>
        <v>Divers</v>
      </c>
      <c r="W306" s="656" t="str">
        <f>+VLOOKUP($L306,Data_Validation!$A:$E,5,0)</f>
        <v>$</v>
      </c>
      <c r="X306" s="656">
        <f>+VLOOKUP($L306,Data_Validation!$A:$F,6,0)</f>
        <v>0</v>
      </c>
    </row>
    <row r="307" spans="1:24" ht="15" customHeight="1">
      <c r="A307" s="1210" t="s">
        <v>1232</v>
      </c>
      <c r="B307" s="1210" t="s">
        <v>2400</v>
      </c>
      <c r="C307" s="1212">
        <v>568.97</v>
      </c>
      <c r="D307" s="1212">
        <v>520.13</v>
      </c>
      <c r="E307" s="1212">
        <v>1089.0999999999999</v>
      </c>
      <c r="F307" s="1210" t="s">
        <v>1154</v>
      </c>
      <c r="G307" s="1210" t="s">
        <v>1206</v>
      </c>
      <c r="H307" s="651"/>
      <c r="I307" s="651"/>
      <c r="J307" s="651"/>
      <c r="K307" s="651"/>
      <c r="L307" s="653" t="str">
        <f t="shared" si="176"/>
        <v>6256</v>
      </c>
      <c r="M307" s="654" t="str">
        <f t="shared" si="177"/>
        <v>FRAIS REPRESENTATION - USAGE</v>
      </c>
      <c r="N307" s="655">
        <f>+IF(OR($Q307=Parametres!$G$2,$Q307=Parametres!$G$3),I307,C307)</f>
        <v>568.97</v>
      </c>
      <c r="O307" s="659">
        <f>+IF(OR($Q307=Parametres!$G$2,$Q307=Parametres!$G$3),J307,D307)</f>
        <v>520.13</v>
      </c>
      <c r="P307" s="655">
        <f>+IF(OR($Q307=Parametres!$G$2,$Q307=Parametres!$G$3),K307,E307)</f>
        <v>1089.0999999999999</v>
      </c>
      <c r="Q307" s="654" t="str">
        <f t="shared" si="178"/>
        <v>7-Dépenses</v>
      </c>
      <c r="R307" s="653" t="str">
        <f t="shared" si="179"/>
        <v>6156</v>
      </c>
      <c r="S307" s="654">
        <f t="shared" si="180"/>
        <v>0</v>
      </c>
      <c r="T307" s="656" t="str">
        <f>+VLOOKUP($L307,Data_Validation!$A:$D,1,0)</f>
        <v>6256</v>
      </c>
      <c r="U307" s="656" t="str">
        <f>+VLOOKUP($L307,Data_Validation!$A:$D,3,0)</f>
        <v>Véhicules usagés</v>
      </c>
      <c r="V307" s="656" t="str">
        <f>+VLOOKUP($L307,Data_Validation!$A:$D,4,0)</f>
        <v>Frais de déplacement</v>
      </c>
      <c r="W307" s="656" t="str">
        <f>+VLOOKUP($L307,Data_Validation!$A:$E,5,0)</f>
        <v>$</v>
      </c>
      <c r="X307" s="656">
        <f>+VLOOKUP($L307,Data_Validation!$A:$F,6,0)</f>
        <v>0</v>
      </c>
    </row>
    <row r="308" spans="1:24" ht="15" customHeight="1">
      <c r="A308" s="1210" t="s">
        <v>1233</v>
      </c>
      <c r="B308" s="1210" t="s">
        <v>3391</v>
      </c>
      <c r="C308" s="1212">
        <v>622.85</v>
      </c>
      <c r="D308" s="1212">
        <v>481.19</v>
      </c>
      <c r="E308" s="1212">
        <v>1104.04</v>
      </c>
      <c r="F308" s="1210" t="s">
        <v>1154</v>
      </c>
      <c r="G308" s="1210" t="s">
        <v>1234</v>
      </c>
      <c r="H308" s="651"/>
      <c r="I308" s="652"/>
      <c r="J308" s="652"/>
      <c r="K308" s="652"/>
      <c r="L308" s="653" t="str">
        <f t="shared" ref="L308:L371" si="181">TEXT(B308,0)</f>
        <v>6257</v>
      </c>
      <c r="M308" s="654" t="str">
        <f t="shared" ref="M308:M371" si="182">+A308</f>
        <v>FRAIS BANCAIRES - USAGE</v>
      </c>
      <c r="N308" s="655">
        <f>+IF(OR($Q308=Parametres!$G$2,$Q308=Parametres!$G$3),I308,C308)</f>
        <v>622.85</v>
      </c>
      <c r="O308" s="655">
        <f>+IF(OR($Q308=Parametres!$G$2,$Q308=Parametres!$G$3),J308,D308)</f>
        <v>481.19</v>
      </c>
      <c r="P308" s="655">
        <f>+IF(OR($Q308=Parametres!$G$2,$Q308=Parametres!$G$3),K308,E308)</f>
        <v>1104.04</v>
      </c>
      <c r="Q308" s="654" t="str">
        <f t="shared" ref="Q308:Q371" si="183">+F308</f>
        <v>7-Dépenses</v>
      </c>
      <c r="R308" s="653" t="str">
        <f t="shared" ref="R308:R371" si="184">+G308</f>
        <v>625</v>
      </c>
      <c r="S308" s="654">
        <f t="shared" ref="S308:S371" si="185">+H308</f>
        <v>0</v>
      </c>
      <c r="T308" s="656" t="str">
        <f>+VLOOKUP($L308,Data_Validation!$A:$D,1,0)</f>
        <v>6257</v>
      </c>
      <c r="U308" s="656" t="str">
        <f>+VLOOKUP($L308,Data_Validation!$A:$D,3,0)</f>
        <v>Véhicules usagés</v>
      </c>
      <c r="V308" s="656" t="str">
        <f>+VLOOKUP($L308,Data_Validation!$A:$D,4,0)</f>
        <v>Frais bancaires</v>
      </c>
      <c r="W308" s="656" t="str">
        <f>+VLOOKUP($L308,Data_Validation!$A:$E,5,0)</f>
        <v>$</v>
      </c>
      <c r="X308" s="656">
        <f>+VLOOKUP($L308,Data_Validation!$A:$F,6,0)</f>
        <v>0</v>
      </c>
    </row>
    <row r="309" spans="1:24" ht="15.75" customHeight="1">
      <c r="A309" s="1210" t="s">
        <v>1209</v>
      </c>
      <c r="B309" s="1210" t="s">
        <v>2403</v>
      </c>
      <c r="C309" s="1212">
        <v>3378.54</v>
      </c>
      <c r="D309" s="1212">
        <v>2466.6999999999998</v>
      </c>
      <c r="E309" s="1212">
        <v>5845.24</v>
      </c>
      <c r="F309" s="1210" t="s">
        <v>1154</v>
      </c>
      <c r="G309" s="1210" t="s">
        <v>1210</v>
      </c>
      <c r="H309" s="650"/>
      <c r="I309" s="663"/>
      <c r="J309" s="663"/>
      <c r="K309" s="663"/>
      <c r="L309" s="653" t="str">
        <f t="shared" si="181"/>
        <v>6259</v>
      </c>
      <c r="M309" s="654" t="str">
        <f t="shared" si="182"/>
        <v>SERVICE EXTERIEUR</v>
      </c>
      <c r="N309" s="655">
        <f>+IF(OR($Q309=Parametres!$G$2,$Q309=Parametres!$G$3),I309,C309)</f>
        <v>3378.54</v>
      </c>
      <c r="O309" s="655">
        <f>+IF(OR($Q309=Parametres!$G$2,$Q309=Parametres!$G$3),J309,D309)</f>
        <v>2466.6999999999998</v>
      </c>
      <c r="P309" s="655">
        <f>+IF(OR($Q309=Parametres!$G$2,$Q309=Parametres!$G$3),K309,E309)</f>
        <v>5845.24</v>
      </c>
      <c r="Q309" s="654" t="str">
        <f t="shared" si="183"/>
        <v>7-Dépenses</v>
      </c>
      <c r="R309" s="653" t="str">
        <f t="shared" si="184"/>
        <v>6159</v>
      </c>
      <c r="S309" s="654">
        <f t="shared" si="185"/>
        <v>0</v>
      </c>
      <c r="T309" s="656" t="str">
        <f>+VLOOKUP($L309,Data_Validation!$A:$D,1,0)</f>
        <v>6259</v>
      </c>
      <c r="U309" s="656" t="str">
        <f>+VLOOKUP($L309,Data_Validation!$A:$D,3,0)</f>
        <v>Véhicules usagés</v>
      </c>
      <c r="V309" s="656" t="str">
        <f>+VLOOKUP($L309,Data_Validation!$A:$D,4,0)</f>
        <v>Services extérieurs</v>
      </c>
      <c r="W309" s="656" t="str">
        <f>+VLOOKUP($L309,Data_Validation!$A:$E,5,0)</f>
        <v>$</v>
      </c>
      <c r="X309" s="656">
        <f>+VLOOKUP($L309,Data_Validation!$A:$F,6,0)</f>
        <v>0</v>
      </c>
    </row>
    <row r="310" spans="1:24" ht="15" customHeight="1">
      <c r="A310" s="1210" t="s">
        <v>1211</v>
      </c>
      <c r="B310" s="1210" t="s">
        <v>2406</v>
      </c>
      <c r="C310" s="1212">
        <v>5117.76</v>
      </c>
      <c r="D310" s="1212">
        <v>5117.76</v>
      </c>
      <c r="E310" s="1212">
        <v>10235.52</v>
      </c>
      <c r="F310" s="1210" t="s">
        <v>1154</v>
      </c>
      <c r="G310" s="1210" t="s">
        <v>1212</v>
      </c>
      <c r="H310" s="650"/>
      <c r="I310" s="663"/>
      <c r="J310" s="663"/>
      <c r="K310" s="663"/>
      <c r="L310" s="653" t="str">
        <f t="shared" si="181"/>
        <v>6261</v>
      </c>
      <c r="M310" s="654" t="str">
        <f t="shared" si="182"/>
        <v>DEPRECIATION EQUIP. &amp; FIXTURES</v>
      </c>
      <c r="N310" s="655">
        <f>+IF(OR($Q310=Parametres!$G$2,$Q310=Parametres!$G$3),I310,C310)</f>
        <v>5117.76</v>
      </c>
      <c r="O310" s="655">
        <f>+IF(OR($Q310=Parametres!$G$2,$Q310=Parametres!$G$3),J310,D310)</f>
        <v>5117.76</v>
      </c>
      <c r="P310" s="655">
        <f>+IF(OR($Q310=Parametres!$G$2,$Q310=Parametres!$G$3),K310,E310)</f>
        <v>10235.52</v>
      </c>
      <c r="Q310" s="654" t="str">
        <f t="shared" si="183"/>
        <v>7-Dépenses</v>
      </c>
      <c r="R310" s="653" t="str">
        <f t="shared" si="184"/>
        <v>6161</v>
      </c>
      <c r="S310" s="654">
        <f t="shared" si="185"/>
        <v>0</v>
      </c>
      <c r="T310" s="656" t="str">
        <f>+VLOOKUP($L310,Data_Validation!$A:$D,1,0)</f>
        <v>6261</v>
      </c>
      <c r="U310" s="656" t="str">
        <f>+VLOOKUP($L310,Data_Validation!$A:$D,3,0)</f>
        <v>Véhicules usagés</v>
      </c>
      <c r="V310" s="656" t="str">
        <f>+VLOOKUP($L310,Data_Validation!$A:$D,4,0)</f>
        <v>Amortissement</v>
      </c>
      <c r="W310" s="656" t="str">
        <f>+VLOOKUP($L310,Data_Validation!$A:$E,5,0)</f>
        <v>$</v>
      </c>
      <c r="X310" s="656">
        <f>+VLOOKUP($L310,Data_Validation!$A:$F,6,0)</f>
        <v>0</v>
      </c>
    </row>
    <row r="311" spans="1:24" ht="15" customHeight="1">
      <c r="A311" s="1210" t="s">
        <v>1235</v>
      </c>
      <c r="B311" s="1210" t="s">
        <v>2412</v>
      </c>
      <c r="C311" s="1212">
        <v>1232.97</v>
      </c>
      <c r="D311" s="1212">
        <v>1036.71</v>
      </c>
      <c r="E311" s="1212">
        <v>2269.6799999999998</v>
      </c>
      <c r="F311" s="1210" t="s">
        <v>1154</v>
      </c>
      <c r="G311" s="1210" t="s">
        <v>1214</v>
      </c>
      <c r="H311" s="650"/>
      <c r="I311" s="663"/>
      <c r="J311" s="663"/>
      <c r="K311" s="663"/>
      <c r="L311" s="653" t="str">
        <f t="shared" si="181"/>
        <v>6281</v>
      </c>
      <c r="M311" s="654" t="str">
        <f t="shared" si="182"/>
        <v>CHAUFFAGE,ELECTRICITE,EAU-USAGE</v>
      </c>
      <c r="N311" s="655">
        <f>+IF(OR($Q311=Parametres!$G$2,$Q311=Parametres!$G$3),I311,C311)</f>
        <v>1232.97</v>
      </c>
      <c r="O311" s="655">
        <f>+IF(OR($Q311=Parametres!$G$2,$Q311=Parametres!$G$3),J311,D311)</f>
        <v>1036.71</v>
      </c>
      <c r="P311" s="655">
        <f>+IF(OR($Q311=Parametres!$G$2,$Q311=Parametres!$G$3),K311,E311)</f>
        <v>2269.6799999999998</v>
      </c>
      <c r="Q311" s="654" t="str">
        <f t="shared" si="183"/>
        <v>7-Dépenses</v>
      </c>
      <c r="R311" s="653" t="str">
        <f t="shared" si="184"/>
        <v>6181</v>
      </c>
      <c r="S311" s="654">
        <f t="shared" si="185"/>
        <v>0</v>
      </c>
      <c r="T311" s="656" t="str">
        <f>+VLOOKUP($L311,Data_Validation!$A:$D,1,0)</f>
        <v>6281</v>
      </c>
      <c r="U311" s="656" t="str">
        <f>+VLOOKUP($L311,Data_Validation!$A:$D,3,0)</f>
        <v>Véhicules usagés</v>
      </c>
      <c r="V311" s="656" t="str">
        <f>+VLOOKUP($L311,Data_Validation!$A:$D,4,0)</f>
        <v>Chauffage, éclairage</v>
      </c>
      <c r="W311" s="656" t="str">
        <f>+VLOOKUP($L311,Data_Validation!$A:$E,5,0)</f>
        <v>$</v>
      </c>
      <c r="X311" s="656">
        <f>+VLOOKUP($L311,Data_Validation!$A:$F,6,0)</f>
        <v>0</v>
      </c>
    </row>
    <row r="312" spans="1:24" ht="15" customHeight="1">
      <c r="A312" s="1210" t="s">
        <v>1236</v>
      </c>
      <c r="B312" s="1210" t="s">
        <v>2415</v>
      </c>
      <c r="C312" s="1212">
        <v>4320</v>
      </c>
      <c r="D312" s="1212">
        <v>4320</v>
      </c>
      <c r="E312" s="1212">
        <v>8640</v>
      </c>
      <c r="F312" s="1210" t="s">
        <v>1154</v>
      </c>
      <c r="G312" s="1210" t="s">
        <v>1216</v>
      </c>
      <c r="H312" s="651"/>
      <c r="I312" s="651"/>
      <c r="J312" s="651"/>
      <c r="K312" s="651"/>
      <c r="L312" s="653" t="str">
        <f t="shared" si="181"/>
        <v>6282</v>
      </c>
      <c r="M312" s="654" t="str">
        <f t="shared" si="182"/>
        <v>LOYER - USAGE</v>
      </c>
      <c r="N312" s="655">
        <f>+IF(OR($Q312=Parametres!$G$2,$Q312=Parametres!$G$3),I312,C312)</f>
        <v>4320</v>
      </c>
      <c r="O312" s="655">
        <f>+IF(OR($Q312=Parametres!$G$2,$Q312=Parametres!$G$3),J312,D312)</f>
        <v>4320</v>
      </c>
      <c r="P312" s="655">
        <f>+IF(OR($Q312=Parametres!$G$2,$Q312=Parametres!$G$3),K312,E312)</f>
        <v>8640</v>
      </c>
      <c r="Q312" s="654" t="str">
        <f t="shared" si="183"/>
        <v>7-Dépenses</v>
      </c>
      <c r="R312" s="653" t="str">
        <f t="shared" si="184"/>
        <v>6182</v>
      </c>
      <c r="S312" s="654">
        <f t="shared" si="185"/>
        <v>0</v>
      </c>
      <c r="T312" s="656" t="str">
        <f>+VLOOKUP($L312,Data_Validation!$A:$D,1,0)</f>
        <v>6282</v>
      </c>
      <c r="U312" s="656" t="str">
        <f>+VLOOKUP($L312,Data_Validation!$A:$D,3,0)</f>
        <v>Véhicules usagés</v>
      </c>
      <c r="V312" s="656" t="str">
        <f>+VLOOKUP($L312,Data_Validation!$A:$D,4,0)</f>
        <v>Loyer</v>
      </c>
      <c r="W312" s="656" t="str">
        <f>+VLOOKUP($L312,Data_Validation!$A:$E,5,0)</f>
        <v>$</v>
      </c>
      <c r="X312" s="656">
        <f>+VLOOKUP($L312,Data_Validation!$A:$F,6,0)</f>
        <v>0</v>
      </c>
    </row>
    <row r="313" spans="1:24" ht="15" customHeight="1">
      <c r="A313" s="1210" t="s">
        <v>1237</v>
      </c>
      <c r="B313" s="1210" t="s">
        <v>2418</v>
      </c>
      <c r="C313" s="1212">
        <v>521.30999999999995</v>
      </c>
      <c r="D313" s="1212">
        <v>521.30999999999995</v>
      </c>
      <c r="E313" s="1212">
        <v>1042.6199999999999</v>
      </c>
      <c r="F313" s="1210" t="s">
        <v>1154</v>
      </c>
      <c r="G313" s="1210" t="s">
        <v>1218</v>
      </c>
      <c r="H313" s="650"/>
      <c r="I313" s="652"/>
      <c r="J313" s="652"/>
      <c r="K313" s="652"/>
      <c r="L313" s="653" t="str">
        <f t="shared" si="181"/>
        <v>6286</v>
      </c>
      <c r="M313" s="654" t="str">
        <f t="shared" si="182"/>
        <v>ASSURANCE BATISSE &amp; AMEL.-USAGE</v>
      </c>
      <c r="N313" s="655">
        <f>+IF(OR($Q313=Parametres!$G$2,$Q313=Parametres!$G$3),I313,C313)</f>
        <v>521.30999999999995</v>
      </c>
      <c r="O313" s="655">
        <f>+IF(OR($Q313=Parametres!$G$2,$Q313=Parametres!$G$3),J313,D313)</f>
        <v>521.30999999999995</v>
      </c>
      <c r="P313" s="655">
        <f>+IF(OR($Q313=Parametres!$G$2,$Q313=Parametres!$G$3),K313,E313)</f>
        <v>1042.6199999999999</v>
      </c>
      <c r="Q313" s="654" t="str">
        <f t="shared" si="183"/>
        <v>7-Dépenses</v>
      </c>
      <c r="R313" s="653" t="str">
        <f t="shared" si="184"/>
        <v>6186</v>
      </c>
      <c r="S313" s="654">
        <f t="shared" si="185"/>
        <v>0</v>
      </c>
      <c r="T313" s="656" t="str">
        <f>+VLOOKUP($L313,Data_Validation!$A:$D,1,0)</f>
        <v>6286</v>
      </c>
      <c r="U313" s="656" t="str">
        <f>+VLOOKUP($L313,Data_Validation!$A:$D,3,0)</f>
        <v>Véhicules usagés</v>
      </c>
      <c r="V313" s="656" t="str">
        <f>+VLOOKUP($L313,Data_Validation!$A:$D,4,0)</f>
        <v>Assurances</v>
      </c>
      <c r="W313" s="656" t="str">
        <f>+VLOOKUP($L313,Data_Validation!$A:$E,5,0)</f>
        <v>$</v>
      </c>
      <c r="X313" s="656">
        <f>+VLOOKUP($L313,Data_Validation!$A:$F,6,0)</f>
        <v>0</v>
      </c>
    </row>
    <row r="314" spans="1:24" ht="15" customHeight="1">
      <c r="A314" s="1210" t="s">
        <v>1238</v>
      </c>
      <c r="B314" s="1210" t="s">
        <v>2421</v>
      </c>
      <c r="C314" s="1212">
        <v>650.76</v>
      </c>
      <c r="D314" s="1212">
        <v>650.76</v>
      </c>
      <c r="E314" s="1212">
        <v>1301.52</v>
      </c>
      <c r="F314" s="1210" t="s">
        <v>1154</v>
      </c>
      <c r="G314" s="1210" t="s">
        <v>1220</v>
      </c>
      <c r="H314" s="651"/>
      <c r="I314" s="651"/>
      <c r="J314" s="651"/>
      <c r="K314" s="651"/>
      <c r="L314" s="653" t="str">
        <f t="shared" si="181"/>
        <v>6287</v>
      </c>
      <c r="M314" s="654" t="str">
        <f t="shared" si="182"/>
        <v>TAXES FONCIERES - USAGE</v>
      </c>
      <c r="N314" s="655">
        <f>+IF(OR($Q314=Parametres!$G$2,$Q314=Parametres!$G$3),I314,C314)</f>
        <v>650.76</v>
      </c>
      <c r="O314" s="659">
        <f>+IF(OR($Q314=Parametres!$G$2,$Q314=Parametres!$G$3),J314,D314)</f>
        <v>650.76</v>
      </c>
      <c r="P314" s="655">
        <f>+IF(OR($Q314=Parametres!$G$2,$Q314=Parametres!$G$3),K314,E314)</f>
        <v>1301.52</v>
      </c>
      <c r="Q314" s="654" t="str">
        <f t="shared" si="183"/>
        <v>7-Dépenses</v>
      </c>
      <c r="R314" s="653" t="str">
        <f t="shared" si="184"/>
        <v>6187</v>
      </c>
      <c r="S314" s="654">
        <f t="shared" si="185"/>
        <v>0</v>
      </c>
      <c r="T314" s="656" t="str">
        <f>+VLOOKUP($L314,Data_Validation!$A:$D,1,0)</f>
        <v>6287</v>
      </c>
      <c r="U314" s="656" t="str">
        <f>+VLOOKUP($L314,Data_Validation!$A:$D,3,0)</f>
        <v>Véhicules usagés</v>
      </c>
      <c r="V314" s="656" t="str">
        <f>+VLOOKUP($L314,Data_Validation!$A:$D,4,0)</f>
        <v>Taxes foncières</v>
      </c>
      <c r="W314" s="656" t="str">
        <f>+VLOOKUP($L314,Data_Validation!$A:$E,5,0)</f>
        <v>$</v>
      </c>
      <c r="X314" s="656">
        <f>+VLOOKUP($L314,Data_Validation!$A:$F,6,0)</f>
        <v>0</v>
      </c>
    </row>
    <row r="315" spans="1:24" ht="15" customHeight="1">
      <c r="A315" s="1210" t="s">
        <v>1239</v>
      </c>
      <c r="B315" s="1210" t="s">
        <v>2424</v>
      </c>
      <c r="C315" s="1212">
        <v>433.08</v>
      </c>
      <c r="D315" s="1212">
        <v>589.08000000000004</v>
      </c>
      <c r="E315" s="1212">
        <v>1022.16</v>
      </c>
      <c r="F315" s="1210" t="s">
        <v>1154</v>
      </c>
      <c r="G315" s="1210" t="s">
        <v>1222</v>
      </c>
      <c r="H315" s="651"/>
      <c r="I315" s="652"/>
      <c r="J315" s="652"/>
      <c r="K315" s="652"/>
      <c r="L315" s="653" t="str">
        <f t="shared" si="181"/>
        <v>6293</v>
      </c>
      <c r="M315" s="654" t="str">
        <f t="shared" si="182"/>
        <v>AUTRE TAXES - USAGES</v>
      </c>
      <c r="N315" s="655">
        <f>+IF(OR($Q315=Parametres!$G$2,$Q315=Parametres!$G$3),I315,C315)</f>
        <v>433.08</v>
      </c>
      <c r="O315" s="655">
        <f>+IF(OR($Q315=Parametres!$G$2,$Q315=Parametres!$G$3),J315,D315)</f>
        <v>589.08000000000004</v>
      </c>
      <c r="P315" s="655">
        <f>+IF(OR($Q315=Parametres!$G$2,$Q315=Parametres!$G$3),K315,E315)</f>
        <v>1022.16</v>
      </c>
      <c r="Q315" s="654" t="str">
        <f t="shared" si="183"/>
        <v>7-Dépenses</v>
      </c>
      <c r="R315" s="653" t="str">
        <f t="shared" si="184"/>
        <v>6193</v>
      </c>
      <c r="S315" s="654">
        <f t="shared" si="185"/>
        <v>0</v>
      </c>
      <c r="T315" s="656" t="str">
        <f>+VLOOKUP($L315,Data_Validation!$A:$D,1,0)</f>
        <v>6293</v>
      </c>
      <c r="U315" s="656" t="str">
        <f>+VLOOKUP($L315,Data_Validation!$A:$D,3,0)</f>
        <v>Véhicules usagés</v>
      </c>
      <c r="V315" s="656" t="str">
        <f>+VLOOKUP($L315,Data_Validation!$A:$D,4,0)</f>
        <v>Taxes d`affaires</v>
      </c>
      <c r="W315" s="656" t="str">
        <f>+VLOOKUP($L315,Data_Validation!$A:$E,5,0)</f>
        <v>$</v>
      </c>
      <c r="X315" s="656">
        <f>+VLOOKUP($L315,Data_Validation!$A:$F,6,0)</f>
        <v>0</v>
      </c>
    </row>
    <row r="316" spans="1:24" ht="15" customHeight="1">
      <c r="A316" s="1210" t="s">
        <v>1240</v>
      </c>
      <c r="B316" s="1210" t="s">
        <v>2427</v>
      </c>
      <c r="C316" s="1212">
        <v>878.87</v>
      </c>
      <c r="D316" s="1212">
        <v>832.88</v>
      </c>
      <c r="E316" s="1212">
        <v>1711.75</v>
      </c>
      <c r="F316" s="1210" t="s">
        <v>1154</v>
      </c>
      <c r="G316" s="1210" t="s">
        <v>1224</v>
      </c>
      <c r="H316" s="651"/>
      <c r="I316" s="651"/>
      <c r="J316" s="651"/>
      <c r="K316" s="651"/>
      <c r="L316" s="653" t="str">
        <f t="shared" si="181"/>
        <v>6294</v>
      </c>
      <c r="M316" s="654" t="str">
        <f t="shared" si="182"/>
        <v>FRAIS PROFESSIONNEL-USAGE</v>
      </c>
      <c r="N316" s="655">
        <f>+IF(OR($Q316=Parametres!$G$2,$Q316=Parametres!$G$3),I316,C316)</f>
        <v>878.87</v>
      </c>
      <c r="O316" s="655">
        <f>+IF(OR($Q316=Parametres!$G$2,$Q316=Parametres!$G$3),J316,D316)</f>
        <v>832.88</v>
      </c>
      <c r="P316" s="655">
        <f>+IF(OR($Q316=Parametres!$G$2,$Q316=Parametres!$G$3),K316,E316)</f>
        <v>1711.75</v>
      </c>
      <c r="Q316" s="654" t="str">
        <f t="shared" si="183"/>
        <v>7-Dépenses</v>
      </c>
      <c r="R316" s="653" t="str">
        <f t="shared" si="184"/>
        <v>6194</v>
      </c>
      <c r="S316" s="654">
        <f t="shared" si="185"/>
        <v>0</v>
      </c>
      <c r="T316" s="656" t="str">
        <f>+VLOOKUP($L316,Data_Validation!$A:$D,1,0)</f>
        <v>6294</v>
      </c>
      <c r="U316" s="656" t="str">
        <f>+VLOOKUP($L316,Data_Validation!$A:$D,3,0)</f>
        <v>Véhicules usagés</v>
      </c>
      <c r="V316" s="656" t="str">
        <f>+VLOOKUP($L316,Data_Validation!$A:$D,4,0)</f>
        <v>Honoraires</v>
      </c>
      <c r="W316" s="656" t="str">
        <f>+VLOOKUP($L316,Data_Validation!$A:$E,5,0)</f>
        <v>$</v>
      </c>
      <c r="X316" s="656">
        <f>+VLOOKUP($L316,Data_Validation!$A:$F,6,0)</f>
        <v>0</v>
      </c>
    </row>
    <row r="317" spans="1:24" ht="15" customHeight="1">
      <c r="A317" s="1210" t="s">
        <v>1241</v>
      </c>
      <c r="B317" s="1210" t="s">
        <v>2430</v>
      </c>
      <c r="C317" s="1212">
        <v>1823.97</v>
      </c>
      <c r="D317" s="1212">
        <v>3268.54</v>
      </c>
      <c r="E317" s="1212">
        <v>5092.51</v>
      </c>
      <c r="F317" s="1210" t="s">
        <v>1154</v>
      </c>
      <c r="G317" s="1210" t="s">
        <v>1242</v>
      </c>
      <c r="H317" s="651"/>
      <c r="I317" s="652"/>
      <c r="J317" s="652"/>
      <c r="K317" s="652"/>
      <c r="L317" s="653" t="str">
        <f t="shared" si="181"/>
        <v>6403</v>
      </c>
      <c r="M317" s="654" t="str">
        <f t="shared" si="182"/>
        <v>RELAT. A LA CLIENTELE &amp; AJUST</v>
      </c>
      <c r="N317" s="655">
        <f>+IF(OR($Q317=Parametres!$G$2,$Q317=Parametres!$G$3),I317,C317)</f>
        <v>1823.97</v>
      </c>
      <c r="O317" s="659">
        <f>+IF(OR($Q317=Parametres!$G$2,$Q317=Parametres!$G$3),J317,D317)</f>
        <v>3268.54</v>
      </c>
      <c r="P317" s="655">
        <f>+IF(OR($Q317=Parametres!$G$2,$Q317=Parametres!$G$3),K317,E317)</f>
        <v>5092.51</v>
      </c>
      <c r="Q317" s="654" t="str">
        <f t="shared" si="183"/>
        <v>7-Dépenses</v>
      </c>
      <c r="R317" s="653" t="str">
        <f t="shared" si="184"/>
        <v>6112</v>
      </c>
      <c r="S317" s="654">
        <f t="shared" si="185"/>
        <v>0</v>
      </c>
      <c r="T317" s="656" t="str">
        <f>+VLOOKUP($L317,Data_Validation!$A:$D,1,0)</f>
        <v>6403</v>
      </c>
      <c r="U317" s="656" t="str">
        <f>+VLOOKUP($L317,Data_Validation!$A:$D,3,0)</f>
        <v>Service</v>
      </c>
      <c r="V317" s="656" t="str">
        <f>+VLOOKUP($L317,Data_Validation!$A:$D,4,0)</f>
        <v>Service gratuit 2</v>
      </c>
      <c r="W317" s="656" t="str">
        <f>+VLOOKUP($L317,Data_Validation!$A:$E,5,0)</f>
        <v>$</v>
      </c>
      <c r="X317" s="656">
        <f>+VLOOKUP($L317,Data_Validation!$A:$F,6,0)</f>
        <v>0</v>
      </c>
    </row>
    <row r="318" spans="1:24" ht="15.75" customHeight="1">
      <c r="A318" s="1210" t="s">
        <v>1243</v>
      </c>
      <c r="B318" s="1210" t="s">
        <v>2433</v>
      </c>
      <c r="C318" s="1212">
        <v>-45.32</v>
      </c>
      <c r="D318" s="1212">
        <v>34.89</v>
      </c>
      <c r="E318" s="1212">
        <v>-10.43</v>
      </c>
      <c r="F318" s="1210" t="s">
        <v>1154</v>
      </c>
      <c r="G318" s="1210" t="s">
        <v>1242</v>
      </c>
      <c r="H318" s="651"/>
      <c r="I318" s="651"/>
      <c r="J318" s="651"/>
      <c r="K318" s="651"/>
      <c r="L318" s="653" t="str">
        <f t="shared" si="181"/>
        <v>6412</v>
      </c>
      <c r="M318" s="654" t="str">
        <f t="shared" si="182"/>
        <v>AUTORISATION &amp; GAR./VEH. USA</v>
      </c>
      <c r="N318" s="655">
        <f>+IF(OR($Q318=Parametres!$G$2,$Q318=Parametres!$G$3),I318,C318)</f>
        <v>-45.32</v>
      </c>
      <c r="O318" s="655">
        <f>+IF(OR($Q318=Parametres!$G$2,$Q318=Parametres!$G$3),J318,D318)</f>
        <v>34.89</v>
      </c>
      <c r="P318" s="655">
        <f>+IF(OR($Q318=Parametres!$G$2,$Q318=Parametres!$G$3),K318,E318)</f>
        <v>-10.43</v>
      </c>
      <c r="Q318" s="654" t="str">
        <f t="shared" si="183"/>
        <v>7-Dépenses</v>
      </c>
      <c r="R318" s="653" t="str">
        <f t="shared" si="184"/>
        <v>6112</v>
      </c>
      <c r="S318" s="654">
        <f t="shared" si="185"/>
        <v>0</v>
      </c>
      <c r="T318" s="656" t="str">
        <f>+VLOOKUP($L318,Data_Validation!$A:$D,1,0)</f>
        <v>6412</v>
      </c>
      <c r="U318" s="656" t="str">
        <f>+VLOOKUP($L318,Data_Validation!$A:$D,3,0)</f>
        <v>Service</v>
      </c>
      <c r="V318" s="656" t="str">
        <f>+VLOOKUP($L318,Data_Validation!$A:$D,4,0)</f>
        <v>Service gratuit 2</v>
      </c>
      <c r="W318" s="656" t="str">
        <f>+VLOOKUP($L318,Data_Validation!$A:$E,5,0)</f>
        <v>$</v>
      </c>
      <c r="X318" s="656">
        <f>+VLOOKUP($L318,Data_Validation!$A:$F,6,0)</f>
        <v>0</v>
      </c>
    </row>
    <row r="319" spans="1:24" ht="15" customHeight="1">
      <c r="A319" s="1210" t="s">
        <v>1166</v>
      </c>
      <c r="B319" s="1210" t="s">
        <v>2436</v>
      </c>
      <c r="C319" s="1212">
        <v>15287.83</v>
      </c>
      <c r="D319" s="1212">
        <v>10924.02</v>
      </c>
      <c r="E319" s="1212">
        <v>26211.85</v>
      </c>
      <c r="F319" s="1210" t="s">
        <v>1154</v>
      </c>
      <c r="G319" s="1210" t="s">
        <v>1167</v>
      </c>
      <c r="H319" s="651"/>
      <c r="I319" s="652"/>
      <c r="J319" s="652"/>
      <c r="K319" s="652"/>
      <c r="L319" s="653" t="str">
        <f t="shared" si="181"/>
        <v>6414</v>
      </c>
      <c r="M319" s="654" t="str">
        <f t="shared" si="182"/>
        <v>PUBLICITE</v>
      </c>
      <c r="N319" s="655">
        <f>+IF(OR($Q319=Parametres!$G$2,$Q319=Parametres!$G$3),I319,C319)</f>
        <v>15287.83</v>
      </c>
      <c r="O319" s="659">
        <f>+IF(OR($Q319=Parametres!$G$2,$Q319=Parametres!$G$3),J319,D319)</f>
        <v>10924.02</v>
      </c>
      <c r="P319" s="655">
        <f>+IF(OR($Q319=Parametres!$G$2,$Q319=Parametres!$G$3),K319,E319)</f>
        <v>26211.85</v>
      </c>
      <c r="Q319" s="654" t="str">
        <f t="shared" si="183"/>
        <v>7-Dépenses</v>
      </c>
      <c r="R319" s="653" t="str">
        <f t="shared" si="184"/>
        <v>6114</v>
      </c>
      <c r="S319" s="654">
        <f t="shared" si="185"/>
        <v>0</v>
      </c>
      <c r="T319" s="656" t="str">
        <f>+VLOOKUP($L319,Data_Validation!$A:$D,1,0)</f>
        <v>6414</v>
      </c>
      <c r="U319" s="656" t="str">
        <f>+VLOOKUP($L319,Data_Validation!$A:$D,3,0)</f>
        <v>Service</v>
      </c>
      <c r="V319" s="656" t="str">
        <f>+VLOOKUP($L319,Data_Validation!$A:$D,4,0)</f>
        <v>Publicité 2</v>
      </c>
      <c r="W319" s="656" t="str">
        <f>+VLOOKUP($L319,Data_Validation!$A:$E,5,0)</f>
        <v>$</v>
      </c>
      <c r="X319" s="656">
        <f>+VLOOKUP($L319,Data_Validation!$A:$F,6,0)</f>
        <v>0</v>
      </c>
    </row>
    <row r="320" spans="1:24" ht="15" customHeight="1">
      <c r="A320" s="1210" t="s">
        <v>1169</v>
      </c>
      <c r="B320" s="1210" t="s">
        <v>2439</v>
      </c>
      <c r="C320" s="1212">
        <v>3500.52</v>
      </c>
      <c r="D320" s="1212">
        <v>3749.33</v>
      </c>
      <c r="E320" s="1212">
        <v>7249.85</v>
      </c>
      <c r="F320" s="1210" t="s">
        <v>1154</v>
      </c>
      <c r="G320" s="1210" t="s">
        <v>1170</v>
      </c>
      <c r="H320" s="650"/>
      <c r="I320" s="663"/>
      <c r="J320" s="663"/>
      <c r="K320" s="663"/>
      <c r="L320" s="653" t="str">
        <f t="shared" si="181"/>
        <v>6421</v>
      </c>
      <c r="M320" s="654" t="str">
        <f t="shared" si="182"/>
        <v>SALAIRES - PROPRIETAIRES</v>
      </c>
      <c r="N320" s="655">
        <f>+IF(OR($Q320=Parametres!$G$2,$Q320=Parametres!$G$3),I320,C320)</f>
        <v>3500.52</v>
      </c>
      <c r="O320" s="655">
        <f>+IF(OR($Q320=Parametres!$G$2,$Q320=Parametres!$G$3),J320,D320)</f>
        <v>3749.33</v>
      </c>
      <c r="P320" s="655">
        <f>+IF(OR($Q320=Parametres!$G$2,$Q320=Parametres!$G$3),K320,E320)</f>
        <v>7249.85</v>
      </c>
      <c r="Q320" s="654" t="str">
        <f t="shared" si="183"/>
        <v>7-Dépenses</v>
      </c>
      <c r="R320" s="653" t="str">
        <f t="shared" si="184"/>
        <v>6121</v>
      </c>
      <c r="S320" s="654">
        <f t="shared" si="185"/>
        <v>0</v>
      </c>
      <c r="T320" s="656" t="str">
        <f>+VLOOKUP($L320,Data_Validation!$A:$D,1,0)</f>
        <v>6421</v>
      </c>
      <c r="U320" s="656" t="str">
        <f>+VLOOKUP($L320,Data_Validation!$A:$D,3,0)</f>
        <v>Service</v>
      </c>
      <c r="V320" s="656" t="str">
        <f>+VLOOKUP($L320,Data_Validation!$A:$D,4,0)</f>
        <v>Salaires propriétaire</v>
      </c>
      <c r="W320" s="656" t="str">
        <f>+VLOOKUP($L320,Data_Validation!$A:$E,5,0)</f>
        <v>$</v>
      </c>
      <c r="X320" s="656">
        <f>+VLOOKUP($L320,Data_Validation!$A:$F,6,0)</f>
        <v>0</v>
      </c>
    </row>
    <row r="321" spans="1:24" ht="15" customHeight="1">
      <c r="A321" s="1210" t="s">
        <v>1171</v>
      </c>
      <c r="B321" s="1210" t="s">
        <v>2442</v>
      </c>
      <c r="C321" s="1212">
        <v>14849.23</v>
      </c>
      <c r="D321" s="1212">
        <v>12024.88</v>
      </c>
      <c r="E321" s="1212">
        <v>26874.11</v>
      </c>
      <c r="F321" s="1210" t="s">
        <v>1154</v>
      </c>
      <c r="G321" s="1210" t="s">
        <v>1172</v>
      </c>
      <c r="H321" s="650"/>
      <c r="I321" s="663"/>
      <c r="J321" s="663"/>
      <c r="K321" s="663"/>
      <c r="L321" s="653" t="str">
        <f t="shared" si="181"/>
        <v>6422</v>
      </c>
      <c r="M321" s="654" t="str">
        <f t="shared" si="182"/>
        <v>SAL SUPERVISION / GERANT</v>
      </c>
      <c r="N321" s="655">
        <f>+IF(OR($Q321=Parametres!$G$2,$Q321=Parametres!$G$3),I321,C321)</f>
        <v>14849.23</v>
      </c>
      <c r="O321" s="655">
        <f>+IF(OR($Q321=Parametres!$G$2,$Q321=Parametres!$G$3),J321,D321)</f>
        <v>12024.88</v>
      </c>
      <c r="P321" s="655">
        <f>+IF(OR($Q321=Parametres!$G$2,$Q321=Parametres!$G$3),K321,E321)</f>
        <v>26874.11</v>
      </c>
      <c r="Q321" s="654" t="str">
        <f t="shared" si="183"/>
        <v>7-Dépenses</v>
      </c>
      <c r="R321" s="653" t="str">
        <f t="shared" si="184"/>
        <v>6122</v>
      </c>
      <c r="S321" s="654">
        <f t="shared" si="185"/>
        <v>0</v>
      </c>
      <c r="T321" s="656" t="str">
        <f>+VLOOKUP($L321,Data_Validation!$A:$D,1,0)</f>
        <v>6422</v>
      </c>
      <c r="U321" s="656" t="str">
        <f>+VLOOKUP($L321,Data_Validation!$A:$D,3,0)</f>
        <v>Service</v>
      </c>
      <c r="V321" s="656" t="str">
        <f>+VLOOKUP($L321,Data_Validation!$A:$D,4,0)</f>
        <v>Salaires cadres</v>
      </c>
      <c r="W321" s="656" t="str">
        <f>+VLOOKUP($L321,Data_Validation!$A:$E,5,0)</f>
        <v>$</v>
      </c>
      <c r="X321" s="656">
        <f>+VLOOKUP($L321,Data_Validation!$A:$F,6,0)</f>
        <v>0</v>
      </c>
    </row>
    <row r="322" spans="1:24" ht="15.75" customHeight="1">
      <c r="A322" s="1210" t="s">
        <v>1244</v>
      </c>
      <c r="B322" s="1210" t="s">
        <v>2445</v>
      </c>
      <c r="C322" s="1212">
        <v>9106.5</v>
      </c>
      <c r="D322" s="1212">
        <v>8467.49</v>
      </c>
      <c r="E322" s="1212">
        <v>17573.990000000002</v>
      </c>
      <c r="F322" s="1210" t="s">
        <v>1154</v>
      </c>
      <c r="G322" s="1210" t="s">
        <v>1174</v>
      </c>
      <c r="H322" s="651"/>
      <c r="I322" s="651"/>
      <c r="J322" s="651"/>
      <c r="K322" s="651"/>
      <c r="L322" s="653" t="str">
        <f t="shared" si="181"/>
        <v>6423</v>
      </c>
      <c r="M322" s="654" t="str">
        <f t="shared" si="182"/>
        <v>SAL. &amp; RENUM. CLERICAL</v>
      </c>
      <c r="N322" s="655">
        <f>+IF(OR($Q322=Parametres!$G$2,$Q322=Parametres!$G$3),I322,C322)</f>
        <v>9106.5</v>
      </c>
      <c r="O322" s="659">
        <f>+IF(OR($Q322=Parametres!$G$2,$Q322=Parametres!$G$3),J322,D322)</f>
        <v>8467.49</v>
      </c>
      <c r="P322" s="655">
        <f>+IF(OR($Q322=Parametres!$G$2,$Q322=Parametres!$G$3),K322,E322)</f>
        <v>17573.990000000002</v>
      </c>
      <c r="Q322" s="654" t="str">
        <f t="shared" si="183"/>
        <v>7-Dépenses</v>
      </c>
      <c r="R322" s="653" t="str">
        <f t="shared" si="184"/>
        <v>6123</v>
      </c>
      <c r="S322" s="654">
        <f t="shared" si="185"/>
        <v>0</v>
      </c>
      <c r="T322" s="656" t="str">
        <f>+VLOOKUP($L322,Data_Validation!$A:$D,1,0)</f>
        <v>6423</v>
      </c>
      <c r="U322" s="656" t="str">
        <f>+VLOOKUP($L322,Data_Validation!$A:$D,3,0)</f>
        <v>Service</v>
      </c>
      <c r="V322" s="656" t="str">
        <f>+VLOOKUP($L322,Data_Validation!$A:$D,4,0)</f>
        <v>Salaires commis</v>
      </c>
      <c r="W322" s="656" t="str">
        <f>+VLOOKUP($L322,Data_Validation!$A:$E,5,0)</f>
        <v>$</v>
      </c>
      <c r="X322" s="656">
        <f>+VLOOKUP($L322,Data_Validation!$A:$F,6,0)</f>
        <v>0</v>
      </c>
    </row>
    <row r="323" spans="1:24" ht="15" customHeight="1">
      <c r="A323" s="1210" t="s">
        <v>1175</v>
      </c>
      <c r="B323" s="1210" t="s">
        <v>2448</v>
      </c>
      <c r="C323" s="1212">
        <v>16262.27</v>
      </c>
      <c r="D323" s="1212">
        <v>14529.05</v>
      </c>
      <c r="E323" s="1212">
        <v>30791.32</v>
      </c>
      <c r="F323" s="1210" t="s">
        <v>1154</v>
      </c>
      <c r="G323" s="1210" t="s">
        <v>1176</v>
      </c>
      <c r="H323" s="651"/>
      <c r="I323" s="652"/>
      <c r="J323" s="652"/>
      <c r="K323" s="652"/>
      <c r="L323" s="653" t="str">
        <f t="shared" si="181"/>
        <v>6424</v>
      </c>
      <c r="M323" s="654" t="str">
        <f t="shared" si="182"/>
        <v>SALAIRES &amp; RENUM. - AUTRES</v>
      </c>
      <c r="N323" s="655">
        <f>+IF(OR($Q323=Parametres!$G$2,$Q323=Parametres!$G$3),I323,C323)</f>
        <v>16262.27</v>
      </c>
      <c r="O323" s="659">
        <f>+IF(OR($Q323=Parametres!$G$2,$Q323=Parametres!$G$3),J323,D323)</f>
        <v>14529.05</v>
      </c>
      <c r="P323" s="655">
        <f>+IF(OR($Q323=Parametres!$G$2,$Q323=Parametres!$G$3),K323,E323)</f>
        <v>30791.32</v>
      </c>
      <c r="Q323" s="654" t="str">
        <f t="shared" si="183"/>
        <v>7-Dépenses</v>
      </c>
      <c r="R323" s="653" t="str">
        <f t="shared" si="184"/>
        <v>6124</v>
      </c>
      <c r="S323" s="654">
        <f t="shared" si="185"/>
        <v>0</v>
      </c>
      <c r="T323" s="656" t="str">
        <f>+VLOOKUP($L323,Data_Validation!$A:$D,1,0)</f>
        <v>6424</v>
      </c>
      <c r="U323" s="656" t="str">
        <f>+VLOOKUP($L323,Data_Validation!$A:$D,3,0)</f>
        <v>Service</v>
      </c>
      <c r="V323" s="656" t="str">
        <f>+VLOOKUP($L323,Data_Validation!$A:$D,4,0)</f>
        <v>Salaires autres</v>
      </c>
      <c r="W323" s="656" t="str">
        <f>+VLOOKUP($L323,Data_Validation!$A:$E,5,0)</f>
        <v>$</v>
      </c>
      <c r="X323" s="656">
        <f>+VLOOKUP($L323,Data_Validation!$A:$F,6,0)</f>
        <v>0</v>
      </c>
    </row>
    <row r="324" spans="1:24" ht="15" customHeight="1">
      <c r="A324" s="1210" t="s">
        <v>1245</v>
      </c>
      <c r="B324" s="1210" t="s">
        <v>2451</v>
      </c>
      <c r="C324" s="1212">
        <v>15854.86</v>
      </c>
      <c r="D324" s="1212">
        <v>14700.61</v>
      </c>
      <c r="E324" s="1212">
        <v>30555.47</v>
      </c>
      <c r="F324" s="1210" t="s">
        <v>1154</v>
      </c>
      <c r="G324" s="1210" t="s">
        <v>1246</v>
      </c>
      <c r="H324" s="651"/>
      <c r="I324" s="670"/>
      <c r="J324" s="651"/>
      <c r="K324" s="670"/>
      <c r="L324" s="653" t="str">
        <f t="shared" si="181"/>
        <v>6425</v>
      </c>
      <c r="M324" s="654" t="str">
        <f t="shared" si="182"/>
        <v>SALAIRE SPECIALISTES</v>
      </c>
      <c r="N324" s="655">
        <f>+IF(OR($Q324=Parametres!$G$2,$Q324=Parametres!$G$3),I324,C324)</f>
        <v>15854.86</v>
      </c>
      <c r="O324" s="655">
        <f>+IF(OR($Q324=Parametres!$G$2,$Q324=Parametres!$G$3),J324,D324)</f>
        <v>14700.61</v>
      </c>
      <c r="P324" s="655">
        <f>+IF(OR($Q324=Parametres!$G$2,$Q324=Parametres!$G$3),K324,E324)</f>
        <v>30555.47</v>
      </c>
      <c r="Q324" s="654" t="str">
        <f t="shared" si="183"/>
        <v>7-Dépenses</v>
      </c>
      <c r="R324" s="653" t="str">
        <f t="shared" si="184"/>
        <v>6125</v>
      </c>
      <c r="S324" s="654">
        <f t="shared" si="185"/>
        <v>0</v>
      </c>
      <c r="T324" s="656" t="str">
        <f>+VLOOKUP($L324,Data_Validation!$A:$D,1,0)</f>
        <v>6425</v>
      </c>
      <c r="U324" s="656" t="str">
        <f>+VLOOKUP($L324,Data_Validation!$A:$D,3,0)</f>
        <v>Service</v>
      </c>
      <c r="V324" s="656" t="str">
        <f>+VLOOKUP($L324,Data_Validation!$A:$D,4,0)</f>
        <v>Salaires spécialistes</v>
      </c>
      <c r="W324" s="656" t="str">
        <f>+VLOOKUP($L324,Data_Validation!$A:$E,5,0)</f>
        <v>$</v>
      </c>
      <c r="X324" s="656">
        <f>+VLOOKUP($L324,Data_Validation!$A:$F,6,0)</f>
        <v>0</v>
      </c>
    </row>
    <row r="325" spans="1:24" ht="15" customHeight="1">
      <c r="A325" s="1210" t="s">
        <v>1247</v>
      </c>
      <c r="B325" s="1210" t="s">
        <v>2454</v>
      </c>
      <c r="C325" s="1212">
        <v>15632.41</v>
      </c>
      <c r="D325" s="1212">
        <v>12747.9</v>
      </c>
      <c r="E325" s="1212">
        <v>28380.31</v>
      </c>
      <c r="F325" s="1210" t="s">
        <v>1154</v>
      </c>
      <c r="G325" s="1210" t="s">
        <v>1178</v>
      </c>
      <c r="H325" s="651"/>
      <c r="I325" s="670"/>
      <c r="J325" s="651"/>
      <c r="K325" s="670"/>
      <c r="L325" s="653" t="str">
        <f t="shared" si="181"/>
        <v>6429</v>
      </c>
      <c r="M325" s="654" t="str">
        <f t="shared" si="182"/>
        <v>SAL.,VACANCE, &amp; SAL. JOURS FER</v>
      </c>
      <c r="N325" s="655">
        <f>+IF(OR($Q325=Parametres!$G$2,$Q325=Parametres!$G$3),I325,C325)</f>
        <v>15632.41</v>
      </c>
      <c r="O325" s="659">
        <f>+IF(OR($Q325=Parametres!$G$2,$Q325=Parametres!$G$3),J325,D325)</f>
        <v>12747.9</v>
      </c>
      <c r="P325" s="655">
        <f>+IF(OR($Q325=Parametres!$G$2,$Q325=Parametres!$G$3),K325,E325)</f>
        <v>28380.31</v>
      </c>
      <c r="Q325" s="654" t="str">
        <f t="shared" si="183"/>
        <v>7-Dépenses</v>
      </c>
      <c r="R325" s="653" t="str">
        <f t="shared" si="184"/>
        <v>6129</v>
      </c>
      <c r="S325" s="654">
        <f t="shared" si="185"/>
        <v>0</v>
      </c>
      <c r="T325" s="656" t="str">
        <f>+VLOOKUP($L325,Data_Validation!$A:$D,1,0)</f>
        <v>6429</v>
      </c>
      <c r="U325" s="656" t="str">
        <f>+VLOOKUP($L325,Data_Validation!$A:$D,3,0)</f>
        <v>Service</v>
      </c>
      <c r="V325" s="656" t="str">
        <f>+VLOOKUP($L325,Data_Validation!$A:$D,4,0)</f>
        <v>Salaires en absences</v>
      </c>
      <c r="W325" s="656" t="str">
        <f>+VLOOKUP($L325,Data_Validation!$A:$E,5,0)</f>
        <v>$</v>
      </c>
      <c r="X325" s="656">
        <f>+VLOOKUP($L325,Data_Validation!$A:$F,6,0)</f>
        <v>0</v>
      </c>
    </row>
    <row r="326" spans="1:24" ht="15" customHeight="1">
      <c r="A326" s="1210" t="s">
        <v>1179</v>
      </c>
      <c r="B326" s="1210" t="s">
        <v>2457</v>
      </c>
      <c r="C326" s="1212">
        <v>4046.96</v>
      </c>
      <c r="D326" s="1212">
        <v>4013.11</v>
      </c>
      <c r="E326" s="1212">
        <v>8060.07</v>
      </c>
      <c r="F326" s="1210" t="s">
        <v>1154</v>
      </c>
      <c r="G326" s="1210" t="s">
        <v>1180</v>
      </c>
      <c r="H326" s="651"/>
      <c r="I326" s="652"/>
      <c r="J326" s="652"/>
      <c r="K326" s="652"/>
      <c r="L326" s="653" t="str">
        <f t="shared" si="181"/>
        <v>6431</v>
      </c>
      <c r="M326" s="654" t="str">
        <f t="shared" si="182"/>
        <v>CSST</v>
      </c>
      <c r="N326" s="655">
        <f>+IF(OR($Q326=Parametres!$G$2,$Q326=Parametres!$G$3),I326,C326)</f>
        <v>4046.96</v>
      </c>
      <c r="O326" s="659">
        <f>+IF(OR($Q326=Parametres!$G$2,$Q326=Parametres!$G$3),J326,D326)</f>
        <v>4013.11</v>
      </c>
      <c r="P326" s="655">
        <f>+IF(OR($Q326=Parametres!$G$2,$Q326=Parametres!$G$3),K326,E326)</f>
        <v>8060.07</v>
      </c>
      <c r="Q326" s="654" t="str">
        <f t="shared" si="183"/>
        <v>7-Dépenses</v>
      </c>
      <c r="R326" s="653" t="str">
        <f t="shared" si="184"/>
        <v>6131</v>
      </c>
      <c r="S326" s="654">
        <f t="shared" si="185"/>
        <v>0</v>
      </c>
      <c r="T326" s="656" t="str">
        <f>+VLOOKUP($L326,Data_Validation!$A:$D,1,0)</f>
        <v>6431</v>
      </c>
      <c r="U326" s="656" t="str">
        <f>+VLOOKUP($L326,Data_Validation!$A:$D,3,0)</f>
        <v>Service</v>
      </c>
      <c r="V326" s="656" t="str">
        <f>+VLOOKUP($L326,Data_Validation!$A:$D,4,0)</f>
        <v>Csst</v>
      </c>
      <c r="W326" s="656" t="str">
        <f>+VLOOKUP($L326,Data_Validation!$A:$E,5,0)</f>
        <v>$</v>
      </c>
      <c r="X326" s="656">
        <f>+VLOOKUP($L326,Data_Validation!$A:$F,6,0)</f>
        <v>0</v>
      </c>
    </row>
    <row r="327" spans="1:24" ht="15.75" customHeight="1">
      <c r="A327" s="1210" t="s">
        <v>1181</v>
      </c>
      <c r="B327" s="1210" t="s">
        <v>2460</v>
      </c>
      <c r="C327" s="1212">
        <v>18756.32</v>
      </c>
      <c r="D327" s="1212">
        <v>15622.95</v>
      </c>
      <c r="E327" s="1212">
        <v>34379.269999999997</v>
      </c>
      <c r="F327" s="1210" t="s">
        <v>1154</v>
      </c>
      <c r="G327" s="1210" t="s">
        <v>1182</v>
      </c>
      <c r="H327" s="650"/>
      <c r="I327" s="652"/>
      <c r="J327" s="652"/>
      <c r="K327" s="652"/>
      <c r="L327" s="653" t="str">
        <f t="shared" si="181"/>
        <v>6432</v>
      </c>
      <c r="M327" s="654" t="str">
        <f t="shared" si="182"/>
        <v>RRQ RAMQ AC</v>
      </c>
      <c r="N327" s="655">
        <f>+IF(OR($Q327=Parametres!$G$2,$Q327=Parametres!$G$3),I327,C327)</f>
        <v>18756.32</v>
      </c>
      <c r="O327" s="655">
        <f>+IF(OR($Q327=Parametres!$G$2,$Q327=Parametres!$G$3),J327,D327)</f>
        <v>15622.95</v>
      </c>
      <c r="P327" s="655">
        <f>+IF(OR($Q327=Parametres!$G$2,$Q327=Parametres!$G$3),K327,E327)</f>
        <v>34379.269999999997</v>
      </c>
      <c r="Q327" s="654" t="str">
        <f t="shared" si="183"/>
        <v>7-Dépenses</v>
      </c>
      <c r="R327" s="653" t="str">
        <f t="shared" si="184"/>
        <v>6132</v>
      </c>
      <c r="S327" s="654">
        <f t="shared" si="185"/>
        <v>0</v>
      </c>
      <c r="T327" s="656" t="str">
        <f>+VLOOKUP($L327,Data_Validation!$A:$D,1,0)</f>
        <v>6432</v>
      </c>
      <c r="U327" s="656" t="str">
        <f>+VLOOKUP($L327,Data_Validation!$A:$D,3,0)</f>
        <v>Service</v>
      </c>
      <c r="V327" s="656" t="str">
        <f>+VLOOKUP($L327,Data_Validation!$A:$D,4,0)</f>
        <v>Déduction à la source</v>
      </c>
      <c r="W327" s="656" t="str">
        <f>+VLOOKUP($L327,Data_Validation!$A:$E,5,0)</f>
        <v>$</v>
      </c>
      <c r="X327" s="656">
        <f>+VLOOKUP($L327,Data_Validation!$A:$F,6,0)</f>
        <v>0</v>
      </c>
    </row>
    <row r="328" spans="1:24" ht="15" customHeight="1">
      <c r="A328" s="1210" t="s">
        <v>1248</v>
      </c>
      <c r="B328" s="1210" t="s">
        <v>2463</v>
      </c>
      <c r="C328" s="1212">
        <v>3777.85</v>
      </c>
      <c r="D328" s="1212">
        <v>3503.11</v>
      </c>
      <c r="E328" s="1212">
        <v>7280.96</v>
      </c>
      <c r="F328" s="1210" t="s">
        <v>1154</v>
      </c>
      <c r="G328" s="1210" t="s">
        <v>1184</v>
      </c>
      <c r="H328" s="650"/>
      <c r="I328" s="652"/>
      <c r="J328" s="652"/>
      <c r="K328" s="652"/>
      <c r="L328" s="653" t="str">
        <f t="shared" si="181"/>
        <v>6433</v>
      </c>
      <c r="M328" s="654" t="str">
        <f t="shared" si="182"/>
        <v>FOND PENSION - SERVICE</v>
      </c>
      <c r="N328" s="655">
        <f>+IF(OR($Q328=Parametres!$G$2,$Q328=Parametres!$G$3),I328,C328)</f>
        <v>3777.85</v>
      </c>
      <c r="O328" s="655">
        <f>+IF(OR($Q328=Parametres!$G$2,$Q328=Parametres!$G$3),J328,D328)</f>
        <v>3503.11</v>
      </c>
      <c r="P328" s="655">
        <f>+IF(OR($Q328=Parametres!$G$2,$Q328=Parametres!$G$3),K328,E328)</f>
        <v>7280.96</v>
      </c>
      <c r="Q328" s="654" t="str">
        <f t="shared" si="183"/>
        <v>7-Dépenses</v>
      </c>
      <c r="R328" s="653" t="str">
        <f t="shared" si="184"/>
        <v>6133</v>
      </c>
      <c r="S328" s="654">
        <f t="shared" si="185"/>
        <v>0</v>
      </c>
      <c r="T328" s="656" t="str">
        <f>+VLOOKUP($L328,Data_Validation!$A:$D,1,0)</f>
        <v>6433</v>
      </c>
      <c r="U328" s="656" t="str">
        <f>+VLOOKUP($L328,Data_Validation!$A:$D,3,0)</f>
        <v>Service</v>
      </c>
      <c r="V328" s="656" t="str">
        <f>+VLOOKUP($L328,Data_Validation!$A:$D,4,0)</f>
        <v>Bénéfices marginaux</v>
      </c>
      <c r="W328" s="656" t="str">
        <f>+VLOOKUP($L328,Data_Validation!$A:$E,5,0)</f>
        <v>$</v>
      </c>
      <c r="X328" s="656">
        <f>+VLOOKUP($L328,Data_Validation!$A:$F,6,0)</f>
        <v>0</v>
      </c>
    </row>
    <row r="329" spans="1:24" ht="15" customHeight="1">
      <c r="A329" s="1210" t="s">
        <v>1231</v>
      </c>
      <c r="B329" s="1210" t="s">
        <v>2466</v>
      </c>
      <c r="C329" s="1212">
        <v>5925.28</v>
      </c>
      <c r="D329" s="1212">
        <v>5027.24</v>
      </c>
      <c r="E329" s="1212">
        <v>10952.52</v>
      </c>
      <c r="F329" s="1210" t="s">
        <v>1154</v>
      </c>
      <c r="G329" s="1210" t="s">
        <v>1186</v>
      </c>
      <c r="H329" s="651"/>
      <c r="I329" s="651"/>
      <c r="J329" s="651"/>
      <c r="K329" s="651"/>
      <c r="L329" s="653" t="str">
        <f t="shared" si="181"/>
        <v>6439</v>
      </c>
      <c r="M329" s="654" t="str">
        <f t="shared" si="182"/>
        <v>ASSURANCE GROUPE</v>
      </c>
      <c r="N329" s="655">
        <f>+IF(OR($Q329=Parametres!$G$2,$Q329=Parametres!$G$3),I329,C329)</f>
        <v>5925.28</v>
      </c>
      <c r="O329" s="655">
        <f>+IF(OR($Q329=Parametres!$G$2,$Q329=Parametres!$G$3),J329,D329)</f>
        <v>5027.24</v>
      </c>
      <c r="P329" s="655">
        <f>+IF(OR($Q329=Parametres!$G$2,$Q329=Parametres!$G$3),K329,E329)</f>
        <v>10952.52</v>
      </c>
      <c r="Q329" s="654" t="str">
        <f t="shared" si="183"/>
        <v>7-Dépenses</v>
      </c>
      <c r="R329" s="653" t="str">
        <f t="shared" si="184"/>
        <v>6139</v>
      </c>
      <c r="S329" s="654">
        <f t="shared" si="185"/>
        <v>0</v>
      </c>
      <c r="T329" s="656" t="str">
        <f>+VLOOKUP($L329,Data_Validation!$A:$D,1,0)</f>
        <v>6439</v>
      </c>
      <c r="U329" s="656" t="str">
        <f>+VLOOKUP($L329,Data_Validation!$A:$D,3,0)</f>
        <v>Service</v>
      </c>
      <c r="V329" s="656" t="str">
        <f>+VLOOKUP($L329,Data_Validation!$A:$D,4,0)</f>
        <v>Bénéfices marginaux</v>
      </c>
      <c r="W329" s="656" t="str">
        <f>+VLOOKUP($L329,Data_Validation!$A:$E,5,0)</f>
        <v>$</v>
      </c>
      <c r="X329" s="656">
        <f>+VLOOKUP($L329,Data_Validation!$A:$F,6,0)</f>
        <v>0</v>
      </c>
    </row>
    <row r="330" spans="1:24" ht="15" customHeight="1">
      <c r="A330" s="1210" t="s">
        <v>1249</v>
      </c>
      <c r="B330" s="1210" t="s">
        <v>2472</v>
      </c>
      <c r="C330" s="1212">
        <v>41.8</v>
      </c>
      <c r="D330" s="1212">
        <v>113.16</v>
      </c>
      <c r="E330" s="1212">
        <v>154.96</v>
      </c>
      <c r="F330" s="1210" t="s">
        <v>1154</v>
      </c>
      <c r="G330" s="1210" t="s">
        <v>1242</v>
      </c>
      <c r="H330" s="650"/>
      <c r="I330" s="663"/>
      <c r="J330" s="663"/>
      <c r="K330" s="663"/>
      <c r="L330" s="653" t="str">
        <f t="shared" si="181"/>
        <v>6441</v>
      </c>
      <c r="M330" s="654" t="str">
        <f t="shared" si="182"/>
        <v>RETOURS</v>
      </c>
      <c r="N330" s="655">
        <f>+IF(OR($Q330=Parametres!$G$2,$Q330=Parametres!$G$3),I330,C330)</f>
        <v>41.8</v>
      </c>
      <c r="O330" s="655">
        <f>+IF(OR($Q330=Parametres!$G$2,$Q330=Parametres!$G$3),J330,D330)</f>
        <v>113.16</v>
      </c>
      <c r="P330" s="655">
        <f>+IF(OR($Q330=Parametres!$G$2,$Q330=Parametres!$G$3),K330,E330)</f>
        <v>154.96</v>
      </c>
      <c r="Q330" s="654" t="str">
        <f t="shared" si="183"/>
        <v>7-Dépenses</v>
      </c>
      <c r="R330" s="653" t="str">
        <f t="shared" si="184"/>
        <v>6112</v>
      </c>
      <c r="S330" s="654">
        <f t="shared" si="185"/>
        <v>0</v>
      </c>
      <c r="T330" s="656" t="str">
        <f>+VLOOKUP($L330,Data_Validation!$A:$D,1,0)</f>
        <v>6441</v>
      </c>
      <c r="U330" s="656" t="str">
        <f>+VLOOKUP($L330,Data_Validation!$A:$D,3,0)</f>
        <v>Service</v>
      </c>
      <c r="V330" s="656" t="str">
        <f>+VLOOKUP($L330,Data_Validation!$A:$D,4,0)</f>
        <v>Service gratuit 2</v>
      </c>
      <c r="W330" s="656" t="str">
        <f>+VLOOKUP($L330,Data_Validation!$A:$E,5,0)</f>
        <v>$</v>
      </c>
      <c r="X330" s="656">
        <f>+VLOOKUP($L330,Data_Validation!$A:$F,6,0)</f>
        <v>0</v>
      </c>
    </row>
    <row r="331" spans="1:24" ht="15" customHeight="1">
      <c r="A331" s="1210" t="s">
        <v>1187</v>
      </c>
      <c r="B331" s="1210" t="s">
        <v>2475</v>
      </c>
      <c r="C331" s="1212">
        <v>3709.05</v>
      </c>
      <c r="D331" s="1212">
        <v>6854.16</v>
      </c>
      <c r="E331" s="1212">
        <v>10563.21</v>
      </c>
      <c r="F331" s="1210" t="s">
        <v>1154</v>
      </c>
      <c r="G331" s="1210" t="s">
        <v>1188</v>
      </c>
      <c r="H331" s="650"/>
      <c r="I331" s="663"/>
      <c r="J331" s="663"/>
      <c r="K331" s="663"/>
      <c r="L331" s="653" t="str">
        <f t="shared" si="181"/>
        <v>6442</v>
      </c>
      <c r="M331" s="654" t="str">
        <f t="shared" si="182"/>
        <v>FOURNITURES &amp; PETITS OUTILS</v>
      </c>
      <c r="N331" s="655">
        <f>+IF(OR($Q331=Parametres!$G$2,$Q331=Parametres!$G$3),I331,C331)</f>
        <v>3709.05</v>
      </c>
      <c r="O331" s="655">
        <f>+IF(OR($Q331=Parametres!$G$2,$Q331=Parametres!$G$3),J331,D331)</f>
        <v>6854.16</v>
      </c>
      <c r="P331" s="655">
        <f>+IF(OR($Q331=Parametres!$G$2,$Q331=Parametres!$G$3),K331,E331)</f>
        <v>10563.21</v>
      </c>
      <c r="Q331" s="654" t="str">
        <f t="shared" si="183"/>
        <v>7-Dépenses</v>
      </c>
      <c r="R331" s="653" t="str">
        <f t="shared" si="184"/>
        <v>6142</v>
      </c>
      <c r="S331" s="654">
        <f t="shared" si="185"/>
        <v>0</v>
      </c>
      <c r="T331" s="656" t="str">
        <f>+VLOOKUP($L331,Data_Validation!$A:$D,1,0)</f>
        <v>6442</v>
      </c>
      <c r="U331" s="656" t="str">
        <f>+VLOOKUP($L331,Data_Validation!$A:$D,3,0)</f>
        <v>Service</v>
      </c>
      <c r="V331" s="656" t="str">
        <f>+VLOOKUP($L331,Data_Validation!$A:$D,4,0)</f>
        <v>Fournitures autres</v>
      </c>
      <c r="W331" s="656" t="str">
        <f>+VLOOKUP($L331,Data_Validation!$A:$E,5,0)</f>
        <v>$</v>
      </c>
      <c r="X331" s="656">
        <f>+VLOOKUP($L331,Data_Validation!$A:$F,6,0)</f>
        <v>0</v>
      </c>
    </row>
    <row r="332" spans="1:24" ht="15" customHeight="1">
      <c r="A332" s="1210" t="s">
        <v>1189</v>
      </c>
      <c r="B332" s="1210" t="s">
        <v>2478</v>
      </c>
      <c r="C332" s="1212">
        <v>578.16999999999996</v>
      </c>
      <c r="D332" s="1212">
        <v>605.89</v>
      </c>
      <c r="E332" s="1212">
        <v>1184.06</v>
      </c>
      <c r="F332" s="1210" t="s">
        <v>1154</v>
      </c>
      <c r="G332" s="1210" t="s">
        <v>1190</v>
      </c>
      <c r="H332" s="650"/>
      <c r="I332" s="663"/>
      <c r="J332" s="663"/>
      <c r="K332" s="663"/>
      <c r="L332" s="653" t="str">
        <f t="shared" si="181"/>
        <v>6443</v>
      </c>
      <c r="M332" s="654" t="str">
        <f t="shared" si="182"/>
        <v>UNIFORMES &amp; LESSIVE</v>
      </c>
      <c r="N332" s="655">
        <f>+IF(OR($Q332=Parametres!$G$2,$Q332=Parametres!$G$3),I332,C332)</f>
        <v>578.16999999999996</v>
      </c>
      <c r="O332" s="655">
        <f>+IF(OR($Q332=Parametres!$G$2,$Q332=Parametres!$G$3),J332,D332)</f>
        <v>605.89</v>
      </c>
      <c r="P332" s="655">
        <f>+IF(OR($Q332=Parametres!$G$2,$Q332=Parametres!$G$3),K332,E332)</f>
        <v>1184.06</v>
      </c>
      <c r="Q332" s="654" t="str">
        <f t="shared" si="183"/>
        <v>7-Dépenses</v>
      </c>
      <c r="R332" s="653" t="str">
        <f t="shared" si="184"/>
        <v>6143</v>
      </c>
      <c r="S332" s="654">
        <f t="shared" si="185"/>
        <v>0</v>
      </c>
      <c r="T332" s="656" t="str">
        <f>+VLOOKUP($L332,Data_Validation!$A:$D,1,0)</f>
        <v>6443</v>
      </c>
      <c r="U332" s="656" t="str">
        <f>+VLOOKUP($L332,Data_Validation!$A:$D,3,0)</f>
        <v>Service</v>
      </c>
      <c r="V332" s="656" t="str">
        <f>+VLOOKUP($L332,Data_Validation!$A:$D,4,0)</f>
        <v>Uniformes</v>
      </c>
      <c r="W332" s="656" t="str">
        <f>+VLOOKUP($L332,Data_Validation!$A:$E,5,0)</f>
        <v>$</v>
      </c>
      <c r="X332" s="656">
        <f>+VLOOKUP($L332,Data_Validation!$A:$F,6,0)</f>
        <v>0</v>
      </c>
    </row>
    <row r="333" spans="1:24" ht="15.75" customHeight="1">
      <c r="A333" s="1210" t="s">
        <v>1191</v>
      </c>
      <c r="B333" s="1210" t="s">
        <v>2481</v>
      </c>
      <c r="C333" s="1212">
        <v>359.22</v>
      </c>
      <c r="D333" s="1212">
        <v>955.51</v>
      </c>
      <c r="E333" s="1212">
        <v>1314.73</v>
      </c>
      <c r="F333" s="1210" t="s">
        <v>1154</v>
      </c>
      <c r="G333" s="1210" t="s">
        <v>1192</v>
      </c>
      <c r="H333" s="650"/>
      <c r="I333" s="652"/>
      <c r="J333" s="652"/>
      <c r="K333" s="652"/>
      <c r="L333" s="653" t="str">
        <f t="shared" si="181"/>
        <v>6444</v>
      </c>
      <c r="M333" s="654" t="str">
        <f t="shared" si="182"/>
        <v>FORMATION</v>
      </c>
      <c r="N333" s="655">
        <f>+IF(OR($Q333=Parametres!$G$2,$Q333=Parametres!$G$3),I333,C333)</f>
        <v>359.22</v>
      </c>
      <c r="O333" s="655">
        <f>+IF(OR($Q333=Parametres!$G$2,$Q333=Parametres!$G$3),J333,D333)</f>
        <v>955.51</v>
      </c>
      <c r="P333" s="655">
        <f>+IF(OR($Q333=Parametres!$G$2,$Q333=Parametres!$G$3),K333,E333)</f>
        <v>1314.73</v>
      </c>
      <c r="Q333" s="654" t="str">
        <f t="shared" si="183"/>
        <v>7-Dépenses</v>
      </c>
      <c r="R333" s="653" t="str">
        <f t="shared" si="184"/>
        <v>6144</v>
      </c>
      <c r="S333" s="654">
        <f t="shared" si="185"/>
        <v>0</v>
      </c>
      <c r="T333" s="656" t="str">
        <f>+VLOOKUP($L333,Data_Validation!$A:$D,1,0)</f>
        <v>6444</v>
      </c>
      <c r="U333" s="656" t="str">
        <f>+VLOOKUP($L333,Data_Validation!$A:$D,3,0)</f>
        <v>Service</v>
      </c>
      <c r="V333" s="656" t="str">
        <f>+VLOOKUP($L333,Data_Validation!$A:$D,4,0)</f>
        <v>Formation</v>
      </c>
      <c r="W333" s="656" t="str">
        <f>+VLOOKUP($L333,Data_Validation!$A:$E,5,0)</f>
        <v>$</v>
      </c>
      <c r="X333" s="656">
        <f>+VLOOKUP($L333,Data_Validation!$A:$F,6,0)</f>
        <v>0</v>
      </c>
    </row>
    <row r="334" spans="1:24" ht="15.75" customHeight="1">
      <c r="A334" s="1210" t="s">
        <v>1250</v>
      </c>
      <c r="B334" s="1210" t="s">
        <v>2484</v>
      </c>
      <c r="C334" s="1212">
        <v>5402.51</v>
      </c>
      <c r="D334" s="1212">
        <v>9690.11</v>
      </c>
      <c r="E334" s="1212">
        <v>15092.62</v>
      </c>
      <c r="F334" s="1210" t="s">
        <v>1154</v>
      </c>
      <c r="G334" s="1210" t="s">
        <v>1194</v>
      </c>
      <c r="H334" s="650"/>
      <c r="I334" s="663"/>
      <c r="J334" s="663"/>
      <c r="K334" s="663"/>
      <c r="L334" s="653" t="str">
        <f t="shared" si="181"/>
        <v>6445</v>
      </c>
      <c r="M334" s="654" t="str">
        <f t="shared" si="182"/>
        <v>LOCATION COURTOISIE</v>
      </c>
      <c r="N334" s="655">
        <f>+IF(OR($Q334=Parametres!$G$2,$Q334=Parametres!$G$3),I334,C334)</f>
        <v>5402.51</v>
      </c>
      <c r="O334" s="655">
        <f>+IF(OR($Q334=Parametres!$G$2,$Q334=Parametres!$G$3),J334,D334)</f>
        <v>9690.11</v>
      </c>
      <c r="P334" s="655">
        <f>+IF(OR($Q334=Parametres!$G$2,$Q334=Parametres!$G$3),K334,E334)</f>
        <v>15092.62</v>
      </c>
      <c r="Q334" s="654" t="str">
        <f t="shared" si="183"/>
        <v>7-Dépenses</v>
      </c>
      <c r="R334" s="653" t="str">
        <f t="shared" si="184"/>
        <v>6145</v>
      </c>
      <c r="S334" s="654">
        <f t="shared" si="185"/>
        <v>0</v>
      </c>
      <c r="T334" s="656" t="str">
        <f>+VLOOKUP($L334,Data_Validation!$A:$D,1,0)</f>
        <v>6445</v>
      </c>
      <c r="U334" s="656" t="str">
        <f>+VLOOKUP($L334,Data_Validation!$A:$D,3,0)</f>
        <v>Service</v>
      </c>
      <c r="V334" s="656" t="str">
        <f>+VLOOKUP($L334,Data_Validation!$A:$D,4,0)</f>
        <v>Frais véhicules de cie</v>
      </c>
      <c r="W334" s="656" t="str">
        <f>+VLOOKUP($L334,Data_Validation!$A:$E,5,0)</f>
        <v>$</v>
      </c>
      <c r="X334" s="656">
        <f>+VLOOKUP($L334,Data_Validation!$A:$F,6,0)</f>
        <v>0</v>
      </c>
    </row>
    <row r="335" spans="1:24" ht="15" customHeight="1">
      <c r="A335" s="1210" t="s">
        <v>1195</v>
      </c>
      <c r="B335" s="1210" t="s">
        <v>2487</v>
      </c>
      <c r="C335" s="1212">
        <v>544.33000000000004</v>
      </c>
      <c r="D335" s="1212">
        <v>335.92</v>
      </c>
      <c r="E335" s="1212">
        <v>880.25</v>
      </c>
      <c r="F335" s="1210" t="s">
        <v>1154</v>
      </c>
      <c r="G335" s="1210" t="s">
        <v>1196</v>
      </c>
      <c r="H335" s="650"/>
      <c r="I335" s="652"/>
      <c r="J335" s="652"/>
      <c r="K335" s="652"/>
      <c r="L335" s="653" t="str">
        <f t="shared" si="181"/>
        <v>6447</v>
      </c>
      <c r="M335" s="654" t="str">
        <f t="shared" si="182"/>
        <v>FRET/EXPRESS/TRANS. PAR CAMION</v>
      </c>
      <c r="N335" s="655">
        <f>+IF(OR($Q335=Parametres!$G$2,$Q335=Parametres!$G$3),I335,C335)</f>
        <v>544.33000000000004</v>
      </c>
      <c r="O335" s="655">
        <f>+IF(OR($Q335=Parametres!$G$2,$Q335=Parametres!$G$3),J335,D335)</f>
        <v>335.92</v>
      </c>
      <c r="P335" s="655">
        <f>+IF(OR($Q335=Parametres!$G$2,$Q335=Parametres!$G$3),K335,E335)</f>
        <v>880.25</v>
      </c>
      <c r="Q335" s="654" t="str">
        <f t="shared" si="183"/>
        <v>7-Dépenses</v>
      </c>
      <c r="R335" s="653" t="str">
        <f t="shared" si="184"/>
        <v>6147</v>
      </c>
      <c r="S335" s="654">
        <f t="shared" si="185"/>
        <v>0</v>
      </c>
      <c r="T335" s="656" t="str">
        <f>+VLOOKUP($L335,Data_Validation!$A:$D,1,0)</f>
        <v>6447</v>
      </c>
      <c r="U335" s="656" t="str">
        <f>+VLOOKUP($L335,Data_Validation!$A:$D,3,0)</f>
        <v>Service</v>
      </c>
      <c r="V335" s="656" t="str">
        <f>+VLOOKUP($L335,Data_Validation!$A:$D,4,0)</f>
        <v>Frais postaux</v>
      </c>
      <c r="W335" s="656" t="str">
        <f>+VLOOKUP($L335,Data_Validation!$A:$E,5,0)</f>
        <v>$</v>
      </c>
      <c r="X335" s="656">
        <f>+VLOOKUP($L335,Data_Validation!$A:$F,6,0)</f>
        <v>0</v>
      </c>
    </row>
    <row r="336" spans="1:24" ht="15" customHeight="1">
      <c r="A336" s="1210" t="s">
        <v>1197</v>
      </c>
      <c r="B336" s="1210" t="s">
        <v>2490</v>
      </c>
      <c r="C336" s="1212">
        <v>4471.2299999999996</v>
      </c>
      <c r="D336" s="1212">
        <v>5191.2</v>
      </c>
      <c r="E336" s="1212">
        <v>9662.43</v>
      </c>
      <c r="F336" s="1210" t="s">
        <v>1154</v>
      </c>
      <c r="G336" s="1210" t="s">
        <v>1198</v>
      </c>
      <c r="H336" s="650"/>
      <c r="I336" s="652"/>
      <c r="J336" s="652"/>
      <c r="K336" s="652"/>
      <c r="L336" s="653" t="str">
        <f t="shared" si="181"/>
        <v>6451</v>
      </c>
      <c r="M336" s="654" t="str">
        <f t="shared" si="182"/>
        <v>DEP. DU TRAITEMENT DES DONNEES</v>
      </c>
      <c r="N336" s="655">
        <f>+IF(OR($Q336=Parametres!$G$2,$Q336=Parametres!$G$3),I336,C336)</f>
        <v>4471.2299999999996</v>
      </c>
      <c r="O336" s="655">
        <f>+IF(OR($Q336=Parametres!$G$2,$Q336=Parametres!$G$3),J336,D336)</f>
        <v>5191.2</v>
      </c>
      <c r="P336" s="655">
        <f>+IF(OR($Q336=Parametres!$G$2,$Q336=Parametres!$G$3),K336,E336)</f>
        <v>9662.43</v>
      </c>
      <c r="Q336" s="654" t="str">
        <f t="shared" si="183"/>
        <v>7-Dépenses</v>
      </c>
      <c r="R336" s="653" t="str">
        <f t="shared" si="184"/>
        <v>6151</v>
      </c>
      <c r="S336" s="654">
        <f t="shared" si="185"/>
        <v>0</v>
      </c>
      <c r="T336" s="656" t="str">
        <f>+VLOOKUP($L336,Data_Validation!$A:$D,1,0)</f>
        <v>6451</v>
      </c>
      <c r="U336" s="656" t="str">
        <f>+VLOOKUP($L336,Data_Validation!$A:$D,3,0)</f>
        <v>Service</v>
      </c>
      <c r="V336" s="656" t="str">
        <f>+VLOOKUP($L336,Data_Validation!$A:$D,4,0)</f>
        <v>Informatique</v>
      </c>
      <c r="W336" s="656" t="str">
        <f>+VLOOKUP($L336,Data_Validation!$A:$E,5,0)</f>
        <v>$</v>
      </c>
      <c r="X336" s="656">
        <f>+VLOOKUP($L336,Data_Validation!$A:$F,6,0)</f>
        <v>0</v>
      </c>
    </row>
    <row r="337" spans="1:24" ht="15" customHeight="1">
      <c r="A337" s="1210" t="s">
        <v>1199</v>
      </c>
      <c r="B337" s="1210" t="s">
        <v>2493</v>
      </c>
      <c r="C337" s="1212">
        <v>121.3</v>
      </c>
      <c r="D337" s="1212">
        <v>781.46</v>
      </c>
      <c r="E337" s="1212">
        <v>902.76</v>
      </c>
      <c r="F337" s="1210" t="s">
        <v>1154</v>
      </c>
      <c r="G337" s="1210" t="s">
        <v>1200</v>
      </c>
      <c r="H337" s="1203"/>
      <c r="I337" s="1203"/>
      <c r="J337" s="1203"/>
      <c r="K337" s="1203"/>
      <c r="L337" s="653" t="str">
        <f t="shared" si="181"/>
        <v>6452</v>
      </c>
      <c r="M337" s="654" t="str">
        <f t="shared" si="182"/>
        <v>PAPETERIE</v>
      </c>
      <c r="N337" s="655">
        <f>+IF(OR($Q337=Parametres!$G$2,$Q337=Parametres!$G$3),I337,C337)</f>
        <v>121.3</v>
      </c>
      <c r="O337" s="655">
        <f>+IF(OR($Q337=Parametres!$G$2,$Q337=Parametres!$G$3),J337,D337)</f>
        <v>781.46</v>
      </c>
      <c r="P337" s="655">
        <f>+IF(OR($Q337=Parametres!$G$2,$Q337=Parametres!$G$3),K337,E337)</f>
        <v>902.76</v>
      </c>
      <c r="Q337" s="654" t="str">
        <f t="shared" si="183"/>
        <v>7-Dépenses</v>
      </c>
      <c r="R337" s="653" t="str">
        <f t="shared" si="184"/>
        <v>6152</v>
      </c>
      <c r="S337" s="654">
        <f t="shared" si="185"/>
        <v>0</v>
      </c>
      <c r="T337" s="656" t="str">
        <f>+VLOOKUP($L337,Data_Validation!$A:$D,1,0)</f>
        <v>6452</v>
      </c>
      <c r="U337" s="656" t="str">
        <f>+VLOOKUP($L337,Data_Validation!$A:$D,3,0)</f>
        <v>Service</v>
      </c>
      <c r="V337" s="656" t="str">
        <f>+VLOOKUP($L337,Data_Validation!$A:$D,4,0)</f>
        <v>Papeterie</v>
      </c>
      <c r="W337" s="656" t="str">
        <f>+VLOOKUP($L337,Data_Validation!$A:$E,5,0)</f>
        <v>$</v>
      </c>
      <c r="X337" s="656">
        <f>+VLOOKUP($L337,Data_Validation!$A:$F,6,0)</f>
        <v>0</v>
      </c>
    </row>
    <row r="338" spans="1:24" ht="15.75" customHeight="1">
      <c r="A338" s="1210" t="s">
        <v>1201</v>
      </c>
      <c r="B338" s="1210" t="s">
        <v>2496</v>
      </c>
      <c r="C338" s="1212">
        <v>263.5</v>
      </c>
      <c r="D338" s="1212">
        <v>226.91</v>
      </c>
      <c r="E338" s="1212">
        <v>490.41</v>
      </c>
      <c r="F338" s="1210" t="s">
        <v>1154</v>
      </c>
      <c r="G338" s="1210" t="s">
        <v>1202</v>
      </c>
      <c r="H338" s="1203"/>
      <c r="I338" s="1203"/>
      <c r="J338" s="1203"/>
      <c r="K338" s="1203"/>
      <c r="L338" s="653" t="str">
        <f t="shared" si="181"/>
        <v>6453</v>
      </c>
      <c r="M338" s="654" t="str">
        <f t="shared" si="182"/>
        <v>TELEPHONE ET TELEX</v>
      </c>
      <c r="N338" s="655">
        <f>+IF(OR($Q338=Parametres!$G$2,$Q338=Parametres!$G$3),I338,C338)</f>
        <v>263.5</v>
      </c>
      <c r="O338" s="659">
        <f>+IF(OR($Q338=Parametres!$G$2,$Q338=Parametres!$G$3),J338,D338)</f>
        <v>226.91</v>
      </c>
      <c r="P338" s="655">
        <f>+IF(OR($Q338=Parametres!$G$2,$Q338=Parametres!$G$3),K338,E338)</f>
        <v>490.41</v>
      </c>
      <c r="Q338" s="654" t="str">
        <f t="shared" si="183"/>
        <v>7-Dépenses</v>
      </c>
      <c r="R338" s="653" t="str">
        <f t="shared" si="184"/>
        <v>6153</v>
      </c>
      <c r="S338" s="654">
        <f t="shared" si="185"/>
        <v>0</v>
      </c>
      <c r="T338" s="656" t="str">
        <f>+VLOOKUP($L338,Data_Validation!$A:$D,1,0)</f>
        <v>6453</v>
      </c>
      <c r="U338" s="656" t="str">
        <f>+VLOOKUP($L338,Data_Validation!$A:$D,3,0)</f>
        <v>Service</v>
      </c>
      <c r="V338" s="656" t="str">
        <f>+VLOOKUP($L338,Data_Validation!$A:$D,4,0)</f>
        <v>Téléphone</v>
      </c>
      <c r="W338" s="656" t="str">
        <f>+VLOOKUP($L338,Data_Validation!$A:$E,5,0)</f>
        <v>$</v>
      </c>
      <c r="X338" s="656">
        <f>+VLOOKUP($L338,Data_Validation!$A:$F,6,0)</f>
        <v>0</v>
      </c>
    </row>
    <row r="339" spans="1:24" ht="15" customHeight="1">
      <c r="A339" s="1210" t="s">
        <v>1203</v>
      </c>
      <c r="B339" s="1210" t="s">
        <v>2499</v>
      </c>
      <c r="C339" s="1212">
        <v>67.069999999999993</v>
      </c>
      <c r="D339" s="1212">
        <v>53.4</v>
      </c>
      <c r="E339" s="1212">
        <v>120.47</v>
      </c>
      <c r="F339" s="1210" t="s">
        <v>1154</v>
      </c>
      <c r="G339" s="1210" t="s">
        <v>1204</v>
      </c>
      <c r="H339" s="1203"/>
      <c r="I339" s="1203"/>
      <c r="J339" s="1203"/>
      <c r="K339" s="1203"/>
      <c r="L339" s="653" t="str">
        <f t="shared" si="181"/>
        <v>6455</v>
      </c>
      <c r="M339" s="654" t="str">
        <f t="shared" si="182"/>
        <v>DEPENSES DIVERS</v>
      </c>
      <c r="N339" s="655">
        <f>+IF(OR($Q339=Parametres!$G$2,$Q339=Parametres!$G$3),I339,C339)</f>
        <v>67.069999999999993</v>
      </c>
      <c r="O339" s="655">
        <f>+IF(OR($Q339=Parametres!$G$2,$Q339=Parametres!$G$3),J339,D339)</f>
        <v>53.4</v>
      </c>
      <c r="P339" s="655">
        <f>+IF(OR($Q339=Parametres!$G$2,$Q339=Parametres!$G$3),K339,E339)</f>
        <v>120.47</v>
      </c>
      <c r="Q339" s="654" t="str">
        <f t="shared" si="183"/>
        <v>7-Dépenses</v>
      </c>
      <c r="R339" s="653" t="str">
        <f t="shared" si="184"/>
        <v>6155</v>
      </c>
      <c r="S339" s="654">
        <f t="shared" si="185"/>
        <v>0</v>
      </c>
      <c r="T339" s="656" t="str">
        <f>+VLOOKUP($L339,Data_Validation!$A:$D,1,0)</f>
        <v>6455</v>
      </c>
      <c r="U339" s="656" t="str">
        <f>+VLOOKUP($L339,Data_Validation!$A:$D,3,0)</f>
        <v>Service</v>
      </c>
      <c r="V339" s="656" t="str">
        <f>+VLOOKUP($L339,Data_Validation!$A:$D,4,0)</f>
        <v>Divers</v>
      </c>
      <c r="W339" s="656" t="str">
        <f>+VLOOKUP($L339,Data_Validation!$A:$E,5,0)</f>
        <v>$</v>
      </c>
      <c r="X339" s="656">
        <f>+VLOOKUP($L339,Data_Validation!$A:$F,6,0)</f>
        <v>0</v>
      </c>
    </row>
    <row r="340" spans="1:24" ht="15" customHeight="1">
      <c r="A340" s="1210" t="s">
        <v>1251</v>
      </c>
      <c r="B340" s="1210" t="s">
        <v>2502</v>
      </c>
      <c r="C340" s="1212">
        <v>1484.44</v>
      </c>
      <c r="D340" s="1212">
        <v>699.39</v>
      </c>
      <c r="E340" s="1212">
        <v>2183.83</v>
      </c>
      <c r="F340" s="1210" t="s">
        <v>1154</v>
      </c>
      <c r="G340" s="1210" t="s">
        <v>1206</v>
      </c>
      <c r="H340" s="1203"/>
      <c r="I340" s="1203"/>
      <c r="J340" s="1203"/>
      <c r="K340" s="1203"/>
      <c r="L340" s="653" t="str">
        <f t="shared" si="181"/>
        <v>6456</v>
      </c>
      <c r="M340" s="654" t="str">
        <f t="shared" si="182"/>
        <v>FRAIS REPRESENTATION - SERVICE</v>
      </c>
      <c r="N340" s="655">
        <f>+IF(OR($Q340=Parametres!$G$2,$Q340=Parametres!$G$3),I340,C340)</f>
        <v>1484.44</v>
      </c>
      <c r="O340" s="659">
        <f>+IF(OR($Q340=Parametres!$G$2,$Q340=Parametres!$G$3),J340,D340)</f>
        <v>699.39</v>
      </c>
      <c r="P340" s="655">
        <f>+IF(OR($Q340=Parametres!$G$2,$Q340=Parametres!$G$3),K340,E340)</f>
        <v>2183.83</v>
      </c>
      <c r="Q340" s="654" t="str">
        <f t="shared" si="183"/>
        <v>7-Dépenses</v>
      </c>
      <c r="R340" s="653" t="str">
        <f t="shared" si="184"/>
        <v>6156</v>
      </c>
      <c r="S340" s="654">
        <f t="shared" si="185"/>
        <v>0</v>
      </c>
      <c r="T340" s="656" t="str">
        <f>+VLOOKUP($L340,Data_Validation!$A:$D,1,0)</f>
        <v>6456</v>
      </c>
      <c r="U340" s="656" t="str">
        <f>+VLOOKUP($L340,Data_Validation!$A:$D,3,0)</f>
        <v>Service</v>
      </c>
      <c r="V340" s="656" t="str">
        <f>+VLOOKUP($L340,Data_Validation!$A:$D,4,0)</f>
        <v>Frais de déplacement</v>
      </c>
      <c r="W340" s="656" t="str">
        <f>+VLOOKUP($L340,Data_Validation!$A:$E,5,0)</f>
        <v>$</v>
      </c>
      <c r="X340" s="656">
        <f>+VLOOKUP($L340,Data_Validation!$A:$F,6,0)</f>
        <v>0</v>
      </c>
    </row>
    <row r="341" spans="1:24" ht="15" customHeight="1">
      <c r="A341" s="1210" t="s">
        <v>1252</v>
      </c>
      <c r="B341" s="1210" t="s">
        <v>3394</v>
      </c>
      <c r="C341" s="1212">
        <v>1401.4</v>
      </c>
      <c r="D341" s="1212">
        <v>1082.69</v>
      </c>
      <c r="E341" s="1212">
        <v>2484.09</v>
      </c>
      <c r="F341" s="1210" t="s">
        <v>1154</v>
      </c>
      <c r="G341" s="1210" t="s">
        <v>1253</v>
      </c>
      <c r="H341" s="1203"/>
      <c r="I341" s="1203"/>
      <c r="J341" s="1203"/>
      <c r="K341" s="1203"/>
      <c r="L341" s="653" t="str">
        <f t="shared" si="181"/>
        <v>6457</v>
      </c>
      <c r="M341" s="654" t="str">
        <f t="shared" si="182"/>
        <v>FRAIS BANCAIRES - SERVICE</v>
      </c>
      <c r="N341" s="655">
        <f>+IF(OR($Q341=Parametres!$G$2,$Q341=Parametres!$G$3),I341,C341)</f>
        <v>1401.4</v>
      </c>
      <c r="O341" s="659">
        <f>+IF(OR($Q341=Parametres!$G$2,$Q341=Parametres!$G$3),J341,D341)</f>
        <v>1082.69</v>
      </c>
      <c r="P341" s="655">
        <f>+IF(OR($Q341=Parametres!$G$2,$Q341=Parametres!$G$3),K341,E341)</f>
        <v>2484.09</v>
      </c>
      <c r="Q341" s="654" t="str">
        <f t="shared" si="183"/>
        <v>7-Dépenses</v>
      </c>
      <c r="R341" s="653" t="str">
        <f t="shared" si="184"/>
        <v>645</v>
      </c>
      <c r="S341" s="654">
        <f t="shared" si="185"/>
        <v>0</v>
      </c>
      <c r="T341" s="656" t="str">
        <f>+VLOOKUP($L341,Data_Validation!$A:$D,1,0)</f>
        <v>6457</v>
      </c>
      <c r="U341" s="656" t="str">
        <f>+VLOOKUP($L341,Data_Validation!$A:$D,3,0)</f>
        <v>Service</v>
      </c>
      <c r="V341" s="656" t="str">
        <f>+VLOOKUP($L341,Data_Validation!$A:$D,4,0)</f>
        <v>Frais bancaires</v>
      </c>
      <c r="W341" s="656" t="str">
        <f>+VLOOKUP($L341,Data_Validation!$A:$E,5,0)</f>
        <v>$</v>
      </c>
      <c r="X341" s="656">
        <f>+VLOOKUP($L341,Data_Validation!$A:$F,6,0)</f>
        <v>0</v>
      </c>
    </row>
    <row r="342" spans="1:24" ht="15" customHeight="1">
      <c r="A342" s="1210" t="s">
        <v>1209</v>
      </c>
      <c r="B342" s="1210" t="s">
        <v>2505</v>
      </c>
      <c r="C342" s="1212">
        <v>12092.22</v>
      </c>
      <c r="D342" s="1212">
        <v>15317.24</v>
      </c>
      <c r="E342" s="1212">
        <v>27409.46</v>
      </c>
      <c r="F342" s="1210" t="s">
        <v>1154</v>
      </c>
      <c r="G342" s="1210" t="s">
        <v>1210</v>
      </c>
      <c r="H342" s="1203"/>
      <c r="I342" s="1203"/>
      <c r="J342" s="1203"/>
      <c r="K342" s="1203"/>
      <c r="L342" s="653" t="str">
        <f t="shared" si="181"/>
        <v>6459</v>
      </c>
      <c r="M342" s="654" t="str">
        <f t="shared" si="182"/>
        <v>SERVICE EXTERIEUR</v>
      </c>
      <c r="N342" s="655">
        <f>+IF(OR($Q342=Parametres!$G$2,$Q342=Parametres!$G$3),I342,C342)</f>
        <v>12092.22</v>
      </c>
      <c r="O342" s="655">
        <f>+IF(OR($Q342=Parametres!$G$2,$Q342=Parametres!$G$3),J342,D342)</f>
        <v>15317.24</v>
      </c>
      <c r="P342" s="655">
        <f>+IF(OR($Q342=Parametres!$G$2,$Q342=Parametres!$G$3),K342,E342)</f>
        <v>27409.46</v>
      </c>
      <c r="Q342" s="654" t="str">
        <f t="shared" si="183"/>
        <v>7-Dépenses</v>
      </c>
      <c r="R342" s="653" t="str">
        <f t="shared" si="184"/>
        <v>6159</v>
      </c>
      <c r="S342" s="654">
        <f t="shared" si="185"/>
        <v>0</v>
      </c>
      <c r="T342" s="656" t="str">
        <f>+VLOOKUP($L342,Data_Validation!$A:$D,1,0)</f>
        <v>6459</v>
      </c>
      <c r="U342" s="656" t="str">
        <f>+VLOOKUP($L342,Data_Validation!$A:$D,3,0)</f>
        <v>Service</v>
      </c>
      <c r="V342" s="656" t="str">
        <f>+VLOOKUP($L342,Data_Validation!$A:$D,4,0)</f>
        <v>Services extérieurs</v>
      </c>
      <c r="W342" s="656" t="str">
        <f>+VLOOKUP($L342,Data_Validation!$A:$E,5,0)</f>
        <v>$</v>
      </c>
      <c r="X342" s="656">
        <f>+VLOOKUP($L342,Data_Validation!$A:$F,6,0)</f>
        <v>0</v>
      </c>
    </row>
    <row r="343" spans="1:24" ht="15.75" customHeight="1">
      <c r="A343" s="1210" t="s">
        <v>1211</v>
      </c>
      <c r="B343" s="1210" t="s">
        <v>2508</v>
      </c>
      <c r="C343" s="1212">
        <v>10235.52</v>
      </c>
      <c r="D343" s="1212">
        <v>10235.52</v>
      </c>
      <c r="E343" s="1212">
        <v>20471.04</v>
      </c>
      <c r="F343" s="1210" t="s">
        <v>1154</v>
      </c>
      <c r="G343" s="1210" t="s">
        <v>1212</v>
      </c>
      <c r="H343" s="1203"/>
      <c r="I343" s="1203"/>
      <c r="J343" s="1203"/>
      <c r="K343" s="1203"/>
      <c r="L343" s="653" t="str">
        <f t="shared" si="181"/>
        <v>6461</v>
      </c>
      <c r="M343" s="654" t="str">
        <f t="shared" si="182"/>
        <v>DEPRECIATION EQUIP. &amp; FIXTURES</v>
      </c>
      <c r="N343" s="655">
        <f>+IF(OR($Q343=Parametres!$G$2,$Q343=Parametres!$G$3),I343,C343)</f>
        <v>10235.52</v>
      </c>
      <c r="O343" s="655">
        <f>+IF(OR($Q343=Parametres!$G$2,$Q343=Parametres!$G$3),J343,D343)</f>
        <v>10235.52</v>
      </c>
      <c r="P343" s="655">
        <f>+IF(OR($Q343=Parametres!$G$2,$Q343=Parametres!$G$3),K343,E343)</f>
        <v>20471.04</v>
      </c>
      <c r="Q343" s="654" t="str">
        <f t="shared" si="183"/>
        <v>7-Dépenses</v>
      </c>
      <c r="R343" s="653" t="str">
        <f t="shared" si="184"/>
        <v>6161</v>
      </c>
      <c r="S343" s="654">
        <f t="shared" si="185"/>
        <v>0</v>
      </c>
      <c r="T343" s="656" t="str">
        <f>+VLOOKUP($L343,Data_Validation!$A:$D,1,0)</f>
        <v>6461</v>
      </c>
      <c r="U343" s="656" t="str">
        <f>+VLOOKUP($L343,Data_Validation!$A:$D,3,0)</f>
        <v>Service</v>
      </c>
      <c r="V343" s="656" t="str">
        <f>+VLOOKUP($L343,Data_Validation!$A:$D,4,0)</f>
        <v>Amortissement</v>
      </c>
      <c r="W343" s="656" t="str">
        <f>+VLOOKUP($L343,Data_Validation!$A:$E,5,0)</f>
        <v>$</v>
      </c>
      <c r="X343" s="656">
        <f>+VLOOKUP($L343,Data_Validation!$A:$F,6,0)</f>
        <v>0</v>
      </c>
    </row>
    <row r="344" spans="1:24" ht="15" customHeight="1">
      <c r="A344" s="1210" t="s">
        <v>1389</v>
      </c>
      <c r="B344" s="1210" t="s">
        <v>2511</v>
      </c>
      <c r="C344" s="1212">
        <v>1566.26</v>
      </c>
      <c r="D344" s="1212">
        <v>805.57</v>
      </c>
      <c r="E344" s="1212">
        <v>2371.83</v>
      </c>
      <c r="F344" s="1210" t="s">
        <v>1154</v>
      </c>
      <c r="G344" s="1210" t="s">
        <v>2304</v>
      </c>
      <c r="H344" s="1203"/>
      <c r="I344" s="1203"/>
      <c r="J344" s="1203"/>
      <c r="K344" s="1203"/>
      <c r="L344" s="653" t="str">
        <f t="shared" si="181"/>
        <v>6462</v>
      </c>
      <c r="M344" s="654" t="str">
        <f t="shared" si="182"/>
        <v>LOCATION D'EQUIPEMENTS</v>
      </c>
      <c r="N344" s="655">
        <f>+IF(OR($Q344=Parametres!$G$2,$Q344=Parametres!$G$3),I344,C344)</f>
        <v>1566.26</v>
      </c>
      <c r="O344" s="659">
        <f>+IF(OR($Q344=Parametres!$G$2,$Q344=Parametres!$G$3),J344,D344)</f>
        <v>805.57</v>
      </c>
      <c r="P344" s="655">
        <f>+IF(OR($Q344=Parametres!$G$2,$Q344=Parametres!$G$3),K344,E344)</f>
        <v>2371.83</v>
      </c>
      <c r="Q344" s="654" t="str">
        <f t="shared" si="183"/>
        <v>7-Dépenses</v>
      </c>
      <c r="R344" s="653" t="str">
        <f t="shared" si="184"/>
        <v>6162</v>
      </c>
      <c r="S344" s="654">
        <f t="shared" si="185"/>
        <v>0</v>
      </c>
      <c r="T344" s="656" t="str">
        <f>+VLOOKUP($L344,Data_Validation!$A:$D,1,0)</f>
        <v>6462</v>
      </c>
      <c r="U344" s="656" t="str">
        <f>+VLOOKUP($L344,Data_Validation!$A:$D,3,0)</f>
        <v>Service</v>
      </c>
      <c r="V344" s="656" t="str">
        <f>+VLOOKUP($L344,Data_Validation!$A:$D,4,0)</f>
        <v>Location équipement</v>
      </c>
      <c r="W344" s="656" t="str">
        <f>+VLOOKUP($L344,Data_Validation!$A:$E,5,0)</f>
        <v>$</v>
      </c>
      <c r="X344" s="656">
        <f>+VLOOKUP($L344,Data_Validation!$A:$F,6,0)</f>
        <v>0</v>
      </c>
    </row>
    <row r="345" spans="1:24" ht="15" customHeight="1">
      <c r="A345" s="1210" t="s">
        <v>1254</v>
      </c>
      <c r="B345" s="1210" t="s">
        <v>2514</v>
      </c>
      <c r="C345" s="1212">
        <v>0</v>
      </c>
      <c r="D345" s="1212">
        <v>486.24</v>
      </c>
      <c r="E345" s="1212">
        <v>486.24</v>
      </c>
      <c r="F345" s="1210" t="s">
        <v>1154</v>
      </c>
      <c r="G345" s="1210" t="s">
        <v>1255</v>
      </c>
      <c r="H345" s="1203"/>
      <c r="I345" s="1202"/>
      <c r="J345" s="1202"/>
      <c r="K345" s="1202"/>
      <c r="L345" s="653" t="str">
        <f t="shared" si="181"/>
        <v>6463</v>
      </c>
      <c r="M345" s="654" t="str">
        <f t="shared" si="182"/>
        <v>REPARATION &amp; ENT. - EQUIP.</v>
      </c>
      <c r="N345" s="655">
        <f>+IF(OR($Q345=Parametres!$G$2,$Q345=Parametres!$G$3),I345,C345)</f>
        <v>0</v>
      </c>
      <c r="O345" s="655">
        <f>+IF(OR($Q345=Parametres!$G$2,$Q345=Parametres!$G$3),J345,D345)</f>
        <v>486.24</v>
      </c>
      <c r="P345" s="655">
        <f>+IF(OR($Q345=Parametres!$G$2,$Q345=Parametres!$G$3),K345,E345)</f>
        <v>486.24</v>
      </c>
      <c r="Q345" s="654" t="str">
        <f t="shared" si="183"/>
        <v>7-Dépenses</v>
      </c>
      <c r="R345" s="653" t="str">
        <f t="shared" si="184"/>
        <v>6163</v>
      </c>
      <c r="S345" s="654">
        <f t="shared" si="185"/>
        <v>0</v>
      </c>
      <c r="T345" s="656" t="str">
        <f>+VLOOKUP($L345,Data_Validation!$A:$D,1,0)</f>
        <v>6463</v>
      </c>
      <c r="U345" s="656" t="str">
        <f>+VLOOKUP($L345,Data_Validation!$A:$D,3,0)</f>
        <v>Service</v>
      </c>
      <c r="V345" s="656" t="str">
        <f>+VLOOKUP($L345,Data_Validation!$A:$D,4,0)</f>
        <v>Réparation équipement</v>
      </c>
      <c r="W345" s="656" t="str">
        <f>+VLOOKUP($L345,Data_Validation!$A:$E,5,0)</f>
        <v>$</v>
      </c>
      <c r="X345" s="656">
        <f>+VLOOKUP($L345,Data_Validation!$A:$F,6,0)</f>
        <v>0</v>
      </c>
    </row>
    <row r="346" spans="1:24" ht="15" customHeight="1">
      <c r="A346" s="1210" t="s">
        <v>1256</v>
      </c>
      <c r="B346" s="1210" t="s">
        <v>2517</v>
      </c>
      <c r="C346" s="1212">
        <v>2465.9499999999998</v>
      </c>
      <c r="D346" s="1212">
        <v>2073.42</v>
      </c>
      <c r="E346" s="1212">
        <v>4539.37</v>
      </c>
      <c r="F346" s="1210" t="s">
        <v>1154</v>
      </c>
      <c r="G346" s="1210" t="s">
        <v>1214</v>
      </c>
      <c r="H346" s="1203"/>
      <c r="I346" s="1202"/>
      <c r="J346" s="1202"/>
      <c r="K346" s="1202"/>
      <c r="L346" s="653" t="str">
        <f t="shared" si="181"/>
        <v>6481</v>
      </c>
      <c r="M346" s="654" t="str">
        <f t="shared" si="182"/>
        <v>CHAUFFAGE,ELECTRICITE,EAU-SERVICE</v>
      </c>
      <c r="N346" s="655">
        <f>+IF(OR($Q346=Parametres!$G$2,$Q346=Parametres!$G$3),I346,C346)</f>
        <v>2465.9499999999998</v>
      </c>
      <c r="O346" s="655">
        <f>+IF(OR($Q346=Parametres!$G$2,$Q346=Parametres!$G$3),J346,D346)</f>
        <v>2073.42</v>
      </c>
      <c r="P346" s="655">
        <f>+IF(OR($Q346=Parametres!$G$2,$Q346=Parametres!$G$3),K346,E346)</f>
        <v>4539.37</v>
      </c>
      <c r="Q346" s="654" t="str">
        <f t="shared" si="183"/>
        <v>7-Dépenses</v>
      </c>
      <c r="R346" s="653" t="str">
        <f t="shared" si="184"/>
        <v>6181</v>
      </c>
      <c r="S346" s="654">
        <f t="shared" si="185"/>
        <v>0</v>
      </c>
      <c r="T346" s="656" t="str">
        <f>+VLOOKUP($L346,Data_Validation!$A:$D,1,0)</f>
        <v>6481</v>
      </c>
      <c r="U346" s="656" t="str">
        <f>+VLOOKUP($L346,Data_Validation!$A:$D,3,0)</f>
        <v>Service</v>
      </c>
      <c r="V346" s="656" t="str">
        <f>+VLOOKUP($L346,Data_Validation!$A:$D,4,0)</f>
        <v>Chauffage, éclairage</v>
      </c>
      <c r="W346" s="656" t="str">
        <f>+VLOOKUP($L346,Data_Validation!$A:$E,5,0)</f>
        <v>$</v>
      </c>
      <c r="X346" s="656">
        <f>+VLOOKUP($L346,Data_Validation!$A:$F,6,0)</f>
        <v>0</v>
      </c>
    </row>
    <row r="347" spans="1:24" ht="15.75" customHeight="1">
      <c r="A347" s="1210" t="s">
        <v>1257</v>
      </c>
      <c r="B347" s="1210" t="s">
        <v>2520</v>
      </c>
      <c r="C347" s="1212">
        <v>8640</v>
      </c>
      <c r="D347" s="1212">
        <v>8640</v>
      </c>
      <c r="E347" s="1212">
        <v>17280</v>
      </c>
      <c r="F347" s="1210" t="s">
        <v>1154</v>
      </c>
      <c r="G347" s="1210" t="s">
        <v>1216</v>
      </c>
      <c r="H347" s="1203"/>
      <c r="I347" s="1202"/>
      <c r="J347" s="1202"/>
      <c r="K347" s="1202"/>
      <c r="L347" s="653" t="str">
        <f t="shared" si="181"/>
        <v>6482</v>
      </c>
      <c r="M347" s="654" t="str">
        <f t="shared" si="182"/>
        <v>LOYER - SERVICE</v>
      </c>
      <c r="N347" s="655">
        <f>+IF(OR($Q347=Parametres!$G$2,$Q347=Parametres!$G$3),I347,C347)</f>
        <v>8640</v>
      </c>
      <c r="O347" s="655">
        <f>+IF(OR($Q347=Parametres!$G$2,$Q347=Parametres!$G$3),J347,D347)</f>
        <v>8640</v>
      </c>
      <c r="P347" s="655">
        <f>+IF(OR($Q347=Parametres!$G$2,$Q347=Parametres!$G$3),K347,E347)</f>
        <v>17280</v>
      </c>
      <c r="Q347" s="654" t="str">
        <f t="shared" si="183"/>
        <v>7-Dépenses</v>
      </c>
      <c r="R347" s="653" t="str">
        <f t="shared" si="184"/>
        <v>6182</v>
      </c>
      <c r="S347" s="654">
        <f t="shared" si="185"/>
        <v>0</v>
      </c>
      <c r="T347" s="656" t="str">
        <f>+VLOOKUP($L347,Data_Validation!$A:$D,1,0)</f>
        <v>6482</v>
      </c>
      <c r="U347" s="656" t="str">
        <f>+VLOOKUP($L347,Data_Validation!$A:$D,3,0)</f>
        <v>Service</v>
      </c>
      <c r="V347" s="656" t="str">
        <f>+VLOOKUP($L347,Data_Validation!$A:$D,4,0)</f>
        <v>Loyer</v>
      </c>
      <c r="W347" s="656" t="str">
        <f>+VLOOKUP($L347,Data_Validation!$A:$E,5,0)</f>
        <v>$</v>
      </c>
      <c r="X347" s="656">
        <f>+VLOOKUP($L347,Data_Validation!$A:$F,6,0)</f>
        <v>0</v>
      </c>
    </row>
    <row r="348" spans="1:24" ht="15" customHeight="1">
      <c r="A348" s="1210" t="s">
        <v>1258</v>
      </c>
      <c r="B348" s="1210" t="s">
        <v>2523</v>
      </c>
      <c r="C348" s="1212">
        <v>1042.6199999999999</v>
      </c>
      <c r="D348" s="1212">
        <v>1042.6199999999999</v>
      </c>
      <c r="E348" s="1212">
        <v>2085.2399999999998</v>
      </c>
      <c r="F348" s="1210" t="s">
        <v>1154</v>
      </c>
      <c r="G348" s="1210" t="s">
        <v>1218</v>
      </c>
      <c r="H348" s="1203"/>
      <c r="I348" s="1202"/>
      <c r="J348" s="1202"/>
      <c r="K348" s="1202"/>
      <c r="L348" s="653" t="str">
        <f t="shared" si="181"/>
        <v>6486</v>
      </c>
      <c r="M348" s="654" t="str">
        <f t="shared" si="182"/>
        <v>ASSURANCE BATISSE &amp; AMEL.-SERVICE</v>
      </c>
      <c r="N348" s="655">
        <f>+IF(OR($Q348=Parametres!$G$2,$Q348=Parametres!$G$3),I348,C348)</f>
        <v>1042.6199999999999</v>
      </c>
      <c r="O348" s="659">
        <f>+IF(OR($Q348=Parametres!$G$2,$Q348=Parametres!$G$3),J348,D348)</f>
        <v>1042.6199999999999</v>
      </c>
      <c r="P348" s="655">
        <f>+IF(OR($Q348=Parametres!$G$2,$Q348=Parametres!$G$3),K348,E348)</f>
        <v>2085.2399999999998</v>
      </c>
      <c r="Q348" s="654" t="str">
        <f t="shared" si="183"/>
        <v>7-Dépenses</v>
      </c>
      <c r="R348" s="653" t="str">
        <f t="shared" si="184"/>
        <v>6186</v>
      </c>
      <c r="S348" s="654">
        <f t="shared" si="185"/>
        <v>0</v>
      </c>
      <c r="T348" s="656" t="str">
        <f>+VLOOKUP($L348,Data_Validation!$A:$D,1,0)</f>
        <v>6486</v>
      </c>
      <c r="U348" s="656" t="str">
        <f>+VLOOKUP($L348,Data_Validation!$A:$D,3,0)</f>
        <v>Service</v>
      </c>
      <c r="V348" s="656" t="str">
        <f>+VLOOKUP($L348,Data_Validation!$A:$D,4,0)</f>
        <v>Assurances</v>
      </c>
      <c r="W348" s="656" t="str">
        <f>+VLOOKUP($L348,Data_Validation!$A:$E,5,0)</f>
        <v>$</v>
      </c>
      <c r="X348" s="656">
        <f>+VLOOKUP($L348,Data_Validation!$A:$F,6,0)</f>
        <v>0</v>
      </c>
    </row>
    <row r="349" spans="1:24" ht="15" customHeight="1">
      <c r="A349" s="1210" t="s">
        <v>1259</v>
      </c>
      <c r="B349" s="1210" t="s">
        <v>2526</v>
      </c>
      <c r="C349" s="1212">
        <v>1301.52</v>
      </c>
      <c r="D349" s="1212">
        <v>1301.52</v>
      </c>
      <c r="E349" s="1212">
        <v>2603.04</v>
      </c>
      <c r="F349" s="1210" t="s">
        <v>1154</v>
      </c>
      <c r="G349" s="1210" t="s">
        <v>1220</v>
      </c>
      <c r="H349" s="1203"/>
      <c r="I349" s="1202"/>
      <c r="J349" s="1202"/>
      <c r="K349" s="1202"/>
      <c r="L349" s="653" t="str">
        <f t="shared" si="181"/>
        <v>6487</v>
      </c>
      <c r="M349" s="654" t="str">
        <f t="shared" si="182"/>
        <v>TAXES FONCIERES - SERVICE</v>
      </c>
      <c r="N349" s="655">
        <f>+IF(OR($Q349=Parametres!$G$2,$Q349=Parametres!$G$3),I349,C349)</f>
        <v>1301.52</v>
      </c>
      <c r="O349" s="655">
        <f>+IF(OR($Q349=Parametres!$G$2,$Q349=Parametres!$G$3),J349,D349)</f>
        <v>1301.52</v>
      </c>
      <c r="P349" s="655">
        <f>+IF(OR($Q349=Parametres!$G$2,$Q349=Parametres!$G$3),K349,E349)</f>
        <v>2603.04</v>
      </c>
      <c r="Q349" s="654" t="str">
        <f t="shared" si="183"/>
        <v>7-Dépenses</v>
      </c>
      <c r="R349" s="653" t="str">
        <f t="shared" si="184"/>
        <v>6187</v>
      </c>
      <c r="S349" s="654">
        <f t="shared" si="185"/>
        <v>0</v>
      </c>
      <c r="T349" s="656" t="str">
        <f>+VLOOKUP($L349,Data_Validation!$A:$D,1,0)</f>
        <v>6487</v>
      </c>
      <c r="U349" s="656" t="str">
        <f>+VLOOKUP($L349,Data_Validation!$A:$D,3,0)</f>
        <v>Service</v>
      </c>
      <c r="V349" s="656" t="str">
        <f>+VLOOKUP($L349,Data_Validation!$A:$D,4,0)</f>
        <v>Taxes foncières</v>
      </c>
      <c r="W349" s="656" t="str">
        <f>+VLOOKUP($L349,Data_Validation!$A:$E,5,0)</f>
        <v>$</v>
      </c>
      <c r="X349" s="656">
        <f>+VLOOKUP($L349,Data_Validation!$A:$F,6,0)</f>
        <v>0</v>
      </c>
    </row>
    <row r="350" spans="1:24" ht="15" customHeight="1">
      <c r="A350" s="1210" t="s">
        <v>1260</v>
      </c>
      <c r="B350" s="1210" t="s">
        <v>2529</v>
      </c>
      <c r="C350" s="1212">
        <v>866.16</v>
      </c>
      <c r="D350" s="1212">
        <v>1178.1600000000001</v>
      </c>
      <c r="E350" s="1212">
        <v>2044.32</v>
      </c>
      <c r="F350" s="1210" t="s">
        <v>1154</v>
      </c>
      <c r="G350" s="1210" t="s">
        <v>1222</v>
      </c>
      <c r="H350" s="1203"/>
      <c r="I350" s="1202"/>
      <c r="J350" s="1202"/>
      <c r="K350" s="1202"/>
      <c r="L350" s="653" t="str">
        <f t="shared" si="181"/>
        <v>6493</v>
      </c>
      <c r="M350" s="654" t="str">
        <f t="shared" si="182"/>
        <v>AUTRE TAXES-SERVICE</v>
      </c>
      <c r="N350" s="655">
        <f>+IF(OR($Q350=Parametres!$G$2,$Q350=Parametres!$G$3),I350,C350)</f>
        <v>866.16</v>
      </c>
      <c r="O350" s="659">
        <f>+IF(OR($Q350=Parametres!$G$2,$Q350=Parametres!$G$3),J350,D350)</f>
        <v>1178.1600000000001</v>
      </c>
      <c r="P350" s="655">
        <f>+IF(OR($Q350=Parametres!$G$2,$Q350=Parametres!$G$3),K350,E350)</f>
        <v>2044.32</v>
      </c>
      <c r="Q350" s="654" t="str">
        <f t="shared" si="183"/>
        <v>7-Dépenses</v>
      </c>
      <c r="R350" s="653" t="str">
        <f t="shared" si="184"/>
        <v>6193</v>
      </c>
      <c r="S350" s="654">
        <f t="shared" si="185"/>
        <v>0</v>
      </c>
      <c r="T350" s="656" t="str">
        <f>+VLOOKUP($L350,Data_Validation!$A:$D,1,0)</f>
        <v>6493</v>
      </c>
      <c r="U350" s="656" t="str">
        <f>+VLOOKUP($L350,Data_Validation!$A:$D,3,0)</f>
        <v>Service</v>
      </c>
      <c r="V350" s="656" t="str">
        <f>+VLOOKUP($L350,Data_Validation!$A:$D,4,0)</f>
        <v>Taxes d`affaires</v>
      </c>
      <c r="W350" s="656" t="str">
        <f>+VLOOKUP($L350,Data_Validation!$A:$E,5,0)</f>
        <v>$</v>
      </c>
      <c r="X350" s="656">
        <f>+VLOOKUP($L350,Data_Validation!$A:$F,6,0)</f>
        <v>0</v>
      </c>
    </row>
    <row r="351" spans="1:24" ht="15" customHeight="1">
      <c r="A351" s="1210" t="s">
        <v>1261</v>
      </c>
      <c r="B351" s="1210" t="s">
        <v>2532</v>
      </c>
      <c r="C351" s="1212">
        <v>1757.75</v>
      </c>
      <c r="D351" s="1212">
        <v>1665.76</v>
      </c>
      <c r="E351" s="1212">
        <v>3423.51</v>
      </c>
      <c r="F351" s="1210" t="s">
        <v>1154</v>
      </c>
      <c r="G351" s="1210" t="s">
        <v>1224</v>
      </c>
      <c r="H351" s="1203"/>
      <c r="I351" s="1202"/>
      <c r="J351" s="1202"/>
      <c r="K351" s="1202"/>
      <c r="L351" s="653" t="str">
        <f t="shared" si="181"/>
        <v>6494</v>
      </c>
      <c r="M351" s="654" t="str">
        <f t="shared" si="182"/>
        <v>FRAIS PROFESSIONNEL-SERVICE</v>
      </c>
      <c r="N351" s="655">
        <f>+IF(OR($Q351=Parametres!$G$2,$Q351=Parametres!$G$3),I351,C351)</f>
        <v>1757.75</v>
      </c>
      <c r="O351" s="655">
        <f>+IF(OR($Q351=Parametres!$G$2,$Q351=Parametres!$G$3),J351,D351)</f>
        <v>1665.76</v>
      </c>
      <c r="P351" s="655">
        <f>+IF(OR($Q351=Parametres!$G$2,$Q351=Parametres!$G$3),K351,E351)</f>
        <v>3423.51</v>
      </c>
      <c r="Q351" s="654" t="str">
        <f t="shared" si="183"/>
        <v>7-Dépenses</v>
      </c>
      <c r="R351" s="653" t="str">
        <f t="shared" si="184"/>
        <v>6194</v>
      </c>
      <c r="S351" s="654">
        <f t="shared" si="185"/>
        <v>0</v>
      </c>
      <c r="T351" s="656" t="str">
        <f>+VLOOKUP($L351,Data_Validation!$A:$D,1,0)</f>
        <v>6494</v>
      </c>
      <c r="U351" s="656" t="str">
        <f>+VLOOKUP($L351,Data_Validation!$A:$D,3,0)</f>
        <v>Service</v>
      </c>
      <c r="V351" s="656" t="str">
        <f>+VLOOKUP($L351,Data_Validation!$A:$D,4,0)</f>
        <v>Honoraires</v>
      </c>
      <c r="W351" s="656" t="str">
        <f>+VLOOKUP($L351,Data_Validation!$A:$E,5,0)</f>
        <v>$</v>
      </c>
      <c r="X351" s="656">
        <f>+VLOOKUP($L351,Data_Validation!$A:$F,6,0)</f>
        <v>0</v>
      </c>
    </row>
    <row r="352" spans="1:24" ht="15.75" customHeight="1">
      <c r="A352" s="1210" t="s">
        <v>1158</v>
      </c>
      <c r="B352" s="1210" t="s">
        <v>2535</v>
      </c>
      <c r="C352" s="1212">
        <v>11717.2</v>
      </c>
      <c r="D352" s="1212">
        <v>0</v>
      </c>
      <c r="E352" s="1212">
        <v>11717.2</v>
      </c>
      <c r="F352" s="1210" t="s">
        <v>1154</v>
      </c>
      <c r="G352" s="1210" t="s">
        <v>1242</v>
      </c>
      <c r="H352" s="1203"/>
      <c r="I352" s="1202"/>
      <c r="J352" s="1202"/>
      <c r="K352" s="1202"/>
      <c r="L352" s="653" t="str">
        <f t="shared" si="181"/>
        <v>6503</v>
      </c>
      <c r="M352" s="654" t="str">
        <f t="shared" si="182"/>
        <v>RELAT. A LA CLIENTELE &amp; AJUST.</v>
      </c>
      <c r="N352" s="655">
        <f>+IF(OR($Q352=Parametres!$G$2,$Q352=Parametres!$G$3),I352,C352)</f>
        <v>11717.2</v>
      </c>
      <c r="O352" s="659">
        <f>+IF(OR($Q352=Parametres!$G$2,$Q352=Parametres!$G$3),J352,D352)</f>
        <v>0</v>
      </c>
      <c r="P352" s="655">
        <f>+IF(OR($Q352=Parametres!$G$2,$Q352=Parametres!$G$3),K352,E352)</f>
        <v>11717.2</v>
      </c>
      <c r="Q352" s="654" t="str">
        <f t="shared" si="183"/>
        <v>7-Dépenses</v>
      </c>
      <c r="R352" s="653" t="str">
        <f t="shared" si="184"/>
        <v>6112</v>
      </c>
      <c r="S352" s="654">
        <f t="shared" si="185"/>
        <v>0</v>
      </c>
      <c r="T352" s="656" t="str">
        <f>+VLOOKUP($L352,Data_Validation!$A:$D,1,0)</f>
        <v>6503</v>
      </c>
      <c r="U352" s="656" t="str">
        <f>+VLOOKUP($L352,Data_Validation!$A:$D,3,0)</f>
        <v>Carrosserie</v>
      </c>
      <c r="V352" s="656" t="str">
        <f>+VLOOKUP($L352,Data_Validation!$A:$D,4,0)</f>
        <v>Service gratuit 2</v>
      </c>
      <c r="W352" s="656" t="str">
        <f>+VLOOKUP($L352,Data_Validation!$A:$E,5,0)</f>
        <v>$</v>
      </c>
      <c r="X352" s="656">
        <f>+VLOOKUP($L352,Data_Validation!$A:$F,6,0)</f>
        <v>0</v>
      </c>
    </row>
    <row r="353" spans="1:24" ht="15" customHeight="1">
      <c r="A353" s="1210" t="s">
        <v>1166</v>
      </c>
      <c r="B353" s="1210" t="s">
        <v>2541</v>
      </c>
      <c r="C353" s="1212">
        <v>7</v>
      </c>
      <c r="D353" s="1212">
        <v>24.5</v>
      </c>
      <c r="E353" s="1212">
        <v>31.5</v>
      </c>
      <c r="F353" s="1210" t="s">
        <v>1154</v>
      </c>
      <c r="G353" s="1210" t="s">
        <v>1167</v>
      </c>
      <c r="H353" s="1205"/>
      <c r="I353" s="1205"/>
      <c r="J353" s="1205"/>
      <c r="K353" s="1205"/>
      <c r="L353" s="653" t="str">
        <f t="shared" si="181"/>
        <v>6514</v>
      </c>
      <c r="M353" s="654" t="str">
        <f t="shared" si="182"/>
        <v>PUBLICITE</v>
      </c>
      <c r="N353" s="655">
        <f>+IF(OR($Q353=Parametres!$G$2,$Q353=Parametres!$G$3),I353,C353)</f>
        <v>7</v>
      </c>
      <c r="O353" s="655">
        <f>+IF(OR($Q353=Parametres!$G$2,$Q353=Parametres!$G$3),J353,D353)</f>
        <v>24.5</v>
      </c>
      <c r="P353" s="655">
        <f>+IF(OR($Q353=Parametres!$G$2,$Q353=Parametres!$G$3),K353,E353)</f>
        <v>31.5</v>
      </c>
      <c r="Q353" s="654" t="str">
        <f t="shared" si="183"/>
        <v>7-Dépenses</v>
      </c>
      <c r="R353" s="653" t="str">
        <f t="shared" si="184"/>
        <v>6114</v>
      </c>
      <c r="S353" s="654">
        <f t="shared" si="185"/>
        <v>0</v>
      </c>
      <c r="T353" s="656" t="str">
        <f>+VLOOKUP($L353,Data_Validation!$A:$D,1,0)</f>
        <v>6514</v>
      </c>
      <c r="U353" s="656" t="str">
        <f>+VLOOKUP($L353,Data_Validation!$A:$D,3,0)</f>
        <v>Carrosserie</v>
      </c>
      <c r="V353" s="656" t="str">
        <f>+VLOOKUP($L353,Data_Validation!$A:$D,4,0)</f>
        <v>Publicité 2</v>
      </c>
      <c r="W353" s="656" t="str">
        <f>+VLOOKUP($L353,Data_Validation!$A:$E,5,0)</f>
        <v>$</v>
      </c>
      <c r="X353" s="656">
        <f>+VLOOKUP($L353,Data_Validation!$A:$F,6,0)</f>
        <v>0</v>
      </c>
    </row>
    <row r="354" spans="1:24" ht="15" customHeight="1">
      <c r="A354" s="1210" t="s">
        <v>1169</v>
      </c>
      <c r="B354" s="1210" t="s">
        <v>2547</v>
      </c>
      <c r="C354" s="1212">
        <v>388.96</v>
      </c>
      <c r="D354" s="1212">
        <v>416.6</v>
      </c>
      <c r="E354" s="1212">
        <v>805.56</v>
      </c>
      <c r="F354" s="1210" t="s">
        <v>1154</v>
      </c>
      <c r="G354" s="1210" t="s">
        <v>1170</v>
      </c>
      <c r="H354" s="1205"/>
      <c r="I354" s="1205"/>
      <c r="J354" s="1205"/>
      <c r="K354" s="1205"/>
      <c r="L354" s="653" t="str">
        <f t="shared" si="181"/>
        <v>6521</v>
      </c>
      <c r="M354" s="654" t="str">
        <f t="shared" si="182"/>
        <v>SALAIRES - PROPRIETAIRES</v>
      </c>
      <c r="N354" s="655">
        <f>+IF(OR($Q354=Parametres!$G$2,$Q354=Parametres!$G$3),I354,C354)</f>
        <v>388.96</v>
      </c>
      <c r="O354" s="655">
        <f>+IF(OR($Q354=Parametres!$G$2,$Q354=Parametres!$G$3),J354,D354)</f>
        <v>416.6</v>
      </c>
      <c r="P354" s="655">
        <f>+IF(OR($Q354=Parametres!$G$2,$Q354=Parametres!$G$3),K354,E354)</f>
        <v>805.56</v>
      </c>
      <c r="Q354" s="654" t="str">
        <f t="shared" si="183"/>
        <v>7-Dépenses</v>
      </c>
      <c r="R354" s="653" t="str">
        <f t="shared" si="184"/>
        <v>6121</v>
      </c>
      <c r="S354" s="654">
        <f t="shared" si="185"/>
        <v>0</v>
      </c>
      <c r="T354" s="656" t="str">
        <f>+VLOOKUP($L354,Data_Validation!$A:$D,1,0)</f>
        <v>6521</v>
      </c>
      <c r="U354" s="656" t="str">
        <f>+VLOOKUP($L354,Data_Validation!$A:$D,3,0)</f>
        <v>Carrosserie</v>
      </c>
      <c r="V354" s="656" t="str">
        <f>+VLOOKUP($L354,Data_Validation!$A:$D,4,0)</f>
        <v>Salaires propriétaire</v>
      </c>
      <c r="W354" s="656" t="str">
        <f>+VLOOKUP($L354,Data_Validation!$A:$E,5,0)</f>
        <v>$</v>
      </c>
      <c r="X354" s="656">
        <f>+VLOOKUP($L354,Data_Validation!$A:$F,6,0)</f>
        <v>0</v>
      </c>
    </row>
    <row r="355" spans="1:24" ht="15" customHeight="1">
      <c r="A355" s="1210" t="s">
        <v>1171</v>
      </c>
      <c r="B355" s="1210" t="s">
        <v>2550</v>
      </c>
      <c r="C355" s="1212">
        <v>901.88</v>
      </c>
      <c r="D355" s="1212">
        <v>901.88</v>
      </c>
      <c r="E355" s="1212">
        <v>1803.76</v>
      </c>
      <c r="F355" s="1210" t="s">
        <v>1154</v>
      </c>
      <c r="G355" s="1210" t="s">
        <v>1172</v>
      </c>
      <c r="H355" s="1205"/>
      <c r="I355" s="1205"/>
      <c r="J355" s="1205"/>
      <c r="K355" s="1205"/>
      <c r="L355" s="653" t="str">
        <f t="shared" si="181"/>
        <v>6522</v>
      </c>
      <c r="M355" s="654" t="str">
        <f t="shared" si="182"/>
        <v>SAL SUPERVISION / GERANT</v>
      </c>
      <c r="N355" s="655">
        <f>+IF(OR($Q355=Parametres!$G$2,$Q355=Parametres!$G$3),I355,C355)</f>
        <v>901.88</v>
      </c>
      <c r="O355" s="655">
        <f>+IF(OR($Q355=Parametres!$G$2,$Q355=Parametres!$G$3),J355,D355)</f>
        <v>901.88</v>
      </c>
      <c r="P355" s="655">
        <f>+IF(OR($Q355=Parametres!$G$2,$Q355=Parametres!$G$3),K355,E355)</f>
        <v>1803.76</v>
      </c>
      <c r="Q355" s="654" t="str">
        <f t="shared" si="183"/>
        <v>7-Dépenses</v>
      </c>
      <c r="R355" s="653" t="str">
        <f t="shared" si="184"/>
        <v>6122</v>
      </c>
      <c r="S355" s="654">
        <f t="shared" si="185"/>
        <v>0</v>
      </c>
      <c r="T355" s="656" t="str">
        <f>+VLOOKUP($L355,Data_Validation!$A:$D,1,0)</f>
        <v>6522</v>
      </c>
      <c r="U355" s="656" t="str">
        <f>+VLOOKUP($L355,Data_Validation!$A:$D,3,0)</f>
        <v>Carrosserie</v>
      </c>
      <c r="V355" s="656" t="str">
        <f>+VLOOKUP($L355,Data_Validation!$A:$D,4,0)</f>
        <v>Salaires cadres</v>
      </c>
      <c r="W355" s="656" t="str">
        <f>+VLOOKUP($L355,Data_Validation!$A:$E,5,0)</f>
        <v>$</v>
      </c>
      <c r="X355" s="656">
        <f>+VLOOKUP($L355,Data_Validation!$A:$F,6,0)</f>
        <v>0</v>
      </c>
    </row>
    <row r="356" spans="1:24" ht="15" customHeight="1">
      <c r="A356" s="1210" t="s">
        <v>1244</v>
      </c>
      <c r="B356" s="1210" t="s">
        <v>2553</v>
      </c>
      <c r="C356" s="1212">
        <v>3826.58</v>
      </c>
      <c r="D356" s="1212">
        <v>3202.8</v>
      </c>
      <c r="E356" s="1212">
        <v>7029.38</v>
      </c>
      <c r="F356" s="1210" t="s">
        <v>1154</v>
      </c>
      <c r="G356" s="1210" t="s">
        <v>1174</v>
      </c>
      <c r="H356" s="1205"/>
      <c r="I356" s="1204"/>
      <c r="J356" s="1204"/>
      <c r="K356" s="1204"/>
      <c r="L356" s="653" t="str">
        <f t="shared" si="181"/>
        <v>6523</v>
      </c>
      <c r="M356" s="654" t="str">
        <f t="shared" si="182"/>
        <v>SAL. &amp; RENUM. CLERICAL</v>
      </c>
      <c r="N356" s="655">
        <f>+IF(OR($Q356=Parametres!$G$2,$Q356=Parametres!$G$3),I356,C356)</f>
        <v>3826.58</v>
      </c>
      <c r="O356" s="655">
        <f>+IF(OR($Q356=Parametres!$G$2,$Q356=Parametres!$G$3),J356,D356)</f>
        <v>3202.8</v>
      </c>
      <c r="P356" s="655">
        <f>+IF(OR($Q356=Parametres!$G$2,$Q356=Parametres!$G$3),K356,E356)</f>
        <v>7029.38</v>
      </c>
      <c r="Q356" s="654" t="str">
        <f t="shared" si="183"/>
        <v>7-Dépenses</v>
      </c>
      <c r="R356" s="653" t="str">
        <f t="shared" si="184"/>
        <v>6123</v>
      </c>
      <c r="S356" s="654">
        <f t="shared" si="185"/>
        <v>0</v>
      </c>
      <c r="T356" s="656" t="str">
        <f>+VLOOKUP($L356,Data_Validation!$A:$D,1,0)</f>
        <v>6523</v>
      </c>
      <c r="U356" s="656" t="str">
        <f>+VLOOKUP($L356,Data_Validation!$A:$D,3,0)</f>
        <v>Carrosserie</v>
      </c>
      <c r="V356" s="656" t="str">
        <f>+VLOOKUP($L356,Data_Validation!$A:$D,4,0)</f>
        <v>Salaires commis</v>
      </c>
      <c r="W356" s="656" t="str">
        <f>+VLOOKUP($L356,Data_Validation!$A:$E,5,0)</f>
        <v>$</v>
      </c>
      <c r="X356" s="656">
        <f>+VLOOKUP($L356,Data_Validation!$A:$F,6,0)</f>
        <v>0</v>
      </c>
    </row>
    <row r="357" spans="1:24" ht="15" customHeight="1">
      <c r="A357" s="1210" t="s">
        <v>1175</v>
      </c>
      <c r="B357" s="1210" t="s">
        <v>2556</v>
      </c>
      <c r="C357" s="1212">
        <v>0.08</v>
      </c>
      <c r="D357" s="1212">
        <v>0.08</v>
      </c>
      <c r="E357" s="1212">
        <v>0.16</v>
      </c>
      <c r="F357" s="1210" t="s">
        <v>1154</v>
      </c>
      <c r="G357" s="1210" t="s">
        <v>1176</v>
      </c>
      <c r="H357" s="1205"/>
      <c r="I357" s="1204"/>
      <c r="J357" s="1204"/>
      <c r="K357" s="1204"/>
      <c r="L357" s="653" t="str">
        <f t="shared" si="181"/>
        <v>6524</v>
      </c>
      <c r="M357" s="654" t="str">
        <f t="shared" si="182"/>
        <v>SALAIRES &amp; RENUM. - AUTRES</v>
      </c>
      <c r="N357" s="655">
        <f>+IF(OR($Q357=Parametres!$G$2,$Q357=Parametres!$G$3),I357,C357)</f>
        <v>0.08</v>
      </c>
      <c r="O357" s="655">
        <f>+IF(OR($Q357=Parametres!$G$2,$Q357=Parametres!$G$3),J357,D357)</f>
        <v>0.08</v>
      </c>
      <c r="P357" s="655">
        <f>+IF(OR($Q357=Parametres!$G$2,$Q357=Parametres!$G$3),K357,E357)</f>
        <v>0.16</v>
      </c>
      <c r="Q357" s="654" t="str">
        <f t="shared" si="183"/>
        <v>7-Dépenses</v>
      </c>
      <c r="R357" s="653" t="str">
        <f t="shared" si="184"/>
        <v>6124</v>
      </c>
      <c r="S357" s="654">
        <f t="shared" si="185"/>
        <v>0</v>
      </c>
      <c r="T357" s="656" t="str">
        <f>+VLOOKUP($L357,Data_Validation!$A:$D,1,0)</f>
        <v>6524</v>
      </c>
      <c r="U357" s="656" t="str">
        <f>+VLOOKUP($L357,Data_Validation!$A:$D,3,0)</f>
        <v>Carrosserie</v>
      </c>
      <c r="V357" s="656" t="str">
        <f>+VLOOKUP($L357,Data_Validation!$A:$D,4,0)</f>
        <v>Salaires autres</v>
      </c>
      <c r="W357" s="656" t="str">
        <f>+VLOOKUP($L357,Data_Validation!$A:$E,5,0)</f>
        <v>$</v>
      </c>
      <c r="X357" s="656">
        <f>+VLOOKUP($L357,Data_Validation!$A:$F,6,0)</f>
        <v>0</v>
      </c>
    </row>
    <row r="358" spans="1:24" ht="15.75" customHeight="1">
      <c r="A358" s="1210" t="s">
        <v>1229</v>
      </c>
      <c r="B358" s="1210" t="s">
        <v>2562</v>
      </c>
      <c r="C358" s="1212">
        <v>476.39</v>
      </c>
      <c r="D358" s="1212">
        <v>292.58999999999997</v>
      </c>
      <c r="E358" s="1212">
        <v>768.98</v>
      </c>
      <c r="F358" s="1210" t="s">
        <v>1154</v>
      </c>
      <c r="G358" s="1210" t="s">
        <v>1178</v>
      </c>
      <c r="H358" s="1205"/>
      <c r="I358" s="1204"/>
      <c r="J358" s="1204"/>
      <c r="K358" s="1204"/>
      <c r="L358" s="653" t="str">
        <f t="shared" si="181"/>
        <v>6529</v>
      </c>
      <c r="M358" s="654" t="str">
        <f t="shared" si="182"/>
        <v>ABS.,VACANCES &amp; SAL. JOURS FER</v>
      </c>
      <c r="N358" s="655">
        <f>+IF(OR($Q358=Parametres!$G$2,$Q358=Parametres!$G$3),I358,C358)</f>
        <v>476.39</v>
      </c>
      <c r="O358" s="655">
        <f>+IF(OR($Q358=Parametres!$G$2,$Q358=Parametres!$G$3),J358,D358)</f>
        <v>292.58999999999997</v>
      </c>
      <c r="P358" s="655">
        <f>+IF(OR($Q358=Parametres!$G$2,$Q358=Parametres!$G$3),K358,E358)</f>
        <v>768.98</v>
      </c>
      <c r="Q358" s="654" t="str">
        <f t="shared" si="183"/>
        <v>7-Dépenses</v>
      </c>
      <c r="R358" s="653" t="str">
        <f t="shared" si="184"/>
        <v>6129</v>
      </c>
      <c r="S358" s="654">
        <f t="shared" si="185"/>
        <v>0</v>
      </c>
      <c r="T358" s="656" t="str">
        <f>+VLOOKUP($L358,Data_Validation!$A:$D,1,0)</f>
        <v>6529</v>
      </c>
      <c r="U358" s="656" t="str">
        <f>+VLOOKUP($L358,Data_Validation!$A:$D,3,0)</f>
        <v>Carrosserie</v>
      </c>
      <c r="V358" s="656" t="str">
        <f>+VLOOKUP($L358,Data_Validation!$A:$D,4,0)</f>
        <v>Salaires en absences</v>
      </c>
      <c r="W358" s="656" t="str">
        <f>+VLOOKUP($L358,Data_Validation!$A:$E,5,0)</f>
        <v>$</v>
      </c>
      <c r="X358" s="656">
        <f>+VLOOKUP($L358,Data_Validation!$A:$F,6,0)</f>
        <v>0</v>
      </c>
    </row>
    <row r="359" spans="1:24" ht="15" customHeight="1">
      <c r="A359" s="1210" t="s">
        <v>1179</v>
      </c>
      <c r="B359" s="1210" t="s">
        <v>2565</v>
      </c>
      <c r="C359" s="1212">
        <v>170.57</v>
      </c>
      <c r="D359" s="1212">
        <v>340.27</v>
      </c>
      <c r="E359" s="1212">
        <v>510.84</v>
      </c>
      <c r="F359" s="1210" t="s">
        <v>1154</v>
      </c>
      <c r="G359" s="1210" t="s">
        <v>1180</v>
      </c>
      <c r="H359" s="1205"/>
      <c r="I359" s="1204"/>
      <c r="J359" s="1204"/>
      <c r="K359" s="1204"/>
      <c r="L359" s="653" t="str">
        <f t="shared" si="181"/>
        <v>6531</v>
      </c>
      <c r="M359" s="654" t="str">
        <f t="shared" si="182"/>
        <v>CSST</v>
      </c>
      <c r="N359" s="655">
        <f>+IF(OR($Q359=Parametres!$G$2,$Q359=Parametres!$G$3),I359,C359)</f>
        <v>170.57</v>
      </c>
      <c r="O359" s="655">
        <f>+IF(OR($Q359=Parametres!$G$2,$Q359=Parametres!$G$3),J359,D359)</f>
        <v>340.27</v>
      </c>
      <c r="P359" s="655">
        <f>+IF(OR($Q359=Parametres!$G$2,$Q359=Parametres!$G$3),K359,E359)</f>
        <v>510.84</v>
      </c>
      <c r="Q359" s="654" t="str">
        <f t="shared" si="183"/>
        <v>7-Dépenses</v>
      </c>
      <c r="R359" s="653" t="str">
        <f t="shared" si="184"/>
        <v>6131</v>
      </c>
      <c r="S359" s="654">
        <f t="shared" si="185"/>
        <v>0</v>
      </c>
      <c r="T359" s="656" t="str">
        <f>+VLOOKUP($L359,Data_Validation!$A:$D,1,0)</f>
        <v>6531</v>
      </c>
      <c r="U359" s="656" t="str">
        <f>+VLOOKUP($L359,Data_Validation!$A:$D,3,0)</f>
        <v>Carrosserie</v>
      </c>
      <c r="V359" s="656" t="str">
        <f>+VLOOKUP($L359,Data_Validation!$A:$D,4,0)</f>
        <v>Csst</v>
      </c>
      <c r="W359" s="656" t="str">
        <f>+VLOOKUP($L359,Data_Validation!$A:$E,5,0)</f>
        <v>$</v>
      </c>
      <c r="X359" s="656">
        <f>+VLOOKUP($L359,Data_Validation!$A:$F,6,0)</f>
        <v>0</v>
      </c>
    </row>
    <row r="360" spans="1:24" ht="15" customHeight="1">
      <c r="A360" s="1210" t="s">
        <v>1181</v>
      </c>
      <c r="B360" s="1210" t="s">
        <v>2568</v>
      </c>
      <c r="C360" s="1212">
        <v>1514.63</v>
      </c>
      <c r="D360" s="1212">
        <v>1514.91</v>
      </c>
      <c r="E360" s="1212">
        <v>3029.54</v>
      </c>
      <c r="F360" s="1210" t="s">
        <v>1154</v>
      </c>
      <c r="G360" s="1210" t="s">
        <v>1182</v>
      </c>
      <c r="H360" s="1205"/>
      <c r="I360" s="1204"/>
      <c r="J360" s="1204"/>
      <c r="K360" s="1204"/>
      <c r="L360" s="653" t="str">
        <f t="shared" si="181"/>
        <v>6532</v>
      </c>
      <c r="M360" s="654" t="str">
        <f t="shared" si="182"/>
        <v>RRQ RAMQ AC</v>
      </c>
      <c r="N360" s="655">
        <f>+IF(OR($Q360=Parametres!$G$2,$Q360=Parametres!$G$3),I360,C360)</f>
        <v>1514.63</v>
      </c>
      <c r="O360" s="655">
        <f>+IF(OR($Q360=Parametres!$G$2,$Q360=Parametres!$G$3),J360,D360)</f>
        <v>1514.91</v>
      </c>
      <c r="P360" s="655">
        <f>+IF(OR($Q360=Parametres!$G$2,$Q360=Parametres!$G$3),K360,E360)</f>
        <v>3029.54</v>
      </c>
      <c r="Q360" s="654" t="str">
        <f t="shared" si="183"/>
        <v>7-Dépenses</v>
      </c>
      <c r="R360" s="653" t="str">
        <f t="shared" si="184"/>
        <v>6132</v>
      </c>
      <c r="S360" s="654">
        <f t="shared" si="185"/>
        <v>0</v>
      </c>
      <c r="T360" s="656" t="str">
        <f>+VLOOKUP($L360,Data_Validation!$A:$D,1,0)</f>
        <v>6532</v>
      </c>
      <c r="U360" s="656" t="str">
        <f>+VLOOKUP($L360,Data_Validation!$A:$D,3,0)</f>
        <v>Carrosserie</v>
      </c>
      <c r="V360" s="656" t="str">
        <f>+VLOOKUP($L360,Data_Validation!$A:$D,4,0)</f>
        <v>Déduction à la source</v>
      </c>
      <c r="W360" s="656" t="str">
        <f>+VLOOKUP($L360,Data_Validation!$A:$E,5,0)</f>
        <v>$</v>
      </c>
      <c r="X360" s="656">
        <f>+VLOOKUP($L360,Data_Validation!$A:$F,6,0)</f>
        <v>0</v>
      </c>
    </row>
    <row r="361" spans="1:24" ht="15" customHeight="1">
      <c r="A361" s="1210" t="s">
        <v>1264</v>
      </c>
      <c r="B361" s="1210" t="s">
        <v>3397</v>
      </c>
      <c r="C361" s="1212">
        <v>211.39</v>
      </c>
      <c r="D361" s="1212">
        <v>164.86</v>
      </c>
      <c r="E361" s="1212">
        <v>376.25</v>
      </c>
      <c r="F361" s="1210" t="s">
        <v>1154</v>
      </c>
      <c r="G361" s="1210" t="s">
        <v>1184</v>
      </c>
      <c r="H361" s="1205"/>
      <c r="I361" s="1204"/>
      <c r="J361" s="1204"/>
      <c r="K361" s="1204"/>
      <c r="L361" s="653" t="str">
        <f t="shared" si="181"/>
        <v>6533</v>
      </c>
      <c r="M361" s="654" t="str">
        <f t="shared" si="182"/>
        <v>FOND PENSION - CARROSSERIE</v>
      </c>
      <c r="N361" s="655">
        <f>+IF(OR($Q361=Parametres!$G$2,$Q361=Parametres!$G$3),I361,C361)</f>
        <v>211.39</v>
      </c>
      <c r="O361" s="655">
        <f>+IF(OR($Q361=Parametres!$G$2,$Q361=Parametres!$G$3),J361,D361)</f>
        <v>164.86</v>
      </c>
      <c r="P361" s="655">
        <f>+IF(OR($Q361=Parametres!$G$2,$Q361=Parametres!$G$3),K361,E361)</f>
        <v>376.25</v>
      </c>
      <c r="Q361" s="654" t="str">
        <f t="shared" si="183"/>
        <v>7-Dépenses</v>
      </c>
      <c r="R361" s="653" t="str">
        <f t="shared" si="184"/>
        <v>6133</v>
      </c>
      <c r="S361" s="654">
        <f t="shared" si="185"/>
        <v>0</v>
      </c>
      <c r="T361" s="656" t="str">
        <f>+VLOOKUP($L361,Data_Validation!$A:$D,1,0)</f>
        <v>6533</v>
      </c>
      <c r="U361" s="656" t="str">
        <f>+VLOOKUP($L361,Data_Validation!$A:$D,3,0)</f>
        <v>Carrosserie</v>
      </c>
      <c r="V361" s="656" t="str">
        <f>+VLOOKUP($L361,Data_Validation!$A:$D,4,0)</f>
        <v>Bénéfices marginaux</v>
      </c>
      <c r="W361" s="656" t="str">
        <f>+VLOOKUP($L361,Data_Validation!$A:$E,5,0)</f>
        <v>$</v>
      </c>
      <c r="X361" s="656">
        <f>+VLOOKUP($L361,Data_Validation!$A:$F,6,0)</f>
        <v>0</v>
      </c>
    </row>
    <row r="362" spans="1:24" ht="15.75" customHeight="1">
      <c r="A362" s="1210" t="s">
        <v>1231</v>
      </c>
      <c r="B362" s="1210" t="s">
        <v>2571</v>
      </c>
      <c r="C362" s="1212">
        <v>298.48</v>
      </c>
      <c r="D362" s="1212">
        <v>218.52</v>
      </c>
      <c r="E362" s="1212">
        <v>517</v>
      </c>
      <c r="F362" s="1210" t="s">
        <v>1154</v>
      </c>
      <c r="G362" s="1210" t="s">
        <v>1186</v>
      </c>
      <c r="H362" s="1205"/>
      <c r="I362" s="1204"/>
      <c r="J362" s="1204"/>
      <c r="K362" s="1204"/>
      <c r="L362" s="653" t="str">
        <f t="shared" si="181"/>
        <v>6539</v>
      </c>
      <c r="M362" s="654" t="str">
        <f t="shared" si="182"/>
        <v>ASSURANCE GROUPE</v>
      </c>
      <c r="N362" s="655">
        <f>+IF(OR($Q362=Parametres!$G$2,$Q362=Parametres!$G$3),I362,C362)</f>
        <v>298.48</v>
      </c>
      <c r="O362" s="655">
        <f>+IF(OR($Q362=Parametres!$G$2,$Q362=Parametres!$G$3),J362,D362)</f>
        <v>218.52</v>
      </c>
      <c r="P362" s="655">
        <f>+IF(OR($Q362=Parametres!$G$2,$Q362=Parametres!$G$3),K362,E362)</f>
        <v>517</v>
      </c>
      <c r="Q362" s="654" t="str">
        <f t="shared" si="183"/>
        <v>7-Dépenses</v>
      </c>
      <c r="R362" s="653" t="str">
        <f t="shared" si="184"/>
        <v>6139</v>
      </c>
      <c r="S362" s="654">
        <f t="shared" si="185"/>
        <v>0</v>
      </c>
      <c r="T362" s="656" t="str">
        <f>+VLOOKUP($L362,Data_Validation!$A:$D,1,0)</f>
        <v>6539</v>
      </c>
      <c r="U362" s="656" t="str">
        <f>+VLOOKUP($L362,Data_Validation!$A:$D,3,0)</f>
        <v>Carrosserie</v>
      </c>
      <c r="V362" s="656" t="str">
        <f>+VLOOKUP($L362,Data_Validation!$A:$D,4,0)</f>
        <v>Bénéfices marginaux</v>
      </c>
      <c r="W362" s="656" t="str">
        <f>+VLOOKUP($L362,Data_Validation!$A:$E,5,0)</f>
        <v>$</v>
      </c>
      <c r="X362" s="656">
        <f>+VLOOKUP($L362,Data_Validation!$A:$F,6,0)</f>
        <v>0</v>
      </c>
    </row>
    <row r="363" spans="1:24" ht="15.75" customHeight="1">
      <c r="A363" s="1210" t="s">
        <v>1191</v>
      </c>
      <c r="B363" s="1210" t="s">
        <v>2583</v>
      </c>
      <c r="C363" s="1212">
        <v>22.33</v>
      </c>
      <c r="D363" s="1212">
        <v>66.58</v>
      </c>
      <c r="E363" s="1212">
        <v>88.91</v>
      </c>
      <c r="F363" s="1210" t="s">
        <v>1154</v>
      </c>
      <c r="G363" s="1210" t="s">
        <v>1192</v>
      </c>
      <c r="H363" s="1205"/>
      <c r="I363" s="1204"/>
      <c r="J363" s="1204"/>
      <c r="K363" s="1204"/>
      <c r="L363" s="653" t="str">
        <f t="shared" si="181"/>
        <v>6544</v>
      </c>
      <c r="M363" s="654" t="str">
        <f t="shared" si="182"/>
        <v>FORMATION</v>
      </c>
      <c r="N363" s="655">
        <f>+IF(OR($Q363=Parametres!$G$2,$Q363=Parametres!$G$3),I363,C363)</f>
        <v>22.33</v>
      </c>
      <c r="O363" s="655">
        <f>+IF(OR($Q363=Parametres!$G$2,$Q363=Parametres!$G$3),J363,D363)</f>
        <v>66.58</v>
      </c>
      <c r="P363" s="655">
        <f>+IF(OR($Q363=Parametres!$G$2,$Q363=Parametres!$G$3),K363,E363)</f>
        <v>88.91</v>
      </c>
      <c r="Q363" s="654" t="str">
        <f t="shared" si="183"/>
        <v>7-Dépenses</v>
      </c>
      <c r="R363" s="653" t="str">
        <f t="shared" si="184"/>
        <v>6144</v>
      </c>
      <c r="S363" s="654">
        <f t="shared" si="185"/>
        <v>0</v>
      </c>
      <c r="T363" s="656" t="str">
        <f>+VLOOKUP($L363,Data_Validation!$A:$D,1,0)</f>
        <v>6544</v>
      </c>
      <c r="U363" s="656" t="str">
        <f>+VLOOKUP($L363,Data_Validation!$A:$D,3,0)</f>
        <v>Carrosserie</v>
      </c>
      <c r="V363" s="656" t="str">
        <f>+VLOOKUP($L363,Data_Validation!$A:$D,4,0)</f>
        <v>Formation</v>
      </c>
      <c r="W363" s="656" t="str">
        <f>+VLOOKUP($L363,Data_Validation!$A:$E,5,0)</f>
        <v>$</v>
      </c>
      <c r="X363" s="656">
        <f>+VLOOKUP($L363,Data_Validation!$A:$F,6,0)</f>
        <v>0</v>
      </c>
    </row>
    <row r="364" spans="1:24" ht="15" customHeight="1">
      <c r="A364" s="1210" t="s">
        <v>1193</v>
      </c>
      <c r="B364" s="1210" t="s">
        <v>2586</v>
      </c>
      <c r="C364" s="1212">
        <v>177.91</v>
      </c>
      <c r="D364" s="1212">
        <v>157.77000000000001</v>
      </c>
      <c r="E364" s="1212">
        <v>335.68</v>
      </c>
      <c r="F364" s="1210" t="s">
        <v>1154</v>
      </c>
      <c r="G364" s="1210" t="s">
        <v>1194</v>
      </c>
      <c r="H364" s="1205"/>
      <c r="I364" s="1204"/>
      <c r="J364" s="1204"/>
      <c r="K364" s="1204"/>
      <c r="L364" s="653" t="str">
        <f t="shared" si="181"/>
        <v>6545</v>
      </c>
      <c r="M364" s="654" t="str">
        <f t="shared" si="182"/>
        <v>VEHICULE DE COMPAGNIE - DEPENS</v>
      </c>
      <c r="N364" s="655">
        <f>+IF(OR($Q364=Parametres!$G$2,$Q364=Parametres!$G$3),I364,C364)</f>
        <v>177.91</v>
      </c>
      <c r="O364" s="655">
        <f>+IF(OR($Q364=Parametres!$G$2,$Q364=Parametres!$G$3),J364,D364)</f>
        <v>157.77000000000001</v>
      </c>
      <c r="P364" s="655">
        <f>+IF(OR($Q364=Parametres!$G$2,$Q364=Parametres!$G$3),K364,E364)</f>
        <v>335.68</v>
      </c>
      <c r="Q364" s="654" t="str">
        <f t="shared" si="183"/>
        <v>7-Dépenses</v>
      </c>
      <c r="R364" s="653" t="str">
        <f t="shared" si="184"/>
        <v>6145</v>
      </c>
      <c r="S364" s="654">
        <f t="shared" si="185"/>
        <v>0</v>
      </c>
      <c r="T364" s="656" t="str">
        <f>+VLOOKUP($L364,Data_Validation!$A:$D,1,0)</f>
        <v>6545</v>
      </c>
      <c r="U364" s="656" t="str">
        <f>+VLOOKUP($L364,Data_Validation!$A:$D,3,0)</f>
        <v>Carrosserie</v>
      </c>
      <c r="V364" s="656" t="str">
        <f>+VLOOKUP($L364,Data_Validation!$A:$D,4,0)</f>
        <v>Frais véhicules de cie</v>
      </c>
      <c r="W364" s="656" t="str">
        <f>+VLOOKUP($L364,Data_Validation!$A:$E,5,0)</f>
        <v>$</v>
      </c>
      <c r="X364" s="656">
        <f>+VLOOKUP($L364,Data_Validation!$A:$F,6,0)</f>
        <v>0</v>
      </c>
    </row>
    <row r="365" spans="1:24" ht="15" customHeight="1">
      <c r="A365" s="1210" t="s">
        <v>1195</v>
      </c>
      <c r="B365" s="1210" t="s">
        <v>2589</v>
      </c>
      <c r="C365" s="1212">
        <v>158.76</v>
      </c>
      <c r="D365" s="1212">
        <v>97.98</v>
      </c>
      <c r="E365" s="1212">
        <v>256.74</v>
      </c>
      <c r="F365" s="1210" t="s">
        <v>1154</v>
      </c>
      <c r="G365" s="1210" t="s">
        <v>1196</v>
      </c>
      <c r="H365" s="1205"/>
      <c r="I365" s="1204"/>
      <c r="J365" s="1204"/>
      <c r="K365" s="1204"/>
      <c r="L365" s="653" t="str">
        <f t="shared" si="181"/>
        <v>6547</v>
      </c>
      <c r="M365" s="654" t="str">
        <f t="shared" si="182"/>
        <v>FRET/EXPRESS/TRANS. PAR CAMION</v>
      </c>
      <c r="N365" s="655">
        <f>+IF(OR($Q365=Parametres!$G$2,$Q365=Parametres!$G$3),I365,C365)</f>
        <v>158.76</v>
      </c>
      <c r="O365" s="655">
        <f>+IF(OR($Q365=Parametres!$G$2,$Q365=Parametres!$G$3),J365,D365)</f>
        <v>97.98</v>
      </c>
      <c r="P365" s="655">
        <f>+IF(OR($Q365=Parametres!$G$2,$Q365=Parametres!$G$3),K365,E365)</f>
        <v>256.74</v>
      </c>
      <c r="Q365" s="654" t="str">
        <f t="shared" si="183"/>
        <v>7-Dépenses</v>
      </c>
      <c r="R365" s="653" t="str">
        <f t="shared" si="184"/>
        <v>6147</v>
      </c>
      <c r="S365" s="654">
        <f t="shared" si="185"/>
        <v>0</v>
      </c>
      <c r="T365" s="656" t="str">
        <f>+VLOOKUP($L365,Data_Validation!$A:$D,1,0)</f>
        <v>6547</v>
      </c>
      <c r="U365" s="656" t="str">
        <f>+VLOOKUP($L365,Data_Validation!$A:$D,3,0)</f>
        <v>Carrosserie</v>
      </c>
      <c r="V365" s="656" t="str">
        <f>+VLOOKUP($L365,Data_Validation!$A:$D,4,0)</f>
        <v>Frais postaux</v>
      </c>
      <c r="W365" s="656" t="str">
        <f>+VLOOKUP($L365,Data_Validation!$A:$E,5,0)</f>
        <v>$</v>
      </c>
      <c r="X365" s="656">
        <f>+VLOOKUP($L365,Data_Validation!$A:$F,6,0)</f>
        <v>0</v>
      </c>
    </row>
    <row r="366" spans="1:24" ht="15" customHeight="1">
      <c r="A366" s="1210" t="s">
        <v>1197</v>
      </c>
      <c r="B366" s="1210" t="s">
        <v>2594</v>
      </c>
      <c r="C366" s="1212">
        <v>2230.21</v>
      </c>
      <c r="D366" s="1212">
        <v>1160.31</v>
      </c>
      <c r="E366" s="1212">
        <v>3390.52</v>
      </c>
      <c r="F366" s="1210" t="s">
        <v>1154</v>
      </c>
      <c r="G366" s="1210" t="s">
        <v>1198</v>
      </c>
      <c r="H366" s="1205"/>
      <c r="I366" s="1204"/>
      <c r="J366" s="1204"/>
      <c r="K366" s="1204"/>
      <c r="L366" s="653" t="str">
        <f t="shared" si="181"/>
        <v>6551</v>
      </c>
      <c r="M366" s="654" t="str">
        <f t="shared" si="182"/>
        <v>DEP. DU TRAITEMENT DES DONNEES</v>
      </c>
      <c r="N366" s="655">
        <f>+IF(OR($Q366=Parametres!$G$2,$Q366=Parametres!$G$3),I366,C366)</f>
        <v>2230.21</v>
      </c>
      <c r="O366" s="659">
        <f>+IF(OR($Q366=Parametres!$G$2,$Q366=Parametres!$G$3),J366,D366)</f>
        <v>1160.31</v>
      </c>
      <c r="P366" s="655">
        <f>+IF(OR($Q366=Parametres!$G$2,$Q366=Parametres!$G$3),K366,E366)</f>
        <v>3390.52</v>
      </c>
      <c r="Q366" s="654" t="str">
        <f t="shared" si="183"/>
        <v>7-Dépenses</v>
      </c>
      <c r="R366" s="653" t="str">
        <f t="shared" si="184"/>
        <v>6151</v>
      </c>
      <c r="S366" s="654">
        <f t="shared" si="185"/>
        <v>0</v>
      </c>
      <c r="T366" s="656" t="str">
        <f>+VLOOKUP($L366,Data_Validation!$A:$D,1,0)</f>
        <v>6551</v>
      </c>
      <c r="U366" s="656" t="str">
        <f>+VLOOKUP($L366,Data_Validation!$A:$D,3,0)</f>
        <v>Carrosserie</v>
      </c>
      <c r="V366" s="656" t="str">
        <f>+VLOOKUP($L366,Data_Validation!$A:$D,4,0)</f>
        <v>Informatique</v>
      </c>
      <c r="W366" s="656" t="str">
        <f>+VLOOKUP($L366,Data_Validation!$A:$E,5,0)</f>
        <v>$</v>
      </c>
      <c r="X366" s="656">
        <f>+VLOOKUP($L366,Data_Validation!$A:$F,6,0)</f>
        <v>0</v>
      </c>
    </row>
    <row r="367" spans="1:24" ht="15" customHeight="1">
      <c r="A367" s="1210" t="s">
        <v>1199</v>
      </c>
      <c r="B367" s="1210" t="s">
        <v>2597</v>
      </c>
      <c r="C367" s="1212">
        <v>35.380000000000003</v>
      </c>
      <c r="D367" s="1212">
        <v>227.94</v>
      </c>
      <c r="E367" s="1212">
        <v>263.32</v>
      </c>
      <c r="F367" s="1210" t="s">
        <v>1154</v>
      </c>
      <c r="G367" s="1210" t="s">
        <v>1200</v>
      </c>
      <c r="H367" s="1205"/>
      <c r="I367" s="1204"/>
      <c r="J367" s="1204"/>
      <c r="K367" s="1204"/>
      <c r="L367" s="653" t="str">
        <f t="shared" si="181"/>
        <v>6552</v>
      </c>
      <c r="M367" s="654" t="str">
        <f t="shared" si="182"/>
        <v>PAPETERIE</v>
      </c>
      <c r="N367" s="655">
        <f>+IF(OR($Q367=Parametres!$G$2,$Q367=Parametres!$G$3),I367,C367)</f>
        <v>35.380000000000003</v>
      </c>
      <c r="O367" s="655">
        <f>+IF(OR($Q367=Parametres!$G$2,$Q367=Parametres!$G$3),J367,D367)</f>
        <v>227.94</v>
      </c>
      <c r="P367" s="655">
        <f>+IF(OR($Q367=Parametres!$G$2,$Q367=Parametres!$G$3),K367,E367)</f>
        <v>263.32</v>
      </c>
      <c r="Q367" s="654" t="str">
        <f t="shared" si="183"/>
        <v>7-Dépenses</v>
      </c>
      <c r="R367" s="653" t="str">
        <f t="shared" si="184"/>
        <v>6152</v>
      </c>
      <c r="S367" s="654">
        <f t="shared" si="185"/>
        <v>0</v>
      </c>
      <c r="T367" s="656" t="str">
        <f>+VLOOKUP($L367,Data_Validation!$A:$D,1,0)</f>
        <v>6552</v>
      </c>
      <c r="U367" s="656" t="str">
        <f>+VLOOKUP($L367,Data_Validation!$A:$D,3,0)</f>
        <v>Carrosserie</v>
      </c>
      <c r="V367" s="656" t="str">
        <f>+VLOOKUP($L367,Data_Validation!$A:$D,4,0)</f>
        <v>Papeterie</v>
      </c>
      <c r="W367" s="656" t="str">
        <f>+VLOOKUP($L367,Data_Validation!$A:$E,5,0)</f>
        <v>$</v>
      </c>
      <c r="X367" s="656">
        <f>+VLOOKUP($L367,Data_Validation!$A:$F,6,0)</f>
        <v>0</v>
      </c>
    </row>
    <row r="368" spans="1:24" ht="15" customHeight="1">
      <c r="A368" s="1210" t="s">
        <v>1201</v>
      </c>
      <c r="B368" s="1210" t="s">
        <v>2600</v>
      </c>
      <c r="C368" s="1212">
        <v>36.47</v>
      </c>
      <c r="D368" s="1212">
        <v>33.880000000000003</v>
      </c>
      <c r="E368" s="1212">
        <v>70.349999999999994</v>
      </c>
      <c r="F368" s="1210" t="s">
        <v>1154</v>
      </c>
      <c r="G368" s="1210" t="s">
        <v>1202</v>
      </c>
      <c r="H368" s="1205"/>
      <c r="I368" s="1204"/>
      <c r="J368" s="1204"/>
      <c r="K368" s="1204"/>
      <c r="L368" s="653" t="str">
        <f t="shared" si="181"/>
        <v>6553</v>
      </c>
      <c r="M368" s="654" t="str">
        <f t="shared" si="182"/>
        <v>TELEPHONE ET TELEX</v>
      </c>
      <c r="N368" s="655">
        <f>+IF(OR($Q368=Parametres!$G$2,$Q368=Parametres!$G$3),I368,C368)</f>
        <v>36.47</v>
      </c>
      <c r="O368" s="655">
        <f>+IF(OR($Q368=Parametres!$G$2,$Q368=Parametres!$G$3),J368,D368)</f>
        <v>33.880000000000003</v>
      </c>
      <c r="P368" s="655">
        <f>+IF(OR($Q368=Parametres!$G$2,$Q368=Parametres!$G$3),K368,E368)</f>
        <v>70.349999999999994</v>
      </c>
      <c r="Q368" s="654" t="str">
        <f t="shared" si="183"/>
        <v>7-Dépenses</v>
      </c>
      <c r="R368" s="653" t="str">
        <f t="shared" si="184"/>
        <v>6153</v>
      </c>
      <c r="S368" s="654">
        <f t="shared" si="185"/>
        <v>0</v>
      </c>
      <c r="T368" s="656" t="str">
        <f>+VLOOKUP($L368,Data_Validation!$A:$D,1,0)</f>
        <v>6553</v>
      </c>
      <c r="U368" s="656" t="str">
        <f>+VLOOKUP($L368,Data_Validation!$A:$D,3,0)</f>
        <v>Carrosserie</v>
      </c>
      <c r="V368" s="656" t="str">
        <f>+VLOOKUP($L368,Data_Validation!$A:$D,4,0)</f>
        <v>Téléphone</v>
      </c>
      <c r="W368" s="656" t="str">
        <f>+VLOOKUP($L368,Data_Validation!$A:$E,5,0)</f>
        <v>$</v>
      </c>
      <c r="X368" s="656">
        <f>+VLOOKUP($L368,Data_Validation!$A:$F,6,0)</f>
        <v>0</v>
      </c>
    </row>
    <row r="369" spans="1:24" ht="15.75" customHeight="1">
      <c r="A369" s="1210" t="s">
        <v>1203</v>
      </c>
      <c r="B369" s="1210" t="s">
        <v>2603</v>
      </c>
      <c r="C369" s="1212">
        <v>19.57</v>
      </c>
      <c r="D369" s="1212">
        <v>15.58</v>
      </c>
      <c r="E369" s="1212">
        <v>35.15</v>
      </c>
      <c r="F369" s="1210" t="s">
        <v>1154</v>
      </c>
      <c r="G369" s="1210" t="s">
        <v>1204</v>
      </c>
      <c r="H369" s="1205"/>
      <c r="I369" s="1204"/>
      <c r="J369" s="1204"/>
      <c r="K369" s="1204"/>
      <c r="L369" s="653" t="str">
        <f t="shared" si="181"/>
        <v>6555</v>
      </c>
      <c r="M369" s="654" t="str">
        <f t="shared" si="182"/>
        <v>DEPENSES DIVERS</v>
      </c>
      <c r="N369" s="655">
        <f>+IF(OR($Q369=Parametres!$G$2,$Q369=Parametres!$G$3),I369,C369)</f>
        <v>19.57</v>
      </c>
      <c r="O369" s="655">
        <f>+IF(OR($Q369=Parametres!$G$2,$Q369=Parametres!$G$3),J369,D369)</f>
        <v>15.58</v>
      </c>
      <c r="P369" s="655">
        <f>+IF(OR($Q369=Parametres!$G$2,$Q369=Parametres!$G$3),K369,E369)</f>
        <v>35.15</v>
      </c>
      <c r="Q369" s="654" t="str">
        <f t="shared" si="183"/>
        <v>7-Dépenses</v>
      </c>
      <c r="R369" s="653" t="str">
        <f t="shared" si="184"/>
        <v>6155</v>
      </c>
      <c r="S369" s="654">
        <f t="shared" si="185"/>
        <v>0</v>
      </c>
      <c r="T369" s="656" t="str">
        <f>+VLOOKUP($L369,Data_Validation!$A:$D,1,0)</f>
        <v>6555</v>
      </c>
      <c r="U369" s="656" t="str">
        <f>+VLOOKUP($L369,Data_Validation!$A:$D,3,0)</f>
        <v>Carrosserie</v>
      </c>
      <c r="V369" s="656" t="str">
        <f>+VLOOKUP($L369,Data_Validation!$A:$D,4,0)</f>
        <v>Divers</v>
      </c>
      <c r="W369" s="656" t="str">
        <f>+VLOOKUP($L369,Data_Validation!$A:$E,5,0)</f>
        <v>$</v>
      </c>
      <c r="X369" s="656">
        <f>+VLOOKUP($L369,Data_Validation!$A:$F,6,0)</f>
        <v>0</v>
      </c>
    </row>
    <row r="370" spans="1:24" ht="15" customHeight="1">
      <c r="A370" s="1210" t="s">
        <v>1265</v>
      </c>
      <c r="B370" s="1210" t="s">
        <v>2606</v>
      </c>
      <c r="C370" s="1212">
        <v>292.13</v>
      </c>
      <c r="D370" s="1212">
        <v>203.97</v>
      </c>
      <c r="E370" s="1212">
        <v>496.1</v>
      </c>
      <c r="F370" s="1210" t="s">
        <v>1154</v>
      </c>
      <c r="G370" s="1210" t="s">
        <v>1206</v>
      </c>
      <c r="H370" s="1205"/>
      <c r="I370" s="1204"/>
      <c r="J370" s="1204"/>
      <c r="K370" s="1204"/>
      <c r="L370" s="653" t="str">
        <f t="shared" si="181"/>
        <v>6556</v>
      </c>
      <c r="M370" s="654" t="str">
        <f t="shared" si="182"/>
        <v>FRAIS REPRESENTATION</v>
      </c>
      <c r="N370" s="655">
        <f>+IF(OR($Q370=Parametres!$G$2,$Q370=Parametres!$G$3),I370,C370)</f>
        <v>292.13</v>
      </c>
      <c r="O370" s="655">
        <f>+IF(OR($Q370=Parametres!$G$2,$Q370=Parametres!$G$3),J370,D370)</f>
        <v>203.97</v>
      </c>
      <c r="P370" s="655">
        <f>+IF(OR($Q370=Parametres!$G$2,$Q370=Parametres!$G$3),K370,E370)</f>
        <v>496.1</v>
      </c>
      <c r="Q370" s="654" t="str">
        <f t="shared" si="183"/>
        <v>7-Dépenses</v>
      </c>
      <c r="R370" s="653" t="str">
        <f t="shared" si="184"/>
        <v>6156</v>
      </c>
      <c r="S370" s="654">
        <f t="shared" si="185"/>
        <v>0</v>
      </c>
      <c r="T370" s="656" t="str">
        <f>+VLOOKUP($L370,Data_Validation!$A:$D,1,0)</f>
        <v>6556</v>
      </c>
      <c r="U370" s="656" t="str">
        <f>+VLOOKUP($L370,Data_Validation!$A:$D,3,0)</f>
        <v>Carrosserie</v>
      </c>
      <c r="V370" s="656" t="str">
        <f>+VLOOKUP($L370,Data_Validation!$A:$D,4,0)</f>
        <v>Frais de déplacement</v>
      </c>
      <c r="W370" s="656" t="str">
        <f>+VLOOKUP($L370,Data_Validation!$A:$E,5,0)</f>
        <v>$</v>
      </c>
      <c r="X370" s="656">
        <f>+VLOOKUP($L370,Data_Validation!$A:$F,6,0)</f>
        <v>0</v>
      </c>
    </row>
    <row r="371" spans="1:24" ht="15" customHeight="1">
      <c r="A371" s="1210" t="s">
        <v>1266</v>
      </c>
      <c r="B371" s="1210" t="s">
        <v>3398</v>
      </c>
      <c r="C371" s="1212">
        <v>155.71</v>
      </c>
      <c r="D371" s="1212">
        <v>120.3</v>
      </c>
      <c r="E371" s="1212">
        <v>276.01</v>
      </c>
      <c r="F371" s="1210" t="s">
        <v>1154</v>
      </c>
      <c r="G371" s="1210" t="s">
        <v>1267</v>
      </c>
      <c r="H371" s="1205"/>
      <c r="I371" s="1204"/>
      <c r="J371" s="1204"/>
      <c r="K371" s="1204"/>
      <c r="L371" s="653" t="str">
        <f t="shared" si="181"/>
        <v>6557</v>
      </c>
      <c r="M371" s="654" t="str">
        <f t="shared" si="182"/>
        <v>FRAIS BANCAIRES - CARROSSERIE</v>
      </c>
      <c r="N371" s="655">
        <f>+IF(OR($Q371=Parametres!$G$2,$Q371=Parametres!$G$3),I371,C371)</f>
        <v>155.71</v>
      </c>
      <c r="O371" s="655">
        <f>+IF(OR($Q371=Parametres!$G$2,$Q371=Parametres!$G$3),J371,D371)</f>
        <v>120.3</v>
      </c>
      <c r="P371" s="655">
        <f>+IF(OR($Q371=Parametres!$G$2,$Q371=Parametres!$G$3),K371,E371)</f>
        <v>276.01</v>
      </c>
      <c r="Q371" s="654" t="str">
        <f t="shared" si="183"/>
        <v>7-Dépenses</v>
      </c>
      <c r="R371" s="653" t="str">
        <f t="shared" si="184"/>
        <v>655</v>
      </c>
      <c r="S371" s="654">
        <f t="shared" si="185"/>
        <v>0</v>
      </c>
      <c r="T371" s="656" t="str">
        <f>+VLOOKUP($L371,Data_Validation!$A:$D,1,0)</f>
        <v>6557</v>
      </c>
      <c r="U371" s="656" t="str">
        <f>+VLOOKUP($L371,Data_Validation!$A:$D,3,0)</f>
        <v>Carrosserie</v>
      </c>
      <c r="V371" s="656" t="str">
        <f>+VLOOKUP($L371,Data_Validation!$A:$D,4,0)</f>
        <v>Frais bancaires</v>
      </c>
      <c r="W371" s="656" t="str">
        <f>+VLOOKUP($L371,Data_Validation!$A:$E,5,0)</f>
        <v>$</v>
      </c>
      <c r="X371" s="656">
        <f>+VLOOKUP($L371,Data_Validation!$A:$F,6,0)</f>
        <v>0</v>
      </c>
    </row>
    <row r="372" spans="1:24" ht="15" customHeight="1">
      <c r="A372" s="1210" t="s">
        <v>1209</v>
      </c>
      <c r="B372" s="1210" t="s">
        <v>2609</v>
      </c>
      <c r="C372" s="1212">
        <v>825.52</v>
      </c>
      <c r="D372" s="1212">
        <v>841.55</v>
      </c>
      <c r="E372" s="1212">
        <v>1667.07</v>
      </c>
      <c r="F372" s="1210" t="s">
        <v>1154</v>
      </c>
      <c r="G372" s="1210" t="s">
        <v>1210</v>
      </c>
      <c r="H372" s="1205"/>
      <c r="I372" s="1204"/>
      <c r="J372" s="1204"/>
      <c r="K372" s="1204"/>
      <c r="L372" s="653" t="str">
        <f t="shared" ref="L372:L388" si="186">TEXT(B372,0)</f>
        <v>6559</v>
      </c>
      <c r="M372" s="654" t="str">
        <f t="shared" ref="M372:M388" si="187">+A372</f>
        <v>SERVICE EXTERIEUR</v>
      </c>
      <c r="N372" s="655">
        <f>+IF(OR($Q372=Parametres!$G$2,$Q372=Parametres!$G$3),I372,C372)</f>
        <v>825.52</v>
      </c>
      <c r="O372" s="655">
        <f>+IF(OR($Q372=Parametres!$G$2,$Q372=Parametres!$G$3),J372,D372)</f>
        <v>841.55</v>
      </c>
      <c r="P372" s="655">
        <f>+IF(OR($Q372=Parametres!$G$2,$Q372=Parametres!$G$3),K372,E372)</f>
        <v>1667.07</v>
      </c>
      <c r="Q372" s="654" t="str">
        <f t="shared" ref="Q372:Q388" si="188">+F372</f>
        <v>7-Dépenses</v>
      </c>
      <c r="R372" s="653" t="str">
        <f t="shared" ref="R372:R388" si="189">+G372</f>
        <v>6159</v>
      </c>
      <c r="S372" s="654">
        <f t="shared" ref="S372:S388" si="190">+H372</f>
        <v>0</v>
      </c>
      <c r="T372" s="656" t="str">
        <f>+VLOOKUP($L372,Data_Validation!$A:$D,1,0)</f>
        <v>6559</v>
      </c>
      <c r="U372" s="656" t="str">
        <f>+VLOOKUP($L372,Data_Validation!$A:$D,3,0)</f>
        <v>Carrosserie</v>
      </c>
      <c r="V372" s="656" t="str">
        <f>+VLOOKUP($L372,Data_Validation!$A:$D,4,0)</f>
        <v>Services extérieurs</v>
      </c>
      <c r="W372" s="656" t="str">
        <f>+VLOOKUP($L372,Data_Validation!$A:$E,5,0)</f>
        <v>$</v>
      </c>
      <c r="X372" s="656">
        <f>+VLOOKUP($L372,Data_Validation!$A:$F,6,0)</f>
        <v>0</v>
      </c>
    </row>
    <row r="373" spans="1:24" ht="15" customHeight="1">
      <c r="A373" s="1210" t="s">
        <v>1211</v>
      </c>
      <c r="B373" s="1210" t="s">
        <v>2611</v>
      </c>
      <c r="C373" s="1212">
        <v>2985.36</v>
      </c>
      <c r="D373" s="1212">
        <v>2985.36</v>
      </c>
      <c r="E373" s="1212">
        <v>5970.72</v>
      </c>
      <c r="F373" s="1210" t="s">
        <v>1154</v>
      </c>
      <c r="G373" s="1210" t="s">
        <v>1212</v>
      </c>
      <c r="H373" s="1205"/>
      <c r="I373" s="1204"/>
      <c r="J373" s="1204"/>
      <c r="K373" s="1204"/>
      <c r="L373" s="653" t="str">
        <f t="shared" si="186"/>
        <v>6561</v>
      </c>
      <c r="M373" s="654" t="str">
        <f t="shared" si="187"/>
        <v>DEPRECIATION EQUIP. &amp; FIXTURES</v>
      </c>
      <c r="N373" s="655">
        <f>+IF(OR($Q373=Parametres!$G$2,$Q373=Parametres!$G$3),I373,C373)</f>
        <v>2985.36</v>
      </c>
      <c r="O373" s="655">
        <f>+IF(OR($Q373=Parametres!$G$2,$Q373=Parametres!$G$3),J373,D373)</f>
        <v>2985.36</v>
      </c>
      <c r="P373" s="655">
        <f>+IF(OR($Q373=Parametres!$G$2,$Q373=Parametres!$G$3),K373,E373)</f>
        <v>5970.72</v>
      </c>
      <c r="Q373" s="654" t="str">
        <f t="shared" si="188"/>
        <v>7-Dépenses</v>
      </c>
      <c r="R373" s="653" t="str">
        <f t="shared" si="189"/>
        <v>6161</v>
      </c>
      <c r="S373" s="654">
        <f t="shared" si="190"/>
        <v>0</v>
      </c>
      <c r="T373" s="656" t="str">
        <f>+VLOOKUP($L373,Data_Validation!$A:$D,1,0)</f>
        <v>6561</v>
      </c>
      <c r="U373" s="656" t="str">
        <f>+VLOOKUP($L373,Data_Validation!$A:$D,3,0)</f>
        <v>Carrosserie</v>
      </c>
      <c r="V373" s="656" t="str">
        <f>+VLOOKUP($L373,Data_Validation!$A:$D,4,0)</f>
        <v>Amortissement</v>
      </c>
      <c r="W373" s="656" t="str">
        <f>+VLOOKUP($L373,Data_Validation!$A:$E,5,0)</f>
        <v>$</v>
      </c>
      <c r="X373" s="656">
        <f>+VLOOKUP($L373,Data_Validation!$A:$F,6,0)</f>
        <v>0</v>
      </c>
    </row>
    <row r="374" spans="1:24" ht="15.75" customHeight="1">
      <c r="A374" s="1210" t="s">
        <v>1268</v>
      </c>
      <c r="B374" s="1210" t="s">
        <v>2620</v>
      </c>
      <c r="C374" s="1212">
        <v>719.23</v>
      </c>
      <c r="D374" s="1212">
        <v>604.75</v>
      </c>
      <c r="E374" s="1212">
        <v>1323.98</v>
      </c>
      <c r="F374" s="1210" t="s">
        <v>1154</v>
      </c>
      <c r="G374" s="1210" t="s">
        <v>1214</v>
      </c>
      <c r="H374" s="1205"/>
      <c r="I374" s="1204"/>
      <c r="J374" s="1204"/>
      <c r="K374" s="1204"/>
      <c r="L374" s="653" t="str">
        <f t="shared" si="186"/>
        <v>6581</v>
      </c>
      <c r="M374" s="654" t="str">
        <f t="shared" si="187"/>
        <v>CHAUFFAGE,ELECTRICITE,EAU-CARROS.</v>
      </c>
      <c r="N374" s="655">
        <f>+IF(OR($Q374=Parametres!$G$2,$Q374=Parametres!$G$3),I374,C374)</f>
        <v>719.23</v>
      </c>
      <c r="O374" s="655">
        <f>+IF(OR($Q374=Parametres!$G$2,$Q374=Parametres!$G$3),J374,D374)</f>
        <v>604.75</v>
      </c>
      <c r="P374" s="655">
        <f>+IF(OR($Q374=Parametres!$G$2,$Q374=Parametres!$G$3),K374,E374)</f>
        <v>1323.98</v>
      </c>
      <c r="Q374" s="654" t="str">
        <f t="shared" si="188"/>
        <v>7-Dépenses</v>
      </c>
      <c r="R374" s="653" t="str">
        <f t="shared" si="189"/>
        <v>6181</v>
      </c>
      <c r="S374" s="654">
        <f t="shared" si="190"/>
        <v>0</v>
      </c>
      <c r="T374" s="656" t="str">
        <f>+VLOOKUP($L374,Data_Validation!$A:$D,1,0)</f>
        <v>6581</v>
      </c>
      <c r="U374" s="656" t="str">
        <f>+VLOOKUP($L374,Data_Validation!$A:$D,3,0)</f>
        <v>Carrosserie</v>
      </c>
      <c r="V374" s="656" t="str">
        <f>+VLOOKUP($L374,Data_Validation!$A:$D,4,0)</f>
        <v>Chauffage, éclairage</v>
      </c>
      <c r="W374" s="656" t="str">
        <f>+VLOOKUP($L374,Data_Validation!$A:$E,5,0)</f>
        <v>$</v>
      </c>
      <c r="X374" s="656">
        <f>+VLOOKUP($L374,Data_Validation!$A:$F,6,0)</f>
        <v>0</v>
      </c>
    </row>
    <row r="375" spans="1:24" ht="15" customHeight="1">
      <c r="A375" s="1210" t="s">
        <v>1269</v>
      </c>
      <c r="B375" s="1210" t="s">
        <v>2623</v>
      </c>
      <c r="C375" s="1212">
        <v>2520</v>
      </c>
      <c r="D375" s="1212">
        <v>2520</v>
      </c>
      <c r="E375" s="1212">
        <v>5040</v>
      </c>
      <c r="F375" s="1210" t="s">
        <v>1154</v>
      </c>
      <c r="G375" s="1210" t="s">
        <v>1216</v>
      </c>
      <c r="H375" s="1205"/>
      <c r="I375" s="1204"/>
      <c r="J375" s="1204"/>
      <c r="K375" s="1204"/>
      <c r="L375" s="653" t="str">
        <f t="shared" si="186"/>
        <v>6582</v>
      </c>
      <c r="M375" s="654" t="str">
        <f t="shared" si="187"/>
        <v>LOYER - CARROSSERIE</v>
      </c>
      <c r="N375" s="655">
        <f>+IF(OR($Q375=Parametres!$G$2,$Q375=Parametres!$G$3),I375,C375)</f>
        <v>2520</v>
      </c>
      <c r="O375" s="655">
        <f>+IF(OR($Q375=Parametres!$G$2,$Q375=Parametres!$G$3),J375,D375)</f>
        <v>2520</v>
      </c>
      <c r="P375" s="655">
        <f>+IF(OR($Q375=Parametres!$G$2,$Q375=Parametres!$G$3),K375,E375)</f>
        <v>5040</v>
      </c>
      <c r="Q375" s="654" t="str">
        <f t="shared" si="188"/>
        <v>7-Dépenses</v>
      </c>
      <c r="R375" s="653" t="str">
        <f t="shared" si="189"/>
        <v>6182</v>
      </c>
      <c r="S375" s="654">
        <f t="shared" si="190"/>
        <v>0</v>
      </c>
      <c r="T375" s="656" t="str">
        <f>+VLOOKUP($L375,Data_Validation!$A:$D,1,0)</f>
        <v>6582</v>
      </c>
      <c r="U375" s="656" t="str">
        <f>+VLOOKUP($L375,Data_Validation!$A:$D,3,0)</f>
        <v>Carrosserie</v>
      </c>
      <c r="V375" s="656" t="str">
        <f>+VLOOKUP($L375,Data_Validation!$A:$D,4,0)</f>
        <v>Loyer</v>
      </c>
      <c r="W375" s="656" t="str">
        <f>+VLOOKUP($L375,Data_Validation!$A:$E,5,0)</f>
        <v>$</v>
      </c>
      <c r="X375" s="656">
        <f>+VLOOKUP($L375,Data_Validation!$A:$F,6,0)</f>
        <v>0</v>
      </c>
    </row>
    <row r="376" spans="1:24" ht="15" customHeight="1">
      <c r="A376" s="1210" t="s">
        <v>1270</v>
      </c>
      <c r="B376" s="1210" t="s">
        <v>2625</v>
      </c>
      <c r="C376" s="1212">
        <v>304.10000000000002</v>
      </c>
      <c r="D376" s="1212">
        <v>304.10000000000002</v>
      </c>
      <c r="E376" s="1212">
        <v>608.20000000000005</v>
      </c>
      <c r="F376" s="1210" t="s">
        <v>1154</v>
      </c>
      <c r="G376" s="1210" t="s">
        <v>1218</v>
      </c>
      <c r="H376" s="1205"/>
      <c r="I376" s="1204"/>
      <c r="J376" s="1204"/>
      <c r="K376" s="1204"/>
      <c r="L376" s="653" t="str">
        <f t="shared" si="186"/>
        <v>6586</v>
      </c>
      <c r="M376" s="654" t="str">
        <f t="shared" si="187"/>
        <v>ASSURANCE BATISSE &amp; AMEL.-CARROS.</v>
      </c>
      <c r="N376" s="655">
        <f>+IF(OR($Q376=Parametres!$G$2,$Q376=Parametres!$G$3),I376,C376)</f>
        <v>304.10000000000002</v>
      </c>
      <c r="O376" s="655">
        <f>+IF(OR($Q376=Parametres!$G$2,$Q376=Parametres!$G$3),J376,D376)</f>
        <v>304.10000000000002</v>
      </c>
      <c r="P376" s="655">
        <f>+IF(OR($Q376=Parametres!$G$2,$Q376=Parametres!$G$3),K376,E376)</f>
        <v>608.20000000000005</v>
      </c>
      <c r="Q376" s="654" t="str">
        <f t="shared" si="188"/>
        <v>7-Dépenses</v>
      </c>
      <c r="R376" s="653" t="str">
        <f t="shared" si="189"/>
        <v>6186</v>
      </c>
      <c r="S376" s="654">
        <f t="shared" si="190"/>
        <v>0</v>
      </c>
      <c r="T376" s="656" t="str">
        <f>+VLOOKUP($L376,Data_Validation!$A:$D,1,0)</f>
        <v>6586</v>
      </c>
      <c r="U376" s="656" t="str">
        <f>+VLOOKUP($L376,Data_Validation!$A:$D,3,0)</f>
        <v>Carrosserie</v>
      </c>
      <c r="V376" s="656" t="str">
        <f>+VLOOKUP($L376,Data_Validation!$A:$D,4,0)</f>
        <v>Assurances</v>
      </c>
      <c r="W376" s="656" t="str">
        <f>+VLOOKUP($L376,Data_Validation!$A:$E,5,0)</f>
        <v>$</v>
      </c>
      <c r="X376" s="656">
        <f>+VLOOKUP($L376,Data_Validation!$A:$F,6,0)</f>
        <v>0</v>
      </c>
    </row>
    <row r="377" spans="1:24" ht="15" customHeight="1">
      <c r="A377" s="1210" t="s">
        <v>1271</v>
      </c>
      <c r="B377" s="1210" t="s">
        <v>2627</v>
      </c>
      <c r="C377" s="1212">
        <v>379.61</v>
      </c>
      <c r="D377" s="1212">
        <v>379.61</v>
      </c>
      <c r="E377" s="1212">
        <v>759.22</v>
      </c>
      <c r="F377" s="1210" t="s">
        <v>1154</v>
      </c>
      <c r="G377" s="1210" t="s">
        <v>1220</v>
      </c>
      <c r="H377" s="1205"/>
      <c r="I377" s="1204"/>
      <c r="J377" s="1204"/>
      <c r="K377" s="1204"/>
      <c r="L377" s="653" t="str">
        <f t="shared" si="186"/>
        <v>6587</v>
      </c>
      <c r="M377" s="654" t="str">
        <f t="shared" si="187"/>
        <v>TAXES FONCIERES - CAROSSERIE</v>
      </c>
      <c r="N377" s="655">
        <f>+IF(OR($Q377=Parametres!$G$2,$Q377=Parametres!$G$3),I377,C377)</f>
        <v>379.61</v>
      </c>
      <c r="O377" s="655">
        <f>+IF(OR($Q377=Parametres!$G$2,$Q377=Parametres!$G$3),J377,D377)</f>
        <v>379.61</v>
      </c>
      <c r="P377" s="655">
        <f>+IF(OR($Q377=Parametres!$G$2,$Q377=Parametres!$G$3),K377,E377)</f>
        <v>759.22</v>
      </c>
      <c r="Q377" s="654" t="str">
        <f t="shared" si="188"/>
        <v>7-Dépenses</v>
      </c>
      <c r="R377" s="653" t="str">
        <f t="shared" si="189"/>
        <v>6187</v>
      </c>
      <c r="S377" s="654">
        <f t="shared" si="190"/>
        <v>0</v>
      </c>
      <c r="T377" s="656" t="str">
        <f>+VLOOKUP($L377,Data_Validation!$A:$D,1,0)</f>
        <v>6587</v>
      </c>
      <c r="U377" s="656" t="str">
        <f>+VLOOKUP($L377,Data_Validation!$A:$D,3,0)</f>
        <v>Carrosserie</v>
      </c>
      <c r="V377" s="656" t="str">
        <f>+VLOOKUP($L377,Data_Validation!$A:$D,4,0)</f>
        <v>Taxes foncières</v>
      </c>
      <c r="W377" s="656" t="str">
        <f>+VLOOKUP($L377,Data_Validation!$A:$E,5,0)</f>
        <v>$</v>
      </c>
      <c r="X377" s="656">
        <f>+VLOOKUP($L377,Data_Validation!$A:$F,6,0)</f>
        <v>0</v>
      </c>
    </row>
    <row r="378" spans="1:24" ht="15" customHeight="1">
      <c r="A378" s="1210" t="s">
        <v>1272</v>
      </c>
      <c r="B378" s="1210" t="s">
        <v>2630</v>
      </c>
      <c r="C378" s="1212">
        <v>252.63</v>
      </c>
      <c r="D378" s="1212">
        <v>343.63</v>
      </c>
      <c r="E378" s="1212">
        <v>596.26</v>
      </c>
      <c r="F378" s="1210" t="s">
        <v>1154</v>
      </c>
      <c r="G378" s="1210" t="s">
        <v>1222</v>
      </c>
      <c r="H378" s="1205"/>
      <c r="I378" s="1204"/>
      <c r="J378" s="1204"/>
      <c r="K378" s="1204"/>
      <c r="L378" s="653" t="str">
        <f t="shared" si="186"/>
        <v>6593</v>
      </c>
      <c r="M378" s="654" t="str">
        <f t="shared" si="187"/>
        <v>AUTRES TAXES -CARROSSERIE</v>
      </c>
      <c r="N378" s="655">
        <f>+IF(OR($Q378=Parametres!$G$2,$Q378=Parametres!$G$3),I378,C378)</f>
        <v>252.63</v>
      </c>
      <c r="O378" s="655">
        <f>+IF(OR($Q378=Parametres!$G$2,$Q378=Parametres!$G$3),J378,D378)</f>
        <v>343.63</v>
      </c>
      <c r="P378" s="655">
        <f>+IF(OR($Q378=Parametres!$G$2,$Q378=Parametres!$G$3),K378,E378)</f>
        <v>596.26</v>
      </c>
      <c r="Q378" s="654" t="str">
        <f t="shared" si="188"/>
        <v>7-Dépenses</v>
      </c>
      <c r="R378" s="653" t="str">
        <f t="shared" si="189"/>
        <v>6193</v>
      </c>
      <c r="S378" s="654">
        <f t="shared" si="190"/>
        <v>0</v>
      </c>
      <c r="T378" s="656" t="str">
        <f>+VLOOKUP($L378,Data_Validation!$A:$D,1,0)</f>
        <v>6593</v>
      </c>
      <c r="U378" s="656" t="str">
        <f>+VLOOKUP($L378,Data_Validation!$A:$D,3,0)</f>
        <v>Carrosserie</v>
      </c>
      <c r="V378" s="656" t="str">
        <f>+VLOOKUP($L378,Data_Validation!$A:$D,4,0)</f>
        <v>Taxes d`affaires</v>
      </c>
      <c r="W378" s="656" t="str">
        <f>+VLOOKUP($L378,Data_Validation!$A:$E,5,0)</f>
        <v>$</v>
      </c>
      <c r="X378" s="656">
        <f>+VLOOKUP($L378,Data_Validation!$A:$F,6,0)</f>
        <v>0</v>
      </c>
    </row>
    <row r="379" spans="1:24" ht="15.75" customHeight="1">
      <c r="A379" s="1210" t="s">
        <v>1273</v>
      </c>
      <c r="B379" s="1210" t="s">
        <v>2632</v>
      </c>
      <c r="C379" s="1212">
        <v>512.66999999999996</v>
      </c>
      <c r="D379" s="1212">
        <v>485.84</v>
      </c>
      <c r="E379" s="1212">
        <v>998.51</v>
      </c>
      <c r="F379" s="1210" t="s">
        <v>1154</v>
      </c>
      <c r="G379" s="1210" t="s">
        <v>1224</v>
      </c>
      <c r="H379" s="1205"/>
      <c r="I379" s="1204"/>
      <c r="J379" s="1204"/>
      <c r="K379" s="1204"/>
      <c r="L379" s="653" t="str">
        <f t="shared" si="186"/>
        <v>6594</v>
      </c>
      <c r="M379" s="654" t="str">
        <f t="shared" si="187"/>
        <v>FRAIS PROFESSIONNEL-CARROS.</v>
      </c>
      <c r="N379" s="655">
        <f>+IF(OR($Q379=Parametres!$G$2,$Q379=Parametres!$G$3),I379,C379)</f>
        <v>512.66999999999996</v>
      </c>
      <c r="O379" s="655">
        <f>+IF(OR($Q379=Parametres!$G$2,$Q379=Parametres!$G$3),J379,D379)</f>
        <v>485.84</v>
      </c>
      <c r="P379" s="655">
        <f>+IF(OR($Q379=Parametres!$G$2,$Q379=Parametres!$G$3),K379,E379)</f>
        <v>998.51</v>
      </c>
      <c r="Q379" s="654" t="str">
        <f t="shared" si="188"/>
        <v>7-Dépenses</v>
      </c>
      <c r="R379" s="653" t="str">
        <f t="shared" si="189"/>
        <v>6194</v>
      </c>
      <c r="S379" s="654">
        <f t="shared" si="190"/>
        <v>0</v>
      </c>
      <c r="T379" s="656" t="str">
        <f>+VLOOKUP($L379,Data_Validation!$A:$D,1,0)</f>
        <v>6594</v>
      </c>
      <c r="U379" s="656" t="str">
        <f>+VLOOKUP($L379,Data_Validation!$A:$D,3,0)</f>
        <v>Carrosserie</v>
      </c>
      <c r="V379" s="656" t="str">
        <f>+VLOOKUP($L379,Data_Validation!$A:$D,4,0)</f>
        <v>Honoraires</v>
      </c>
      <c r="W379" s="656" t="str">
        <f>+VLOOKUP($L379,Data_Validation!$A:$E,5,0)</f>
        <v>$</v>
      </c>
      <c r="X379" s="656">
        <f>+VLOOKUP($L379,Data_Validation!$A:$F,6,0)</f>
        <v>0</v>
      </c>
    </row>
    <row r="380" spans="1:24" ht="15" customHeight="1">
      <c r="A380" s="1210" t="s">
        <v>1158</v>
      </c>
      <c r="B380" s="1210" t="s">
        <v>2647</v>
      </c>
      <c r="C380" s="1212">
        <v>269.95</v>
      </c>
      <c r="D380" s="1212">
        <v>6048.78</v>
      </c>
      <c r="E380" s="1212">
        <v>6318.73</v>
      </c>
      <c r="F380" s="1210" t="s">
        <v>1154</v>
      </c>
      <c r="G380" s="1210" t="s">
        <v>1242</v>
      </c>
      <c r="H380" s="1205"/>
      <c r="I380" s="1204"/>
      <c r="J380" s="1204"/>
      <c r="K380" s="1204"/>
      <c r="L380" s="653" t="str">
        <f t="shared" si="186"/>
        <v>6703</v>
      </c>
      <c r="M380" s="654" t="str">
        <f t="shared" si="187"/>
        <v>RELAT. A LA CLIENTELE &amp; AJUST.</v>
      </c>
      <c r="N380" s="655">
        <f>+IF(OR($Q380=Parametres!$G$2,$Q380=Parametres!$G$3),I380,C380)</f>
        <v>269.95</v>
      </c>
      <c r="O380" s="659">
        <f>+IF(OR($Q380=Parametres!$G$2,$Q380=Parametres!$G$3),J380,D380)</f>
        <v>6048.78</v>
      </c>
      <c r="P380" s="655">
        <f>+IF(OR($Q380=Parametres!$G$2,$Q380=Parametres!$G$3),K380,E380)</f>
        <v>6318.73</v>
      </c>
      <c r="Q380" s="654" t="str">
        <f t="shared" si="188"/>
        <v>7-Dépenses</v>
      </c>
      <c r="R380" s="653" t="str">
        <f t="shared" si="189"/>
        <v>6112</v>
      </c>
      <c r="S380" s="654">
        <f t="shared" si="190"/>
        <v>0</v>
      </c>
      <c r="T380" s="656" t="str">
        <f>+VLOOKUP($L380,Data_Validation!$A:$D,1,0)</f>
        <v>6703</v>
      </c>
      <c r="U380" s="656" t="str">
        <f>+VLOOKUP($L380,Data_Validation!$A:$D,3,0)</f>
        <v>Pièces</v>
      </c>
      <c r="V380" s="656" t="str">
        <f>+VLOOKUP($L380,Data_Validation!$A:$D,4,0)</f>
        <v>Service gratuit 2</v>
      </c>
      <c r="W380" s="656" t="str">
        <f>+VLOOKUP($L380,Data_Validation!$A:$E,5,0)</f>
        <v>$</v>
      </c>
      <c r="X380" s="656">
        <f>+VLOOKUP($L380,Data_Validation!$A:$F,6,0)</f>
        <v>0</v>
      </c>
    </row>
    <row r="381" spans="1:24" ht="15" customHeight="1">
      <c r="A381" s="1210" t="s">
        <v>1166</v>
      </c>
      <c r="B381" s="1210" t="s">
        <v>2653</v>
      </c>
      <c r="C381" s="1212">
        <v>7036.21</v>
      </c>
      <c r="D381" s="1212">
        <v>2753.47</v>
      </c>
      <c r="E381" s="1212">
        <v>9789.68</v>
      </c>
      <c r="F381" s="1210" t="s">
        <v>1154</v>
      </c>
      <c r="G381" s="1210" t="s">
        <v>1167</v>
      </c>
      <c r="H381" s="1205"/>
      <c r="I381" s="1204"/>
      <c r="J381" s="1204"/>
      <c r="K381" s="1204"/>
      <c r="L381" s="653" t="str">
        <f t="shared" si="186"/>
        <v>6714</v>
      </c>
      <c r="M381" s="654" t="str">
        <f t="shared" si="187"/>
        <v>PUBLICITE</v>
      </c>
      <c r="N381" s="655">
        <f>+IF(OR($Q381=Parametres!$G$2,$Q381=Parametres!$G$3),I381,C381)</f>
        <v>7036.21</v>
      </c>
      <c r="O381" s="655">
        <f>+IF(OR($Q381=Parametres!$G$2,$Q381=Parametres!$G$3),J381,D381)</f>
        <v>2753.47</v>
      </c>
      <c r="P381" s="655">
        <f>+IF(OR($Q381=Parametres!$G$2,$Q381=Parametres!$G$3),K381,E381)</f>
        <v>9789.68</v>
      </c>
      <c r="Q381" s="654" t="str">
        <f t="shared" si="188"/>
        <v>7-Dépenses</v>
      </c>
      <c r="R381" s="653" t="str">
        <f t="shared" si="189"/>
        <v>6114</v>
      </c>
      <c r="S381" s="654">
        <f t="shared" si="190"/>
        <v>0</v>
      </c>
      <c r="T381" s="656" t="str">
        <f>+VLOOKUP($L381,Data_Validation!$A:$D,1,0)</f>
        <v>6714</v>
      </c>
      <c r="U381" s="656" t="str">
        <f>+VLOOKUP($L381,Data_Validation!$A:$D,3,0)</f>
        <v>Pièces</v>
      </c>
      <c r="V381" s="656" t="str">
        <f>+VLOOKUP($L381,Data_Validation!$A:$D,4,0)</f>
        <v>Publicité 2</v>
      </c>
      <c r="W381" s="656" t="str">
        <f>+VLOOKUP($L381,Data_Validation!$A:$E,5,0)</f>
        <v>$</v>
      </c>
      <c r="X381" s="656">
        <f>+VLOOKUP($L381,Data_Validation!$A:$F,6,0)</f>
        <v>0</v>
      </c>
    </row>
    <row r="382" spans="1:24" ht="15" customHeight="1">
      <c r="A382" s="1210" t="s">
        <v>1274</v>
      </c>
      <c r="B382" s="1210" t="s">
        <v>2656</v>
      </c>
      <c r="C382" s="1212">
        <v>3111.56</v>
      </c>
      <c r="D382" s="1212">
        <v>3332.71</v>
      </c>
      <c r="E382" s="1212">
        <v>6444.27</v>
      </c>
      <c r="F382" s="1210" t="s">
        <v>1154</v>
      </c>
      <c r="G382" s="1210" t="s">
        <v>1170</v>
      </c>
      <c r="H382" s="1205"/>
      <c r="I382" s="1204"/>
      <c r="J382" s="1204"/>
      <c r="K382" s="1204"/>
      <c r="L382" s="653" t="str">
        <f t="shared" si="186"/>
        <v>6721</v>
      </c>
      <c r="M382" s="654" t="str">
        <f t="shared" si="187"/>
        <v>SALAIRES - PROPRIEATIRES</v>
      </c>
      <c r="N382" s="655">
        <f>+IF(OR($Q382=Parametres!$G$2,$Q382=Parametres!$G$3),I382,C382)</f>
        <v>3111.56</v>
      </c>
      <c r="O382" s="655">
        <f>+IF(OR($Q382=Parametres!$G$2,$Q382=Parametres!$G$3),J382,D382)</f>
        <v>3332.71</v>
      </c>
      <c r="P382" s="655">
        <f>+IF(OR($Q382=Parametres!$G$2,$Q382=Parametres!$G$3),K382,E382)</f>
        <v>6444.27</v>
      </c>
      <c r="Q382" s="654" t="str">
        <f t="shared" si="188"/>
        <v>7-Dépenses</v>
      </c>
      <c r="R382" s="653" t="str">
        <f t="shared" si="189"/>
        <v>6121</v>
      </c>
      <c r="S382" s="654">
        <f t="shared" si="190"/>
        <v>0</v>
      </c>
      <c r="T382" s="656" t="str">
        <f>+VLOOKUP($L382,Data_Validation!$A:$D,1,0)</f>
        <v>6721</v>
      </c>
      <c r="U382" s="656" t="str">
        <f>+VLOOKUP($L382,Data_Validation!$A:$D,3,0)</f>
        <v>Pièces</v>
      </c>
      <c r="V382" s="656" t="str">
        <f>+VLOOKUP($L382,Data_Validation!$A:$D,4,0)</f>
        <v>Salaires propriétaire</v>
      </c>
      <c r="W382" s="656" t="str">
        <f>+VLOOKUP($L382,Data_Validation!$A:$E,5,0)</f>
        <v>$</v>
      </c>
      <c r="X382" s="656">
        <f>+VLOOKUP($L382,Data_Validation!$A:$F,6,0)</f>
        <v>0</v>
      </c>
    </row>
    <row r="383" spans="1:24" ht="15.75" customHeight="1">
      <c r="A383" s="1210" t="s">
        <v>1171</v>
      </c>
      <c r="B383" s="1210" t="s">
        <v>2659</v>
      </c>
      <c r="C383" s="1212">
        <v>9997.7199999999993</v>
      </c>
      <c r="D383" s="1212">
        <v>5512.68</v>
      </c>
      <c r="E383" s="1212">
        <v>15510.4</v>
      </c>
      <c r="F383" s="1210" t="s">
        <v>1154</v>
      </c>
      <c r="G383" s="1210" t="s">
        <v>1172</v>
      </c>
      <c r="H383" s="1205"/>
      <c r="I383" s="1204"/>
      <c r="J383" s="1204"/>
      <c r="K383" s="1204"/>
      <c r="L383" s="653" t="str">
        <f t="shared" si="186"/>
        <v>6722</v>
      </c>
      <c r="M383" s="654" t="str">
        <f t="shared" si="187"/>
        <v>SAL SUPERVISION / GERANT</v>
      </c>
      <c r="N383" s="655">
        <f>+IF(OR($Q383=Parametres!$G$2,$Q383=Parametres!$G$3),I383,C383)</f>
        <v>9997.7199999999993</v>
      </c>
      <c r="O383" s="655">
        <f>+IF(OR($Q383=Parametres!$G$2,$Q383=Parametres!$G$3),J383,D383)</f>
        <v>5512.68</v>
      </c>
      <c r="P383" s="655">
        <f>+IF(OR($Q383=Parametres!$G$2,$Q383=Parametres!$G$3),K383,E383)</f>
        <v>15510.4</v>
      </c>
      <c r="Q383" s="654" t="str">
        <f t="shared" si="188"/>
        <v>7-Dépenses</v>
      </c>
      <c r="R383" s="653" t="str">
        <f t="shared" si="189"/>
        <v>6122</v>
      </c>
      <c r="S383" s="654">
        <f t="shared" si="190"/>
        <v>0</v>
      </c>
      <c r="T383" s="656" t="str">
        <f>+VLOOKUP($L383,Data_Validation!$A:$D,1,0)</f>
        <v>6722</v>
      </c>
      <c r="U383" s="656" t="str">
        <f>+VLOOKUP($L383,Data_Validation!$A:$D,3,0)</f>
        <v>Pièces</v>
      </c>
      <c r="V383" s="656" t="str">
        <f>+VLOOKUP($L383,Data_Validation!$A:$D,4,0)</f>
        <v>Salaires cadres</v>
      </c>
      <c r="W383" s="656" t="str">
        <f>+VLOOKUP($L383,Data_Validation!$A:$E,5,0)</f>
        <v>$</v>
      </c>
      <c r="X383" s="656">
        <f>+VLOOKUP($L383,Data_Validation!$A:$F,6,0)</f>
        <v>0</v>
      </c>
    </row>
    <row r="384" spans="1:24" ht="15" customHeight="1">
      <c r="A384" s="1210" t="s">
        <v>1173</v>
      </c>
      <c r="B384" s="1210" t="s">
        <v>2662</v>
      </c>
      <c r="C384" s="1212">
        <v>27924.71</v>
      </c>
      <c r="D384" s="1212">
        <v>25401.96</v>
      </c>
      <c r="E384" s="1212">
        <v>53326.67</v>
      </c>
      <c r="F384" s="1210" t="s">
        <v>1154</v>
      </c>
      <c r="G384" s="1210" t="s">
        <v>1174</v>
      </c>
      <c r="H384" s="1205"/>
      <c r="I384" s="1204"/>
      <c r="J384" s="1204"/>
      <c r="K384" s="1204"/>
      <c r="L384" s="653" t="str">
        <f t="shared" si="186"/>
        <v>6723</v>
      </c>
      <c r="M384" s="654" t="str">
        <f t="shared" si="187"/>
        <v>SAL. &amp; RENUM. - CLERICAL</v>
      </c>
      <c r="N384" s="655">
        <f>+IF(OR($Q384=Parametres!$G$2,$Q384=Parametres!$G$3),I384,C384)</f>
        <v>27924.71</v>
      </c>
      <c r="O384" s="655">
        <f>+IF(OR($Q384=Parametres!$G$2,$Q384=Parametres!$G$3),J384,D384)</f>
        <v>25401.96</v>
      </c>
      <c r="P384" s="655">
        <f>+IF(OR($Q384=Parametres!$G$2,$Q384=Parametres!$G$3),K384,E384)</f>
        <v>53326.67</v>
      </c>
      <c r="Q384" s="654" t="str">
        <f t="shared" si="188"/>
        <v>7-Dépenses</v>
      </c>
      <c r="R384" s="653" t="str">
        <f t="shared" si="189"/>
        <v>6123</v>
      </c>
      <c r="S384" s="654">
        <f t="shared" si="190"/>
        <v>0</v>
      </c>
      <c r="T384" s="656" t="str">
        <f>+VLOOKUP($L384,Data_Validation!$A:$D,1,0)</f>
        <v>6723</v>
      </c>
      <c r="U384" s="656" t="str">
        <f>+VLOOKUP($L384,Data_Validation!$A:$D,3,0)</f>
        <v>Pièces</v>
      </c>
      <c r="V384" s="656" t="str">
        <f>+VLOOKUP($L384,Data_Validation!$A:$D,4,0)</f>
        <v>Salaires commis</v>
      </c>
      <c r="W384" s="656" t="str">
        <f>+VLOOKUP($L384,Data_Validation!$A:$E,5,0)</f>
        <v>$</v>
      </c>
      <c r="X384" s="656">
        <f>+VLOOKUP($L384,Data_Validation!$A:$F,6,0)</f>
        <v>0</v>
      </c>
    </row>
    <row r="385" spans="1:24" ht="15" customHeight="1">
      <c r="A385" s="1210" t="s">
        <v>1175</v>
      </c>
      <c r="B385" s="1210" t="s">
        <v>2665</v>
      </c>
      <c r="C385" s="1212">
        <v>113.92</v>
      </c>
      <c r="D385" s="1212">
        <v>113.92</v>
      </c>
      <c r="E385" s="1212">
        <v>227.84</v>
      </c>
      <c r="F385" s="1210" t="s">
        <v>1154</v>
      </c>
      <c r="G385" s="1210" t="s">
        <v>1176</v>
      </c>
      <c r="H385" s="1205"/>
      <c r="I385" s="1204"/>
      <c r="J385" s="1204"/>
      <c r="K385" s="1204"/>
      <c r="L385" s="653" t="str">
        <f t="shared" si="186"/>
        <v>6724</v>
      </c>
      <c r="M385" s="654" t="str">
        <f t="shared" si="187"/>
        <v>SALAIRES &amp; RENUM. - AUTRES</v>
      </c>
      <c r="N385" s="655">
        <f>+IF(OR($Q385=Parametres!$G$2,$Q385=Parametres!$G$3),I385,C385)</f>
        <v>113.92</v>
      </c>
      <c r="O385" s="655">
        <f>+IF(OR($Q385=Parametres!$G$2,$Q385=Parametres!$G$3),J385,D385)</f>
        <v>113.92</v>
      </c>
      <c r="P385" s="655">
        <f>+IF(OR($Q385=Parametres!$G$2,$Q385=Parametres!$G$3),K385,E385)</f>
        <v>227.84</v>
      </c>
      <c r="Q385" s="654" t="str">
        <f t="shared" si="188"/>
        <v>7-Dépenses</v>
      </c>
      <c r="R385" s="653" t="str">
        <f t="shared" si="189"/>
        <v>6124</v>
      </c>
      <c r="S385" s="654">
        <f t="shared" si="190"/>
        <v>0</v>
      </c>
      <c r="T385" s="656" t="str">
        <f>+VLOOKUP($L385,Data_Validation!$A:$D,1,0)</f>
        <v>6724</v>
      </c>
      <c r="U385" s="656" t="str">
        <f>+VLOOKUP($L385,Data_Validation!$A:$D,3,0)</f>
        <v>Pièces</v>
      </c>
      <c r="V385" s="656" t="str">
        <f>+VLOOKUP($L385,Data_Validation!$A:$D,4,0)</f>
        <v>Salaires autres</v>
      </c>
      <c r="W385" s="656" t="str">
        <f>+VLOOKUP($L385,Data_Validation!$A:$E,5,0)</f>
        <v>$</v>
      </c>
      <c r="X385" s="656">
        <f>+VLOOKUP($L385,Data_Validation!$A:$F,6,0)</f>
        <v>0</v>
      </c>
    </row>
    <row r="386" spans="1:24" ht="15" customHeight="1">
      <c r="A386" s="1210" t="s">
        <v>1275</v>
      </c>
      <c r="B386" s="1210" t="s">
        <v>2668</v>
      </c>
      <c r="C386" s="1212">
        <v>5295.44</v>
      </c>
      <c r="D386" s="1212">
        <v>3031.99</v>
      </c>
      <c r="E386" s="1212">
        <v>8327.43</v>
      </c>
      <c r="F386" s="1210" t="s">
        <v>1154</v>
      </c>
      <c r="G386" s="1210" t="s">
        <v>1178</v>
      </c>
      <c r="H386" s="1205"/>
      <c r="I386" s="1204"/>
      <c r="J386" s="1204"/>
      <c r="K386" s="1204"/>
      <c r="L386" s="653" t="str">
        <f t="shared" si="186"/>
        <v>6729</v>
      </c>
      <c r="M386" s="654" t="str">
        <f t="shared" si="187"/>
        <v>ABSENCES, VACANCES, ETC</v>
      </c>
      <c r="N386" s="655">
        <f>+IF(OR($Q386=Parametres!$G$2,$Q386=Parametres!$G$3),I386,C386)</f>
        <v>5295.44</v>
      </c>
      <c r="O386" s="655">
        <f>+IF(OR($Q386=Parametres!$G$2,$Q386=Parametres!$G$3),J386,D386)</f>
        <v>3031.99</v>
      </c>
      <c r="P386" s="655">
        <f>+IF(OR($Q386=Parametres!$G$2,$Q386=Parametres!$G$3),K386,E386)</f>
        <v>8327.43</v>
      </c>
      <c r="Q386" s="654" t="str">
        <f t="shared" si="188"/>
        <v>7-Dépenses</v>
      </c>
      <c r="R386" s="653" t="str">
        <f t="shared" si="189"/>
        <v>6129</v>
      </c>
      <c r="S386" s="654">
        <f t="shared" si="190"/>
        <v>0</v>
      </c>
      <c r="T386" s="656" t="str">
        <f>+VLOOKUP($L386,Data_Validation!$A:$D,1,0)</f>
        <v>6729</v>
      </c>
      <c r="U386" s="656" t="str">
        <f>+VLOOKUP($L386,Data_Validation!$A:$D,3,0)</f>
        <v>Pièces</v>
      </c>
      <c r="V386" s="656" t="str">
        <f>+VLOOKUP($L386,Data_Validation!$A:$D,4,0)</f>
        <v>Salaires en absences</v>
      </c>
      <c r="W386" s="656" t="str">
        <f>+VLOOKUP($L386,Data_Validation!$A:$E,5,0)</f>
        <v>$</v>
      </c>
      <c r="X386" s="656">
        <f>+VLOOKUP($L386,Data_Validation!$A:$F,6,0)</f>
        <v>0</v>
      </c>
    </row>
    <row r="387" spans="1:24" ht="15.75" customHeight="1">
      <c r="A387" s="1210" t="s">
        <v>1179</v>
      </c>
      <c r="B387" s="1210" t="s">
        <v>2671</v>
      </c>
      <c r="C387" s="1212">
        <v>1160.49</v>
      </c>
      <c r="D387" s="1212">
        <v>1613.73</v>
      </c>
      <c r="E387" s="1212">
        <v>2774.22</v>
      </c>
      <c r="F387" s="1210" t="s">
        <v>1154</v>
      </c>
      <c r="G387" s="1210" t="s">
        <v>1180</v>
      </c>
      <c r="H387" s="1205"/>
      <c r="I387" s="1204"/>
      <c r="J387" s="1204"/>
      <c r="K387" s="1204"/>
      <c r="L387" s="653" t="str">
        <f t="shared" si="186"/>
        <v>6731</v>
      </c>
      <c r="M387" s="654" t="str">
        <f t="shared" si="187"/>
        <v>CSST</v>
      </c>
      <c r="N387" s="655">
        <f>+IF(OR($Q387=Parametres!$G$2,$Q387=Parametres!$G$3),I387,C387)</f>
        <v>1160.49</v>
      </c>
      <c r="O387" s="655">
        <f>+IF(OR($Q387=Parametres!$G$2,$Q387=Parametres!$G$3),J387,D387)</f>
        <v>1613.73</v>
      </c>
      <c r="P387" s="655">
        <f>+IF(OR($Q387=Parametres!$G$2,$Q387=Parametres!$G$3),K387,E387)</f>
        <v>2774.22</v>
      </c>
      <c r="Q387" s="654" t="str">
        <f t="shared" si="188"/>
        <v>7-Dépenses</v>
      </c>
      <c r="R387" s="653" t="str">
        <f t="shared" si="189"/>
        <v>6131</v>
      </c>
      <c r="S387" s="654">
        <f t="shared" si="190"/>
        <v>0</v>
      </c>
      <c r="T387" s="656" t="str">
        <f>+VLOOKUP($L387,Data_Validation!$A:$D,1,0)</f>
        <v>6731</v>
      </c>
      <c r="U387" s="656" t="str">
        <f>+VLOOKUP($L387,Data_Validation!$A:$D,3,0)</f>
        <v>Pièces</v>
      </c>
      <c r="V387" s="656" t="str">
        <f>+VLOOKUP($L387,Data_Validation!$A:$D,4,0)</f>
        <v>Csst</v>
      </c>
      <c r="W387" s="656" t="str">
        <f>+VLOOKUP($L387,Data_Validation!$A:$E,5,0)</f>
        <v>$</v>
      </c>
      <c r="X387" s="656">
        <f>+VLOOKUP($L387,Data_Validation!$A:$F,6,0)</f>
        <v>0</v>
      </c>
    </row>
    <row r="388" spans="1:24" ht="15.75" customHeight="1">
      <c r="A388" s="1210" t="s">
        <v>1181</v>
      </c>
      <c r="B388" s="1210" t="s">
        <v>2674</v>
      </c>
      <c r="C388" s="1212">
        <v>8313.5400000000009</v>
      </c>
      <c r="D388" s="1212">
        <v>7513.03</v>
      </c>
      <c r="E388" s="1212">
        <v>15826.57</v>
      </c>
      <c r="F388" s="1210" t="s">
        <v>1154</v>
      </c>
      <c r="G388" s="1210" t="s">
        <v>1182</v>
      </c>
      <c r="H388" s="1205"/>
      <c r="I388" s="1204"/>
      <c r="J388" s="1204"/>
      <c r="K388" s="1204"/>
      <c r="L388" s="653" t="str">
        <f t="shared" si="186"/>
        <v>6732</v>
      </c>
      <c r="M388" s="654" t="str">
        <f t="shared" si="187"/>
        <v>RRQ RAMQ AC</v>
      </c>
      <c r="N388" s="655">
        <f>+IF(OR($Q388=Parametres!$G$2,$Q388=Parametres!$G$3),I388,C388)</f>
        <v>8313.5400000000009</v>
      </c>
      <c r="O388" s="655">
        <f>+IF(OR($Q388=Parametres!$G$2,$Q388=Parametres!$G$3),J388,D388)</f>
        <v>7513.03</v>
      </c>
      <c r="P388" s="655">
        <f>+IF(OR($Q388=Parametres!$G$2,$Q388=Parametres!$G$3),K388,E388)</f>
        <v>15826.57</v>
      </c>
      <c r="Q388" s="654" t="str">
        <f t="shared" si="188"/>
        <v>7-Dépenses</v>
      </c>
      <c r="R388" s="653" t="str">
        <f t="shared" si="189"/>
        <v>6132</v>
      </c>
      <c r="S388" s="654">
        <f t="shared" si="190"/>
        <v>0</v>
      </c>
      <c r="T388" s="656" t="str">
        <f>+VLOOKUP($L388,Data_Validation!$A:$D,1,0)</f>
        <v>6732</v>
      </c>
      <c r="U388" s="656" t="str">
        <f>+VLOOKUP($L388,Data_Validation!$A:$D,3,0)</f>
        <v>Pièces</v>
      </c>
      <c r="V388" s="656" t="str">
        <f>+VLOOKUP($L388,Data_Validation!$A:$D,4,0)</f>
        <v>Déduction à la source</v>
      </c>
      <c r="W388" s="656" t="str">
        <f>+VLOOKUP($L388,Data_Validation!$A:$E,5,0)</f>
        <v>$</v>
      </c>
      <c r="X388" s="656">
        <f>+VLOOKUP($L388,Data_Validation!$A:$F,6,0)</f>
        <v>0</v>
      </c>
    </row>
    <row r="389" spans="1:24" ht="15.75" customHeight="1">
      <c r="A389" s="1210" t="s">
        <v>1276</v>
      </c>
      <c r="B389" s="1210" t="s">
        <v>2677</v>
      </c>
      <c r="C389" s="1212">
        <v>948.06</v>
      </c>
      <c r="D389" s="1212">
        <v>753.69</v>
      </c>
      <c r="E389" s="1212">
        <v>1701.75</v>
      </c>
      <c r="F389" s="1210" t="s">
        <v>1154</v>
      </c>
      <c r="G389" s="1210" t="s">
        <v>1184</v>
      </c>
      <c r="H389" s="1205"/>
      <c r="I389" s="1204"/>
      <c r="J389" s="1204"/>
      <c r="K389" s="1204"/>
      <c r="L389" s="653" t="str">
        <f t="shared" ref="L389:L399" si="191">TEXT(B389,0)</f>
        <v>6733</v>
      </c>
      <c r="M389" s="654" t="str">
        <f t="shared" ref="M389:M399" si="192">+A389</f>
        <v>FOND PENSION - PIECES</v>
      </c>
      <c r="N389" s="655">
        <f>+IF(OR($Q389=Parametres!$G$2,$Q389=Parametres!$G$3),I389,C389)</f>
        <v>948.06</v>
      </c>
      <c r="O389" s="655">
        <f>+IF(OR($Q389=Parametres!$G$2,$Q389=Parametres!$G$3),J389,D389)</f>
        <v>753.69</v>
      </c>
      <c r="P389" s="655">
        <f>+IF(OR($Q389=Parametres!$G$2,$Q389=Parametres!$G$3),K389,E389)</f>
        <v>1701.75</v>
      </c>
      <c r="Q389" s="654" t="str">
        <f t="shared" ref="Q389:Q399" si="193">+F389</f>
        <v>7-Dépenses</v>
      </c>
      <c r="R389" s="653" t="str">
        <f t="shared" ref="R389:R399" si="194">+G389</f>
        <v>6133</v>
      </c>
      <c r="S389" s="654">
        <f t="shared" ref="S389:S399" si="195">+H389</f>
        <v>0</v>
      </c>
      <c r="T389" s="656" t="str">
        <f>+VLOOKUP($L389,Data_Validation!$A:$D,1,0)</f>
        <v>6733</v>
      </c>
      <c r="U389" s="656" t="str">
        <f>+VLOOKUP($L389,Data_Validation!$A:$D,3,0)</f>
        <v>Pièces</v>
      </c>
      <c r="V389" s="656" t="str">
        <f>+VLOOKUP($L389,Data_Validation!$A:$D,4,0)</f>
        <v>Déduction à la source</v>
      </c>
      <c r="W389" s="656" t="str">
        <f>+VLOOKUP($L389,Data_Validation!$A:$E,5,0)</f>
        <v>$</v>
      </c>
      <c r="X389" s="656">
        <f>+VLOOKUP($L389,Data_Validation!$A:$F,6,0)</f>
        <v>0</v>
      </c>
    </row>
    <row r="390" spans="1:24" ht="15.75" customHeight="1">
      <c r="A390" s="1210" t="s">
        <v>1231</v>
      </c>
      <c r="B390" s="1210" t="s">
        <v>2680</v>
      </c>
      <c r="C390" s="1212">
        <v>2134.81</v>
      </c>
      <c r="D390" s="1212">
        <v>1589.14</v>
      </c>
      <c r="E390" s="1212">
        <v>3723.95</v>
      </c>
      <c r="F390" s="1210" t="s">
        <v>1154</v>
      </c>
      <c r="G390" s="1210" t="s">
        <v>1186</v>
      </c>
      <c r="H390" s="1205"/>
      <c r="I390" s="1204"/>
      <c r="J390" s="1204"/>
      <c r="K390" s="1204"/>
      <c r="L390" s="653" t="str">
        <f t="shared" si="191"/>
        <v>6739</v>
      </c>
      <c r="M390" s="654" t="str">
        <f t="shared" si="192"/>
        <v>ASSURANCE GROUPE</v>
      </c>
      <c r="N390" s="655">
        <f>+IF(OR($Q390=Parametres!$G$2,$Q390=Parametres!$G$3),I390,C390)</f>
        <v>2134.81</v>
      </c>
      <c r="O390" s="655">
        <f>+IF(OR($Q390=Parametres!$G$2,$Q390=Parametres!$G$3),J390,D390)</f>
        <v>1589.14</v>
      </c>
      <c r="P390" s="655">
        <f>+IF(OR($Q390=Parametres!$G$2,$Q390=Parametres!$G$3),K390,E390)</f>
        <v>3723.95</v>
      </c>
      <c r="Q390" s="654" t="str">
        <f t="shared" si="193"/>
        <v>7-Dépenses</v>
      </c>
      <c r="R390" s="653" t="str">
        <f t="shared" si="194"/>
        <v>6139</v>
      </c>
      <c r="S390" s="654">
        <f t="shared" si="195"/>
        <v>0</v>
      </c>
      <c r="T390" s="656" t="str">
        <f>+VLOOKUP($L390,Data_Validation!$A:$D,1,0)</f>
        <v>6739</v>
      </c>
      <c r="U390" s="656" t="str">
        <f>+VLOOKUP($L390,Data_Validation!$A:$D,3,0)</f>
        <v>Pièces</v>
      </c>
      <c r="V390" s="656" t="str">
        <f>+VLOOKUP($L390,Data_Validation!$A:$D,4,0)</f>
        <v>Bénéfices marginaux</v>
      </c>
      <c r="W390" s="656" t="str">
        <f>+VLOOKUP($L390,Data_Validation!$A:$E,5,0)</f>
        <v>$</v>
      </c>
      <c r="X390" s="656">
        <f>+VLOOKUP($L390,Data_Validation!$A:$F,6,0)</f>
        <v>0</v>
      </c>
    </row>
    <row r="391" spans="1:24" ht="15.75" customHeight="1">
      <c r="A391" s="1210" t="s">
        <v>1189</v>
      </c>
      <c r="B391" s="1210" t="s">
        <v>2687</v>
      </c>
      <c r="C391" s="1212">
        <v>0</v>
      </c>
      <c r="D391" s="1212">
        <v>361.45</v>
      </c>
      <c r="E391" s="1212">
        <v>361.45</v>
      </c>
      <c r="F391" s="1210" t="s">
        <v>1154</v>
      </c>
      <c r="G391" s="1210" t="s">
        <v>1190</v>
      </c>
      <c r="H391" s="1205"/>
      <c r="I391" s="1204"/>
      <c r="J391" s="1204"/>
      <c r="K391" s="1204"/>
      <c r="L391" s="653" t="str">
        <f t="shared" si="191"/>
        <v>6743</v>
      </c>
      <c r="M391" s="654" t="str">
        <f t="shared" si="192"/>
        <v>UNIFORMES &amp; LESSIVE</v>
      </c>
      <c r="N391" s="655">
        <f>+IF(OR($Q391=Parametres!$G$2,$Q391=Parametres!$G$3),I391,C391)</f>
        <v>0</v>
      </c>
      <c r="O391" s="655">
        <f>+IF(OR($Q391=Parametres!$G$2,$Q391=Parametres!$G$3),J391,D391)</f>
        <v>361.45</v>
      </c>
      <c r="P391" s="655">
        <f>+IF(OR($Q391=Parametres!$G$2,$Q391=Parametres!$G$3),K391,E391)</f>
        <v>361.45</v>
      </c>
      <c r="Q391" s="654" t="str">
        <f t="shared" si="193"/>
        <v>7-Dépenses</v>
      </c>
      <c r="R391" s="653" t="str">
        <f t="shared" si="194"/>
        <v>6143</v>
      </c>
      <c r="S391" s="654">
        <f t="shared" si="195"/>
        <v>0</v>
      </c>
      <c r="T391" s="656" t="str">
        <f>+VLOOKUP($L391,Data_Validation!$A:$D,1,0)</f>
        <v>6743</v>
      </c>
      <c r="U391" s="656" t="str">
        <f>+VLOOKUP($L391,Data_Validation!$A:$D,3,0)</f>
        <v>Pièces</v>
      </c>
      <c r="V391" s="656" t="str">
        <f>+VLOOKUP($L391,Data_Validation!$A:$D,4,0)</f>
        <v>Uniformes</v>
      </c>
      <c r="W391" s="656" t="str">
        <f>+VLOOKUP($L391,Data_Validation!$A:$E,5,0)</f>
        <v>$</v>
      </c>
      <c r="X391" s="656">
        <f>+VLOOKUP($L391,Data_Validation!$A:$F,6,0)</f>
        <v>0</v>
      </c>
    </row>
    <row r="392" spans="1:24" ht="15.75" customHeight="1">
      <c r="A392" s="1210" t="s">
        <v>1191</v>
      </c>
      <c r="B392" s="1210" t="s">
        <v>2690</v>
      </c>
      <c r="C392" s="1212">
        <v>79.75</v>
      </c>
      <c r="D392" s="1212">
        <v>237.81</v>
      </c>
      <c r="E392" s="1212">
        <v>317.56</v>
      </c>
      <c r="F392" s="1210" t="s">
        <v>1154</v>
      </c>
      <c r="G392" s="1210" t="s">
        <v>1192</v>
      </c>
      <c r="H392" s="1205"/>
      <c r="I392" s="1204"/>
      <c r="J392" s="1204"/>
      <c r="K392" s="1204"/>
      <c r="L392" s="653" t="str">
        <f t="shared" si="191"/>
        <v>6744</v>
      </c>
      <c r="M392" s="654" t="str">
        <f t="shared" si="192"/>
        <v>FORMATION</v>
      </c>
      <c r="N392" s="655">
        <f>+IF(OR($Q392=Parametres!$G$2,$Q392=Parametres!$G$3),I392,C392)</f>
        <v>79.75</v>
      </c>
      <c r="O392" s="655">
        <f>+IF(OR($Q392=Parametres!$G$2,$Q392=Parametres!$G$3),J392,D392)</f>
        <v>237.81</v>
      </c>
      <c r="P392" s="655">
        <f>+IF(OR($Q392=Parametres!$G$2,$Q392=Parametres!$G$3),K392,E392)</f>
        <v>317.56</v>
      </c>
      <c r="Q392" s="654" t="str">
        <f t="shared" si="193"/>
        <v>7-Dépenses</v>
      </c>
      <c r="R392" s="653" t="str">
        <f t="shared" si="194"/>
        <v>6144</v>
      </c>
      <c r="S392" s="654">
        <f t="shared" si="195"/>
        <v>0</v>
      </c>
      <c r="T392" s="656" t="str">
        <f>+VLOOKUP($L392,Data_Validation!$A:$D,1,0)</f>
        <v>6744</v>
      </c>
      <c r="U392" s="656" t="str">
        <f>+VLOOKUP($L392,Data_Validation!$A:$D,3,0)</f>
        <v>Pièces</v>
      </c>
      <c r="V392" s="656" t="str">
        <f>+VLOOKUP($L392,Data_Validation!$A:$D,4,0)</f>
        <v>Formation</v>
      </c>
      <c r="W392" s="656" t="str">
        <f>+VLOOKUP($L392,Data_Validation!$A:$E,5,0)</f>
        <v>$</v>
      </c>
      <c r="X392" s="656">
        <f>+VLOOKUP($L392,Data_Validation!$A:$F,6,0)</f>
        <v>0</v>
      </c>
    </row>
    <row r="393" spans="1:24" ht="15.75" customHeight="1">
      <c r="A393" s="1210" t="s">
        <v>1193</v>
      </c>
      <c r="B393" s="1210" t="s">
        <v>2693</v>
      </c>
      <c r="C393" s="1212">
        <v>1353.63</v>
      </c>
      <c r="D393" s="1212">
        <v>1170.8399999999999</v>
      </c>
      <c r="E393" s="1212">
        <v>2524.4699999999998</v>
      </c>
      <c r="F393" s="1210" t="s">
        <v>1154</v>
      </c>
      <c r="G393" s="1210" t="s">
        <v>1194</v>
      </c>
      <c r="H393" s="1205"/>
      <c r="I393" s="1204"/>
      <c r="J393" s="1204"/>
      <c r="K393" s="1204"/>
      <c r="L393" s="653" t="str">
        <f t="shared" si="191"/>
        <v>6745</v>
      </c>
      <c r="M393" s="654" t="str">
        <f t="shared" si="192"/>
        <v>VEHICULE DE COMPAGNIE - DEPENS</v>
      </c>
      <c r="N393" s="655">
        <f>+IF(OR($Q393=Parametres!$G$2,$Q393=Parametres!$G$3),I393,C393)</f>
        <v>1353.63</v>
      </c>
      <c r="O393" s="655">
        <f>+IF(OR($Q393=Parametres!$G$2,$Q393=Parametres!$G$3),J393,D393)</f>
        <v>1170.8399999999999</v>
      </c>
      <c r="P393" s="655">
        <f>+IF(OR($Q393=Parametres!$G$2,$Q393=Parametres!$G$3),K393,E393)</f>
        <v>2524.4699999999998</v>
      </c>
      <c r="Q393" s="654" t="str">
        <f t="shared" si="193"/>
        <v>7-Dépenses</v>
      </c>
      <c r="R393" s="653" t="str">
        <f t="shared" si="194"/>
        <v>6145</v>
      </c>
      <c r="S393" s="654">
        <f t="shared" si="195"/>
        <v>0</v>
      </c>
      <c r="T393" s="656" t="str">
        <f>+VLOOKUP($L393,Data_Validation!$A:$D,1,0)</f>
        <v>6745</v>
      </c>
      <c r="U393" s="656" t="str">
        <f>+VLOOKUP($L393,Data_Validation!$A:$D,3,0)</f>
        <v>Pièces</v>
      </c>
      <c r="V393" s="656" t="str">
        <f>+VLOOKUP($L393,Data_Validation!$A:$D,4,0)</f>
        <v>Frais véhicules de cie</v>
      </c>
      <c r="W393" s="656" t="str">
        <f>+VLOOKUP($L393,Data_Validation!$A:$E,5,0)</f>
        <v>$</v>
      </c>
      <c r="X393" s="656">
        <f>+VLOOKUP($L393,Data_Validation!$A:$F,6,0)</f>
        <v>0</v>
      </c>
    </row>
    <row r="394" spans="1:24" ht="15.75" customHeight="1">
      <c r="A394" s="1210" t="s">
        <v>1195</v>
      </c>
      <c r="B394" s="1210" t="s">
        <v>2696</v>
      </c>
      <c r="C394" s="1212">
        <v>-581.91999999999996</v>
      </c>
      <c r="D394" s="1212">
        <v>144.59</v>
      </c>
      <c r="E394" s="1212">
        <v>-437.33</v>
      </c>
      <c r="F394" s="1210" t="s">
        <v>1154</v>
      </c>
      <c r="G394" s="1210" t="s">
        <v>1196</v>
      </c>
      <c r="H394" s="1205"/>
      <c r="I394" s="1204"/>
      <c r="J394" s="1204"/>
      <c r="K394" s="1204"/>
      <c r="L394" s="653" t="str">
        <f t="shared" si="191"/>
        <v>6747</v>
      </c>
      <c r="M394" s="654" t="str">
        <f t="shared" si="192"/>
        <v>FRET/EXPRESS/TRANS. PAR CAMION</v>
      </c>
      <c r="N394" s="655">
        <f>+IF(OR($Q394=Parametres!$G$2,$Q394=Parametres!$G$3),I394,C394)</f>
        <v>-581.91999999999996</v>
      </c>
      <c r="O394" s="655">
        <f>+IF(OR($Q394=Parametres!$G$2,$Q394=Parametres!$G$3),J394,D394)</f>
        <v>144.59</v>
      </c>
      <c r="P394" s="655">
        <f>+IF(OR($Q394=Parametres!$G$2,$Q394=Parametres!$G$3),K394,E394)</f>
        <v>-437.33</v>
      </c>
      <c r="Q394" s="654" t="str">
        <f t="shared" si="193"/>
        <v>7-Dépenses</v>
      </c>
      <c r="R394" s="653" t="str">
        <f t="shared" si="194"/>
        <v>6147</v>
      </c>
      <c r="S394" s="654">
        <f t="shared" si="195"/>
        <v>0</v>
      </c>
      <c r="T394" s="656" t="str">
        <f>+VLOOKUP($L394,Data_Validation!$A:$D,1,0)</f>
        <v>6747</v>
      </c>
      <c r="U394" s="656" t="str">
        <f>+VLOOKUP($L394,Data_Validation!$A:$D,3,0)</f>
        <v>Pièces</v>
      </c>
      <c r="V394" s="656" t="str">
        <f>+VLOOKUP($L394,Data_Validation!$A:$D,4,0)</f>
        <v>Frais postaux</v>
      </c>
      <c r="W394" s="656" t="str">
        <f>+VLOOKUP($L394,Data_Validation!$A:$E,5,0)</f>
        <v>$</v>
      </c>
      <c r="X394" s="656">
        <f>+VLOOKUP($L394,Data_Validation!$A:$F,6,0)</f>
        <v>0</v>
      </c>
    </row>
    <row r="395" spans="1:24" ht="15.75" customHeight="1">
      <c r="A395" s="1210" t="s">
        <v>1197</v>
      </c>
      <c r="B395" s="1210" t="s">
        <v>2698</v>
      </c>
      <c r="C395" s="1212">
        <v>4192.93</v>
      </c>
      <c r="D395" s="1212">
        <v>9396.99</v>
      </c>
      <c r="E395" s="1212">
        <v>13589.92</v>
      </c>
      <c r="F395" s="1210" t="s">
        <v>1154</v>
      </c>
      <c r="G395" s="1210" t="s">
        <v>1198</v>
      </c>
      <c r="H395" s="1205"/>
      <c r="I395" s="1204"/>
      <c r="J395" s="1204"/>
      <c r="K395" s="1204"/>
      <c r="L395" s="653" t="str">
        <f t="shared" si="191"/>
        <v>6751</v>
      </c>
      <c r="M395" s="654" t="str">
        <f t="shared" si="192"/>
        <v>DEP. DU TRAITEMENT DES DONNEES</v>
      </c>
      <c r="N395" s="655">
        <f>+IF(OR($Q395=Parametres!$G$2,$Q395=Parametres!$G$3),I395,C395)</f>
        <v>4192.93</v>
      </c>
      <c r="O395" s="655">
        <f>+IF(OR($Q395=Parametres!$G$2,$Q395=Parametres!$G$3),J395,D395)</f>
        <v>9396.99</v>
      </c>
      <c r="P395" s="655">
        <f>+IF(OR($Q395=Parametres!$G$2,$Q395=Parametres!$G$3),K395,E395)</f>
        <v>13589.92</v>
      </c>
      <c r="Q395" s="654" t="str">
        <f t="shared" si="193"/>
        <v>7-Dépenses</v>
      </c>
      <c r="R395" s="653" t="str">
        <f t="shared" si="194"/>
        <v>6151</v>
      </c>
      <c r="S395" s="654">
        <f t="shared" si="195"/>
        <v>0</v>
      </c>
      <c r="T395" s="656" t="str">
        <f>+VLOOKUP($L395,Data_Validation!$A:$D,1,0)</f>
        <v>6751</v>
      </c>
      <c r="U395" s="656" t="str">
        <f>+VLOOKUP($L395,Data_Validation!$A:$D,3,0)</f>
        <v>Pièces</v>
      </c>
      <c r="V395" s="656" t="str">
        <f>+VLOOKUP($L395,Data_Validation!$A:$D,4,0)</f>
        <v>Informatique</v>
      </c>
      <c r="W395" s="656" t="str">
        <f>+VLOOKUP($L395,Data_Validation!$A:$E,5,0)</f>
        <v>$</v>
      </c>
      <c r="X395" s="656">
        <f>+VLOOKUP($L395,Data_Validation!$A:$F,6,0)</f>
        <v>0</v>
      </c>
    </row>
    <row r="396" spans="1:24" ht="15.75" customHeight="1">
      <c r="A396" s="1210" t="s">
        <v>1199</v>
      </c>
      <c r="B396" s="1210" t="s">
        <v>2701</v>
      </c>
      <c r="C396" s="1212">
        <v>126.35</v>
      </c>
      <c r="D396" s="1212">
        <v>814</v>
      </c>
      <c r="E396" s="1212">
        <v>940.35</v>
      </c>
      <c r="F396" s="1210" t="s">
        <v>1154</v>
      </c>
      <c r="G396" s="1210" t="s">
        <v>1200</v>
      </c>
      <c r="H396" s="1205"/>
      <c r="I396" s="1204"/>
      <c r="J396" s="1204"/>
      <c r="K396" s="1204"/>
      <c r="L396" s="653" t="str">
        <f t="shared" si="191"/>
        <v>6752</v>
      </c>
      <c r="M396" s="654" t="str">
        <f t="shared" si="192"/>
        <v>PAPETERIE</v>
      </c>
      <c r="N396" s="655">
        <f>+IF(OR($Q396=Parametres!$G$2,$Q396=Parametres!$G$3),I396,C396)</f>
        <v>126.35</v>
      </c>
      <c r="O396" s="655">
        <f>+IF(OR($Q396=Parametres!$G$2,$Q396=Parametres!$G$3),J396,D396)</f>
        <v>814</v>
      </c>
      <c r="P396" s="655">
        <f>+IF(OR($Q396=Parametres!$G$2,$Q396=Parametres!$G$3),K396,E396)</f>
        <v>940.35</v>
      </c>
      <c r="Q396" s="654" t="str">
        <f t="shared" si="193"/>
        <v>7-Dépenses</v>
      </c>
      <c r="R396" s="653" t="str">
        <f t="shared" si="194"/>
        <v>6152</v>
      </c>
      <c r="S396" s="654">
        <f t="shared" si="195"/>
        <v>0</v>
      </c>
      <c r="T396" s="656" t="str">
        <f>+VLOOKUP($L396,Data_Validation!$A:$D,1,0)</f>
        <v>6752</v>
      </c>
      <c r="U396" s="656" t="str">
        <f>+VLOOKUP($L396,Data_Validation!$A:$D,3,0)</f>
        <v>Pièces</v>
      </c>
      <c r="V396" s="656" t="str">
        <f>+VLOOKUP($L396,Data_Validation!$A:$D,4,0)</f>
        <v>Papeterie</v>
      </c>
      <c r="W396" s="656" t="str">
        <f>+VLOOKUP($L396,Data_Validation!$A:$E,5,0)</f>
        <v>$</v>
      </c>
      <c r="X396" s="656">
        <f>+VLOOKUP($L396,Data_Validation!$A:$F,6,0)</f>
        <v>0</v>
      </c>
    </row>
    <row r="397" spans="1:24" ht="15.75" customHeight="1">
      <c r="A397" s="1210" t="s">
        <v>1201</v>
      </c>
      <c r="B397" s="1210" t="s">
        <v>2704</v>
      </c>
      <c r="C397" s="1212">
        <v>130.26</v>
      </c>
      <c r="D397" s="1212">
        <v>120.99</v>
      </c>
      <c r="E397" s="1212">
        <v>251.25</v>
      </c>
      <c r="F397" s="1210" t="s">
        <v>1154</v>
      </c>
      <c r="G397" s="1210" t="s">
        <v>1202</v>
      </c>
      <c r="H397" s="1205"/>
      <c r="I397" s="1204"/>
      <c r="J397" s="1204"/>
      <c r="K397" s="1204"/>
      <c r="L397" s="653" t="str">
        <f t="shared" si="191"/>
        <v>6753</v>
      </c>
      <c r="M397" s="654" t="str">
        <f t="shared" si="192"/>
        <v>TELEPHONE ET TELEX</v>
      </c>
      <c r="N397" s="655">
        <f>+IF(OR($Q397=Parametres!$G$2,$Q397=Parametres!$G$3),I397,C397)</f>
        <v>130.26</v>
      </c>
      <c r="O397" s="655">
        <f>+IF(OR($Q397=Parametres!$G$2,$Q397=Parametres!$G$3),J397,D397)</f>
        <v>120.99</v>
      </c>
      <c r="P397" s="655">
        <f>+IF(OR($Q397=Parametres!$G$2,$Q397=Parametres!$G$3),K397,E397)</f>
        <v>251.25</v>
      </c>
      <c r="Q397" s="654" t="str">
        <f t="shared" si="193"/>
        <v>7-Dépenses</v>
      </c>
      <c r="R397" s="653" t="str">
        <f t="shared" si="194"/>
        <v>6153</v>
      </c>
      <c r="S397" s="654">
        <f t="shared" si="195"/>
        <v>0</v>
      </c>
      <c r="T397" s="656" t="str">
        <f>+VLOOKUP($L397,Data_Validation!$A:$D,1,0)</f>
        <v>6753</v>
      </c>
      <c r="U397" s="656" t="str">
        <f>+VLOOKUP($L397,Data_Validation!$A:$D,3,0)</f>
        <v>Pièces</v>
      </c>
      <c r="V397" s="656" t="str">
        <f>+VLOOKUP($L397,Data_Validation!$A:$D,4,0)</f>
        <v>Téléphone</v>
      </c>
      <c r="W397" s="656" t="str">
        <f>+VLOOKUP($L397,Data_Validation!$A:$E,5,0)</f>
        <v>$</v>
      </c>
      <c r="X397" s="656">
        <f>+VLOOKUP($L397,Data_Validation!$A:$F,6,0)</f>
        <v>0</v>
      </c>
    </row>
    <row r="398" spans="1:24" ht="15.75" customHeight="1">
      <c r="A398" s="1210" t="s">
        <v>1203</v>
      </c>
      <c r="B398" s="1210" t="s">
        <v>2707</v>
      </c>
      <c r="C398" s="1212">
        <v>69.86</v>
      </c>
      <c r="D398" s="1212">
        <v>55.63</v>
      </c>
      <c r="E398" s="1212">
        <v>125.49</v>
      </c>
      <c r="F398" s="1210" t="s">
        <v>1154</v>
      </c>
      <c r="G398" s="1210" t="s">
        <v>1204</v>
      </c>
      <c r="H398" s="1205"/>
      <c r="I398" s="1204"/>
      <c r="J398" s="1204"/>
      <c r="K398" s="1204"/>
      <c r="L398" s="653" t="str">
        <f t="shared" si="191"/>
        <v>6755</v>
      </c>
      <c r="M398" s="654" t="str">
        <f t="shared" si="192"/>
        <v>DEPENSES DIVERS</v>
      </c>
      <c r="N398" s="655">
        <f>+IF(OR($Q398=Parametres!$G$2,$Q398=Parametres!$G$3),I398,C398)</f>
        <v>69.86</v>
      </c>
      <c r="O398" s="655">
        <f>+IF(OR($Q398=Parametres!$G$2,$Q398=Parametres!$G$3),J398,D398)</f>
        <v>55.63</v>
      </c>
      <c r="P398" s="655">
        <f>+IF(OR($Q398=Parametres!$G$2,$Q398=Parametres!$G$3),K398,E398)</f>
        <v>125.49</v>
      </c>
      <c r="Q398" s="654" t="str">
        <f t="shared" si="193"/>
        <v>7-Dépenses</v>
      </c>
      <c r="R398" s="653" t="str">
        <f t="shared" si="194"/>
        <v>6155</v>
      </c>
      <c r="S398" s="654">
        <f t="shared" si="195"/>
        <v>0</v>
      </c>
      <c r="T398" s="656" t="str">
        <f>+VLOOKUP($L398,Data_Validation!$A:$D,1,0)</f>
        <v>6755</v>
      </c>
      <c r="U398" s="656" t="str">
        <f>+VLOOKUP($L398,Data_Validation!$A:$D,3,0)</f>
        <v>Pièces</v>
      </c>
      <c r="V398" s="656" t="str">
        <f>+VLOOKUP($L398,Data_Validation!$A:$D,4,0)</f>
        <v>Divers</v>
      </c>
      <c r="W398" s="656" t="str">
        <f>+VLOOKUP($L398,Data_Validation!$A:$E,5,0)</f>
        <v>$</v>
      </c>
      <c r="X398" s="656">
        <f>+VLOOKUP($L398,Data_Validation!$A:$F,6,0)</f>
        <v>0</v>
      </c>
    </row>
    <row r="399" spans="1:24" ht="15.75" customHeight="1">
      <c r="A399" s="1210" t="s">
        <v>1277</v>
      </c>
      <c r="B399" s="1210" t="s">
        <v>2710</v>
      </c>
      <c r="C399" s="1212">
        <v>1043.31</v>
      </c>
      <c r="D399" s="1212">
        <v>728.54</v>
      </c>
      <c r="E399" s="1212">
        <v>1771.85</v>
      </c>
      <c r="F399" s="1210" t="s">
        <v>1154</v>
      </c>
      <c r="G399" s="1210" t="s">
        <v>1206</v>
      </c>
      <c r="H399" s="1205"/>
      <c r="I399" s="1204"/>
      <c r="J399" s="1204"/>
      <c r="K399" s="1204"/>
      <c r="L399" s="653" t="str">
        <f t="shared" si="191"/>
        <v>6756</v>
      </c>
      <c r="M399" s="654" t="str">
        <f t="shared" si="192"/>
        <v>FRAIS REPRESENTATION - PIECES</v>
      </c>
      <c r="N399" s="655">
        <f>+IF(OR($Q399=Parametres!$G$2,$Q399=Parametres!$G$3),I399,C399)</f>
        <v>1043.31</v>
      </c>
      <c r="O399" s="655">
        <f>+IF(OR($Q399=Parametres!$G$2,$Q399=Parametres!$G$3),J399,D399)</f>
        <v>728.54</v>
      </c>
      <c r="P399" s="655">
        <f>+IF(OR($Q399=Parametres!$G$2,$Q399=Parametres!$G$3),K399,E399)</f>
        <v>1771.85</v>
      </c>
      <c r="Q399" s="654" t="str">
        <f t="shared" si="193"/>
        <v>7-Dépenses</v>
      </c>
      <c r="R399" s="653" t="str">
        <f t="shared" si="194"/>
        <v>6156</v>
      </c>
      <c r="S399" s="654">
        <f t="shared" si="195"/>
        <v>0</v>
      </c>
      <c r="T399" s="656" t="str">
        <f>+VLOOKUP($L399,Data_Validation!$A:$D,1,0)</f>
        <v>6756</v>
      </c>
      <c r="U399" s="656" t="str">
        <f>+VLOOKUP($L399,Data_Validation!$A:$D,3,0)</f>
        <v>Pièces</v>
      </c>
      <c r="V399" s="656" t="str">
        <f>+VLOOKUP($L399,Data_Validation!$A:$D,4,0)</f>
        <v>Frais de déplacement</v>
      </c>
      <c r="W399" s="656" t="str">
        <f>+VLOOKUP($L399,Data_Validation!$A:$E,5,0)</f>
        <v>$</v>
      </c>
      <c r="X399" s="656">
        <f>+VLOOKUP($L399,Data_Validation!$A:$F,6,0)</f>
        <v>0</v>
      </c>
    </row>
    <row r="400" spans="1:24" ht="15.75" customHeight="1">
      <c r="A400" s="1210" t="s">
        <v>1278</v>
      </c>
      <c r="B400" s="1210" t="s">
        <v>3401</v>
      </c>
      <c r="C400" s="1212">
        <v>1255.17</v>
      </c>
      <c r="D400" s="1212">
        <v>962.38</v>
      </c>
      <c r="E400" s="1212">
        <v>2217.5500000000002</v>
      </c>
      <c r="F400" s="1210" t="s">
        <v>1154</v>
      </c>
      <c r="G400" s="1210" t="s">
        <v>3339</v>
      </c>
      <c r="I400" s="1024"/>
      <c r="J400" s="1024"/>
      <c r="K400" s="1024"/>
      <c r="L400" s="653" t="str">
        <f t="shared" ref="L400:L463" si="196">TEXT(B400,0)</f>
        <v>6757</v>
      </c>
      <c r="M400" s="654" t="str">
        <f t="shared" ref="M400:M463" si="197">+A400</f>
        <v>FRAIS BANCAIRES - PIECES</v>
      </c>
      <c r="N400" s="655">
        <f>+IF(OR($Q400=Parametres!$G$2,$Q400=Parametres!$G$3),I400,C400)</f>
        <v>1255.17</v>
      </c>
      <c r="O400" s="655">
        <f>+IF(OR($Q400=Parametres!$G$2,$Q400=Parametres!$G$3),J400,D400)</f>
        <v>962.38</v>
      </c>
      <c r="P400" s="655">
        <f>+IF(OR($Q400=Parametres!$G$2,$Q400=Parametres!$G$3),K400,E400)</f>
        <v>2217.5500000000002</v>
      </c>
      <c r="Q400" s="654" t="str">
        <f t="shared" ref="Q400:Q463" si="198">+F400</f>
        <v>7-Dépenses</v>
      </c>
      <c r="R400" s="653" t="str">
        <f t="shared" ref="R400:R463" si="199">+G400</f>
        <v>675</v>
      </c>
      <c r="S400" s="654">
        <f t="shared" ref="S400:S463" si="200">+H400</f>
        <v>0</v>
      </c>
      <c r="T400" s="656" t="str">
        <f>+VLOOKUP($L400,Data_Validation!$A:$D,1,0)</f>
        <v>6757</v>
      </c>
      <c r="U400" s="656" t="str">
        <f>+VLOOKUP($L400,Data_Validation!$A:$D,3,0)</f>
        <v>Pièces</v>
      </c>
      <c r="V400" s="656" t="str">
        <f>+VLOOKUP($L400,Data_Validation!$A:$D,4,0)</f>
        <v>Frais bancaires</v>
      </c>
      <c r="W400" s="656" t="str">
        <f>+VLOOKUP($L400,Data_Validation!$A:$E,5,0)</f>
        <v>$</v>
      </c>
      <c r="X400" s="656">
        <f>+VLOOKUP($L400,Data_Validation!$A:$F,6,0)</f>
        <v>0</v>
      </c>
    </row>
    <row r="401" spans="1:24" ht="15.75" customHeight="1">
      <c r="A401" s="1210" t="s">
        <v>3889</v>
      </c>
      <c r="B401" s="1210" t="s">
        <v>3890</v>
      </c>
      <c r="C401" s="1212">
        <v>11140</v>
      </c>
      <c r="D401" s="1212">
        <v>10060</v>
      </c>
      <c r="E401" s="1212">
        <v>21200</v>
      </c>
      <c r="F401" s="1210" t="s">
        <v>1154</v>
      </c>
      <c r="G401" s="1210" t="s">
        <v>1210</v>
      </c>
      <c r="I401" s="1024"/>
      <c r="J401" s="1024"/>
      <c r="K401" s="1024"/>
      <c r="L401" s="653" t="str">
        <f t="shared" si="196"/>
        <v>6758</v>
      </c>
      <c r="M401" s="654" t="str">
        <f t="shared" si="197"/>
        <v>FRAIS DE LIVRAISON PIECES</v>
      </c>
      <c r="N401" s="655">
        <f>+IF(OR($Q401=Parametres!$G$2,$Q401=Parametres!$G$3),I401,C401)</f>
        <v>11140</v>
      </c>
      <c r="O401" s="655">
        <f>+IF(OR($Q401=Parametres!$G$2,$Q401=Parametres!$G$3),J401,D401)</f>
        <v>10060</v>
      </c>
      <c r="P401" s="655">
        <f>+IF(OR($Q401=Parametres!$G$2,$Q401=Parametres!$G$3),K401,E401)</f>
        <v>21200</v>
      </c>
      <c r="Q401" s="654" t="str">
        <f t="shared" si="198"/>
        <v>7-Dépenses</v>
      </c>
      <c r="R401" s="653" t="str">
        <f t="shared" si="199"/>
        <v>6159</v>
      </c>
      <c r="S401" s="654">
        <f t="shared" si="200"/>
        <v>0</v>
      </c>
      <c r="T401" s="656" t="str">
        <f>+VLOOKUP($L401,Data_Validation!$A:$D,1,0)</f>
        <v>6758</v>
      </c>
      <c r="U401" s="656" t="str">
        <f>+VLOOKUP($L401,Data_Validation!$A:$D,3,0)</f>
        <v>Pièces</v>
      </c>
      <c r="V401" s="656" t="str">
        <f>+VLOOKUP($L401,Data_Validation!$A:$D,4,0)</f>
        <v>Services extérieurs</v>
      </c>
      <c r="W401" s="656" t="str">
        <f>+VLOOKUP($L401,Data_Validation!$A:$E,5,0)</f>
        <v>$</v>
      </c>
      <c r="X401" s="656">
        <f>+VLOOKUP($L401,Data_Validation!$A:$F,6,0)</f>
        <v>0</v>
      </c>
    </row>
    <row r="402" spans="1:24" ht="15.75" customHeight="1">
      <c r="A402" s="1210" t="s">
        <v>1209</v>
      </c>
      <c r="B402" s="1210" t="s">
        <v>2713</v>
      </c>
      <c r="C402" s="1212">
        <v>2983.46</v>
      </c>
      <c r="D402" s="1212">
        <v>3160.71</v>
      </c>
      <c r="E402" s="1212">
        <v>6144.17</v>
      </c>
      <c r="F402" s="1210" t="s">
        <v>1154</v>
      </c>
      <c r="G402" s="1210" t="s">
        <v>1210</v>
      </c>
      <c r="I402" s="1024"/>
      <c r="J402" s="1024"/>
      <c r="K402" s="1024"/>
      <c r="L402" s="653" t="str">
        <f t="shared" si="196"/>
        <v>6759</v>
      </c>
      <c r="M402" s="654" t="str">
        <f t="shared" si="197"/>
        <v>SERVICE EXTERIEUR</v>
      </c>
      <c r="N402" s="655">
        <f>+IF(OR($Q402=Parametres!$G$2,$Q402=Parametres!$G$3),I402,C402)</f>
        <v>2983.46</v>
      </c>
      <c r="O402" s="655">
        <f>+IF(OR($Q402=Parametres!$G$2,$Q402=Parametres!$G$3),J402,D402)</f>
        <v>3160.71</v>
      </c>
      <c r="P402" s="655">
        <f>+IF(OR($Q402=Parametres!$G$2,$Q402=Parametres!$G$3),K402,E402)</f>
        <v>6144.17</v>
      </c>
      <c r="Q402" s="654" t="str">
        <f t="shared" si="198"/>
        <v>7-Dépenses</v>
      </c>
      <c r="R402" s="653" t="str">
        <f t="shared" si="199"/>
        <v>6159</v>
      </c>
      <c r="S402" s="654">
        <f t="shared" si="200"/>
        <v>0</v>
      </c>
      <c r="T402" s="656" t="str">
        <f>+VLOOKUP($L402,Data_Validation!$A:$D,1,0)</f>
        <v>6759</v>
      </c>
      <c r="U402" s="656" t="str">
        <f>+VLOOKUP($L402,Data_Validation!$A:$D,3,0)</f>
        <v>Pièces</v>
      </c>
      <c r="V402" s="656" t="str">
        <f>+VLOOKUP($L402,Data_Validation!$A:$D,4,0)</f>
        <v>Services extérieurs</v>
      </c>
      <c r="W402" s="656" t="str">
        <f>+VLOOKUP($L402,Data_Validation!$A:$E,5,0)</f>
        <v>$</v>
      </c>
      <c r="X402" s="656">
        <f>+VLOOKUP($L402,Data_Validation!$A:$F,6,0)</f>
        <v>0</v>
      </c>
    </row>
    <row r="403" spans="1:24" ht="15.75" customHeight="1">
      <c r="A403" s="1210" t="s">
        <v>1211</v>
      </c>
      <c r="B403" s="1210" t="s">
        <v>2716</v>
      </c>
      <c r="C403" s="1212">
        <v>10662</v>
      </c>
      <c r="D403" s="1212">
        <v>10662</v>
      </c>
      <c r="E403" s="1212">
        <v>21324</v>
      </c>
      <c r="F403" s="1210" t="s">
        <v>1154</v>
      </c>
      <c r="G403" s="1210" t="s">
        <v>1212</v>
      </c>
      <c r="I403" s="1024"/>
      <c r="J403" s="1024"/>
      <c r="K403" s="1024"/>
      <c r="L403" s="653" t="str">
        <f t="shared" si="196"/>
        <v>6761</v>
      </c>
      <c r="M403" s="654" t="str">
        <f t="shared" si="197"/>
        <v>DEPRECIATION EQUIP. &amp; FIXTURES</v>
      </c>
      <c r="N403" s="655">
        <f>+IF(OR($Q403=Parametres!$G$2,$Q403=Parametres!$G$3),I403,C403)</f>
        <v>10662</v>
      </c>
      <c r="O403" s="655">
        <f>+IF(OR($Q403=Parametres!$G$2,$Q403=Parametres!$G$3),J403,D403)</f>
        <v>10662</v>
      </c>
      <c r="P403" s="655">
        <f>+IF(OR($Q403=Parametres!$G$2,$Q403=Parametres!$G$3),K403,E403)</f>
        <v>21324</v>
      </c>
      <c r="Q403" s="654" t="str">
        <f t="shared" si="198"/>
        <v>7-Dépenses</v>
      </c>
      <c r="R403" s="653" t="str">
        <f t="shared" si="199"/>
        <v>6161</v>
      </c>
      <c r="S403" s="654">
        <f t="shared" si="200"/>
        <v>0</v>
      </c>
      <c r="T403" s="656" t="str">
        <f>+VLOOKUP($L403,Data_Validation!$A:$D,1,0)</f>
        <v>6761</v>
      </c>
      <c r="U403" s="656" t="str">
        <f>+VLOOKUP($L403,Data_Validation!$A:$D,3,0)</f>
        <v>Pièces</v>
      </c>
      <c r="V403" s="656" t="str">
        <f>+VLOOKUP($L403,Data_Validation!$A:$D,4,0)</f>
        <v>Amortissement</v>
      </c>
      <c r="W403" s="656" t="str">
        <f>+VLOOKUP($L403,Data_Validation!$A:$E,5,0)</f>
        <v>$</v>
      </c>
      <c r="X403" s="656">
        <f>+VLOOKUP($L403,Data_Validation!$A:$F,6,0)</f>
        <v>0</v>
      </c>
    </row>
    <row r="404" spans="1:24" ht="15.75" customHeight="1">
      <c r="A404" s="1210" t="s">
        <v>1279</v>
      </c>
      <c r="B404" s="1210" t="s">
        <v>2725</v>
      </c>
      <c r="C404" s="1212">
        <v>2568.6999999999998</v>
      </c>
      <c r="D404" s="1212">
        <v>2159.81</v>
      </c>
      <c r="E404" s="1212">
        <v>4728.51</v>
      </c>
      <c r="F404" s="1210" t="s">
        <v>1154</v>
      </c>
      <c r="G404" s="1210" t="s">
        <v>1214</v>
      </c>
      <c r="I404" s="1024"/>
      <c r="J404" s="1024"/>
      <c r="K404" s="1024"/>
      <c r="L404" s="653" t="str">
        <f t="shared" si="196"/>
        <v>6781</v>
      </c>
      <c r="M404" s="654" t="str">
        <f t="shared" si="197"/>
        <v>CHAUFFAGE,ELECTRICITE,EAU-PIECES</v>
      </c>
      <c r="N404" s="655">
        <f>+IF(OR($Q404=Parametres!$G$2,$Q404=Parametres!$G$3),I404,C404)</f>
        <v>2568.6999999999998</v>
      </c>
      <c r="O404" s="655">
        <f>+IF(OR($Q404=Parametres!$G$2,$Q404=Parametres!$G$3),J404,D404)</f>
        <v>2159.81</v>
      </c>
      <c r="P404" s="655">
        <f>+IF(OR($Q404=Parametres!$G$2,$Q404=Parametres!$G$3),K404,E404)</f>
        <v>4728.51</v>
      </c>
      <c r="Q404" s="654" t="str">
        <f t="shared" si="198"/>
        <v>7-Dépenses</v>
      </c>
      <c r="R404" s="653" t="str">
        <f t="shared" si="199"/>
        <v>6181</v>
      </c>
      <c r="S404" s="654">
        <f t="shared" si="200"/>
        <v>0</v>
      </c>
      <c r="T404" s="656" t="str">
        <f>+VLOOKUP($L404,Data_Validation!$A:$D,1,0)</f>
        <v>6781</v>
      </c>
      <c r="U404" s="656" t="str">
        <f>+VLOOKUP($L404,Data_Validation!$A:$D,3,0)</f>
        <v>Pièces</v>
      </c>
      <c r="V404" s="656" t="str">
        <f>+VLOOKUP($L404,Data_Validation!$A:$D,4,0)</f>
        <v>Chauffage, éclairage</v>
      </c>
      <c r="W404" s="656" t="str">
        <f>+VLOOKUP($L404,Data_Validation!$A:$E,5,0)</f>
        <v>$</v>
      </c>
      <c r="X404" s="656">
        <f>+VLOOKUP($L404,Data_Validation!$A:$F,6,0)</f>
        <v>0</v>
      </c>
    </row>
    <row r="405" spans="1:24" ht="15.75" customHeight="1">
      <c r="A405" s="1210" t="s">
        <v>1280</v>
      </c>
      <c r="B405" s="1210" t="s">
        <v>2728</v>
      </c>
      <c r="C405" s="1212">
        <v>9000</v>
      </c>
      <c r="D405" s="1212">
        <v>9000</v>
      </c>
      <c r="E405" s="1212">
        <v>18000</v>
      </c>
      <c r="F405" s="1210" t="s">
        <v>1154</v>
      </c>
      <c r="G405" s="1210" t="s">
        <v>1216</v>
      </c>
      <c r="I405" s="1024"/>
      <c r="J405" s="1024"/>
      <c r="K405" s="1024"/>
      <c r="L405" s="653" t="str">
        <f t="shared" si="196"/>
        <v>6782</v>
      </c>
      <c r="M405" s="654" t="str">
        <f t="shared" si="197"/>
        <v>LOYER - PIECES</v>
      </c>
      <c r="N405" s="655">
        <f>+IF(OR($Q405=Parametres!$G$2,$Q405=Parametres!$G$3),I405,C405)</f>
        <v>9000</v>
      </c>
      <c r="O405" s="655">
        <f>+IF(OR($Q405=Parametres!$G$2,$Q405=Parametres!$G$3),J405,D405)</f>
        <v>9000</v>
      </c>
      <c r="P405" s="655">
        <f>+IF(OR($Q405=Parametres!$G$2,$Q405=Parametres!$G$3),K405,E405)</f>
        <v>18000</v>
      </c>
      <c r="Q405" s="654" t="str">
        <f t="shared" si="198"/>
        <v>7-Dépenses</v>
      </c>
      <c r="R405" s="653" t="str">
        <f t="shared" si="199"/>
        <v>6182</v>
      </c>
      <c r="S405" s="654">
        <f t="shared" si="200"/>
        <v>0</v>
      </c>
      <c r="T405" s="656" t="str">
        <f>+VLOOKUP($L405,Data_Validation!$A:$D,1,0)</f>
        <v>6782</v>
      </c>
      <c r="U405" s="656" t="str">
        <f>+VLOOKUP($L405,Data_Validation!$A:$D,3,0)</f>
        <v>Pièces</v>
      </c>
      <c r="V405" s="656" t="str">
        <f>+VLOOKUP($L405,Data_Validation!$A:$D,4,0)</f>
        <v>Loyer</v>
      </c>
      <c r="W405" s="656" t="str">
        <f>+VLOOKUP($L405,Data_Validation!$A:$E,5,0)</f>
        <v>$</v>
      </c>
      <c r="X405" s="656">
        <f>+VLOOKUP($L405,Data_Validation!$A:$F,6,0)</f>
        <v>0</v>
      </c>
    </row>
    <row r="406" spans="1:24" ht="15.75" customHeight="1">
      <c r="A406" s="1210" t="s">
        <v>1281</v>
      </c>
      <c r="B406" s="1210" t="s">
        <v>2731</v>
      </c>
      <c r="C406" s="1212">
        <v>1086.06</v>
      </c>
      <c r="D406" s="1212">
        <v>1086.06</v>
      </c>
      <c r="E406" s="1212">
        <v>2172.12</v>
      </c>
      <c r="F406" s="1210" t="s">
        <v>1154</v>
      </c>
      <c r="G406" s="1210" t="s">
        <v>1218</v>
      </c>
      <c r="I406" s="1024"/>
      <c r="J406" s="1024"/>
      <c r="K406" s="1024"/>
      <c r="L406" s="653" t="str">
        <f t="shared" si="196"/>
        <v>6786</v>
      </c>
      <c r="M406" s="654" t="str">
        <f t="shared" si="197"/>
        <v>ASSURANCE BATISSE &amp; AMEL.-PIECES</v>
      </c>
      <c r="N406" s="655">
        <f>+IF(OR($Q406=Parametres!$G$2,$Q406=Parametres!$G$3),I406,C406)</f>
        <v>1086.06</v>
      </c>
      <c r="O406" s="655">
        <f>+IF(OR($Q406=Parametres!$G$2,$Q406=Parametres!$G$3),J406,D406)</f>
        <v>1086.06</v>
      </c>
      <c r="P406" s="655">
        <f>+IF(OR($Q406=Parametres!$G$2,$Q406=Parametres!$G$3),K406,E406)</f>
        <v>2172.12</v>
      </c>
      <c r="Q406" s="654" t="str">
        <f t="shared" si="198"/>
        <v>7-Dépenses</v>
      </c>
      <c r="R406" s="653" t="str">
        <f t="shared" si="199"/>
        <v>6186</v>
      </c>
      <c r="S406" s="654">
        <f t="shared" si="200"/>
        <v>0</v>
      </c>
      <c r="T406" s="656" t="str">
        <f>+VLOOKUP($L406,Data_Validation!$A:$D,1,0)</f>
        <v>6786</v>
      </c>
      <c r="U406" s="656" t="str">
        <f>+VLOOKUP($L406,Data_Validation!$A:$D,3,0)</f>
        <v>Pièces</v>
      </c>
      <c r="V406" s="656" t="str">
        <f>+VLOOKUP($L406,Data_Validation!$A:$D,4,0)</f>
        <v>Assurances</v>
      </c>
      <c r="W406" s="656" t="str">
        <f>+VLOOKUP($L406,Data_Validation!$A:$E,5,0)</f>
        <v>$</v>
      </c>
      <c r="X406" s="656">
        <f>+VLOOKUP($L406,Data_Validation!$A:$F,6,0)</f>
        <v>0</v>
      </c>
    </row>
    <row r="407" spans="1:24" ht="15.75" customHeight="1">
      <c r="A407" s="1210" t="s">
        <v>1282</v>
      </c>
      <c r="B407" s="1210" t="s">
        <v>2734</v>
      </c>
      <c r="C407" s="1212">
        <v>1355.75</v>
      </c>
      <c r="D407" s="1212">
        <v>1355.75</v>
      </c>
      <c r="E407" s="1212">
        <v>2711.5</v>
      </c>
      <c r="F407" s="1210" t="s">
        <v>1154</v>
      </c>
      <c r="G407" s="1210" t="s">
        <v>1220</v>
      </c>
      <c r="I407" s="1024"/>
      <c r="J407" s="1024"/>
      <c r="K407" s="1024"/>
      <c r="L407" s="653" t="str">
        <f t="shared" si="196"/>
        <v>6787</v>
      </c>
      <c r="M407" s="654" t="str">
        <f t="shared" si="197"/>
        <v>TAXES FONCIERES - PIECES</v>
      </c>
      <c r="N407" s="655">
        <f>+IF(OR($Q407=Parametres!$G$2,$Q407=Parametres!$G$3),I407,C407)</f>
        <v>1355.75</v>
      </c>
      <c r="O407" s="655">
        <f>+IF(OR($Q407=Parametres!$G$2,$Q407=Parametres!$G$3),J407,D407)</f>
        <v>1355.75</v>
      </c>
      <c r="P407" s="655">
        <f>+IF(OR($Q407=Parametres!$G$2,$Q407=Parametres!$G$3),K407,E407)</f>
        <v>2711.5</v>
      </c>
      <c r="Q407" s="654" t="str">
        <f t="shared" si="198"/>
        <v>7-Dépenses</v>
      </c>
      <c r="R407" s="653" t="str">
        <f t="shared" si="199"/>
        <v>6187</v>
      </c>
      <c r="S407" s="654">
        <f t="shared" si="200"/>
        <v>0</v>
      </c>
      <c r="T407" s="656" t="str">
        <f>+VLOOKUP($L407,Data_Validation!$A:$D,1,0)</f>
        <v>6787</v>
      </c>
      <c r="U407" s="656" t="str">
        <f>+VLOOKUP($L407,Data_Validation!$A:$D,3,0)</f>
        <v>Pièces</v>
      </c>
      <c r="V407" s="656" t="str">
        <f>+VLOOKUP($L407,Data_Validation!$A:$D,4,0)</f>
        <v>Taxes foncières</v>
      </c>
      <c r="W407" s="656" t="str">
        <f>+VLOOKUP($L407,Data_Validation!$A:$E,5,0)</f>
        <v>$</v>
      </c>
      <c r="X407" s="656">
        <f>+VLOOKUP($L407,Data_Validation!$A:$F,6,0)</f>
        <v>0</v>
      </c>
    </row>
    <row r="408" spans="1:24" ht="15.75" customHeight="1">
      <c r="A408" s="1210" t="s">
        <v>1283</v>
      </c>
      <c r="B408" s="1210" t="s">
        <v>2737</v>
      </c>
      <c r="C408" s="1212">
        <v>902.25</v>
      </c>
      <c r="D408" s="1212">
        <v>1227.25</v>
      </c>
      <c r="E408" s="1212">
        <v>2129.5</v>
      </c>
      <c r="F408" s="1210" t="s">
        <v>1154</v>
      </c>
      <c r="G408" s="1210" t="s">
        <v>1222</v>
      </c>
      <c r="I408" s="1024"/>
      <c r="J408" s="1024"/>
      <c r="K408" s="1024"/>
      <c r="L408" s="653" t="str">
        <f t="shared" si="196"/>
        <v>6793</v>
      </c>
      <c r="M408" s="654" t="str">
        <f t="shared" si="197"/>
        <v>AUTRES TAXES - PIECES</v>
      </c>
      <c r="N408" s="655">
        <f>+IF(OR($Q408=Parametres!$G$2,$Q408=Parametres!$G$3),I408,C408)</f>
        <v>902.25</v>
      </c>
      <c r="O408" s="655">
        <f>+IF(OR($Q408=Parametres!$G$2,$Q408=Parametres!$G$3),J408,D408)</f>
        <v>1227.25</v>
      </c>
      <c r="P408" s="655">
        <f>+IF(OR($Q408=Parametres!$G$2,$Q408=Parametres!$G$3),K408,E408)</f>
        <v>2129.5</v>
      </c>
      <c r="Q408" s="654" t="str">
        <f t="shared" si="198"/>
        <v>7-Dépenses</v>
      </c>
      <c r="R408" s="653" t="str">
        <f t="shared" si="199"/>
        <v>6193</v>
      </c>
      <c r="S408" s="654">
        <f t="shared" si="200"/>
        <v>0</v>
      </c>
      <c r="T408" s="656" t="str">
        <f>+VLOOKUP($L408,Data_Validation!$A:$D,1,0)</f>
        <v>6793</v>
      </c>
      <c r="U408" s="656" t="str">
        <f>+VLOOKUP($L408,Data_Validation!$A:$D,3,0)</f>
        <v>Pièces</v>
      </c>
      <c r="V408" s="656" t="str">
        <f>+VLOOKUP($L408,Data_Validation!$A:$D,4,0)</f>
        <v>Taxes d`affaires</v>
      </c>
      <c r="W408" s="656" t="str">
        <f>+VLOOKUP($L408,Data_Validation!$A:$E,5,0)</f>
        <v>$</v>
      </c>
      <c r="X408" s="656">
        <f>+VLOOKUP($L408,Data_Validation!$A:$F,6,0)</f>
        <v>0</v>
      </c>
    </row>
    <row r="409" spans="1:24" ht="15.75" customHeight="1">
      <c r="A409" s="1210" t="s">
        <v>1284</v>
      </c>
      <c r="B409" s="1210" t="s">
        <v>2740</v>
      </c>
      <c r="C409" s="1212">
        <v>1830.99</v>
      </c>
      <c r="D409" s="1212">
        <v>1735.17</v>
      </c>
      <c r="E409" s="1212">
        <v>3566.16</v>
      </c>
      <c r="F409" s="1210" t="s">
        <v>1154</v>
      </c>
      <c r="G409" s="1210" t="s">
        <v>1224</v>
      </c>
      <c r="I409" s="1024"/>
      <c r="J409" s="1024"/>
      <c r="K409" s="1024"/>
      <c r="L409" s="653" t="str">
        <f t="shared" si="196"/>
        <v>6794</v>
      </c>
      <c r="M409" s="654" t="str">
        <f t="shared" si="197"/>
        <v>FRAIS PROFESSIONNEL-PIECES</v>
      </c>
      <c r="N409" s="655">
        <f>+IF(OR($Q409=Parametres!$G$2,$Q409=Parametres!$G$3),I409,C409)</f>
        <v>1830.99</v>
      </c>
      <c r="O409" s="655">
        <f>+IF(OR($Q409=Parametres!$G$2,$Q409=Parametres!$G$3),J409,D409)</f>
        <v>1735.17</v>
      </c>
      <c r="P409" s="655">
        <f>+IF(OR($Q409=Parametres!$G$2,$Q409=Parametres!$G$3),K409,E409)</f>
        <v>3566.16</v>
      </c>
      <c r="Q409" s="654" t="str">
        <f t="shared" si="198"/>
        <v>7-Dépenses</v>
      </c>
      <c r="R409" s="653" t="str">
        <f t="shared" si="199"/>
        <v>6194</v>
      </c>
      <c r="S409" s="654">
        <f t="shared" si="200"/>
        <v>0</v>
      </c>
      <c r="T409" s="656" t="str">
        <f>+VLOOKUP($L409,Data_Validation!$A:$D,1,0)</f>
        <v>6794</v>
      </c>
      <c r="U409" s="656" t="str">
        <f>+VLOOKUP($L409,Data_Validation!$A:$D,3,0)</f>
        <v>Pièces</v>
      </c>
      <c r="V409" s="656" t="str">
        <f>+VLOOKUP($L409,Data_Validation!$A:$D,4,0)</f>
        <v>Honoraires</v>
      </c>
      <c r="W409" s="656" t="str">
        <f>+VLOOKUP($L409,Data_Validation!$A:$E,5,0)</f>
        <v>$</v>
      </c>
      <c r="X409" s="656">
        <f>+VLOOKUP($L409,Data_Validation!$A:$F,6,0)</f>
        <v>0</v>
      </c>
    </row>
    <row r="410" spans="1:24" ht="15.75" customHeight="1">
      <c r="A410" s="1210" t="s">
        <v>1287</v>
      </c>
      <c r="B410" s="1210" t="s">
        <v>2751</v>
      </c>
      <c r="C410" s="1212">
        <v>-82565</v>
      </c>
      <c r="D410" s="1212">
        <v>-47635</v>
      </c>
      <c r="E410" s="1212">
        <v>-130200</v>
      </c>
      <c r="F410" s="1210" t="s">
        <v>1285</v>
      </c>
      <c r="G410" s="1210" t="s">
        <v>1286</v>
      </c>
      <c r="I410" s="1024"/>
      <c r="J410" s="1024"/>
      <c r="K410" s="1024"/>
      <c r="L410" s="653" t="str">
        <f t="shared" si="196"/>
        <v>9149</v>
      </c>
      <c r="M410" s="654" t="str">
        <f t="shared" si="197"/>
        <v>REVENU RESERVE VOLKS</v>
      </c>
      <c r="N410" s="655">
        <f>+IF(OR($Q410=Parametres!$G$2,$Q410=Parametres!$G$3),I410,C410)</f>
        <v>-82565</v>
      </c>
      <c r="O410" s="655">
        <f>+IF(OR($Q410=Parametres!$G$2,$Q410=Parametres!$G$3),J410,D410)</f>
        <v>-47635</v>
      </c>
      <c r="P410" s="655">
        <f>+IF(OR($Q410=Parametres!$G$2,$Q410=Parametres!$G$3),K410,E410)</f>
        <v>-130200</v>
      </c>
      <c r="Q410" s="654" t="str">
        <f t="shared" si="198"/>
        <v>8-Autres revenus</v>
      </c>
      <c r="R410" s="653" t="str">
        <f t="shared" si="199"/>
        <v>9101</v>
      </c>
      <c r="S410" s="654">
        <f t="shared" si="200"/>
        <v>0</v>
      </c>
      <c r="T410" s="656" t="str">
        <f>+VLOOKUP($L410,Data_Validation!$A:$D,1,0)</f>
        <v>9149</v>
      </c>
      <c r="U410" s="656" t="str">
        <f>+VLOOKUP($L410,Data_Validation!$A:$D,3,0)</f>
        <v>Véhicules neufs</v>
      </c>
      <c r="V410" s="656" t="str">
        <f>+VLOOKUP($L410,Data_Validation!$A:$D,4,0)</f>
        <v>Holdbacks</v>
      </c>
      <c r="W410" s="656" t="str">
        <f>+VLOOKUP($L410,Data_Validation!$A:$E,5,0)</f>
        <v>$</v>
      </c>
      <c r="X410" s="656">
        <f>+VLOOKUP($L410,Data_Validation!$A:$F,6,0)</f>
        <v>0</v>
      </c>
    </row>
    <row r="411" spans="1:24" ht="15.75" customHeight="1">
      <c r="A411" s="1210" t="s">
        <v>1288</v>
      </c>
      <c r="B411" s="1210" t="s">
        <v>1289</v>
      </c>
      <c r="C411" s="1212">
        <v>-9508.51</v>
      </c>
      <c r="D411" s="1212">
        <v>-9513.42</v>
      </c>
      <c r="E411" s="1212">
        <v>-19021.93</v>
      </c>
      <c r="F411" s="1210" t="s">
        <v>1285</v>
      </c>
      <c r="G411" s="1210" t="s">
        <v>1289</v>
      </c>
      <c r="I411" s="1024"/>
      <c r="J411" s="1024"/>
      <c r="K411" s="1024"/>
      <c r="L411" s="653" t="str">
        <f t="shared" si="196"/>
        <v>9152</v>
      </c>
      <c r="M411" s="654" t="str">
        <f t="shared" si="197"/>
        <v>ESCOMPTES SUR ACHAT PIECES</v>
      </c>
      <c r="N411" s="655">
        <f>+IF(OR($Q411=Parametres!$G$2,$Q411=Parametres!$G$3),I411,C411)</f>
        <v>-9508.51</v>
      </c>
      <c r="O411" s="655">
        <f>+IF(OR($Q411=Parametres!$G$2,$Q411=Parametres!$G$3),J411,D411)</f>
        <v>-9513.42</v>
      </c>
      <c r="P411" s="655">
        <f>+IF(OR($Q411=Parametres!$G$2,$Q411=Parametres!$G$3),K411,E411)</f>
        <v>-19021.93</v>
      </c>
      <c r="Q411" s="654" t="str">
        <f t="shared" si="198"/>
        <v>8-Autres revenus</v>
      </c>
      <c r="R411" s="653" t="str">
        <f t="shared" si="199"/>
        <v>9152</v>
      </c>
      <c r="S411" s="654">
        <f t="shared" si="200"/>
        <v>0</v>
      </c>
      <c r="T411" s="656" t="str">
        <f>+VLOOKUP($L411,Data_Validation!$A:$D,1,0)</f>
        <v>9152</v>
      </c>
      <c r="U411" s="656" t="str">
        <f>+VLOOKUP($L411,Data_Validation!$A:$D,3,0)</f>
        <v>Pièces</v>
      </c>
      <c r="V411" s="656" t="str">
        <f>+VLOOKUP($L411,Data_Validation!$A:$D,4,0)</f>
        <v>Escomptes</v>
      </c>
      <c r="W411" s="656" t="str">
        <f>+VLOOKUP($L411,Data_Validation!$A:$E,5,0)</f>
        <v>$</v>
      </c>
      <c r="X411" s="656">
        <f>+VLOOKUP($L411,Data_Validation!$A:$F,6,0)</f>
        <v>0</v>
      </c>
    </row>
    <row r="412" spans="1:24" ht="15.75" customHeight="1">
      <c r="A412" s="1210" t="s">
        <v>1290</v>
      </c>
      <c r="B412" s="1210" t="s">
        <v>1291</v>
      </c>
      <c r="C412" s="1212">
        <v>0</v>
      </c>
      <c r="D412" s="1212">
        <v>-615.35</v>
      </c>
      <c r="E412" s="1212">
        <v>-615.35</v>
      </c>
      <c r="F412" s="1210" t="s">
        <v>1285</v>
      </c>
      <c r="G412" s="1210" t="s">
        <v>1291</v>
      </c>
      <c r="I412" s="1024"/>
      <c r="J412" s="1024"/>
      <c r="K412" s="1024"/>
      <c r="L412" s="653" t="str">
        <f t="shared" si="196"/>
        <v>9161</v>
      </c>
      <c r="M412" s="654" t="str">
        <f t="shared" si="197"/>
        <v>REVENU FIN ET ASS NEUF</v>
      </c>
      <c r="N412" s="655">
        <f>+IF(OR($Q412=Parametres!$G$2,$Q412=Parametres!$G$3),I412,C412)</f>
        <v>0</v>
      </c>
      <c r="O412" s="655">
        <f>+IF(OR($Q412=Parametres!$G$2,$Q412=Parametres!$G$3),J412,D412)</f>
        <v>-615.35</v>
      </c>
      <c r="P412" s="655">
        <f>+IF(OR($Q412=Parametres!$G$2,$Q412=Parametres!$G$3),K412,E412)</f>
        <v>-615.35</v>
      </c>
      <c r="Q412" s="654" t="str">
        <f t="shared" si="198"/>
        <v>8-Autres revenus</v>
      </c>
      <c r="R412" s="653" t="str">
        <f t="shared" si="199"/>
        <v>9161</v>
      </c>
      <c r="S412" s="654">
        <f t="shared" si="200"/>
        <v>0</v>
      </c>
      <c r="T412" s="656" t="str">
        <f>+VLOOKUP($L412,Data_Validation!$A:$D,1,0)</f>
        <v>9161</v>
      </c>
      <c r="U412" s="656" t="str">
        <f>+VLOOKUP($L412,Data_Validation!$A:$D,3,0)</f>
        <v>Véhicules neufs</v>
      </c>
      <c r="V412" s="656" t="str">
        <f>+VLOOKUP($L412,Data_Validation!$A:$D,4,0)</f>
        <v>Rev. Finances</v>
      </c>
      <c r="W412" s="656" t="str">
        <f>+VLOOKUP($L412,Data_Validation!$A:$E,5,0)</f>
        <v>$</v>
      </c>
      <c r="X412" s="656" t="str">
        <f>+VLOOKUP($L412,Data_Validation!$A:$F,6,0)</f>
        <v>Oui</v>
      </c>
    </row>
    <row r="413" spans="1:24" ht="15.75" customHeight="1">
      <c r="A413" s="1210" t="s">
        <v>1294</v>
      </c>
      <c r="B413" s="1210" t="s">
        <v>1295</v>
      </c>
      <c r="C413" s="1212">
        <v>-8591.58</v>
      </c>
      <c r="D413" s="1212">
        <v>-3912.7</v>
      </c>
      <c r="E413" s="1212">
        <v>-12504.28</v>
      </c>
      <c r="F413" s="1210" t="s">
        <v>1285</v>
      </c>
      <c r="G413" s="1210" t="s">
        <v>1295</v>
      </c>
      <c r="I413" s="1024"/>
      <c r="J413" s="1024"/>
      <c r="K413" s="1024"/>
      <c r="L413" s="653" t="str">
        <f t="shared" si="196"/>
        <v>9163</v>
      </c>
      <c r="M413" s="654" t="str">
        <f t="shared" si="197"/>
        <v>RESERVE FIN ET ASS VEH OCCASION</v>
      </c>
      <c r="N413" s="655">
        <f>+IF(OR($Q413=Parametres!$G$2,$Q413=Parametres!$G$3),I413,C413)</f>
        <v>-8591.58</v>
      </c>
      <c r="O413" s="655">
        <f>+IF(OR($Q413=Parametres!$G$2,$Q413=Parametres!$G$3),J413,D413)</f>
        <v>-3912.7</v>
      </c>
      <c r="P413" s="655">
        <f>+IF(OR($Q413=Parametres!$G$2,$Q413=Parametres!$G$3),K413,E413)</f>
        <v>-12504.28</v>
      </c>
      <c r="Q413" s="654" t="str">
        <f t="shared" si="198"/>
        <v>8-Autres revenus</v>
      </c>
      <c r="R413" s="653" t="str">
        <f t="shared" si="199"/>
        <v>9163</v>
      </c>
      <c r="S413" s="654">
        <f t="shared" si="200"/>
        <v>0</v>
      </c>
      <c r="T413" s="656" t="str">
        <f>+VLOOKUP($L413,Data_Validation!$A:$D,1,0)</f>
        <v>9163</v>
      </c>
      <c r="U413" s="656" t="str">
        <f>+VLOOKUP($L413,Data_Validation!$A:$D,3,0)</f>
        <v>Véhicules usagés</v>
      </c>
      <c r="V413" s="656" t="str">
        <f>+VLOOKUP($L413,Data_Validation!$A:$D,4,0)</f>
        <v>Rev. Finances</v>
      </c>
      <c r="W413" s="656" t="str">
        <f>+VLOOKUP($L413,Data_Validation!$A:$E,5,0)</f>
        <v>$</v>
      </c>
      <c r="X413" s="656" t="str">
        <f>+VLOOKUP($L413,Data_Validation!$A:$F,6,0)</f>
        <v>Oui</v>
      </c>
    </row>
    <row r="414" spans="1:24" ht="15.75" customHeight="1">
      <c r="A414" s="1210" t="s">
        <v>1297</v>
      </c>
      <c r="B414" s="1210" t="s">
        <v>2763</v>
      </c>
      <c r="C414" s="1212">
        <v>0</v>
      </c>
      <c r="D414" s="1212">
        <v>-443.6</v>
      </c>
      <c r="E414" s="1212">
        <v>-443.6</v>
      </c>
      <c r="F414" s="1210" t="s">
        <v>1285</v>
      </c>
      <c r="G414" s="1210" t="s">
        <v>1291</v>
      </c>
      <c r="I414" s="1024"/>
      <c r="J414" s="1024"/>
      <c r="K414" s="1024"/>
      <c r="L414" s="653" t="str">
        <f t="shared" si="196"/>
        <v>9165</v>
      </c>
      <c r="M414" s="654" t="str">
        <f t="shared" si="197"/>
        <v>REV. ASSURANCES NEUF</v>
      </c>
      <c r="N414" s="655">
        <f>+IF(OR($Q414=Parametres!$G$2,$Q414=Parametres!$G$3),I414,C414)</f>
        <v>0</v>
      </c>
      <c r="O414" s="655">
        <f>+IF(OR($Q414=Parametres!$G$2,$Q414=Parametres!$G$3),J414,D414)</f>
        <v>-443.6</v>
      </c>
      <c r="P414" s="655">
        <f>+IF(OR($Q414=Parametres!$G$2,$Q414=Parametres!$G$3),K414,E414)</f>
        <v>-443.6</v>
      </c>
      <c r="Q414" s="654" t="str">
        <f t="shared" si="198"/>
        <v>8-Autres revenus</v>
      </c>
      <c r="R414" s="653" t="str">
        <f t="shared" si="199"/>
        <v>9161</v>
      </c>
      <c r="S414" s="654">
        <f t="shared" si="200"/>
        <v>0</v>
      </c>
      <c r="T414" s="656" t="str">
        <f>+VLOOKUP($L414,Data_Validation!$A:$D,1,0)</f>
        <v>9165</v>
      </c>
      <c r="U414" s="656" t="str">
        <f>+VLOOKUP($L414,Data_Validation!$A:$D,3,0)</f>
        <v>Véhicules neufs</v>
      </c>
      <c r="V414" s="656" t="str">
        <f>+VLOOKUP($L414,Data_Validation!$A:$D,4,0)</f>
        <v>Rev. Autres</v>
      </c>
      <c r="W414" s="656" t="str">
        <f>+VLOOKUP($L414,Data_Validation!$A:$E,5,0)</f>
        <v>$</v>
      </c>
      <c r="X414" s="656" t="str">
        <f>+VLOOKUP($L414,Data_Validation!$A:$F,6,0)</f>
        <v>Oui</v>
      </c>
    </row>
    <row r="415" spans="1:24" ht="15.75" customHeight="1">
      <c r="A415" s="1210" t="s">
        <v>1298</v>
      </c>
      <c r="B415" s="1210" t="s">
        <v>2766</v>
      </c>
      <c r="C415" s="1212">
        <v>-529.91999999999996</v>
      </c>
      <c r="D415" s="1212">
        <v>-252.87</v>
      </c>
      <c r="E415" s="1212">
        <v>-782.79</v>
      </c>
      <c r="F415" s="1210" t="s">
        <v>1285</v>
      </c>
      <c r="G415" s="1210" t="s">
        <v>1295</v>
      </c>
      <c r="I415" s="1024"/>
      <c r="J415" s="1024"/>
      <c r="K415" s="1024"/>
      <c r="L415" s="653" t="str">
        <f t="shared" si="196"/>
        <v>9167</v>
      </c>
      <c r="M415" s="654" t="str">
        <f t="shared" si="197"/>
        <v>REV ASSURANCE USAGE</v>
      </c>
      <c r="N415" s="655">
        <f>+IF(OR($Q415=Parametres!$G$2,$Q415=Parametres!$G$3),I415,C415)</f>
        <v>-529.91999999999996</v>
      </c>
      <c r="O415" s="655">
        <f>+IF(OR($Q415=Parametres!$G$2,$Q415=Parametres!$G$3),J415,D415)</f>
        <v>-252.87</v>
      </c>
      <c r="P415" s="655">
        <f>+IF(OR($Q415=Parametres!$G$2,$Q415=Parametres!$G$3),K415,E415)</f>
        <v>-782.79</v>
      </c>
      <c r="Q415" s="654" t="str">
        <f t="shared" si="198"/>
        <v>8-Autres revenus</v>
      </c>
      <c r="R415" s="653" t="str">
        <f t="shared" si="199"/>
        <v>9163</v>
      </c>
      <c r="S415" s="654">
        <f t="shared" si="200"/>
        <v>0</v>
      </c>
      <c r="T415" s="656" t="str">
        <f>+VLOOKUP($L415,Data_Validation!$A:$D,1,0)</f>
        <v>9167</v>
      </c>
      <c r="U415" s="656" t="str">
        <f>+VLOOKUP($L415,Data_Validation!$A:$D,3,0)</f>
        <v>Véhicules usagés</v>
      </c>
      <c r="V415" s="656" t="str">
        <f>+VLOOKUP($L415,Data_Validation!$A:$D,4,0)</f>
        <v>Rev. Autres</v>
      </c>
      <c r="W415" s="656" t="str">
        <f>+VLOOKUP($L415,Data_Validation!$A:$E,5,0)</f>
        <v>$</v>
      </c>
      <c r="X415" s="656" t="str">
        <f>+VLOOKUP($L415,Data_Validation!$A:$F,6,0)</f>
        <v>Oui</v>
      </c>
    </row>
    <row r="416" spans="1:24" ht="15.75" customHeight="1">
      <c r="A416" s="1210" t="s">
        <v>1301</v>
      </c>
      <c r="B416" s="1210" t="s">
        <v>2769</v>
      </c>
      <c r="C416" s="1212">
        <v>-18850</v>
      </c>
      <c r="D416" s="1212">
        <v>-6000</v>
      </c>
      <c r="E416" s="1212">
        <v>-24850</v>
      </c>
      <c r="F416" s="1210" t="s">
        <v>1285</v>
      </c>
      <c r="G416" s="1210" t="s">
        <v>1291</v>
      </c>
      <c r="I416" s="1024"/>
      <c r="J416" s="1024"/>
      <c r="K416" s="1024"/>
      <c r="L416" s="653" t="str">
        <f t="shared" si="196"/>
        <v>9169</v>
      </c>
      <c r="M416" s="654" t="str">
        <f t="shared" si="197"/>
        <v>REV GARANTIE PROLONGEE NEUF</v>
      </c>
      <c r="N416" s="655">
        <f>+IF(OR($Q416=Parametres!$G$2,$Q416=Parametres!$G$3),I416,C416)</f>
        <v>-18850</v>
      </c>
      <c r="O416" s="655">
        <f>+IF(OR($Q416=Parametres!$G$2,$Q416=Parametres!$G$3),J416,D416)</f>
        <v>-6000</v>
      </c>
      <c r="P416" s="655">
        <f>+IF(OR($Q416=Parametres!$G$2,$Q416=Parametres!$G$3),K416,E416)</f>
        <v>-24850</v>
      </c>
      <c r="Q416" s="654" t="str">
        <f t="shared" si="198"/>
        <v>8-Autres revenus</v>
      </c>
      <c r="R416" s="653" t="str">
        <f t="shared" si="199"/>
        <v>9161</v>
      </c>
      <c r="S416" s="654">
        <f t="shared" si="200"/>
        <v>0</v>
      </c>
      <c r="T416" s="656" t="str">
        <f>+VLOOKUP($L416,Data_Validation!$A:$D,1,0)</f>
        <v>9169</v>
      </c>
      <c r="U416" s="656" t="str">
        <f>+VLOOKUP($L416,Data_Validation!$A:$D,3,0)</f>
        <v>Véhicules neufs</v>
      </c>
      <c r="V416" s="656" t="str">
        <f>+VLOOKUP($L416,Data_Validation!$A:$D,4,0)</f>
        <v>Rev. Protections</v>
      </c>
      <c r="W416" s="656" t="str">
        <f>+VLOOKUP($L416,Data_Validation!$A:$E,5,0)</f>
        <v>$</v>
      </c>
      <c r="X416" s="656" t="str">
        <f>+VLOOKUP($L416,Data_Validation!$A:$F,6,0)</f>
        <v>Oui</v>
      </c>
    </row>
    <row r="417" spans="1:24" ht="15.75" customHeight="1">
      <c r="A417" s="1210" t="s">
        <v>1302</v>
      </c>
      <c r="B417" s="1210" t="s">
        <v>2772</v>
      </c>
      <c r="C417" s="1212">
        <v>-40119.360000000001</v>
      </c>
      <c r="D417" s="1212">
        <v>-25496.05</v>
      </c>
      <c r="E417" s="1212">
        <v>-65615.41</v>
      </c>
      <c r="F417" s="1210" t="s">
        <v>1285</v>
      </c>
      <c r="G417" s="1210" t="s">
        <v>1291</v>
      </c>
      <c r="H417" s="1211"/>
      <c r="I417" s="1211"/>
      <c r="J417" s="1211"/>
      <c r="K417" s="1211"/>
      <c r="L417" s="653" t="str">
        <f t="shared" si="196"/>
        <v>9170</v>
      </c>
      <c r="M417" s="654" t="str">
        <f t="shared" si="197"/>
        <v>PROFIT PROTECTIONS - NEUFS</v>
      </c>
      <c r="N417" s="655">
        <f>+IF(OR($Q417=Parametres!$G$2,$Q417=Parametres!$G$3),I417,C417)</f>
        <v>-40119.360000000001</v>
      </c>
      <c r="O417" s="655">
        <f>+IF(OR($Q417=Parametres!$G$2,$Q417=Parametres!$G$3),J417,D417)</f>
        <v>-25496.05</v>
      </c>
      <c r="P417" s="655">
        <f>+IF(OR($Q417=Parametres!$G$2,$Q417=Parametres!$G$3),K417,E417)</f>
        <v>-65615.41</v>
      </c>
      <c r="Q417" s="654" t="str">
        <f t="shared" si="198"/>
        <v>8-Autres revenus</v>
      </c>
      <c r="R417" s="653" t="str">
        <f t="shared" si="199"/>
        <v>9161</v>
      </c>
      <c r="S417" s="654">
        <f t="shared" si="200"/>
        <v>0</v>
      </c>
      <c r="T417" s="656" t="str">
        <f>+VLOOKUP($L417,Data_Validation!$A:$D,1,0)</f>
        <v>9170</v>
      </c>
      <c r="U417" s="656" t="str">
        <f>+VLOOKUP($L417,Data_Validation!$A:$D,3,0)</f>
        <v>Véhicules neufs</v>
      </c>
      <c r="V417" s="656" t="str">
        <f>+VLOOKUP($L417,Data_Validation!$A:$D,4,0)</f>
        <v>Rev. Protections</v>
      </c>
      <c r="W417" s="656" t="str">
        <f>+VLOOKUP($L417,Data_Validation!$A:$E,5,0)</f>
        <v>$</v>
      </c>
      <c r="X417" s="656" t="str">
        <f>+VLOOKUP($L417,Data_Validation!$A:$F,6,0)</f>
        <v>Oui</v>
      </c>
    </row>
    <row r="418" spans="1:24" ht="15.75" customHeight="1">
      <c r="A418" s="1210" t="s">
        <v>1303</v>
      </c>
      <c r="B418" s="1210" t="s">
        <v>2775</v>
      </c>
      <c r="C418" s="1212">
        <v>-23743</v>
      </c>
      <c r="D418" s="1212">
        <v>-13936.05</v>
      </c>
      <c r="E418" s="1212">
        <v>-37679.050000000003</v>
      </c>
      <c r="F418" s="1210" t="s">
        <v>1285</v>
      </c>
      <c r="G418" s="1210" t="s">
        <v>1295</v>
      </c>
      <c r="H418" s="1211"/>
      <c r="I418" s="1211"/>
      <c r="J418" s="1211"/>
      <c r="K418" s="1211"/>
      <c r="L418" s="653" t="str">
        <f t="shared" si="196"/>
        <v>9171</v>
      </c>
      <c r="M418" s="654" t="str">
        <f t="shared" si="197"/>
        <v>REV GARANTIE PROLONGEE USAGE</v>
      </c>
      <c r="N418" s="655">
        <f>+IF(OR($Q418=Parametres!$G$2,$Q418=Parametres!$G$3),I418,C418)</f>
        <v>-23743</v>
      </c>
      <c r="O418" s="655">
        <f>+IF(OR($Q418=Parametres!$G$2,$Q418=Parametres!$G$3),J418,D418)</f>
        <v>-13936.05</v>
      </c>
      <c r="P418" s="655">
        <f>+IF(OR($Q418=Parametres!$G$2,$Q418=Parametres!$G$3),K418,E418)</f>
        <v>-37679.050000000003</v>
      </c>
      <c r="Q418" s="654" t="str">
        <f t="shared" si="198"/>
        <v>8-Autres revenus</v>
      </c>
      <c r="R418" s="653" t="str">
        <f t="shared" si="199"/>
        <v>9163</v>
      </c>
      <c r="S418" s="654">
        <f t="shared" si="200"/>
        <v>0</v>
      </c>
      <c r="T418" s="656" t="str">
        <f>+VLOOKUP($L418,Data_Validation!$A:$D,1,0)</f>
        <v>9171</v>
      </c>
      <c r="U418" s="656" t="str">
        <f>+VLOOKUP($L418,Data_Validation!$A:$D,3,0)</f>
        <v>Véhicules usagés</v>
      </c>
      <c r="V418" s="656" t="str">
        <f>+VLOOKUP($L418,Data_Validation!$A:$D,4,0)</f>
        <v>Rev. Protections</v>
      </c>
      <c r="W418" s="656" t="str">
        <f>+VLOOKUP($L418,Data_Validation!$A:$E,5,0)</f>
        <v>$</v>
      </c>
      <c r="X418" s="656" t="str">
        <f>+VLOOKUP($L418,Data_Validation!$A:$F,6,0)</f>
        <v>Oui</v>
      </c>
    </row>
    <row r="419" spans="1:24" ht="15.75" customHeight="1">
      <c r="A419" s="1210" t="s">
        <v>1306</v>
      </c>
      <c r="B419" s="1210" t="s">
        <v>2778</v>
      </c>
      <c r="C419" s="1212">
        <v>-11203.99</v>
      </c>
      <c r="D419" s="1212">
        <v>-8783.56</v>
      </c>
      <c r="E419" s="1212">
        <v>-19987.55</v>
      </c>
      <c r="F419" s="1210" t="s">
        <v>1285</v>
      </c>
      <c r="G419" s="1210" t="s">
        <v>1295</v>
      </c>
      <c r="H419" s="1211"/>
      <c r="I419" s="1211"/>
      <c r="J419" s="1211"/>
      <c r="K419" s="1211"/>
      <c r="L419" s="653" t="str">
        <f t="shared" si="196"/>
        <v>9172</v>
      </c>
      <c r="M419" s="654" t="str">
        <f t="shared" si="197"/>
        <v>PROFIT PROTECTIONS - USAGES</v>
      </c>
      <c r="N419" s="655">
        <f>+IF(OR($Q419=Parametres!$G$2,$Q419=Parametres!$G$3),I419,C419)</f>
        <v>-11203.99</v>
      </c>
      <c r="O419" s="655">
        <f>+IF(OR($Q419=Parametres!$G$2,$Q419=Parametres!$G$3),J419,D419)</f>
        <v>-8783.56</v>
      </c>
      <c r="P419" s="655">
        <f>+IF(OR($Q419=Parametres!$G$2,$Q419=Parametres!$G$3),K419,E419)</f>
        <v>-19987.55</v>
      </c>
      <c r="Q419" s="654" t="str">
        <f t="shared" si="198"/>
        <v>8-Autres revenus</v>
      </c>
      <c r="R419" s="653" t="str">
        <f t="shared" si="199"/>
        <v>9163</v>
      </c>
      <c r="S419" s="654">
        <f t="shared" si="200"/>
        <v>0</v>
      </c>
      <c r="T419" s="656" t="str">
        <f>+VLOOKUP($L419,Data_Validation!$A:$D,1,0)</f>
        <v>9172</v>
      </c>
      <c r="U419" s="656" t="str">
        <f>+VLOOKUP($L419,Data_Validation!$A:$D,3,0)</f>
        <v>Véhicules usagés</v>
      </c>
      <c r="V419" s="656" t="str">
        <f>+VLOOKUP($L419,Data_Validation!$A:$D,4,0)</f>
        <v>Rev. Protections</v>
      </c>
      <c r="W419" s="656" t="str">
        <f>+VLOOKUP($L419,Data_Validation!$A:$E,5,0)</f>
        <v>$</v>
      </c>
      <c r="X419" s="656" t="str">
        <f>+VLOOKUP($L419,Data_Validation!$A:$F,6,0)</f>
        <v>Oui</v>
      </c>
    </row>
    <row r="420" spans="1:24" ht="15.75" customHeight="1">
      <c r="A420" s="1210" t="s">
        <v>1309</v>
      </c>
      <c r="B420" s="1210" t="s">
        <v>2781</v>
      </c>
      <c r="C420" s="1212">
        <v>-24546</v>
      </c>
      <c r="D420" s="1212">
        <v>-15936</v>
      </c>
      <c r="E420" s="1212">
        <v>-40482</v>
      </c>
      <c r="F420" s="1210" t="s">
        <v>1285</v>
      </c>
      <c r="G420" s="1210" t="s">
        <v>1310</v>
      </c>
      <c r="H420" s="1211"/>
      <c r="I420" s="1211"/>
      <c r="J420" s="1211"/>
      <c r="K420" s="1211"/>
      <c r="L420" s="653" t="str">
        <f t="shared" si="196"/>
        <v>9173</v>
      </c>
      <c r="M420" s="654" t="str">
        <f t="shared" si="197"/>
        <v>FRAIS ADMIN. VOLKS</v>
      </c>
      <c r="N420" s="655">
        <f>+IF(OR($Q420=Parametres!$G$2,$Q420=Parametres!$G$3),I420,C420)</f>
        <v>-24546</v>
      </c>
      <c r="O420" s="655">
        <f>+IF(OR($Q420=Parametres!$G$2,$Q420=Parametres!$G$3),J420,D420)</f>
        <v>-15936</v>
      </c>
      <c r="P420" s="655">
        <f>+IF(OR($Q420=Parametres!$G$2,$Q420=Parametres!$G$3),K420,E420)</f>
        <v>-40482</v>
      </c>
      <c r="Q420" s="654" t="str">
        <f t="shared" si="198"/>
        <v>8-Autres revenus</v>
      </c>
      <c r="R420" s="653" t="str">
        <f t="shared" si="199"/>
        <v>9191</v>
      </c>
      <c r="S420" s="654">
        <f t="shared" si="200"/>
        <v>0</v>
      </c>
      <c r="T420" s="656" t="str">
        <f>+VLOOKUP($L420,Data_Validation!$A:$D,1,0)</f>
        <v>9173</v>
      </c>
      <c r="U420" s="656" t="str">
        <f>+VLOOKUP($L420,Data_Validation!$A:$D,3,0)</f>
        <v>Véhicules neufs</v>
      </c>
      <c r="V420" s="656" t="str">
        <f>+VLOOKUP($L420,Data_Validation!$A:$D,4,0)</f>
        <v>Frais administration</v>
      </c>
      <c r="W420" s="656" t="str">
        <f>+VLOOKUP($L420,Data_Validation!$A:$E,5,0)</f>
        <v>$</v>
      </c>
      <c r="X420" s="656">
        <f>+VLOOKUP($L420,Data_Validation!$A:$F,6,0)</f>
        <v>0</v>
      </c>
    </row>
    <row r="421" spans="1:24" ht="15.75" customHeight="1">
      <c r="A421" s="1210" t="s">
        <v>1311</v>
      </c>
      <c r="B421" s="1210" t="s">
        <v>3404</v>
      </c>
      <c r="C421" s="1212">
        <v>-11187</v>
      </c>
      <c r="D421" s="1212">
        <v>-8208</v>
      </c>
      <c r="E421" s="1212">
        <v>-19395</v>
      </c>
      <c r="F421" s="1210" t="s">
        <v>1285</v>
      </c>
      <c r="G421" s="1210" t="s">
        <v>1310</v>
      </c>
      <c r="H421" s="1211"/>
      <c r="I421" s="1211"/>
      <c r="J421" s="1211"/>
      <c r="K421" s="1211"/>
      <c r="L421" s="653" t="str">
        <f t="shared" si="196"/>
        <v>9174</v>
      </c>
      <c r="M421" s="654" t="str">
        <f t="shared" si="197"/>
        <v>FRAIS ADMIN. VW USAGE</v>
      </c>
      <c r="N421" s="655">
        <f>+IF(OR($Q421=Parametres!$G$2,$Q421=Parametres!$G$3),I421,C421)</f>
        <v>-11187</v>
      </c>
      <c r="O421" s="655">
        <f>+IF(OR($Q421=Parametres!$G$2,$Q421=Parametres!$G$3),J421,D421)</f>
        <v>-8208</v>
      </c>
      <c r="P421" s="655">
        <f>+IF(OR($Q421=Parametres!$G$2,$Q421=Parametres!$G$3),K421,E421)</f>
        <v>-19395</v>
      </c>
      <c r="Q421" s="654" t="str">
        <f t="shared" si="198"/>
        <v>8-Autres revenus</v>
      </c>
      <c r="R421" s="653" t="str">
        <f t="shared" si="199"/>
        <v>9191</v>
      </c>
      <c r="S421" s="654">
        <f t="shared" si="200"/>
        <v>0</v>
      </c>
      <c r="T421" s="656" t="str">
        <f>+VLOOKUP($L421,Data_Validation!$A:$D,1,0)</f>
        <v>9174</v>
      </c>
      <c r="U421" s="656" t="str">
        <f>+VLOOKUP($L421,Data_Validation!$A:$D,3,0)</f>
        <v>Véhicules usagés</v>
      </c>
      <c r="V421" s="656" t="str">
        <f>+VLOOKUP($L421,Data_Validation!$A:$D,4,0)</f>
        <v>Frais administration</v>
      </c>
      <c r="W421" s="656" t="str">
        <f>+VLOOKUP($L421,Data_Validation!$A:$E,5,0)</f>
        <v>$</v>
      </c>
      <c r="X421" s="656">
        <f>+VLOOKUP($L421,Data_Validation!$A:$F,6,0)</f>
        <v>0</v>
      </c>
    </row>
    <row r="422" spans="1:24" ht="15.75" customHeight="1">
      <c r="A422" s="1210" t="s">
        <v>1312</v>
      </c>
      <c r="B422" s="1210" t="s">
        <v>1310</v>
      </c>
      <c r="C422" s="1212">
        <v>-1410.6</v>
      </c>
      <c r="D422" s="1212">
        <v>-26653.53</v>
      </c>
      <c r="E422" s="1212">
        <v>-28064.13</v>
      </c>
      <c r="F422" s="1210" t="s">
        <v>1285</v>
      </c>
      <c r="G422" s="1210" t="s">
        <v>1310</v>
      </c>
      <c r="H422" s="1211"/>
      <c r="I422" s="1211"/>
      <c r="J422" s="1211"/>
      <c r="K422" s="1211"/>
      <c r="L422" s="653" t="str">
        <f t="shared" si="196"/>
        <v>9191</v>
      </c>
      <c r="M422" s="654" t="str">
        <f t="shared" si="197"/>
        <v>REVENUS DIVERS</v>
      </c>
      <c r="N422" s="655">
        <f>+IF(OR($Q422=Parametres!$G$2,$Q422=Parametres!$G$3),I422,C422)</f>
        <v>-1410.6</v>
      </c>
      <c r="O422" s="655">
        <f>+IF(OR($Q422=Parametres!$G$2,$Q422=Parametres!$G$3),J422,D422)</f>
        <v>-26653.53</v>
      </c>
      <c r="P422" s="655">
        <f>+IF(OR($Q422=Parametres!$G$2,$Q422=Parametres!$G$3),K422,E422)</f>
        <v>-28064.13</v>
      </c>
      <c r="Q422" s="654" t="str">
        <f t="shared" si="198"/>
        <v>8-Autres revenus</v>
      </c>
      <c r="R422" s="653" t="str">
        <f t="shared" si="199"/>
        <v>9191</v>
      </c>
      <c r="S422" s="654">
        <f t="shared" si="200"/>
        <v>0</v>
      </c>
      <c r="T422" s="656" t="str">
        <f>+VLOOKUP($L422,Data_Validation!$A:$D,1,0)</f>
        <v>9191</v>
      </c>
      <c r="U422" s="656" t="str">
        <f>+VLOOKUP($L422,Data_Validation!$A:$D,3,0)</f>
        <v>TOTAL  DES  REVENUS  ET  DÉPENSES</v>
      </c>
      <c r="V422" s="656" t="str">
        <f>+VLOOKUP($L422,Data_Validation!$A:$D,4,0)</f>
        <v>Revenus autres</v>
      </c>
      <c r="W422" s="656" t="str">
        <f>+VLOOKUP($L422,Data_Validation!$A:$E,5,0)</f>
        <v>$</v>
      </c>
      <c r="X422" s="656">
        <f>+VLOOKUP($L422,Data_Validation!$A:$F,6,0)</f>
        <v>0</v>
      </c>
    </row>
    <row r="423" spans="1:24" ht="15.75" customHeight="1">
      <c r="A423" s="1210" t="s">
        <v>3891</v>
      </c>
      <c r="B423" s="1210" t="s">
        <v>3892</v>
      </c>
      <c r="C423" s="1212">
        <v>-1079</v>
      </c>
      <c r="D423" s="1212">
        <v>-1079</v>
      </c>
      <c r="E423" s="1212">
        <v>-2158</v>
      </c>
      <c r="F423" s="1210" t="s">
        <v>1314</v>
      </c>
      <c r="G423" s="1210" t="s">
        <v>3914</v>
      </c>
      <c r="H423" s="1211"/>
      <c r="I423" s="1211"/>
      <c r="J423" s="1211"/>
      <c r="K423" s="1211"/>
      <c r="L423" s="653" t="str">
        <f t="shared" si="196"/>
        <v>9405</v>
      </c>
      <c r="M423" s="654" t="str">
        <f t="shared" si="197"/>
        <v>Revenus d'interets floor plan</v>
      </c>
      <c r="N423" s="655">
        <f>+IF(OR($Q423=Parametres!$G$2,$Q423=Parametres!$G$3),I423,C423)</f>
        <v>-1079</v>
      </c>
      <c r="O423" s="655">
        <f>+IF(OR($Q423=Parametres!$G$2,$Q423=Parametres!$G$3),J423,D423)</f>
        <v>-1079</v>
      </c>
      <c r="P423" s="655">
        <f>+IF(OR($Q423=Parametres!$G$2,$Q423=Parametres!$G$3),K423,E423)</f>
        <v>-2158</v>
      </c>
      <c r="Q423" s="654" t="str">
        <f t="shared" si="198"/>
        <v>9-Autres déductions</v>
      </c>
      <c r="R423" s="653" t="str">
        <f t="shared" si="199"/>
        <v>940</v>
      </c>
      <c r="S423" s="654">
        <f t="shared" si="200"/>
        <v>0</v>
      </c>
      <c r="T423" s="656" t="str">
        <f>+VLOOKUP($L423,Data_Validation!$A:$D,1,0)</f>
        <v>9405</v>
      </c>
      <c r="U423" s="656" t="str">
        <f>+VLOOKUP($L423,Data_Validation!$A:$D,3,0)</f>
        <v>Autres</v>
      </c>
      <c r="V423" s="656" t="str">
        <f>+VLOOKUP($L423,Data_Validation!$A:$D,4,0)</f>
        <v>Revenus d'intérêts floor plan</v>
      </c>
      <c r="W423" s="656" t="str">
        <f>+VLOOKUP($L423,Data_Validation!$A:$E,5,0)</f>
        <v>$</v>
      </c>
      <c r="X423" s="656">
        <f>+VLOOKUP($L423,Data_Validation!$A:$F,6,0)</f>
        <v>0</v>
      </c>
    </row>
    <row r="424" spans="1:24" ht="15.75" customHeight="1">
      <c r="A424" s="1210" t="s">
        <v>1299</v>
      </c>
      <c r="B424" s="1210" t="s">
        <v>1300</v>
      </c>
      <c r="C424" s="1211"/>
      <c r="D424" s="1211"/>
      <c r="E424" s="1211"/>
      <c r="F424" s="1210" t="s">
        <v>7</v>
      </c>
      <c r="G424" s="1210" t="s">
        <v>1295</v>
      </c>
      <c r="H424" s="1211"/>
      <c r="I424" s="1212">
        <v>-3</v>
      </c>
      <c r="J424" s="1212">
        <v>-1</v>
      </c>
      <c r="K424" s="1212">
        <v>-4</v>
      </c>
      <c r="L424" s="653" t="str">
        <f t="shared" si="196"/>
        <v>9167@</v>
      </c>
      <c r="M424" s="654" t="str">
        <f t="shared" si="197"/>
        <v>ASSURANCE VIE USAGE</v>
      </c>
      <c r="N424" s="655">
        <f>+IF(OR($Q424=Parametres!$G$2,$Q424=Parametres!$G$3),I424,C424)</f>
        <v>-3</v>
      </c>
      <c r="O424" s="655">
        <f>+IF(OR($Q424=Parametres!$G$2,$Q424=Parametres!$G$3),J424,D424)</f>
        <v>-1</v>
      </c>
      <c r="P424" s="655">
        <f>+IF(OR($Q424=Parametres!$G$2,$Q424=Parametres!$G$3),K424,E424)</f>
        <v>-4</v>
      </c>
      <c r="Q424" s="654" t="str">
        <f t="shared" si="198"/>
        <v>10-Compte compteur</v>
      </c>
      <c r="R424" s="653" t="str">
        <f t="shared" si="199"/>
        <v>9163</v>
      </c>
      <c r="S424" s="654">
        <f t="shared" si="200"/>
        <v>0</v>
      </c>
      <c r="T424" s="656" t="str">
        <f>+VLOOKUP($L424,Data_Validation!$A:$D,1,0)</f>
        <v>9167@</v>
      </c>
      <c r="U424" s="656" t="str">
        <f>+VLOOKUP($L424,Data_Validation!$A:$D,3,0)</f>
        <v>Véhicules usagés</v>
      </c>
      <c r="V424" s="656">
        <f>+VLOOKUP($L424,Data_Validation!$A:$D,4,0)</f>
        <v>0</v>
      </c>
      <c r="W424" s="656" t="str">
        <f>+VLOOKUP($L424,Data_Validation!$A:$E,5,0)</f>
        <v>NB</v>
      </c>
      <c r="X424" s="656">
        <f>+VLOOKUP($L424,Data_Validation!$A:$F,6,0)</f>
        <v>0</v>
      </c>
    </row>
    <row r="425" spans="1:24" ht="15.75" customHeight="1">
      <c r="A425" s="1210" t="s">
        <v>3345</v>
      </c>
      <c r="B425" s="1210" t="s">
        <v>3346</v>
      </c>
      <c r="C425" s="1211"/>
      <c r="D425" s="1211"/>
      <c r="E425" s="1211"/>
      <c r="F425" s="1210" t="s">
        <v>7</v>
      </c>
      <c r="G425" s="1210" t="s">
        <v>1291</v>
      </c>
      <c r="H425" s="1211"/>
      <c r="I425" s="1212">
        <v>-13</v>
      </c>
      <c r="J425" s="1212">
        <v>-4</v>
      </c>
      <c r="K425" s="1212">
        <v>-17</v>
      </c>
      <c r="L425" s="653" t="str">
        <f t="shared" si="196"/>
        <v>9169@</v>
      </c>
      <c r="M425" s="654" t="str">
        <f t="shared" si="197"/>
        <v>VENTES PEINTURE</v>
      </c>
      <c r="N425" s="655">
        <f>+IF(OR($Q425=Parametres!$G$2,$Q425=Parametres!$G$3),I425,C425)</f>
        <v>-13</v>
      </c>
      <c r="O425" s="655">
        <f>+IF(OR($Q425=Parametres!$G$2,$Q425=Parametres!$G$3),J425,D425)</f>
        <v>-4</v>
      </c>
      <c r="P425" s="655">
        <f>+IF(OR($Q425=Parametres!$G$2,$Q425=Parametres!$G$3),K425,E425)</f>
        <v>-17</v>
      </c>
      <c r="Q425" s="654" t="str">
        <f t="shared" si="198"/>
        <v>10-Compte compteur</v>
      </c>
      <c r="R425" s="653" t="str">
        <f t="shared" si="199"/>
        <v>9161</v>
      </c>
      <c r="S425" s="654">
        <f t="shared" si="200"/>
        <v>0</v>
      </c>
      <c r="T425" s="656" t="str">
        <f>+VLOOKUP($L425,Data_Validation!$A:$D,1,0)</f>
        <v>9169@</v>
      </c>
      <c r="U425" s="656">
        <f>+VLOOKUP($L425,Data_Validation!$A:$D,3,0)</f>
        <v>0</v>
      </c>
      <c r="V425" s="656">
        <f>+VLOOKUP($L425,Data_Validation!$A:$D,4,0)</f>
        <v>0</v>
      </c>
      <c r="W425" s="656" t="str">
        <f>+VLOOKUP($L425,Data_Validation!$A:$E,5,0)</f>
        <v>NB</v>
      </c>
      <c r="X425" s="656">
        <f>+VLOOKUP($L425,Data_Validation!$A:$F,6,0)</f>
        <v>0</v>
      </c>
    </row>
    <row r="426" spans="1:24" ht="15.75" customHeight="1">
      <c r="A426" s="1210" t="s">
        <v>1304</v>
      </c>
      <c r="B426" s="1210" t="s">
        <v>1305</v>
      </c>
      <c r="C426" s="1211"/>
      <c r="D426" s="1211"/>
      <c r="E426" s="1211"/>
      <c r="F426" s="1210" t="s">
        <v>7</v>
      </c>
      <c r="G426" s="1210" t="s">
        <v>1295</v>
      </c>
      <c r="H426" s="1211"/>
      <c r="I426" s="1212">
        <v>-14</v>
      </c>
      <c r="J426" s="1212">
        <v>-10</v>
      </c>
      <c r="K426" s="1212">
        <v>-24</v>
      </c>
      <c r="L426" s="653" t="str">
        <f t="shared" si="196"/>
        <v>9171@</v>
      </c>
      <c r="M426" s="654" t="str">
        <f t="shared" si="197"/>
        <v>VENTE CHIMIQUE USAGE</v>
      </c>
      <c r="N426" s="655">
        <f>+IF(OR($Q426=Parametres!$G$2,$Q426=Parametres!$G$3),I426,C426)</f>
        <v>-14</v>
      </c>
      <c r="O426" s="655">
        <f>+IF(OR($Q426=Parametres!$G$2,$Q426=Parametres!$G$3),J426,D426)</f>
        <v>-10</v>
      </c>
      <c r="P426" s="655">
        <f>+IF(OR($Q426=Parametres!$G$2,$Q426=Parametres!$G$3),K426,E426)</f>
        <v>-24</v>
      </c>
      <c r="Q426" s="654" t="str">
        <f t="shared" si="198"/>
        <v>10-Compte compteur</v>
      </c>
      <c r="R426" s="653" t="str">
        <f t="shared" si="199"/>
        <v>9163</v>
      </c>
      <c r="S426" s="654">
        <f t="shared" si="200"/>
        <v>0</v>
      </c>
      <c r="T426" s="656" t="str">
        <f>+VLOOKUP($L426,Data_Validation!$A:$D,1,0)</f>
        <v>9171@</v>
      </c>
      <c r="U426" s="656" t="str">
        <f>+VLOOKUP($L426,Data_Validation!$A:$D,3,0)</f>
        <v>Véhicules usagés</v>
      </c>
      <c r="V426" s="656">
        <f>+VLOOKUP($L426,Data_Validation!$A:$D,4,0)</f>
        <v>0</v>
      </c>
      <c r="W426" s="656" t="str">
        <f>+VLOOKUP($L426,Data_Validation!$A:$E,5,0)</f>
        <v>NB</v>
      </c>
      <c r="X426" s="656">
        <f>+VLOOKUP($L426,Data_Validation!$A:$F,6,0)</f>
        <v>0</v>
      </c>
    </row>
    <row r="427" spans="1:24" ht="15.75" customHeight="1">
      <c r="A427" s="1210" t="s">
        <v>842</v>
      </c>
      <c r="B427" s="1210" t="s">
        <v>843</v>
      </c>
      <c r="C427" s="1211"/>
      <c r="D427" s="1211"/>
      <c r="E427" s="1211"/>
      <c r="F427" s="1210" t="s">
        <v>7</v>
      </c>
      <c r="G427" s="1210" t="s">
        <v>841</v>
      </c>
      <c r="H427" s="1211"/>
      <c r="I427" s="1212">
        <v>101</v>
      </c>
      <c r="J427" s="1212">
        <v>29</v>
      </c>
      <c r="K427" s="1212">
        <v>130</v>
      </c>
      <c r="L427" s="653" t="str">
        <f t="shared" si="196"/>
        <v>1402@</v>
      </c>
      <c r="M427" s="654" t="str">
        <f t="shared" si="197"/>
        <v># DE INVENTAIRE VEH.NEUFS VW</v>
      </c>
      <c r="N427" s="655">
        <f>+IF(OR($Q427=Parametres!$G$2,$Q427=Parametres!$G$3),I427,C427)</f>
        <v>101</v>
      </c>
      <c r="O427" s="655">
        <f>+IF(OR($Q427=Parametres!$G$2,$Q427=Parametres!$G$3),J427,D427)</f>
        <v>29</v>
      </c>
      <c r="P427" s="655">
        <f>+IF(OR($Q427=Parametres!$G$2,$Q427=Parametres!$G$3),K427,E427)</f>
        <v>130</v>
      </c>
      <c r="Q427" s="654" t="str">
        <f t="shared" si="198"/>
        <v>10-Compte compteur</v>
      </c>
      <c r="R427" s="653" t="str">
        <f t="shared" si="199"/>
        <v>1402</v>
      </c>
      <c r="S427" s="654">
        <f t="shared" si="200"/>
        <v>0</v>
      </c>
      <c r="T427" s="656" t="str">
        <f>+VLOOKUP($L427,Data_Validation!$A:$D,1,0)</f>
        <v>1402@</v>
      </c>
      <c r="U427" s="656" t="str">
        <f>+VLOOKUP($L427,Data_Validation!$A:$D,3,0)</f>
        <v>Bilan</v>
      </c>
      <c r="V427" s="656">
        <f>+VLOOKUP($L427,Data_Validation!$A:$D,4,0)</f>
        <v>0</v>
      </c>
      <c r="W427" s="656" t="str">
        <f>+VLOOKUP($L427,Data_Validation!$A:$E,5,0)</f>
        <v>NB</v>
      </c>
      <c r="X427" s="656">
        <f>+VLOOKUP($L427,Data_Validation!$A:$F,6,0)</f>
        <v>0</v>
      </c>
    </row>
    <row r="428" spans="1:24" ht="15.75" customHeight="1">
      <c r="A428" s="1210" t="s">
        <v>849</v>
      </c>
      <c r="B428" s="1210" t="s">
        <v>850</v>
      </c>
      <c r="C428" s="1211"/>
      <c r="D428" s="1211"/>
      <c r="E428" s="1211"/>
      <c r="F428" s="1210" t="s">
        <v>7</v>
      </c>
      <c r="G428" s="1210" t="s">
        <v>848</v>
      </c>
      <c r="H428" s="1211"/>
      <c r="I428" s="1212">
        <v>39</v>
      </c>
      <c r="J428" s="1212">
        <v>5</v>
      </c>
      <c r="K428" s="1212">
        <v>44</v>
      </c>
      <c r="L428" s="653" t="str">
        <f t="shared" si="196"/>
        <v>1416@</v>
      </c>
      <c r="M428" s="654" t="str">
        <f t="shared" si="197"/>
        <v># DE INV. VEH. USAGE VW</v>
      </c>
      <c r="N428" s="655">
        <f>+IF(OR($Q428=Parametres!$G$2,$Q428=Parametres!$G$3),I428,C428)</f>
        <v>39</v>
      </c>
      <c r="O428" s="655">
        <f>+IF(OR($Q428=Parametres!$G$2,$Q428=Parametres!$G$3),J428,D428)</f>
        <v>5</v>
      </c>
      <c r="P428" s="655">
        <f>+IF(OR($Q428=Parametres!$G$2,$Q428=Parametres!$G$3),K428,E428)</f>
        <v>44</v>
      </c>
      <c r="Q428" s="654" t="str">
        <f t="shared" si="198"/>
        <v>10-Compte compteur</v>
      </c>
      <c r="R428" s="653" t="str">
        <f t="shared" si="199"/>
        <v>1416</v>
      </c>
      <c r="S428" s="654">
        <f t="shared" si="200"/>
        <v>0</v>
      </c>
      <c r="T428" s="656" t="str">
        <f>+VLOOKUP($L428,Data_Validation!$A:$D,1,0)</f>
        <v>1416@</v>
      </c>
      <c r="U428" s="656" t="str">
        <f>+VLOOKUP($L428,Data_Validation!$A:$D,3,0)</f>
        <v>Bilan</v>
      </c>
      <c r="V428" s="656">
        <f>+VLOOKUP($L428,Data_Validation!$A:$D,4,0)</f>
        <v>0</v>
      </c>
      <c r="W428" s="656" t="str">
        <f>+VLOOKUP($L428,Data_Validation!$A:$E,5,0)</f>
        <v>NB</v>
      </c>
      <c r="X428" s="656">
        <f>+VLOOKUP($L428,Data_Validation!$A:$F,6,0)</f>
        <v>0</v>
      </c>
    </row>
    <row r="429" spans="1:24" ht="15.75" customHeight="1">
      <c r="A429" s="1210" t="s">
        <v>965</v>
      </c>
      <c r="B429" s="1210" t="s">
        <v>966</v>
      </c>
      <c r="C429" s="1211"/>
      <c r="D429" s="1211"/>
      <c r="E429" s="1211"/>
      <c r="F429" s="1210" t="s">
        <v>7</v>
      </c>
      <c r="G429" s="1210" t="s">
        <v>964</v>
      </c>
      <c r="H429" s="1211"/>
      <c r="I429" s="1212">
        <v>-7</v>
      </c>
      <c r="J429" s="1212">
        <v>-14</v>
      </c>
      <c r="K429" s="1212">
        <v>-21</v>
      </c>
      <c r="L429" s="653" t="str">
        <f t="shared" si="196"/>
        <v>4100@</v>
      </c>
      <c r="M429" s="654" t="str">
        <f t="shared" si="197"/>
        <v>RESERVE</v>
      </c>
      <c r="N429" s="655">
        <f>+IF(OR($Q429=Parametres!$G$2,$Q429=Parametres!$G$3),I429,C429)</f>
        <v>-7</v>
      </c>
      <c r="O429" s="655">
        <f>+IF(OR($Q429=Parametres!$G$2,$Q429=Parametres!$G$3),J429,D429)</f>
        <v>-14</v>
      </c>
      <c r="P429" s="655">
        <f>+IF(OR($Q429=Parametres!$G$2,$Q429=Parametres!$G$3),K429,E429)</f>
        <v>-21</v>
      </c>
      <c r="Q429" s="654" t="str">
        <f t="shared" si="198"/>
        <v>10-Compte compteur</v>
      </c>
      <c r="R429" s="653" t="str">
        <f t="shared" si="199"/>
        <v>4100</v>
      </c>
      <c r="S429" s="654">
        <f t="shared" si="200"/>
        <v>0</v>
      </c>
      <c r="T429" s="656" t="str">
        <f>+VLOOKUP($L429,Data_Validation!$A:$D,1,0)</f>
        <v>4100@</v>
      </c>
      <c r="U429" s="656" t="str">
        <f>+VLOOKUP($L429,Data_Validation!$A:$D,3,0)</f>
        <v>Véhicules neufs</v>
      </c>
      <c r="V429" s="656" t="str">
        <f>+VLOOKUP($L429,Data_Validation!$A:$D,4,0)</f>
        <v>Rachat bail</v>
      </c>
      <c r="W429" s="656" t="str">
        <f>+VLOOKUP($L429,Data_Validation!$A:$E,5,0)</f>
        <v>NB</v>
      </c>
      <c r="X429" s="656">
        <f>+VLOOKUP($L429,Data_Validation!$A:$F,6,0)</f>
        <v>0</v>
      </c>
    </row>
    <row r="430" spans="1:24" ht="15.75" customHeight="1">
      <c r="A430" s="1210" t="s">
        <v>969</v>
      </c>
      <c r="B430" s="1210" t="s">
        <v>970</v>
      </c>
      <c r="C430" s="1211"/>
      <c r="D430" s="1211"/>
      <c r="E430" s="1211"/>
      <c r="F430" s="1210" t="s">
        <v>7</v>
      </c>
      <c r="G430" s="1210" t="s">
        <v>968</v>
      </c>
      <c r="H430" s="1211"/>
      <c r="I430" s="1212">
        <v>-1</v>
      </c>
      <c r="J430" s="1212">
        <v>-2</v>
      </c>
      <c r="K430" s="1212">
        <v>-3</v>
      </c>
      <c r="L430" s="653" t="str">
        <f t="shared" si="196"/>
        <v>4109@</v>
      </c>
      <c r="M430" s="654" t="str">
        <f t="shared" si="197"/>
        <v># DE VENTE - GOLF R</v>
      </c>
      <c r="N430" s="655">
        <f>+IF(OR($Q430=Parametres!$G$2,$Q430=Parametres!$G$3),I430,C430)</f>
        <v>-1</v>
      </c>
      <c r="O430" s="655">
        <f>+IF(OR($Q430=Parametres!$G$2,$Q430=Parametres!$G$3),J430,D430)</f>
        <v>-2</v>
      </c>
      <c r="P430" s="655">
        <f>+IF(OR($Q430=Parametres!$G$2,$Q430=Parametres!$G$3),K430,E430)</f>
        <v>-3</v>
      </c>
      <c r="Q430" s="654" t="str">
        <f t="shared" si="198"/>
        <v>10-Compte compteur</v>
      </c>
      <c r="R430" s="653" t="str">
        <f t="shared" si="199"/>
        <v>4109</v>
      </c>
      <c r="S430" s="654">
        <f t="shared" si="200"/>
        <v>0</v>
      </c>
      <c r="T430" s="656" t="str">
        <f>+VLOOKUP($L430,Data_Validation!$A:$D,1,0)</f>
        <v>4109@</v>
      </c>
      <c r="U430" s="656" t="str">
        <f>+VLOOKUP($L430,Data_Validation!$A:$D,3,0)</f>
        <v>Véhicules neufs</v>
      </c>
      <c r="V430" s="656" t="str">
        <f>+VLOOKUP($L430,Data_Validation!$A:$D,4,0)</f>
        <v>Autos détail</v>
      </c>
      <c r="W430" s="656" t="str">
        <f>+VLOOKUP($L430,Data_Validation!$A:$E,5,0)</f>
        <v>NB</v>
      </c>
      <c r="X430" s="656">
        <f>+VLOOKUP($L430,Data_Validation!$A:$F,6,0)</f>
        <v>0</v>
      </c>
    </row>
    <row r="431" spans="1:24" ht="15.75" customHeight="1">
      <c r="A431" s="1210" t="s">
        <v>971</v>
      </c>
      <c r="B431" s="1210" t="s">
        <v>973</v>
      </c>
      <c r="C431" s="1211"/>
      <c r="D431" s="1211"/>
      <c r="E431" s="1211"/>
      <c r="F431" s="1210" t="s">
        <v>7</v>
      </c>
      <c r="G431" s="1210" t="s">
        <v>972</v>
      </c>
      <c r="H431" s="1211"/>
      <c r="I431" s="1212">
        <v>-4</v>
      </c>
      <c r="J431" s="1212">
        <v>-1</v>
      </c>
      <c r="K431" s="1212">
        <v>-5</v>
      </c>
      <c r="L431" s="653" t="str">
        <f t="shared" si="196"/>
        <v>4111@</v>
      </c>
      <c r="M431" s="654" t="str">
        <f t="shared" si="197"/>
        <v>JETTA/ JETTA GLI</v>
      </c>
      <c r="N431" s="655">
        <f>+IF(OR($Q431=Parametres!$G$2,$Q431=Parametres!$G$3),I431,C431)</f>
        <v>-4</v>
      </c>
      <c r="O431" s="655">
        <f>+IF(OR($Q431=Parametres!$G$2,$Q431=Parametres!$G$3),J431,D431)</f>
        <v>-1</v>
      </c>
      <c r="P431" s="655">
        <f>+IF(OR($Q431=Parametres!$G$2,$Q431=Parametres!$G$3),K431,E431)</f>
        <v>-5</v>
      </c>
      <c r="Q431" s="654" t="str">
        <f t="shared" si="198"/>
        <v>10-Compte compteur</v>
      </c>
      <c r="R431" s="653" t="str">
        <f t="shared" si="199"/>
        <v>4111</v>
      </c>
      <c r="S431" s="654">
        <f t="shared" si="200"/>
        <v>0</v>
      </c>
      <c r="T431" s="656" t="str">
        <f>+VLOOKUP($L431,Data_Validation!$A:$D,1,0)</f>
        <v>4111@</v>
      </c>
      <c r="U431" s="656" t="str">
        <f>+VLOOKUP($L431,Data_Validation!$A:$D,3,0)</f>
        <v>Véhicules neufs</v>
      </c>
      <c r="V431" s="656" t="str">
        <f>+VLOOKUP($L431,Data_Validation!$A:$D,4,0)</f>
        <v>Autos détail</v>
      </c>
      <c r="W431" s="656" t="str">
        <f>+VLOOKUP($L431,Data_Validation!$A:$E,5,0)</f>
        <v>NB</v>
      </c>
      <c r="X431" s="656">
        <f>+VLOOKUP($L431,Data_Validation!$A:$F,6,0)</f>
        <v>0</v>
      </c>
    </row>
    <row r="432" spans="1:24" ht="15.75" customHeight="1">
      <c r="A432" s="1210" t="s">
        <v>976</v>
      </c>
      <c r="B432" s="1210" t="s">
        <v>977</v>
      </c>
      <c r="C432" s="1211"/>
      <c r="D432" s="1211"/>
      <c r="E432" s="1211"/>
      <c r="F432" s="1210" t="s">
        <v>7</v>
      </c>
      <c r="G432" s="1210" t="s">
        <v>978</v>
      </c>
      <c r="H432" s="1211"/>
      <c r="I432" s="1212">
        <v>-5</v>
      </c>
      <c r="J432" s="1212">
        <v>-15</v>
      </c>
      <c r="K432" s="1212">
        <v>-20</v>
      </c>
      <c r="L432" s="653" t="str">
        <f t="shared" si="196"/>
        <v>4118@</v>
      </c>
      <c r="M432" s="654" t="str">
        <f t="shared" si="197"/>
        <v>TAOS</v>
      </c>
      <c r="N432" s="655">
        <f>+IF(OR($Q432=Parametres!$G$2,$Q432=Parametres!$G$3),I432,C432)</f>
        <v>-5</v>
      </c>
      <c r="O432" s="655">
        <f>+IF(OR($Q432=Parametres!$G$2,$Q432=Parametres!$G$3),J432,D432)</f>
        <v>-15</v>
      </c>
      <c r="P432" s="655">
        <f>+IF(OR($Q432=Parametres!$G$2,$Q432=Parametres!$G$3),K432,E432)</f>
        <v>-20</v>
      </c>
      <c r="Q432" s="654" t="str">
        <f t="shared" si="198"/>
        <v>10-Compte compteur</v>
      </c>
      <c r="R432" s="653" t="str">
        <f t="shared" si="199"/>
        <v>411</v>
      </c>
      <c r="S432" s="654">
        <f t="shared" si="200"/>
        <v>0</v>
      </c>
      <c r="T432" s="656" t="str">
        <f>+VLOOKUP($L432,Data_Validation!$A:$D,1,0)</f>
        <v>4118@</v>
      </c>
      <c r="U432" s="656" t="str">
        <f>+VLOOKUP($L432,Data_Validation!$A:$D,3,0)</f>
        <v>Véhicules neufs</v>
      </c>
      <c r="V432" s="656" t="str">
        <f>+VLOOKUP($L432,Data_Validation!$A:$D,4,0)</f>
        <v>Camions détail</v>
      </c>
      <c r="W432" s="656" t="str">
        <f>+VLOOKUP($L432,Data_Validation!$A:$E,5,0)</f>
        <v>NB</v>
      </c>
      <c r="X432" s="656">
        <f>+VLOOKUP($L432,Data_Validation!$A:$F,6,0)</f>
        <v>0</v>
      </c>
    </row>
    <row r="433" spans="1:24" ht="15.75" customHeight="1">
      <c r="A433" s="1210" t="s">
        <v>981</v>
      </c>
      <c r="B433" s="1210" t="s">
        <v>982</v>
      </c>
      <c r="C433" s="1211"/>
      <c r="D433" s="1211"/>
      <c r="E433" s="1211"/>
      <c r="F433" s="1210" t="s">
        <v>7</v>
      </c>
      <c r="G433" s="1210" t="s">
        <v>980</v>
      </c>
      <c r="H433" s="1211"/>
      <c r="I433" s="1212">
        <v>-5</v>
      </c>
      <c r="J433" s="1212">
        <v>-4</v>
      </c>
      <c r="K433" s="1212">
        <v>-9</v>
      </c>
      <c r="L433" s="653" t="str">
        <f t="shared" si="196"/>
        <v>4119@</v>
      </c>
      <c r="M433" s="654" t="str">
        <f t="shared" si="197"/>
        <v># DE VTE - ATLAS</v>
      </c>
      <c r="N433" s="655">
        <f>+IF(OR($Q433=Parametres!$G$2,$Q433=Parametres!$G$3),I433,C433)</f>
        <v>-5</v>
      </c>
      <c r="O433" s="655">
        <f>+IF(OR($Q433=Parametres!$G$2,$Q433=Parametres!$G$3),J433,D433)</f>
        <v>-4</v>
      </c>
      <c r="P433" s="655">
        <f>+IF(OR($Q433=Parametres!$G$2,$Q433=Parametres!$G$3),K433,E433)</f>
        <v>-9</v>
      </c>
      <c r="Q433" s="654" t="str">
        <f t="shared" si="198"/>
        <v>10-Compte compteur</v>
      </c>
      <c r="R433" s="653" t="str">
        <f t="shared" si="199"/>
        <v>4119</v>
      </c>
      <c r="S433" s="654">
        <f t="shared" si="200"/>
        <v>0</v>
      </c>
      <c r="T433" s="656" t="str">
        <f>+VLOOKUP($L433,Data_Validation!$A:$D,1,0)</f>
        <v>4119@</v>
      </c>
      <c r="U433" s="656" t="str">
        <f>+VLOOKUP($L433,Data_Validation!$A:$D,3,0)</f>
        <v>Véhicules neufs</v>
      </c>
      <c r="V433" s="656" t="str">
        <f>+VLOOKUP($L433,Data_Validation!$A:$D,4,0)</f>
        <v>Camions détail</v>
      </c>
      <c r="W433" s="656" t="str">
        <f>+VLOOKUP($L433,Data_Validation!$A:$E,5,0)</f>
        <v>NB</v>
      </c>
      <c r="X433" s="656">
        <f>+VLOOKUP($L433,Data_Validation!$A:$F,6,0)</f>
        <v>0</v>
      </c>
    </row>
    <row r="434" spans="1:24" ht="15.75" customHeight="1">
      <c r="A434" s="1210" t="s">
        <v>984</v>
      </c>
      <c r="B434" s="1210" t="s">
        <v>985</v>
      </c>
      <c r="C434" s="1211"/>
      <c r="D434" s="1211"/>
      <c r="E434" s="1211"/>
      <c r="F434" s="1210" t="s">
        <v>7</v>
      </c>
      <c r="G434" s="1210" t="s">
        <v>3349</v>
      </c>
      <c r="H434" s="1211"/>
      <c r="I434" s="1212">
        <v>-1</v>
      </c>
      <c r="J434" s="1212">
        <v>-2</v>
      </c>
      <c r="K434" s="1212">
        <v>-3</v>
      </c>
      <c r="L434" s="653" t="str">
        <f t="shared" si="196"/>
        <v>4121@</v>
      </c>
      <c r="M434" s="654" t="str">
        <f t="shared" si="197"/>
        <v># DE VTE - ATLAS CROSS SPORT</v>
      </c>
      <c r="N434" s="655">
        <f>+IF(OR($Q434=Parametres!$G$2,$Q434=Parametres!$G$3),I434,C434)</f>
        <v>-1</v>
      </c>
      <c r="O434" s="655">
        <f>+IF(OR($Q434=Parametres!$G$2,$Q434=Parametres!$G$3),J434,D434)</f>
        <v>-2</v>
      </c>
      <c r="P434" s="655">
        <f>+IF(OR($Q434=Parametres!$G$2,$Q434=Parametres!$G$3),K434,E434)</f>
        <v>-3</v>
      </c>
      <c r="Q434" s="654" t="str">
        <f t="shared" si="198"/>
        <v>10-Compte compteur</v>
      </c>
      <c r="R434" s="653" t="str">
        <f t="shared" si="199"/>
        <v>4121</v>
      </c>
      <c r="S434" s="654">
        <f t="shared" si="200"/>
        <v>0</v>
      </c>
      <c r="T434" s="656" t="str">
        <f>+VLOOKUP($L434,Data_Validation!$A:$D,1,0)</f>
        <v>4121@</v>
      </c>
      <c r="U434" s="656" t="str">
        <f>+VLOOKUP($L434,Data_Validation!$A:$D,3,0)</f>
        <v>Véhicules neufs</v>
      </c>
      <c r="V434" s="656" t="str">
        <f>+VLOOKUP($L434,Data_Validation!$A:$D,4,0)</f>
        <v>Camions détail</v>
      </c>
      <c r="W434" s="656" t="str">
        <f>+VLOOKUP($L434,Data_Validation!$A:$E,5,0)</f>
        <v>NB</v>
      </c>
      <c r="X434" s="656">
        <f>+VLOOKUP($L434,Data_Validation!$A:$F,6,0)</f>
        <v>0</v>
      </c>
    </row>
    <row r="435" spans="1:24" ht="15.75" customHeight="1">
      <c r="A435" s="1210" t="s">
        <v>988</v>
      </c>
      <c r="B435" s="1210" t="s">
        <v>989</v>
      </c>
      <c r="C435" s="1211"/>
      <c r="D435" s="1211"/>
      <c r="E435" s="1211"/>
      <c r="F435" s="1210" t="s">
        <v>7</v>
      </c>
      <c r="G435" s="1210" t="s">
        <v>987</v>
      </c>
      <c r="H435" s="1211"/>
      <c r="I435" s="1212">
        <v>-2</v>
      </c>
      <c r="J435" s="1212">
        <v>-1</v>
      </c>
      <c r="K435" s="1212">
        <v>-3</v>
      </c>
      <c r="L435" s="653" t="str">
        <f t="shared" si="196"/>
        <v>4127@</v>
      </c>
      <c r="M435" s="654" t="str">
        <f t="shared" si="197"/>
        <v># DE VENTE - GOLF GTI</v>
      </c>
      <c r="N435" s="655">
        <f>+IF(OR($Q435=Parametres!$G$2,$Q435=Parametres!$G$3),I435,C435)</f>
        <v>-2</v>
      </c>
      <c r="O435" s="655">
        <f>+IF(OR($Q435=Parametres!$G$2,$Q435=Parametres!$G$3),J435,D435)</f>
        <v>-1</v>
      </c>
      <c r="P435" s="655">
        <f>+IF(OR($Q435=Parametres!$G$2,$Q435=Parametres!$G$3),K435,E435)</f>
        <v>-3</v>
      </c>
      <c r="Q435" s="654" t="str">
        <f t="shared" si="198"/>
        <v>10-Compte compteur</v>
      </c>
      <c r="R435" s="653" t="str">
        <f t="shared" si="199"/>
        <v>4127</v>
      </c>
      <c r="S435" s="654">
        <f t="shared" si="200"/>
        <v>0</v>
      </c>
      <c r="T435" s="656" t="str">
        <f>+VLOOKUP($L435,Data_Validation!$A:$D,1,0)</f>
        <v>4127@</v>
      </c>
      <c r="U435" s="656" t="str">
        <f>+VLOOKUP($L435,Data_Validation!$A:$D,3,0)</f>
        <v>Véhicules neufs</v>
      </c>
      <c r="V435" s="656" t="str">
        <f>+VLOOKUP($L435,Data_Validation!$A:$D,4,0)</f>
        <v>Autos détail</v>
      </c>
      <c r="W435" s="656" t="str">
        <f>+VLOOKUP($L435,Data_Validation!$A:$E,5,0)</f>
        <v>NB</v>
      </c>
      <c r="X435" s="656">
        <f>+VLOOKUP($L435,Data_Validation!$A:$F,6,0)</f>
        <v>0</v>
      </c>
    </row>
    <row r="436" spans="1:24" ht="15.75" customHeight="1">
      <c r="A436" s="1210" t="s">
        <v>992</v>
      </c>
      <c r="B436" s="1210" t="s">
        <v>993</v>
      </c>
      <c r="C436" s="1211"/>
      <c r="D436" s="1211"/>
      <c r="E436" s="1211"/>
      <c r="F436" s="1210" t="s">
        <v>7</v>
      </c>
      <c r="G436" s="1210" t="s">
        <v>991</v>
      </c>
      <c r="H436" s="1211"/>
      <c r="I436" s="1212">
        <v>-4</v>
      </c>
      <c r="J436" s="1212">
        <v>-4</v>
      </c>
      <c r="K436" s="1212">
        <v>-8</v>
      </c>
      <c r="L436" s="653" t="str">
        <f t="shared" si="196"/>
        <v>4131@</v>
      </c>
      <c r="M436" s="654" t="str">
        <f t="shared" si="197"/>
        <v># DE VTE - TIGUAN LWB</v>
      </c>
      <c r="N436" s="655">
        <f>+IF(OR($Q436=Parametres!$G$2,$Q436=Parametres!$G$3),I436,C436)</f>
        <v>-4</v>
      </c>
      <c r="O436" s="655">
        <f>+IF(OR($Q436=Parametres!$G$2,$Q436=Parametres!$G$3),J436,D436)</f>
        <v>-4</v>
      </c>
      <c r="P436" s="655">
        <f>+IF(OR($Q436=Parametres!$G$2,$Q436=Parametres!$G$3),K436,E436)</f>
        <v>-8</v>
      </c>
      <c r="Q436" s="654" t="str">
        <f t="shared" si="198"/>
        <v>10-Compte compteur</v>
      </c>
      <c r="R436" s="653" t="str">
        <f t="shared" si="199"/>
        <v>4131</v>
      </c>
      <c r="S436" s="654">
        <f t="shared" si="200"/>
        <v>0</v>
      </c>
      <c r="T436" s="656" t="str">
        <f>+VLOOKUP($L436,Data_Validation!$A:$D,1,0)</f>
        <v>4131@</v>
      </c>
      <c r="U436" s="656" t="str">
        <f>+VLOOKUP($L436,Data_Validation!$A:$D,3,0)</f>
        <v>Véhicules neufs</v>
      </c>
      <c r="V436" s="656" t="str">
        <f>+VLOOKUP($L436,Data_Validation!$A:$D,4,0)</f>
        <v>Camions détail</v>
      </c>
      <c r="W436" s="656" t="str">
        <f>+VLOOKUP($L436,Data_Validation!$A:$E,5,0)</f>
        <v>NB</v>
      </c>
      <c r="X436" s="656">
        <f>+VLOOKUP($L436,Data_Validation!$A:$F,6,0)</f>
        <v>0</v>
      </c>
    </row>
    <row r="437" spans="1:24" ht="15.75" customHeight="1">
      <c r="A437" s="1210" t="s">
        <v>996</v>
      </c>
      <c r="B437" s="1210" t="s">
        <v>997</v>
      </c>
      <c r="C437" s="1211"/>
      <c r="D437" s="1211"/>
      <c r="E437" s="1211"/>
      <c r="F437" s="1210" t="s">
        <v>7</v>
      </c>
      <c r="G437" s="1210" t="s">
        <v>995</v>
      </c>
      <c r="H437" s="1211"/>
      <c r="I437" s="1212">
        <v>-4</v>
      </c>
      <c r="J437" s="1212">
        <v>-8</v>
      </c>
      <c r="K437" s="1212">
        <v>-12</v>
      </c>
      <c r="L437" s="653" t="str">
        <f t="shared" si="196"/>
        <v>4137@</v>
      </c>
      <c r="M437" s="654" t="str">
        <f t="shared" si="197"/>
        <v>VW FLOTTE/VENTE ENTR/EMPLOYE/VEH DEMONST</v>
      </c>
      <c r="N437" s="655">
        <f>+IF(OR($Q437=Parametres!$G$2,$Q437=Parametres!$G$3),I437,C437)</f>
        <v>-4</v>
      </c>
      <c r="O437" s="655">
        <f>+IF(OR($Q437=Parametres!$G$2,$Q437=Parametres!$G$3),J437,D437)</f>
        <v>-8</v>
      </c>
      <c r="P437" s="655">
        <f>+IF(OR($Q437=Parametres!$G$2,$Q437=Parametres!$G$3),K437,E437)</f>
        <v>-12</v>
      </c>
      <c r="Q437" s="654" t="str">
        <f t="shared" si="198"/>
        <v>10-Compte compteur</v>
      </c>
      <c r="R437" s="653" t="str">
        <f t="shared" si="199"/>
        <v>4137</v>
      </c>
      <c r="S437" s="654">
        <f t="shared" si="200"/>
        <v>0</v>
      </c>
      <c r="T437" s="656" t="str">
        <f>+VLOOKUP($L437,Data_Validation!$A:$D,1,0)</f>
        <v>4137@</v>
      </c>
      <c r="U437" s="656" t="str">
        <f>+VLOOKUP($L437,Data_Validation!$A:$D,3,0)</f>
        <v>Véhicules neufs</v>
      </c>
      <c r="V437" s="656" t="str">
        <f>+VLOOKUP($L437,Data_Validation!$A:$D,4,0)</f>
        <v>Flottes</v>
      </c>
      <c r="W437" s="656" t="str">
        <f>+VLOOKUP($L437,Data_Validation!$A:$E,5,0)</f>
        <v>NB</v>
      </c>
      <c r="X437" s="656">
        <f>+VLOOKUP($L437,Data_Validation!$A:$F,6,0)</f>
        <v>0</v>
      </c>
    </row>
    <row r="438" spans="1:24" ht="15.75" customHeight="1">
      <c r="A438" s="1210" t="s">
        <v>1000</v>
      </c>
      <c r="B438" s="1210" t="s">
        <v>1001</v>
      </c>
      <c r="C438" s="1211"/>
      <c r="D438" s="1211"/>
      <c r="E438" s="1211"/>
      <c r="F438" s="1210" t="s">
        <v>7</v>
      </c>
      <c r="G438" s="1210" t="s">
        <v>999</v>
      </c>
      <c r="H438" s="1211"/>
      <c r="I438" s="1212">
        <v>-2</v>
      </c>
      <c r="J438" s="1212">
        <v>-2</v>
      </c>
      <c r="K438" s="1212">
        <v>-4</v>
      </c>
      <c r="L438" s="653" t="str">
        <f t="shared" si="196"/>
        <v>4139@</v>
      </c>
      <c r="M438" s="654" t="str">
        <f t="shared" si="197"/>
        <v>VENTES A PARK AVENUE LOCATION</v>
      </c>
      <c r="N438" s="655">
        <f>+IF(OR($Q438=Parametres!$G$2,$Q438=Parametres!$G$3),I438,C438)</f>
        <v>-2</v>
      </c>
      <c r="O438" s="655">
        <f>+IF(OR($Q438=Parametres!$G$2,$Q438=Parametres!$G$3),J438,D438)</f>
        <v>-2</v>
      </c>
      <c r="P438" s="655">
        <f>+IF(OR($Q438=Parametres!$G$2,$Q438=Parametres!$G$3),K438,E438)</f>
        <v>-4</v>
      </c>
      <c r="Q438" s="654" t="str">
        <f t="shared" si="198"/>
        <v>10-Compte compteur</v>
      </c>
      <c r="R438" s="653" t="str">
        <f t="shared" si="199"/>
        <v>4139</v>
      </c>
      <c r="S438" s="654">
        <f t="shared" si="200"/>
        <v>0</v>
      </c>
      <c r="T438" s="656" t="str">
        <f>+VLOOKUP($L438,Data_Validation!$A:$D,1,0)</f>
        <v>4139@</v>
      </c>
      <c r="U438" s="656" t="str">
        <f>+VLOOKUP($L438,Data_Validation!$A:$D,3,0)</f>
        <v>Véhicules neufs</v>
      </c>
      <c r="V438" s="656" t="str">
        <f>+VLOOKUP($L438,Data_Validation!$A:$D,4,0)</f>
        <v>Ex-Démos et courtoisies</v>
      </c>
      <c r="W438" s="656" t="str">
        <f>+VLOOKUP($L438,Data_Validation!$A:$E,5,0)</f>
        <v>NB</v>
      </c>
      <c r="X438" s="656">
        <f>+VLOOKUP($L438,Data_Validation!$A:$F,6,0)</f>
        <v>0</v>
      </c>
    </row>
    <row r="439" spans="1:24" ht="15.75" customHeight="1">
      <c r="A439" s="1210" t="s">
        <v>3897</v>
      </c>
      <c r="B439" s="1210" t="s">
        <v>3898</v>
      </c>
      <c r="C439" s="1211"/>
      <c r="D439" s="1211"/>
      <c r="E439" s="1211"/>
      <c r="F439" s="1210" t="s">
        <v>7</v>
      </c>
      <c r="G439" s="1210" t="s">
        <v>3894</v>
      </c>
      <c r="H439" s="1211"/>
      <c r="I439" s="1212">
        <v>-25</v>
      </c>
      <c r="J439" s="1212">
        <v>-1</v>
      </c>
      <c r="K439" s="1212">
        <v>-26</v>
      </c>
      <c r="L439" s="653" t="str">
        <f t="shared" si="196"/>
        <v>4141@</v>
      </c>
      <c r="M439" s="654" t="str">
        <f t="shared" si="197"/>
        <v># DE VTW - ID4</v>
      </c>
      <c r="N439" s="655">
        <f>+IF(OR($Q439=Parametres!$G$2,$Q439=Parametres!$G$3),I439,C439)</f>
        <v>-25</v>
      </c>
      <c r="O439" s="655">
        <f>+IF(OR($Q439=Parametres!$G$2,$Q439=Parametres!$G$3),J439,D439)</f>
        <v>-1</v>
      </c>
      <c r="P439" s="655">
        <f>+IF(OR($Q439=Parametres!$G$2,$Q439=Parametres!$G$3),K439,E439)</f>
        <v>-26</v>
      </c>
      <c r="Q439" s="654" t="str">
        <f t="shared" si="198"/>
        <v>10-Compte compteur</v>
      </c>
      <c r="R439" s="653" t="str">
        <f t="shared" si="199"/>
        <v>4141</v>
      </c>
      <c r="S439" s="654">
        <f t="shared" si="200"/>
        <v>0</v>
      </c>
      <c r="T439" s="656" t="str">
        <f>+VLOOKUP($L439,Data_Validation!$A:$D,1,0)</f>
        <v>4141@</v>
      </c>
      <c r="U439" s="656" t="str">
        <f>+VLOOKUP($L439,Data_Validation!$A:$D,3,0)</f>
        <v>Véhicules neufs</v>
      </c>
      <c r="V439" s="656" t="str">
        <f>+VLOOKUP($L439,Data_Validation!$A:$D,4,0)</f>
        <v>Camions détail</v>
      </c>
      <c r="W439" s="656" t="str">
        <f>+VLOOKUP($L439,Data_Validation!$A:$E,5,0)</f>
        <v>NB</v>
      </c>
      <c r="X439" s="656">
        <f>+VLOOKUP($L439,Data_Validation!$A:$F,6,0)</f>
        <v>0</v>
      </c>
    </row>
    <row r="440" spans="1:24" ht="15.75" customHeight="1">
      <c r="A440" s="1210" t="s">
        <v>1004</v>
      </c>
      <c r="B440" s="1210" t="s">
        <v>1005</v>
      </c>
      <c r="C440" s="1211"/>
      <c r="D440" s="1211"/>
      <c r="E440" s="1211"/>
      <c r="F440" s="1210" t="s">
        <v>7</v>
      </c>
      <c r="G440" s="1210" t="s">
        <v>1003</v>
      </c>
      <c r="H440" s="1211"/>
      <c r="I440" s="1212">
        <v>-1</v>
      </c>
      <c r="J440" s="1212">
        <v>0</v>
      </c>
      <c r="K440" s="1212">
        <v>-1</v>
      </c>
      <c r="L440" s="653" t="str">
        <f t="shared" si="196"/>
        <v>4144@</v>
      </c>
      <c r="M440" s="654" t="str">
        <f t="shared" si="197"/>
        <v># OF VTES -JETTA GLI</v>
      </c>
      <c r="N440" s="655">
        <f>+IF(OR($Q440=Parametres!$G$2,$Q440=Parametres!$G$3),I440,C440)</f>
        <v>-1</v>
      </c>
      <c r="O440" s="655">
        <f>+IF(OR($Q440=Parametres!$G$2,$Q440=Parametres!$G$3),J440,D440)</f>
        <v>0</v>
      </c>
      <c r="P440" s="655">
        <f>+IF(OR($Q440=Parametres!$G$2,$Q440=Parametres!$G$3),K440,E440)</f>
        <v>-1</v>
      </c>
      <c r="Q440" s="654" t="str">
        <f t="shared" si="198"/>
        <v>10-Compte compteur</v>
      </c>
      <c r="R440" s="653" t="str">
        <f t="shared" si="199"/>
        <v>414</v>
      </c>
      <c r="S440" s="654">
        <f t="shared" si="200"/>
        <v>0</v>
      </c>
      <c r="T440" s="656" t="str">
        <f>+VLOOKUP($L440,Data_Validation!$A:$D,1,0)</f>
        <v>4144@</v>
      </c>
      <c r="U440" s="656" t="str">
        <f>+VLOOKUP($L440,Data_Validation!$A:$D,3,0)</f>
        <v>Véhicules neufs</v>
      </c>
      <c r="V440" s="656" t="str">
        <f>+VLOOKUP($L440,Data_Validation!$A:$D,4,0)</f>
        <v>Autos détail</v>
      </c>
      <c r="W440" s="656" t="str">
        <f>+VLOOKUP($L440,Data_Validation!$A:$E,5,0)</f>
        <v>NB</v>
      </c>
      <c r="X440" s="656">
        <f>+VLOOKUP($L440,Data_Validation!$A:$F,6,0)</f>
        <v>0</v>
      </c>
    </row>
    <row r="441" spans="1:24" ht="15.75" customHeight="1">
      <c r="A441" s="1210" t="s">
        <v>1008</v>
      </c>
      <c r="B441" s="1210" t="s">
        <v>1009</v>
      </c>
      <c r="C441" s="1211"/>
      <c r="D441" s="1211"/>
      <c r="E441" s="1211"/>
      <c r="F441" s="1210" t="s">
        <v>7</v>
      </c>
      <c r="G441" s="1210" t="s">
        <v>1007</v>
      </c>
      <c r="H441" s="1211"/>
      <c r="I441" s="1212">
        <v>-18</v>
      </c>
      <c r="J441" s="1212">
        <v>-13</v>
      </c>
      <c r="K441" s="1212">
        <v>-31</v>
      </c>
      <c r="L441" s="653" t="str">
        <f t="shared" si="196"/>
        <v>4201@</v>
      </c>
      <c r="M441" s="654" t="str">
        <f t="shared" si="197"/>
        <v># DE VTE - VEH.USAGE VW DET.CERT.</v>
      </c>
      <c r="N441" s="655">
        <f>+IF(OR($Q441=Parametres!$G$2,$Q441=Parametres!$G$3),I441,C441)</f>
        <v>-18</v>
      </c>
      <c r="O441" s="655">
        <f>+IF(OR($Q441=Parametres!$G$2,$Q441=Parametres!$G$3),J441,D441)</f>
        <v>-13</v>
      </c>
      <c r="P441" s="655">
        <f>+IF(OR($Q441=Parametres!$G$2,$Q441=Parametres!$G$3),K441,E441)</f>
        <v>-31</v>
      </c>
      <c r="Q441" s="654" t="str">
        <f t="shared" si="198"/>
        <v>10-Compte compteur</v>
      </c>
      <c r="R441" s="653" t="str">
        <f t="shared" si="199"/>
        <v>4201</v>
      </c>
      <c r="S441" s="654">
        <f t="shared" si="200"/>
        <v>0</v>
      </c>
      <c r="T441" s="656" t="str">
        <f>+VLOOKUP($L441,Data_Validation!$A:$D,1,0)</f>
        <v>4201@</v>
      </c>
      <c r="U441" s="656" t="str">
        <f>+VLOOKUP($L441,Data_Validation!$A:$D,3,0)</f>
        <v>Véhicules usagés</v>
      </c>
      <c r="V441" s="656" t="str">
        <f>+VLOOKUP($L441,Data_Validation!$A:$D,4,0)</f>
        <v>Certifié</v>
      </c>
      <c r="W441" s="656" t="str">
        <f>+VLOOKUP($L441,Data_Validation!$A:$E,5,0)</f>
        <v>NB</v>
      </c>
      <c r="X441" s="656">
        <f>+VLOOKUP($L441,Data_Validation!$A:$F,6,0)</f>
        <v>0</v>
      </c>
    </row>
    <row r="442" spans="1:24" ht="15.75" customHeight="1">
      <c r="A442" s="1210" t="s">
        <v>1012</v>
      </c>
      <c r="B442" s="1210" t="s">
        <v>1013</v>
      </c>
      <c r="C442" s="1211"/>
      <c r="D442" s="1211"/>
      <c r="E442" s="1211"/>
      <c r="F442" s="1210" t="s">
        <v>7</v>
      </c>
      <c r="G442" s="1210" t="s">
        <v>1011</v>
      </c>
      <c r="H442" s="1211"/>
      <c r="I442" s="1212">
        <v>-4</v>
      </c>
      <c r="J442" s="1212">
        <v>-2</v>
      </c>
      <c r="K442" s="1212">
        <v>-6</v>
      </c>
      <c r="L442" s="653" t="str">
        <f t="shared" si="196"/>
        <v>4211@</v>
      </c>
      <c r="M442" s="654" t="str">
        <f t="shared" si="197"/>
        <v>VENTES USED DET. CHAMBLY</v>
      </c>
      <c r="N442" s="655">
        <f>+IF(OR($Q442=Parametres!$G$2,$Q442=Parametres!$G$3),I442,C442)</f>
        <v>-4</v>
      </c>
      <c r="O442" s="655">
        <f>+IF(OR($Q442=Parametres!$G$2,$Q442=Parametres!$G$3),J442,D442)</f>
        <v>-2</v>
      </c>
      <c r="P442" s="655">
        <f>+IF(OR($Q442=Parametres!$G$2,$Q442=Parametres!$G$3),K442,E442)</f>
        <v>-6</v>
      </c>
      <c r="Q442" s="654" t="str">
        <f t="shared" si="198"/>
        <v>10-Compte compteur</v>
      </c>
      <c r="R442" s="653" t="str">
        <f t="shared" si="199"/>
        <v>4211</v>
      </c>
      <c r="S442" s="654">
        <f t="shared" si="200"/>
        <v>0</v>
      </c>
      <c r="T442" s="656" t="str">
        <f>+VLOOKUP($L442,Data_Validation!$A:$D,1,0)</f>
        <v>4211@</v>
      </c>
      <c r="U442" s="656" t="str">
        <f>+VLOOKUP($L442,Data_Validation!$A:$D,3,0)</f>
        <v>Véhicules usagés</v>
      </c>
      <c r="V442" s="656" t="str">
        <f>+VLOOKUP($L442,Data_Validation!$A:$D,4,0)</f>
        <v>Non Certifié</v>
      </c>
      <c r="W442" s="656" t="str">
        <f>+VLOOKUP($L442,Data_Validation!$A:$E,5,0)</f>
        <v>NB</v>
      </c>
      <c r="X442" s="656">
        <f>+VLOOKUP($L442,Data_Validation!$A:$F,6,0)</f>
        <v>0</v>
      </c>
    </row>
    <row r="443" spans="1:24" ht="15.75" customHeight="1">
      <c r="A443" s="1210" t="s">
        <v>1016</v>
      </c>
      <c r="B443" s="1210" t="s">
        <v>1017</v>
      </c>
      <c r="C443" s="1211"/>
      <c r="D443" s="1211"/>
      <c r="E443" s="1211"/>
      <c r="F443" s="1210" t="s">
        <v>7</v>
      </c>
      <c r="G443" s="1210" t="s">
        <v>1015</v>
      </c>
      <c r="H443" s="1211"/>
      <c r="I443" s="1212">
        <v>-2</v>
      </c>
      <c r="J443" s="1212">
        <v>-2</v>
      </c>
      <c r="K443" s="1212">
        <v>-4</v>
      </c>
      <c r="L443" s="653" t="str">
        <f t="shared" si="196"/>
        <v>4285@</v>
      </c>
      <c r="M443" s="654" t="str">
        <f t="shared" si="197"/>
        <v>AUTRE MARQUES DETAIL - USAGE</v>
      </c>
      <c r="N443" s="655">
        <f>+IF(OR($Q443=Parametres!$G$2,$Q443=Parametres!$G$3),I443,C443)</f>
        <v>-2</v>
      </c>
      <c r="O443" s="655">
        <f>+IF(OR($Q443=Parametres!$G$2,$Q443=Parametres!$G$3),J443,D443)</f>
        <v>-2</v>
      </c>
      <c r="P443" s="655">
        <f>+IF(OR($Q443=Parametres!$G$2,$Q443=Parametres!$G$3),K443,E443)</f>
        <v>-4</v>
      </c>
      <c r="Q443" s="654" t="str">
        <f t="shared" si="198"/>
        <v>10-Compte compteur</v>
      </c>
      <c r="R443" s="653" t="str">
        <f t="shared" si="199"/>
        <v>4261</v>
      </c>
      <c r="S443" s="654">
        <f t="shared" si="200"/>
        <v>0</v>
      </c>
      <c r="T443" s="656" t="str">
        <f>+VLOOKUP($L443,Data_Validation!$A:$D,1,0)</f>
        <v>4285@</v>
      </c>
      <c r="U443" s="656" t="str">
        <f>+VLOOKUP($L443,Data_Validation!$A:$D,3,0)</f>
        <v>Véhicules usagés</v>
      </c>
      <c r="V443" s="656" t="str">
        <f>+VLOOKUP($L443,Data_Validation!$A:$D,4,0)</f>
        <v>Autres Marques</v>
      </c>
      <c r="W443" s="656" t="str">
        <f>+VLOOKUP($L443,Data_Validation!$A:$E,5,0)</f>
        <v>NB</v>
      </c>
      <c r="X443" s="656">
        <f>+VLOOKUP($L443,Data_Validation!$A:$F,6,0)</f>
        <v>0</v>
      </c>
    </row>
    <row r="444" spans="1:24" ht="15.75" customHeight="1">
      <c r="A444" s="1210" t="s">
        <v>1020</v>
      </c>
      <c r="B444" s="1210" t="s">
        <v>1021</v>
      </c>
      <c r="C444" s="1211"/>
      <c r="D444" s="1211"/>
      <c r="E444" s="1211"/>
      <c r="F444" s="1210" t="s">
        <v>7</v>
      </c>
      <c r="G444" s="1210" t="s">
        <v>1019</v>
      </c>
      <c r="H444" s="1211"/>
      <c r="I444" s="1212">
        <v>-19</v>
      </c>
      <c r="J444" s="1212">
        <v>-10</v>
      </c>
      <c r="K444" s="1212">
        <v>-29</v>
      </c>
      <c r="L444" s="653" t="str">
        <f t="shared" si="196"/>
        <v>4291@</v>
      </c>
      <c r="M444" s="654" t="str">
        <f t="shared" si="197"/>
        <v>VENTE AU GROS - USAGES</v>
      </c>
      <c r="N444" s="655">
        <f>+IF(OR($Q444=Parametres!$G$2,$Q444=Parametres!$G$3),I444,C444)</f>
        <v>-19</v>
      </c>
      <c r="O444" s="655">
        <f>+IF(OR($Q444=Parametres!$G$2,$Q444=Parametres!$G$3),J444,D444)</f>
        <v>-10</v>
      </c>
      <c r="P444" s="655">
        <f>+IF(OR($Q444=Parametres!$G$2,$Q444=Parametres!$G$3),K444,E444)</f>
        <v>-29</v>
      </c>
      <c r="Q444" s="654" t="str">
        <f t="shared" si="198"/>
        <v>10-Compte compteur</v>
      </c>
      <c r="R444" s="653" t="str">
        <f t="shared" si="199"/>
        <v>4281</v>
      </c>
      <c r="S444" s="654">
        <f t="shared" si="200"/>
        <v>0</v>
      </c>
      <c r="T444" s="656" t="str">
        <f>+VLOOKUP($L444,Data_Validation!$A:$D,1,0)</f>
        <v>4291@</v>
      </c>
      <c r="U444" s="656" t="str">
        <f>+VLOOKUP($L444,Data_Validation!$A:$D,3,0)</f>
        <v>Véhicules usagés</v>
      </c>
      <c r="V444" s="656" t="str">
        <f>+VLOOKUP($L444,Data_Validation!$A:$D,4,0)</f>
        <v>Ventes au Gros</v>
      </c>
      <c r="W444" s="656" t="str">
        <f>+VLOOKUP($L444,Data_Validation!$A:$E,5,0)</f>
        <v>NB</v>
      </c>
      <c r="X444" s="656">
        <f>+VLOOKUP($L444,Data_Validation!$A:$F,6,0)</f>
        <v>0</v>
      </c>
    </row>
    <row r="445" spans="1:24" ht="15.75" customHeight="1">
      <c r="A445" s="1210" t="s">
        <v>3671</v>
      </c>
      <c r="B445" s="1210" t="s">
        <v>1024</v>
      </c>
      <c r="C445" s="1211"/>
      <c r="D445" s="1211"/>
      <c r="E445" s="1211"/>
      <c r="F445" s="1210" t="s">
        <v>7</v>
      </c>
      <c r="G445" s="1210" t="s">
        <v>1023</v>
      </c>
      <c r="H445" s="1211"/>
      <c r="I445" s="1212">
        <v>-255</v>
      </c>
      <c r="J445" s="1212">
        <v>-248</v>
      </c>
      <c r="K445" s="1212">
        <v>-503</v>
      </c>
      <c r="L445" s="653" t="str">
        <f t="shared" si="196"/>
        <v>4401@</v>
      </c>
      <c r="M445" s="654" t="str">
        <f t="shared" si="197"/>
        <v>MAIN-D'OEUVRE - CLIENT VW - MCI</v>
      </c>
      <c r="N445" s="655">
        <f>+IF(OR($Q445=Parametres!$G$2,$Q445=Parametres!$G$3),I445,C445)</f>
        <v>-255</v>
      </c>
      <c r="O445" s="655">
        <f>+IF(OR($Q445=Parametres!$G$2,$Q445=Parametres!$G$3),J445,D445)</f>
        <v>-248</v>
      </c>
      <c r="P445" s="655">
        <f>+IF(OR($Q445=Parametres!$G$2,$Q445=Parametres!$G$3),K445,E445)</f>
        <v>-503</v>
      </c>
      <c r="Q445" s="654" t="str">
        <f t="shared" si="198"/>
        <v>10-Compte compteur</v>
      </c>
      <c r="R445" s="653" t="str">
        <f t="shared" si="199"/>
        <v>4401</v>
      </c>
      <c r="S445" s="654">
        <f t="shared" si="200"/>
        <v>0</v>
      </c>
      <c r="T445" s="656" t="str">
        <f>+VLOOKUP($L445,Data_Validation!$A:$D,1,0)</f>
        <v>4401@</v>
      </c>
      <c r="U445" s="656" t="str">
        <f>+VLOOKUP($L445,Data_Validation!$A:$D,3,0)</f>
        <v>Service</v>
      </c>
      <c r="V445" s="656" t="str">
        <f>+VLOOKUP($L445,Data_Validation!$A:$D,4,0)</f>
        <v>M/O Client</v>
      </c>
      <c r="W445" s="656" t="str">
        <f>+VLOOKUP($L445,Data_Validation!$A:$E,5,0)</f>
        <v>NB</v>
      </c>
      <c r="X445" s="656">
        <f>+VLOOKUP($L445,Data_Validation!$A:$F,6,0)</f>
        <v>0</v>
      </c>
    </row>
    <row r="446" spans="1:24" ht="15.75" customHeight="1">
      <c r="A446" s="1210" t="s">
        <v>3672</v>
      </c>
      <c r="B446" s="1210" t="s">
        <v>1029</v>
      </c>
      <c r="C446" s="1211"/>
      <c r="D446" s="1211"/>
      <c r="E446" s="1211"/>
      <c r="F446" s="1210" t="s">
        <v>7</v>
      </c>
      <c r="G446" s="1210" t="s">
        <v>1028</v>
      </c>
      <c r="H446" s="1211"/>
      <c r="I446" s="1212">
        <v>-231</v>
      </c>
      <c r="J446" s="1212">
        <v>-258</v>
      </c>
      <c r="K446" s="1212">
        <v>-489</v>
      </c>
      <c r="L446" s="653" t="str">
        <f t="shared" si="196"/>
        <v>4403@</v>
      </c>
      <c r="M446" s="654" t="str">
        <f t="shared" si="197"/>
        <v>MAIN-D'OEUVRE - GARANTIE VW - MCI</v>
      </c>
      <c r="N446" s="655">
        <f>+IF(OR($Q446=Parametres!$G$2,$Q446=Parametres!$G$3),I446,C446)</f>
        <v>-231</v>
      </c>
      <c r="O446" s="655">
        <f>+IF(OR($Q446=Parametres!$G$2,$Q446=Parametres!$G$3),J446,D446)</f>
        <v>-258</v>
      </c>
      <c r="P446" s="655">
        <f>+IF(OR($Q446=Parametres!$G$2,$Q446=Parametres!$G$3),K446,E446)</f>
        <v>-489</v>
      </c>
      <c r="Q446" s="654" t="str">
        <f t="shared" si="198"/>
        <v>10-Compte compteur</v>
      </c>
      <c r="R446" s="653" t="str">
        <f t="shared" si="199"/>
        <v>4403</v>
      </c>
      <c r="S446" s="654">
        <f t="shared" si="200"/>
        <v>0</v>
      </c>
      <c r="T446" s="656" t="str">
        <f>+VLOOKUP($L446,Data_Validation!$A:$D,1,0)</f>
        <v>4403@</v>
      </c>
      <c r="U446" s="656" t="str">
        <f>+VLOOKUP($L446,Data_Validation!$A:$D,3,0)</f>
        <v>Service</v>
      </c>
      <c r="V446" s="656" t="str">
        <f>+VLOOKUP($L446,Data_Validation!$A:$D,4,0)</f>
        <v>M/O Garantie</v>
      </c>
      <c r="W446" s="656" t="str">
        <f>+VLOOKUP($L446,Data_Validation!$A:$E,5,0)</f>
        <v>NB</v>
      </c>
      <c r="X446" s="656">
        <f>+VLOOKUP($L446,Data_Validation!$A:$F,6,0)</f>
        <v>0</v>
      </c>
    </row>
    <row r="447" spans="1:24" ht="15.75" customHeight="1">
      <c r="A447" s="1210" t="s">
        <v>3673</v>
      </c>
      <c r="B447" s="1210" t="s">
        <v>1032</v>
      </c>
      <c r="C447" s="1211"/>
      <c r="D447" s="1211"/>
      <c r="E447" s="1211"/>
      <c r="F447" s="1210" t="s">
        <v>7</v>
      </c>
      <c r="G447" s="1210" t="s">
        <v>1031</v>
      </c>
      <c r="H447" s="1211"/>
      <c r="I447" s="1212">
        <v>-222</v>
      </c>
      <c r="J447" s="1212">
        <v>-185</v>
      </c>
      <c r="K447" s="1212">
        <v>-407</v>
      </c>
      <c r="L447" s="653" t="str">
        <f t="shared" si="196"/>
        <v>4405@</v>
      </c>
      <c r="M447" s="654" t="str">
        <f t="shared" si="197"/>
        <v>MAIN-D'OEUVRE - INTERNE VW - MCI</v>
      </c>
      <c r="N447" s="655">
        <f>+IF(OR($Q447=Parametres!$G$2,$Q447=Parametres!$G$3),I447,C447)</f>
        <v>-222</v>
      </c>
      <c r="O447" s="655">
        <f>+IF(OR($Q447=Parametres!$G$2,$Q447=Parametres!$G$3),J447,D447)</f>
        <v>-185</v>
      </c>
      <c r="P447" s="655">
        <f>+IF(OR($Q447=Parametres!$G$2,$Q447=Parametres!$G$3),K447,E447)</f>
        <v>-407</v>
      </c>
      <c r="Q447" s="654" t="str">
        <f t="shared" si="198"/>
        <v>10-Compte compteur</v>
      </c>
      <c r="R447" s="653" t="str">
        <f t="shared" si="199"/>
        <v>4405</v>
      </c>
      <c r="S447" s="654">
        <f t="shared" si="200"/>
        <v>0</v>
      </c>
      <c r="T447" s="656" t="str">
        <f>+VLOOKUP($L447,Data_Validation!$A:$D,1,0)</f>
        <v>4405@</v>
      </c>
      <c r="U447" s="656" t="str">
        <f>+VLOOKUP($L447,Data_Validation!$A:$D,3,0)</f>
        <v>Service</v>
      </c>
      <c r="V447" s="656" t="str">
        <f>+VLOOKUP($L447,Data_Validation!$A:$D,4,0)</f>
        <v>M/O Interne</v>
      </c>
      <c r="W447" s="656" t="str">
        <f>+VLOOKUP($L447,Data_Validation!$A:$E,5,0)</f>
        <v>NB</v>
      </c>
      <c r="X447" s="656">
        <f>+VLOOKUP($L447,Data_Validation!$A:$F,6,0)</f>
        <v>0</v>
      </c>
    </row>
    <row r="448" spans="1:24" ht="15.75" customHeight="1">
      <c r="A448" s="1210" t="s">
        <v>1033</v>
      </c>
      <c r="B448" s="1210" t="s">
        <v>1035</v>
      </c>
      <c r="C448" s="1211"/>
      <c r="D448" s="1211"/>
      <c r="E448" s="1211"/>
      <c r="F448" s="1210" t="s">
        <v>7</v>
      </c>
      <c r="G448" s="1210" t="s">
        <v>1034</v>
      </c>
      <c r="H448" s="1211"/>
      <c r="I448" s="1212">
        <v>-213</v>
      </c>
      <c r="J448" s="1212">
        <v>-218</v>
      </c>
      <c r="K448" s="1212">
        <v>-431</v>
      </c>
      <c r="L448" s="653" t="str">
        <f t="shared" si="196"/>
        <v>4451@</v>
      </c>
      <c r="M448" s="654" t="str">
        <f t="shared" si="197"/>
        <v>CARBURANT/HUILE/GRAISSE</v>
      </c>
      <c r="N448" s="655">
        <f>+IF(OR($Q448=Parametres!$G$2,$Q448=Parametres!$G$3),I448,C448)</f>
        <v>-213</v>
      </c>
      <c r="O448" s="655">
        <f>+IF(OR($Q448=Parametres!$G$2,$Q448=Parametres!$G$3),J448,D448)</f>
        <v>-218</v>
      </c>
      <c r="P448" s="655">
        <f>+IF(OR($Q448=Parametres!$G$2,$Q448=Parametres!$G$3),K448,E448)</f>
        <v>-431</v>
      </c>
      <c r="Q448" s="654" t="str">
        <f t="shared" si="198"/>
        <v>10-Compte compteur</v>
      </c>
      <c r="R448" s="653" t="str">
        <f t="shared" si="199"/>
        <v>4782</v>
      </c>
      <c r="S448" s="654">
        <f t="shared" si="200"/>
        <v>0</v>
      </c>
      <c r="T448" s="656" t="str">
        <f>+VLOOKUP($L448,Data_Validation!$A:$D,1,0)</f>
        <v>4451@</v>
      </c>
      <c r="U448" s="656" t="str">
        <f>+VLOOKUP($L448,Data_Validation!$A:$D,3,0)</f>
        <v>Pièces</v>
      </c>
      <c r="V448" s="656" t="str">
        <f>+VLOOKUP($L448,Data_Validation!$A:$D,4,0)</f>
        <v>Huiles et Graisse</v>
      </c>
      <c r="W448" s="656" t="str">
        <f>+VLOOKUP($L448,Data_Validation!$A:$E,5,0)</f>
        <v>NB</v>
      </c>
      <c r="X448" s="656">
        <f>+VLOOKUP($L448,Data_Validation!$A:$F,6,0)</f>
        <v>0</v>
      </c>
    </row>
    <row r="449" spans="1:24" ht="15.75" customHeight="1">
      <c r="A449" s="1210" t="s">
        <v>1036</v>
      </c>
      <c r="B449" s="1210" t="s">
        <v>1038</v>
      </c>
      <c r="C449" s="1211"/>
      <c r="D449" s="1211"/>
      <c r="E449" s="1211"/>
      <c r="F449" s="1210" t="s">
        <v>7</v>
      </c>
      <c r="G449" s="1210" t="s">
        <v>1037</v>
      </c>
      <c r="H449" s="1211"/>
      <c r="I449" s="1212">
        <v>-29</v>
      </c>
      <c r="J449" s="1212">
        <v>-38</v>
      </c>
      <c r="K449" s="1212">
        <v>-67</v>
      </c>
      <c r="L449" s="653" t="str">
        <f t="shared" si="196"/>
        <v>4491@</v>
      </c>
      <c r="M449" s="654" t="str">
        <f t="shared" si="197"/>
        <v>REPARATION SOUS-LOC. - GENERAL</v>
      </c>
      <c r="N449" s="655">
        <f>+IF(OR($Q449=Parametres!$G$2,$Q449=Parametres!$G$3),I449,C449)</f>
        <v>-29</v>
      </c>
      <c r="O449" s="655">
        <f>+IF(OR($Q449=Parametres!$G$2,$Q449=Parametres!$G$3),J449,D449)</f>
        <v>-38</v>
      </c>
      <c r="P449" s="655">
        <f>+IF(OR($Q449=Parametres!$G$2,$Q449=Parametres!$G$3),K449,E449)</f>
        <v>-67</v>
      </c>
      <c r="Q449" s="654" t="str">
        <f t="shared" si="198"/>
        <v>10-Compte compteur</v>
      </c>
      <c r="R449" s="653" t="str">
        <f t="shared" si="199"/>
        <v>4491</v>
      </c>
      <c r="S449" s="654">
        <f t="shared" si="200"/>
        <v>0</v>
      </c>
      <c r="T449" s="656" t="str">
        <f>+VLOOKUP($L449,Data_Validation!$A:$D,1,0)</f>
        <v>4491@</v>
      </c>
      <c r="U449" s="656" t="str">
        <f>+VLOOKUP($L449,Data_Validation!$A:$D,3,0)</f>
        <v>Service</v>
      </c>
      <c r="V449" s="656" t="str">
        <f>+VLOOKUP($L449,Data_Validation!$A:$D,4,0)</f>
        <v>Sous-traitement</v>
      </c>
      <c r="W449" s="656" t="str">
        <f>+VLOOKUP($L449,Data_Validation!$A:$E,5,0)</f>
        <v>NB</v>
      </c>
      <c r="X449" s="656">
        <f>+VLOOKUP($L449,Data_Validation!$A:$F,6,0)</f>
        <v>0</v>
      </c>
    </row>
    <row r="450" spans="1:24" ht="15.75" customHeight="1">
      <c r="A450" s="1210" t="s">
        <v>1041</v>
      </c>
      <c r="B450" s="1210" t="s">
        <v>1042</v>
      </c>
      <c r="C450" s="1211"/>
      <c r="D450" s="1211"/>
      <c r="E450" s="1211"/>
      <c r="F450" s="1210" t="s">
        <v>7</v>
      </c>
      <c r="G450" s="1210" t="s">
        <v>1040</v>
      </c>
      <c r="H450" s="1211"/>
      <c r="I450" s="1212">
        <v>-1</v>
      </c>
      <c r="J450" s="1212">
        <v>-4</v>
      </c>
      <c r="K450" s="1212">
        <v>-5</v>
      </c>
      <c r="L450" s="653" t="str">
        <f t="shared" si="196"/>
        <v>4493@</v>
      </c>
      <c r="M450" s="654" t="str">
        <f t="shared" si="197"/>
        <v># DE VTE - SOUS-TRAITANCE GARANTIE</v>
      </c>
      <c r="N450" s="655">
        <f>+IF(OR($Q450=Parametres!$G$2,$Q450=Parametres!$G$3),I450,C450)</f>
        <v>-1</v>
      </c>
      <c r="O450" s="655">
        <f>+IF(OR($Q450=Parametres!$G$2,$Q450=Parametres!$G$3),J450,D450)</f>
        <v>-4</v>
      </c>
      <c r="P450" s="655">
        <f>+IF(OR($Q450=Parametres!$G$2,$Q450=Parametres!$G$3),K450,E450)</f>
        <v>-5</v>
      </c>
      <c r="Q450" s="654" t="str">
        <f t="shared" si="198"/>
        <v>10-Compte compteur</v>
      </c>
      <c r="R450" s="653" t="str">
        <f t="shared" si="199"/>
        <v>4493</v>
      </c>
      <c r="S450" s="654">
        <f t="shared" si="200"/>
        <v>0</v>
      </c>
      <c r="T450" s="656" t="str">
        <f>+VLOOKUP($L450,Data_Validation!$A:$D,1,0)</f>
        <v>4493@</v>
      </c>
      <c r="U450" s="656" t="str">
        <f>+VLOOKUP($L450,Data_Validation!$A:$D,3,0)</f>
        <v>Service</v>
      </c>
      <c r="V450" s="656" t="str">
        <f>+VLOOKUP($L450,Data_Validation!$A:$D,4,0)</f>
        <v>Sous-traitement</v>
      </c>
      <c r="W450" s="656" t="str">
        <f>+VLOOKUP($L450,Data_Validation!$A:$E,5,0)</f>
        <v>NB</v>
      </c>
      <c r="X450" s="656">
        <f>+VLOOKUP($L450,Data_Validation!$A:$F,6,0)</f>
        <v>0</v>
      </c>
    </row>
    <row r="451" spans="1:24" ht="15.75" customHeight="1">
      <c r="A451" s="1210" t="s">
        <v>1045</v>
      </c>
      <c r="B451" s="1210" t="s">
        <v>1046</v>
      </c>
      <c r="C451" s="1211"/>
      <c r="D451" s="1211"/>
      <c r="E451" s="1211"/>
      <c r="F451" s="1210" t="s">
        <v>7</v>
      </c>
      <c r="G451" s="1210" t="s">
        <v>1044</v>
      </c>
      <c r="H451" s="1211"/>
      <c r="I451" s="1212">
        <v>-46</v>
      </c>
      <c r="J451" s="1212">
        <v>-39</v>
      </c>
      <c r="K451" s="1212">
        <v>-85</v>
      </c>
      <c r="L451" s="653" t="str">
        <f t="shared" si="196"/>
        <v>4495@</v>
      </c>
      <c r="M451" s="654" t="str">
        <f t="shared" si="197"/>
        <v># DE VTE - S-TRAITANCE MEC.INTERNE VW</v>
      </c>
      <c r="N451" s="655">
        <f>+IF(OR($Q451=Parametres!$G$2,$Q451=Parametres!$G$3),I451,C451)</f>
        <v>-46</v>
      </c>
      <c r="O451" s="655">
        <f>+IF(OR($Q451=Parametres!$G$2,$Q451=Parametres!$G$3),J451,D451)</f>
        <v>-39</v>
      </c>
      <c r="P451" s="655">
        <f>+IF(OR($Q451=Parametres!$G$2,$Q451=Parametres!$G$3),K451,E451)</f>
        <v>-85</v>
      </c>
      <c r="Q451" s="654" t="str">
        <f t="shared" si="198"/>
        <v>10-Compte compteur</v>
      </c>
      <c r="R451" s="653" t="str">
        <f t="shared" si="199"/>
        <v>4495</v>
      </c>
      <c r="S451" s="654">
        <f t="shared" si="200"/>
        <v>0</v>
      </c>
      <c r="T451" s="656" t="str">
        <f>+VLOOKUP($L451,Data_Validation!$A:$D,1,0)</f>
        <v>4495@</v>
      </c>
      <c r="U451" s="656" t="str">
        <f>+VLOOKUP($L451,Data_Validation!$A:$D,3,0)</f>
        <v>Service</v>
      </c>
      <c r="V451" s="656" t="str">
        <f>+VLOOKUP($L451,Data_Validation!$A:$D,4,0)</f>
        <v>Sous-traitement</v>
      </c>
      <c r="W451" s="656" t="str">
        <f>+VLOOKUP($L451,Data_Validation!$A:$E,5,0)</f>
        <v>NB</v>
      </c>
      <c r="X451" s="656">
        <f>+VLOOKUP($L451,Data_Validation!$A:$F,6,0)</f>
        <v>0</v>
      </c>
    </row>
    <row r="452" spans="1:24" ht="15.75" customHeight="1">
      <c r="A452" s="1210" t="s">
        <v>3430</v>
      </c>
      <c r="B452" s="1210" t="s">
        <v>3431</v>
      </c>
      <c r="C452" s="1211"/>
      <c r="D452" s="1211"/>
      <c r="E452" s="1211"/>
      <c r="F452" s="1210" t="s">
        <v>7</v>
      </c>
      <c r="G452" s="1210" t="s">
        <v>3427</v>
      </c>
      <c r="H452" s="1211"/>
      <c r="I452" s="1212">
        <v>-19</v>
      </c>
      <c r="J452" s="1212">
        <v>-32</v>
      </c>
      <c r="K452" s="1212">
        <v>-51</v>
      </c>
      <c r="L452" s="653" t="str">
        <f t="shared" si="196"/>
        <v>4505@</v>
      </c>
      <c r="M452" s="654" t="str">
        <f t="shared" si="197"/>
        <v># DE VTE - M.O. INTERNE CARROSSERIE</v>
      </c>
      <c r="N452" s="655">
        <f>+IF(OR($Q452=Parametres!$G$2,$Q452=Parametres!$G$3),I452,C452)</f>
        <v>-19</v>
      </c>
      <c r="O452" s="655">
        <f>+IF(OR($Q452=Parametres!$G$2,$Q452=Parametres!$G$3),J452,D452)</f>
        <v>-32</v>
      </c>
      <c r="P452" s="655">
        <f>+IF(OR($Q452=Parametres!$G$2,$Q452=Parametres!$G$3),K452,E452)</f>
        <v>-51</v>
      </c>
      <c r="Q452" s="654" t="str">
        <f t="shared" si="198"/>
        <v>10-Compte compteur</v>
      </c>
      <c r="R452" s="653" t="str">
        <f t="shared" si="199"/>
        <v>4505</v>
      </c>
      <c r="S452" s="654">
        <f t="shared" si="200"/>
        <v>0</v>
      </c>
      <c r="T452" s="656" t="str">
        <f>+VLOOKUP($L452,Data_Validation!$A:$D,1,0)</f>
        <v>4505@</v>
      </c>
      <c r="U452" s="656" t="str">
        <f>+VLOOKUP($L452,Data_Validation!$A:$D,3,0)</f>
        <v>Service</v>
      </c>
      <c r="V452" s="656" t="str">
        <f>+VLOOKUP($L452,Data_Validation!$A:$D,4,0)</f>
        <v>M.O. Recond. MCPA</v>
      </c>
      <c r="W452" s="656" t="str">
        <f>+VLOOKUP($L452,Data_Validation!$A:$E,5,0)</f>
        <v>NB</v>
      </c>
      <c r="X452" s="656">
        <f>+VLOOKUP($L452,Data_Validation!$A:$F,6,0)</f>
        <v>0</v>
      </c>
    </row>
    <row r="453" spans="1:24" ht="15.75" customHeight="1">
      <c r="A453" s="1210" t="s">
        <v>1052</v>
      </c>
      <c r="B453" s="1210" t="s">
        <v>1053</v>
      </c>
      <c r="C453" s="1211"/>
      <c r="D453" s="1211"/>
      <c r="E453" s="1211"/>
      <c r="F453" s="1210" t="s">
        <v>7</v>
      </c>
      <c r="G453" s="1210" t="s">
        <v>1051</v>
      </c>
      <c r="H453" s="1211"/>
      <c r="I453" s="1212">
        <v>-3</v>
      </c>
      <c r="J453" s="1212">
        <v>-2</v>
      </c>
      <c r="K453" s="1212">
        <v>-5</v>
      </c>
      <c r="L453" s="653" t="str">
        <f t="shared" si="196"/>
        <v>4591@</v>
      </c>
      <c r="M453" s="654" t="str">
        <f t="shared" si="197"/>
        <v>REPARATION SOUS-LOC.-PEINT/DEB</v>
      </c>
      <c r="N453" s="655">
        <f>+IF(OR($Q453=Parametres!$G$2,$Q453=Parametres!$G$3),I453,C453)</f>
        <v>-3</v>
      </c>
      <c r="O453" s="655">
        <f>+IF(OR($Q453=Parametres!$G$2,$Q453=Parametres!$G$3),J453,D453)</f>
        <v>-2</v>
      </c>
      <c r="P453" s="655">
        <f>+IF(OR($Q453=Parametres!$G$2,$Q453=Parametres!$G$3),K453,E453)</f>
        <v>-5</v>
      </c>
      <c r="Q453" s="654" t="str">
        <f t="shared" si="198"/>
        <v>10-Compte compteur</v>
      </c>
      <c r="R453" s="653" t="str">
        <f t="shared" si="199"/>
        <v>4591</v>
      </c>
      <c r="S453" s="654">
        <f t="shared" si="200"/>
        <v>0</v>
      </c>
      <c r="T453" s="656" t="str">
        <f>+VLOOKUP($L453,Data_Validation!$A:$D,1,0)</f>
        <v>4591@</v>
      </c>
      <c r="U453" s="656" t="str">
        <f>+VLOOKUP($L453,Data_Validation!$A:$D,3,0)</f>
        <v>Carrosserie</v>
      </c>
      <c r="V453" s="656" t="str">
        <f>+VLOOKUP($L453,Data_Validation!$A:$D,4,0)</f>
        <v>M/O Sous-traitement</v>
      </c>
      <c r="W453" s="656" t="str">
        <f>+VLOOKUP($L453,Data_Validation!$A:$E,5,0)</f>
        <v>NB</v>
      </c>
      <c r="X453" s="656">
        <f>+VLOOKUP($L453,Data_Validation!$A:$F,6,0)</f>
        <v>0</v>
      </c>
    </row>
    <row r="454" spans="1:24" ht="15.75" customHeight="1">
      <c r="A454" s="1210" t="s">
        <v>1056</v>
      </c>
      <c r="B454" s="1210" t="s">
        <v>1057</v>
      </c>
      <c r="C454" s="1211"/>
      <c r="D454" s="1211"/>
      <c r="E454" s="1211"/>
      <c r="F454" s="1210" t="s">
        <v>7</v>
      </c>
      <c r="G454" s="1210" t="s">
        <v>1055</v>
      </c>
      <c r="H454" s="1211"/>
      <c r="I454" s="1212">
        <v>-3</v>
      </c>
      <c r="J454" s="1212">
        <v>-6</v>
      </c>
      <c r="K454" s="1212">
        <v>-9</v>
      </c>
      <c r="L454" s="653" t="str">
        <f t="shared" si="196"/>
        <v>4593@</v>
      </c>
      <c r="M454" s="654" t="str">
        <f t="shared" si="197"/>
        <v># DE VTE - S-TRAITANCE GAR.CARR.</v>
      </c>
      <c r="N454" s="655">
        <f>+IF(OR($Q454=Parametres!$G$2,$Q454=Parametres!$G$3),I454,C454)</f>
        <v>-3</v>
      </c>
      <c r="O454" s="655">
        <f>+IF(OR($Q454=Parametres!$G$2,$Q454=Parametres!$G$3),J454,D454)</f>
        <v>-6</v>
      </c>
      <c r="P454" s="655">
        <f>+IF(OR($Q454=Parametres!$G$2,$Q454=Parametres!$G$3),K454,E454)</f>
        <v>-9</v>
      </c>
      <c r="Q454" s="654" t="str">
        <f t="shared" si="198"/>
        <v>10-Compte compteur</v>
      </c>
      <c r="R454" s="653" t="str">
        <f t="shared" si="199"/>
        <v>4593</v>
      </c>
      <c r="S454" s="654">
        <f t="shared" si="200"/>
        <v>0</v>
      </c>
      <c r="T454" s="656" t="str">
        <f>+VLOOKUP($L454,Data_Validation!$A:$D,1,0)</f>
        <v>4593@</v>
      </c>
      <c r="U454" s="656" t="str">
        <f>+VLOOKUP($L454,Data_Validation!$A:$D,3,0)</f>
        <v>Carrosserie</v>
      </c>
      <c r="V454" s="656" t="str">
        <f>+VLOOKUP($L454,Data_Validation!$A:$D,4,0)</f>
        <v>M/O Sous-traitement</v>
      </c>
      <c r="W454" s="656" t="str">
        <f>+VLOOKUP($L454,Data_Validation!$A:$E,5,0)</f>
        <v>NB</v>
      </c>
      <c r="X454" s="656">
        <f>+VLOOKUP($L454,Data_Validation!$A:$F,6,0)</f>
        <v>0</v>
      </c>
    </row>
    <row r="455" spans="1:24" ht="15.75" customHeight="1">
      <c r="A455" s="1210" t="s">
        <v>1060</v>
      </c>
      <c r="B455" s="1210" t="s">
        <v>1061</v>
      </c>
      <c r="C455" s="1211"/>
      <c r="D455" s="1211"/>
      <c r="E455" s="1211"/>
      <c r="F455" s="1210" t="s">
        <v>7</v>
      </c>
      <c r="G455" s="1210" t="s">
        <v>1059</v>
      </c>
      <c r="H455" s="1211"/>
      <c r="I455" s="1212">
        <v>-3</v>
      </c>
      <c r="J455" s="1212">
        <v>0</v>
      </c>
      <c r="K455" s="1212">
        <v>-3</v>
      </c>
      <c r="L455" s="653" t="str">
        <f t="shared" si="196"/>
        <v>4595@</v>
      </c>
      <c r="M455" s="654" t="str">
        <f t="shared" si="197"/>
        <v># DE VTE - S-TRAIT.INTERNE CARR.</v>
      </c>
      <c r="N455" s="655">
        <f>+IF(OR($Q455=Parametres!$G$2,$Q455=Parametres!$G$3),I455,C455)</f>
        <v>-3</v>
      </c>
      <c r="O455" s="655">
        <f>+IF(OR($Q455=Parametres!$G$2,$Q455=Parametres!$G$3),J455,D455)</f>
        <v>0</v>
      </c>
      <c r="P455" s="655">
        <f>+IF(OR($Q455=Parametres!$G$2,$Q455=Parametres!$G$3),K455,E455)</f>
        <v>-3</v>
      </c>
      <c r="Q455" s="654" t="str">
        <f t="shared" si="198"/>
        <v>10-Compte compteur</v>
      </c>
      <c r="R455" s="653" t="str">
        <f t="shared" si="199"/>
        <v>4595</v>
      </c>
      <c r="S455" s="654">
        <f t="shared" si="200"/>
        <v>0</v>
      </c>
      <c r="T455" s="656" t="str">
        <f>+VLOOKUP($L455,Data_Validation!$A:$D,1,0)</f>
        <v>4595@</v>
      </c>
      <c r="U455" s="656" t="str">
        <f>+VLOOKUP($L455,Data_Validation!$A:$D,3,0)</f>
        <v>Carrosserie</v>
      </c>
      <c r="V455" s="656" t="str">
        <f>+VLOOKUP($L455,Data_Validation!$A:$D,4,0)</f>
        <v>M/O Sous-traitement</v>
      </c>
      <c r="W455" s="656" t="str">
        <f>+VLOOKUP($L455,Data_Validation!$A:$E,5,0)</f>
        <v>NB</v>
      </c>
      <c r="X455" s="656">
        <f>+VLOOKUP($L455,Data_Validation!$A:$F,6,0)</f>
        <v>0</v>
      </c>
    </row>
    <row r="456" spans="1:24" ht="15.75" customHeight="1">
      <c r="A456" s="1210" t="s">
        <v>3674</v>
      </c>
      <c r="B456" s="1210" t="s">
        <v>1065</v>
      </c>
      <c r="C456" s="1211"/>
      <c r="D456" s="1211"/>
      <c r="E456" s="1211"/>
      <c r="F456" s="1210" t="s">
        <v>7</v>
      </c>
      <c r="G456" s="1210" t="s">
        <v>1063</v>
      </c>
      <c r="H456" s="1211"/>
      <c r="I456" s="1212">
        <v>-266</v>
      </c>
      <c r="J456" s="1212">
        <v>-256</v>
      </c>
      <c r="K456" s="1212">
        <v>-522</v>
      </c>
      <c r="L456" s="653" t="str">
        <f t="shared" si="196"/>
        <v>4701@</v>
      </c>
      <c r="M456" s="654" t="str">
        <f t="shared" si="197"/>
        <v>VW P&amp;A - BR - CLIENT - MCI</v>
      </c>
      <c r="N456" s="655">
        <f>+IF(OR($Q456=Parametres!$G$2,$Q456=Parametres!$G$3),I456,C456)</f>
        <v>-266</v>
      </c>
      <c r="O456" s="655">
        <f>+IF(OR($Q456=Parametres!$G$2,$Q456=Parametres!$G$3),J456,D456)</f>
        <v>-256</v>
      </c>
      <c r="P456" s="655">
        <f>+IF(OR($Q456=Parametres!$G$2,$Q456=Parametres!$G$3),K456,E456)</f>
        <v>-522</v>
      </c>
      <c r="Q456" s="654" t="str">
        <f t="shared" si="198"/>
        <v>10-Compte compteur</v>
      </c>
      <c r="R456" s="653" t="str">
        <f t="shared" si="199"/>
        <v>4701</v>
      </c>
      <c r="S456" s="654">
        <f t="shared" si="200"/>
        <v>0</v>
      </c>
      <c r="T456" s="656" t="str">
        <f>+VLOOKUP($L456,Data_Validation!$A:$D,1,0)</f>
        <v>4701@</v>
      </c>
      <c r="U456" s="656" t="str">
        <f>+VLOOKUP($L456,Data_Validation!$A:$D,3,0)</f>
        <v>Pièces</v>
      </c>
      <c r="V456" s="656" t="str">
        <f>+VLOOKUP($L456,Data_Validation!$A:$D,4,0)</f>
        <v>Pièces Ro Clients</v>
      </c>
      <c r="W456" s="656" t="str">
        <f>+VLOOKUP($L456,Data_Validation!$A:$E,5,0)</f>
        <v>NB</v>
      </c>
      <c r="X456" s="656">
        <f>+VLOOKUP($L456,Data_Validation!$A:$F,6,0)</f>
        <v>0</v>
      </c>
    </row>
    <row r="457" spans="1:24" ht="15.75" customHeight="1">
      <c r="A457" s="1210" t="s">
        <v>3675</v>
      </c>
      <c r="B457" s="1210" t="s">
        <v>1071</v>
      </c>
      <c r="C457" s="1211"/>
      <c r="D457" s="1211"/>
      <c r="E457" s="1211"/>
      <c r="F457" s="1210" t="s">
        <v>7</v>
      </c>
      <c r="G457" s="1210" t="s">
        <v>1069</v>
      </c>
      <c r="H457" s="1211"/>
      <c r="I457" s="1212">
        <v>-212</v>
      </c>
      <c r="J457" s="1212">
        <v>-234</v>
      </c>
      <c r="K457" s="1212">
        <v>-446</v>
      </c>
      <c r="L457" s="653" t="str">
        <f t="shared" si="196"/>
        <v>4703@</v>
      </c>
      <c r="M457" s="654" t="str">
        <f t="shared" si="197"/>
        <v>VW P&amp;A - BR - GARANTIE - MCI</v>
      </c>
      <c r="N457" s="655">
        <f>+IF(OR($Q457=Parametres!$G$2,$Q457=Parametres!$G$3),I457,C457)</f>
        <v>-212</v>
      </c>
      <c r="O457" s="655">
        <f>+IF(OR($Q457=Parametres!$G$2,$Q457=Parametres!$G$3),J457,D457)</f>
        <v>-234</v>
      </c>
      <c r="P457" s="655">
        <f>+IF(OR($Q457=Parametres!$G$2,$Q457=Parametres!$G$3),K457,E457)</f>
        <v>-446</v>
      </c>
      <c r="Q457" s="654" t="str">
        <f t="shared" si="198"/>
        <v>10-Compte compteur</v>
      </c>
      <c r="R457" s="653" t="str">
        <f t="shared" si="199"/>
        <v>4703</v>
      </c>
      <c r="S457" s="654">
        <f t="shared" si="200"/>
        <v>0</v>
      </c>
      <c r="T457" s="656" t="str">
        <f>+VLOOKUP($L457,Data_Validation!$A:$D,1,0)</f>
        <v>4703@</v>
      </c>
      <c r="U457" s="656" t="str">
        <f>+VLOOKUP($L457,Data_Validation!$A:$D,3,0)</f>
        <v>Pièces</v>
      </c>
      <c r="V457" s="656" t="str">
        <f>+VLOOKUP($L457,Data_Validation!$A:$D,4,0)</f>
        <v>P/A Garantie</v>
      </c>
      <c r="W457" s="656" t="str">
        <f>+VLOOKUP($L457,Data_Validation!$A:$E,5,0)</f>
        <v>NB</v>
      </c>
      <c r="X457" s="656">
        <f>+VLOOKUP($L457,Data_Validation!$A:$F,6,0)</f>
        <v>0</v>
      </c>
    </row>
    <row r="458" spans="1:24" ht="15.75" customHeight="1">
      <c r="A458" s="1210" t="s">
        <v>3676</v>
      </c>
      <c r="B458" s="1210" t="s">
        <v>1075</v>
      </c>
      <c r="C458" s="1211"/>
      <c r="D458" s="1211"/>
      <c r="E458" s="1211"/>
      <c r="F458" s="1210" t="s">
        <v>7</v>
      </c>
      <c r="G458" s="1210" t="s">
        <v>1073</v>
      </c>
      <c r="H458" s="1211"/>
      <c r="I458" s="1212">
        <v>-253</v>
      </c>
      <c r="J458" s="1212">
        <v>-192</v>
      </c>
      <c r="K458" s="1212">
        <v>-445</v>
      </c>
      <c r="L458" s="653" t="str">
        <f t="shared" si="196"/>
        <v>4705@</v>
      </c>
      <c r="M458" s="654" t="str">
        <f t="shared" si="197"/>
        <v>VW P&amp;A - BR - INTERNE - MCI</v>
      </c>
      <c r="N458" s="655">
        <f>+IF(OR($Q458=Parametres!$G$2,$Q458=Parametres!$G$3),I458,C458)</f>
        <v>-253</v>
      </c>
      <c r="O458" s="655">
        <f>+IF(OR($Q458=Parametres!$G$2,$Q458=Parametres!$G$3),J458,D458)</f>
        <v>-192</v>
      </c>
      <c r="P458" s="655">
        <f>+IF(OR($Q458=Parametres!$G$2,$Q458=Parametres!$G$3),K458,E458)</f>
        <v>-445</v>
      </c>
      <c r="Q458" s="654" t="str">
        <f t="shared" si="198"/>
        <v>10-Compte compteur</v>
      </c>
      <c r="R458" s="653" t="str">
        <f t="shared" si="199"/>
        <v>4705</v>
      </c>
      <c r="S458" s="654">
        <f t="shared" si="200"/>
        <v>0</v>
      </c>
      <c r="T458" s="656" t="str">
        <f>+VLOOKUP($L458,Data_Validation!$A:$D,1,0)</f>
        <v>4705@</v>
      </c>
      <c r="U458" s="656" t="str">
        <f>+VLOOKUP($L458,Data_Validation!$A:$D,3,0)</f>
        <v>Pièces</v>
      </c>
      <c r="V458" s="656" t="str">
        <f>+VLOOKUP($L458,Data_Validation!$A:$D,4,0)</f>
        <v>Ventes Internes</v>
      </c>
      <c r="W458" s="656" t="str">
        <f>+VLOOKUP($L458,Data_Validation!$A:$E,5,0)</f>
        <v>NB</v>
      </c>
      <c r="X458" s="656">
        <f>+VLOOKUP($L458,Data_Validation!$A:$F,6,0)</f>
        <v>0</v>
      </c>
    </row>
    <row r="459" spans="1:24" ht="15.75" customHeight="1">
      <c r="A459" s="1210" t="s">
        <v>1079</v>
      </c>
      <c r="B459" s="1210" t="s">
        <v>1080</v>
      </c>
      <c r="C459" s="1211"/>
      <c r="D459" s="1211"/>
      <c r="E459" s="1211"/>
      <c r="F459" s="1210" t="s">
        <v>7</v>
      </c>
      <c r="G459" s="1210" t="s">
        <v>1078</v>
      </c>
      <c r="H459" s="1211"/>
      <c r="I459" s="1212">
        <v>-169</v>
      </c>
      <c r="J459" s="1212">
        <v>-139</v>
      </c>
      <c r="K459" s="1212">
        <v>-308</v>
      </c>
      <c r="L459" s="653" t="str">
        <f t="shared" si="196"/>
        <v>4711@</v>
      </c>
      <c r="M459" s="654" t="str">
        <f t="shared" si="197"/>
        <v># DE VTE - P&amp;A B.T. CLIENT AUDI</v>
      </c>
      <c r="N459" s="655">
        <f>+IF(OR($Q459=Parametres!$G$2,$Q459=Parametres!$G$3),I459,C459)</f>
        <v>-169</v>
      </c>
      <c r="O459" s="655">
        <f>+IF(OR($Q459=Parametres!$G$2,$Q459=Parametres!$G$3),J459,D459)</f>
        <v>-139</v>
      </c>
      <c r="P459" s="655">
        <f>+IF(OR($Q459=Parametres!$G$2,$Q459=Parametres!$G$3),K459,E459)</f>
        <v>-308</v>
      </c>
      <c r="Q459" s="654" t="str">
        <f t="shared" si="198"/>
        <v>10-Compte compteur</v>
      </c>
      <c r="R459" s="653" t="str">
        <f t="shared" si="199"/>
        <v>84711</v>
      </c>
      <c r="S459" s="654">
        <f t="shared" si="200"/>
        <v>0</v>
      </c>
      <c r="T459" s="656" t="str">
        <f>+VLOOKUP($L459,Data_Validation!$A:$D,1,0)</f>
        <v>4711@</v>
      </c>
      <c r="U459" s="656" t="str">
        <f>+VLOOKUP($L459,Data_Validation!$A:$D,3,0)</f>
        <v>Pièces</v>
      </c>
      <c r="V459" s="656" t="str">
        <f>+VLOOKUP($L459,Data_Validation!$A:$D,4,0)</f>
        <v>Pièces Ro Clients</v>
      </c>
      <c r="W459" s="656" t="str">
        <f>+VLOOKUP($L459,Data_Validation!$A:$E,5,0)</f>
        <v>NB</v>
      </c>
      <c r="X459" s="656">
        <f>+VLOOKUP($L459,Data_Validation!$A:$F,6,0)</f>
        <v>0</v>
      </c>
    </row>
    <row r="460" spans="1:24" ht="15.75" customHeight="1">
      <c r="A460" s="1210" t="s">
        <v>1091</v>
      </c>
      <c r="B460" s="1210" t="s">
        <v>1092</v>
      </c>
      <c r="C460" s="1211"/>
      <c r="D460" s="1211"/>
      <c r="E460" s="1211"/>
      <c r="F460" s="1210" t="s">
        <v>7</v>
      </c>
      <c r="G460" s="1210" t="s">
        <v>1090</v>
      </c>
      <c r="H460" s="1211"/>
      <c r="I460" s="1212">
        <v>-2</v>
      </c>
      <c r="J460" s="1212">
        <v>-6</v>
      </c>
      <c r="K460" s="1212">
        <v>-8</v>
      </c>
      <c r="L460" s="653" t="str">
        <f t="shared" si="196"/>
        <v>4733@</v>
      </c>
      <c r="M460" s="654" t="str">
        <f t="shared" si="197"/>
        <v># DE VTE - P&amp;A B.T. GARANTIE CARR.</v>
      </c>
      <c r="N460" s="655">
        <f>+IF(OR($Q460=Parametres!$G$2,$Q460=Parametres!$G$3),I460,C460)</f>
        <v>-2</v>
      </c>
      <c r="O460" s="655">
        <f>+IF(OR($Q460=Parametres!$G$2,$Q460=Parametres!$G$3),J460,D460)</f>
        <v>-6</v>
      </c>
      <c r="P460" s="655">
        <f>+IF(OR($Q460=Parametres!$G$2,$Q460=Parametres!$G$3),K460,E460)</f>
        <v>-8</v>
      </c>
      <c r="Q460" s="654" t="str">
        <f t="shared" si="198"/>
        <v>10-Compte compteur</v>
      </c>
      <c r="R460" s="653" t="str">
        <f t="shared" si="199"/>
        <v>4733</v>
      </c>
      <c r="S460" s="654">
        <f t="shared" si="200"/>
        <v>0</v>
      </c>
      <c r="T460" s="656" t="str">
        <f>+VLOOKUP($L460,Data_Validation!$A:$D,1,0)</f>
        <v>4733@</v>
      </c>
      <c r="U460" s="656" t="str">
        <f>+VLOOKUP($L460,Data_Validation!$A:$D,3,0)</f>
        <v>Pièces</v>
      </c>
      <c r="V460" s="656" t="str">
        <f>+VLOOKUP($L460,Data_Validation!$A:$D,4,0)</f>
        <v>Pièces Ro Carrosserie</v>
      </c>
      <c r="W460" s="656" t="str">
        <f>+VLOOKUP($L460,Data_Validation!$A:$E,5,0)</f>
        <v>NB</v>
      </c>
      <c r="X460" s="656">
        <f>+VLOOKUP($L460,Data_Validation!$A:$F,6,0)</f>
        <v>0</v>
      </c>
    </row>
    <row r="461" spans="1:24" ht="15.75" customHeight="1">
      <c r="A461" s="1210" t="s">
        <v>1095</v>
      </c>
      <c r="B461" s="1210" t="s">
        <v>1096</v>
      </c>
      <c r="C461" s="1211"/>
      <c r="D461" s="1211"/>
      <c r="E461" s="1211"/>
      <c r="F461" s="1210" t="s">
        <v>7</v>
      </c>
      <c r="G461" s="1210" t="s">
        <v>1094</v>
      </c>
      <c r="H461" s="1211"/>
      <c r="I461" s="1212">
        <v>-18</v>
      </c>
      <c r="J461" s="1212">
        <v>0</v>
      </c>
      <c r="K461" s="1212">
        <v>-18</v>
      </c>
      <c r="L461" s="653" t="str">
        <f t="shared" si="196"/>
        <v>4735@</v>
      </c>
      <c r="M461" s="654" t="str">
        <f t="shared" si="197"/>
        <v># DE VTE - P&amp;A B.T. INTERNE CARROS.</v>
      </c>
      <c r="N461" s="655">
        <f>+IF(OR($Q461=Parametres!$G$2,$Q461=Parametres!$G$3),I461,C461)</f>
        <v>-18</v>
      </c>
      <c r="O461" s="655">
        <f>+IF(OR($Q461=Parametres!$G$2,$Q461=Parametres!$G$3),J461,D461)</f>
        <v>0</v>
      </c>
      <c r="P461" s="655">
        <f>+IF(OR($Q461=Parametres!$G$2,$Q461=Parametres!$G$3),K461,E461)</f>
        <v>-18</v>
      </c>
      <c r="Q461" s="654" t="str">
        <f t="shared" si="198"/>
        <v>10-Compte compteur</v>
      </c>
      <c r="R461" s="653" t="str">
        <f t="shared" si="199"/>
        <v>4735</v>
      </c>
      <c r="S461" s="654">
        <f t="shared" si="200"/>
        <v>0</v>
      </c>
      <c r="T461" s="656" t="str">
        <f>+VLOOKUP($L461,Data_Validation!$A:$D,1,0)</f>
        <v>4735@</v>
      </c>
      <c r="U461" s="656" t="str">
        <f>+VLOOKUP($L461,Data_Validation!$A:$D,3,0)</f>
        <v>Pièces</v>
      </c>
      <c r="V461" s="656" t="str">
        <f>+VLOOKUP($L461,Data_Validation!$A:$D,4,0)</f>
        <v>Pièces Ro Carrosserie</v>
      </c>
      <c r="W461" s="656" t="str">
        <f>+VLOOKUP($L461,Data_Validation!$A:$E,5,0)</f>
        <v>NB</v>
      </c>
      <c r="X461" s="656">
        <f>+VLOOKUP($L461,Data_Validation!$A:$F,6,0)</f>
        <v>0</v>
      </c>
    </row>
    <row r="462" spans="1:24" ht="15.75" customHeight="1">
      <c r="A462" s="1210" t="s">
        <v>1099</v>
      </c>
      <c r="B462" s="1210" t="s">
        <v>1100</v>
      </c>
      <c r="C462" s="1211"/>
      <c r="D462" s="1211"/>
      <c r="E462" s="1211"/>
      <c r="F462" s="1210" t="s">
        <v>7</v>
      </c>
      <c r="G462" s="1210" t="s">
        <v>1098</v>
      </c>
      <c r="H462" s="1211"/>
      <c r="I462" s="1212">
        <v>-135</v>
      </c>
      <c r="J462" s="1212">
        <v>-138</v>
      </c>
      <c r="K462" s="1212">
        <v>-273</v>
      </c>
      <c r="L462" s="653" t="str">
        <f t="shared" si="196"/>
        <v>4761@</v>
      </c>
      <c r="M462" s="654" t="str">
        <f t="shared" si="197"/>
        <v>PIECES-COMPTOIR-DETAIL</v>
      </c>
      <c r="N462" s="655">
        <f>+IF(OR($Q462=Parametres!$G$2,$Q462=Parametres!$G$3),I462,C462)</f>
        <v>-135</v>
      </c>
      <c r="O462" s="655">
        <f>+IF(OR($Q462=Parametres!$G$2,$Q462=Parametres!$G$3),J462,D462)</f>
        <v>-138</v>
      </c>
      <c r="P462" s="655">
        <f>+IF(OR($Q462=Parametres!$G$2,$Q462=Parametres!$G$3),K462,E462)</f>
        <v>-273</v>
      </c>
      <c r="Q462" s="654" t="str">
        <f t="shared" si="198"/>
        <v>10-Compte compteur</v>
      </c>
      <c r="R462" s="653" t="str">
        <f t="shared" si="199"/>
        <v>4761</v>
      </c>
      <c r="S462" s="654">
        <f t="shared" si="200"/>
        <v>0</v>
      </c>
      <c r="T462" s="656" t="str">
        <f>+VLOOKUP($L462,Data_Validation!$A:$D,1,0)</f>
        <v>4761@</v>
      </c>
      <c r="U462" s="656" t="str">
        <f>+VLOOKUP($L462,Data_Validation!$A:$D,3,0)</f>
        <v>Pièces</v>
      </c>
      <c r="V462" s="656" t="str">
        <f>+VLOOKUP($L462,Data_Validation!$A:$D,4,0)</f>
        <v>Ventes Détails</v>
      </c>
      <c r="W462" s="656" t="str">
        <f>+VLOOKUP($L462,Data_Validation!$A:$E,5,0)</f>
        <v>NB</v>
      </c>
      <c r="X462" s="656">
        <f>+VLOOKUP($L462,Data_Validation!$A:$F,6,0)</f>
        <v>0</v>
      </c>
    </row>
    <row r="463" spans="1:24" ht="15.75" customHeight="1">
      <c r="A463" s="1210" t="s">
        <v>1103</v>
      </c>
      <c r="B463" s="1210" t="s">
        <v>1104</v>
      </c>
      <c r="C463" s="1211"/>
      <c r="D463" s="1211"/>
      <c r="E463" s="1211"/>
      <c r="F463" s="1210" t="s">
        <v>7</v>
      </c>
      <c r="G463" s="1210" t="s">
        <v>1102</v>
      </c>
      <c r="H463" s="1211"/>
      <c r="I463" s="1212">
        <v>-435</v>
      </c>
      <c r="J463" s="1212">
        <v>-398</v>
      </c>
      <c r="K463" s="1212">
        <v>-833</v>
      </c>
      <c r="L463" s="653" t="str">
        <f t="shared" si="196"/>
        <v>4763@</v>
      </c>
      <c r="M463" s="654" t="str">
        <f t="shared" si="197"/>
        <v>PIECES-COMPTOIR-COMM. GROS</v>
      </c>
      <c r="N463" s="655">
        <f>+IF(OR($Q463=Parametres!$G$2,$Q463=Parametres!$G$3),I463,C463)</f>
        <v>-435</v>
      </c>
      <c r="O463" s="655">
        <f>+IF(OR($Q463=Parametres!$G$2,$Q463=Parametres!$G$3),J463,D463)</f>
        <v>-398</v>
      </c>
      <c r="P463" s="655">
        <f>+IF(OR($Q463=Parametres!$G$2,$Q463=Parametres!$G$3),K463,E463)</f>
        <v>-833</v>
      </c>
      <c r="Q463" s="654" t="str">
        <f t="shared" si="198"/>
        <v>10-Compte compteur</v>
      </c>
      <c r="R463" s="653" t="str">
        <f t="shared" si="199"/>
        <v>4763</v>
      </c>
      <c r="S463" s="654">
        <f t="shared" si="200"/>
        <v>0</v>
      </c>
      <c r="T463" s="656" t="str">
        <f>+VLOOKUP($L463,Data_Validation!$A:$D,1,0)</f>
        <v>4763@</v>
      </c>
      <c r="U463" s="656" t="str">
        <f>+VLOOKUP($L463,Data_Validation!$A:$D,3,0)</f>
        <v>Pièces</v>
      </c>
      <c r="V463" s="656" t="str">
        <f>+VLOOKUP($L463,Data_Validation!$A:$D,4,0)</f>
        <v>Ventes de Gros</v>
      </c>
      <c r="W463" s="656" t="str">
        <f>+VLOOKUP($L463,Data_Validation!$A:$E,5,0)</f>
        <v>NB</v>
      </c>
      <c r="X463" s="656">
        <f>+VLOOKUP($L463,Data_Validation!$A:$F,6,0)</f>
        <v>0</v>
      </c>
    </row>
    <row r="464" spans="1:24" ht="15.75" customHeight="1">
      <c r="A464" s="1210" t="s">
        <v>1105</v>
      </c>
      <c r="B464" s="1210" t="s">
        <v>1107</v>
      </c>
      <c r="C464" s="1211"/>
      <c r="D464" s="1211"/>
      <c r="E464" s="1211"/>
      <c r="F464" s="1210" t="s">
        <v>7</v>
      </c>
      <c r="G464" s="1210" t="s">
        <v>1106</v>
      </c>
      <c r="H464" s="1211"/>
      <c r="I464" s="1212">
        <v>-50</v>
      </c>
      <c r="J464" s="1212">
        <v>-46</v>
      </c>
      <c r="K464" s="1212">
        <v>-96</v>
      </c>
      <c r="L464" s="653" t="str">
        <f t="shared" ref="L464:L467" si="201">TEXT(B464,0)</f>
        <v>4781@</v>
      </c>
      <c r="M464" s="654" t="str">
        <f t="shared" ref="M464:M467" si="202">+A464</f>
        <v>VENTES PNEUS</v>
      </c>
      <c r="N464" s="655">
        <f>+IF(OR($Q464=Parametres!$G$2,$Q464=Parametres!$G$3),I464,C464)</f>
        <v>-50</v>
      </c>
      <c r="O464" s="655">
        <f>+IF(OR($Q464=Parametres!$G$2,$Q464=Parametres!$G$3),J464,D464)</f>
        <v>-46</v>
      </c>
      <c r="P464" s="655">
        <f>+IF(OR($Q464=Parametres!$G$2,$Q464=Parametres!$G$3),K464,E464)</f>
        <v>-96</v>
      </c>
      <c r="Q464" s="654" t="str">
        <f t="shared" ref="Q464:Q467" si="203">+F464</f>
        <v>10-Compte compteur</v>
      </c>
      <c r="R464" s="653" t="str">
        <f t="shared" ref="R464:R467" si="204">+G464</f>
        <v>4781</v>
      </c>
      <c r="S464" s="654">
        <f t="shared" ref="S464:S467" si="205">+H464</f>
        <v>0</v>
      </c>
      <c r="T464" s="656" t="str">
        <f>+VLOOKUP($L464,Data_Validation!$A:$D,1,0)</f>
        <v>4781@</v>
      </c>
      <c r="U464" s="656" t="str">
        <f>+VLOOKUP($L464,Data_Validation!$A:$D,3,0)</f>
        <v>Pièces</v>
      </c>
      <c r="V464" s="656" t="str">
        <f>+VLOOKUP($L464,Data_Validation!$A:$D,4,0)</f>
        <v>Ventes Pneus</v>
      </c>
      <c r="W464" s="656" t="str">
        <f>+VLOOKUP($L464,Data_Validation!$A:$E,5,0)</f>
        <v>NB</v>
      </c>
      <c r="X464" s="656">
        <f>+VLOOKUP($L464,Data_Validation!$A:$F,6,0)</f>
        <v>0</v>
      </c>
    </row>
    <row r="465" spans="1:24" ht="15.75" customHeight="1">
      <c r="A465" s="1210" t="s">
        <v>1294</v>
      </c>
      <c r="B465" s="1210" t="s">
        <v>1296</v>
      </c>
      <c r="C465" s="1211"/>
      <c r="D465" s="1211"/>
      <c r="E465" s="1211"/>
      <c r="F465" s="1210" t="s">
        <v>7</v>
      </c>
      <c r="G465" s="1210" t="s">
        <v>1295</v>
      </c>
      <c r="H465" s="1211"/>
      <c r="I465" s="1212">
        <v>-12</v>
      </c>
      <c r="J465" s="1212">
        <v>-6</v>
      </c>
      <c r="K465" s="1212">
        <v>-18</v>
      </c>
      <c r="L465" s="653" t="str">
        <f t="shared" si="201"/>
        <v>9163@</v>
      </c>
      <c r="M465" s="654" t="str">
        <f t="shared" si="202"/>
        <v>RESERVE FIN ET ASS VEH OCCASION</v>
      </c>
      <c r="N465" s="655">
        <f>+IF(OR($Q465=Parametres!$G$2,$Q465=Parametres!$G$3),I465,C465)</f>
        <v>-12</v>
      </c>
      <c r="O465" s="655">
        <f>+IF(OR($Q465=Parametres!$G$2,$Q465=Parametres!$G$3),J465,D465)</f>
        <v>-6</v>
      </c>
      <c r="P465" s="655">
        <f>+IF(OR($Q465=Parametres!$G$2,$Q465=Parametres!$G$3),K465,E465)</f>
        <v>-18</v>
      </c>
      <c r="Q465" s="654" t="str">
        <f t="shared" si="203"/>
        <v>10-Compte compteur</v>
      </c>
      <c r="R465" s="653" t="str">
        <f t="shared" si="204"/>
        <v>9163</v>
      </c>
      <c r="S465" s="654">
        <f t="shared" si="205"/>
        <v>0</v>
      </c>
      <c r="T465" s="656" t="str">
        <f>+VLOOKUP($L465,Data_Validation!$A:$D,1,0)</f>
        <v>9163@</v>
      </c>
      <c r="U465" s="656" t="str">
        <f>+VLOOKUP($L465,Data_Validation!$A:$D,3,0)</f>
        <v>Véhicules usagés</v>
      </c>
      <c r="V465" s="656">
        <f>+VLOOKUP($L465,Data_Validation!$A:$D,4,0)</f>
        <v>0</v>
      </c>
      <c r="W465" s="656" t="str">
        <f>+VLOOKUP($L465,Data_Validation!$A:$E,5,0)</f>
        <v>NB</v>
      </c>
      <c r="X465" s="656">
        <f>+VLOOKUP($L465,Data_Validation!$A:$F,6,0)</f>
        <v>0</v>
      </c>
    </row>
    <row r="466" spans="1:24" ht="15.75" customHeight="1">
      <c r="A466" s="1210" t="s">
        <v>3347</v>
      </c>
      <c r="B466" s="1210" t="s">
        <v>3348</v>
      </c>
      <c r="C466" s="1211"/>
      <c r="D466" s="1211"/>
      <c r="E466" s="1211"/>
      <c r="F466" s="1210" t="s">
        <v>7</v>
      </c>
      <c r="G466" s="1210" t="s">
        <v>1291</v>
      </c>
      <c r="H466" s="1211"/>
      <c r="I466" s="1212">
        <v>-51</v>
      </c>
      <c r="J466" s="1212">
        <v>-31</v>
      </c>
      <c r="K466" s="1212">
        <v>-82</v>
      </c>
      <c r="L466" s="653" t="str">
        <f t="shared" si="201"/>
        <v>9170@</v>
      </c>
      <c r="M466" s="654" t="str">
        <f t="shared" si="202"/>
        <v># DE PROFIT PROTECTIONS - NEUFS</v>
      </c>
      <c r="N466" s="655">
        <f>+IF(OR($Q466=Parametres!$G$2,$Q466=Parametres!$G$3),I466,C466)</f>
        <v>-51</v>
      </c>
      <c r="O466" s="655">
        <f>+IF(OR($Q466=Parametres!$G$2,$Q466=Parametres!$G$3),J466,D466)</f>
        <v>-31</v>
      </c>
      <c r="P466" s="655">
        <f>+IF(OR($Q466=Parametres!$G$2,$Q466=Parametres!$G$3),K466,E466)</f>
        <v>-82</v>
      </c>
      <c r="Q466" s="654" t="str">
        <f t="shared" si="203"/>
        <v>10-Compte compteur</v>
      </c>
      <c r="R466" s="653" t="str">
        <f t="shared" si="204"/>
        <v>9161</v>
      </c>
      <c r="S466" s="654">
        <f t="shared" si="205"/>
        <v>0</v>
      </c>
      <c r="T466" s="656" t="str">
        <f>+VLOOKUP($L466,Data_Validation!$A:$D,1,0)</f>
        <v>9170@</v>
      </c>
      <c r="U466" s="656" t="str">
        <f>+VLOOKUP($L466,Data_Validation!$A:$D,3,0)</f>
        <v>Véhicules neufs</v>
      </c>
      <c r="V466" s="656">
        <f>+VLOOKUP($L466,Data_Validation!$A:$D,4,0)</f>
        <v>0</v>
      </c>
      <c r="W466" s="656" t="str">
        <f>+VLOOKUP($L466,Data_Validation!$A:$E,5,0)</f>
        <v>NB</v>
      </c>
      <c r="X466" s="656">
        <f>+VLOOKUP($L466,Data_Validation!$A:$F,6,0)</f>
        <v>0</v>
      </c>
    </row>
    <row r="467" spans="1:24" ht="15.75" customHeight="1">
      <c r="A467" s="1210" t="s">
        <v>1307</v>
      </c>
      <c r="B467" s="1210" t="s">
        <v>1308</v>
      </c>
      <c r="C467" s="1211"/>
      <c r="D467" s="1211"/>
      <c r="E467" s="1211"/>
      <c r="F467" s="1210" t="s">
        <v>7</v>
      </c>
      <c r="G467" s="1210" t="s">
        <v>1295</v>
      </c>
      <c r="H467" s="1211"/>
      <c r="I467" s="1212">
        <v>-23</v>
      </c>
      <c r="J467" s="1212">
        <v>-18</v>
      </c>
      <c r="K467" s="1212">
        <v>-41</v>
      </c>
      <c r="L467" s="653" t="str">
        <f t="shared" si="201"/>
        <v>9172@</v>
      </c>
      <c r="M467" s="654" t="str">
        <f t="shared" si="202"/>
        <v># DE PROFIT PROTECTIONS - USAGES</v>
      </c>
      <c r="N467" s="655">
        <f>+IF(OR($Q467=Parametres!$G$2,$Q467=Parametres!$G$3),I467,C467)</f>
        <v>-23</v>
      </c>
      <c r="O467" s="655">
        <f>+IF(OR($Q467=Parametres!$G$2,$Q467=Parametres!$G$3),J467,D467)</f>
        <v>-18</v>
      </c>
      <c r="P467" s="655">
        <f>+IF(OR($Q467=Parametres!$G$2,$Q467=Parametres!$G$3),K467,E467)</f>
        <v>-41</v>
      </c>
      <c r="Q467" s="654" t="str">
        <f t="shared" si="203"/>
        <v>10-Compte compteur</v>
      </c>
      <c r="R467" s="653" t="str">
        <f t="shared" si="204"/>
        <v>9163</v>
      </c>
      <c r="S467" s="654">
        <f t="shared" si="205"/>
        <v>0</v>
      </c>
      <c r="T467" s="656" t="str">
        <f>+VLOOKUP($L467,Data_Validation!$A:$D,1,0)</f>
        <v>9172@</v>
      </c>
      <c r="U467" s="656" t="str">
        <f>+VLOOKUP($L467,Data_Validation!$A:$D,3,0)</f>
        <v>Véhicules usagés</v>
      </c>
      <c r="V467" s="656">
        <f>+VLOOKUP($L467,Data_Validation!$A:$D,4,0)</f>
        <v>0</v>
      </c>
      <c r="W467" s="656" t="str">
        <f>+VLOOKUP($L467,Data_Validation!$A:$E,5,0)</f>
        <v>NB</v>
      </c>
      <c r="X467" s="656">
        <f>+VLOOKUP($L467,Data_Validation!$A:$F,6,0)</f>
        <v>0</v>
      </c>
    </row>
    <row r="468" spans="1:24" ht="15.75" customHeight="1">
      <c r="C468" s="1023"/>
      <c r="D468" s="1023"/>
      <c r="E468" s="1023"/>
      <c r="I468" s="1024"/>
      <c r="J468" s="1024"/>
      <c r="K468" s="1024"/>
      <c r="O468" s="673"/>
    </row>
    <row r="469" spans="1:24" ht="15.75" customHeight="1">
      <c r="C469" s="1023"/>
      <c r="D469" s="1023"/>
      <c r="E469" s="1023"/>
      <c r="I469" s="1024"/>
      <c r="J469" s="1024"/>
      <c r="K469" s="1024"/>
      <c r="O469" s="673"/>
    </row>
    <row r="470" spans="1:24" ht="15.75" customHeight="1">
      <c r="C470" s="1023"/>
      <c r="D470" s="1023"/>
      <c r="E470" s="1023"/>
      <c r="I470" s="1024"/>
      <c r="J470" s="1024"/>
      <c r="K470" s="1024"/>
      <c r="O470" s="673"/>
    </row>
    <row r="471" spans="1:24" ht="15.75" customHeight="1">
      <c r="C471" s="1023"/>
      <c r="D471" s="1023"/>
      <c r="E471" s="1023"/>
      <c r="I471" s="1024"/>
      <c r="J471" s="1024"/>
      <c r="K471" s="1024"/>
      <c r="O471" s="673"/>
    </row>
    <row r="472" spans="1:24" ht="15.75" customHeight="1">
      <c r="C472" s="1023"/>
      <c r="D472" s="1023"/>
      <c r="E472" s="1023"/>
      <c r="I472" s="1024"/>
      <c r="J472" s="1024"/>
      <c r="K472" s="1024"/>
      <c r="O472" s="673"/>
    </row>
    <row r="473" spans="1:24" ht="15.75" customHeight="1">
      <c r="C473" s="1023"/>
      <c r="D473" s="1023"/>
      <c r="E473" s="1023"/>
      <c r="I473" s="1024"/>
      <c r="J473" s="1024"/>
      <c r="K473" s="1024"/>
      <c r="O473" s="673"/>
    </row>
    <row r="474" spans="1:24" ht="15.75" customHeight="1">
      <c r="C474" s="1023"/>
      <c r="D474" s="1023"/>
      <c r="E474" s="1023"/>
      <c r="I474" s="1024"/>
      <c r="J474" s="1024"/>
      <c r="K474" s="1024"/>
      <c r="O474" s="673"/>
    </row>
    <row r="475" spans="1:24" ht="15.75" customHeight="1">
      <c r="C475" s="1023"/>
      <c r="D475" s="1023"/>
      <c r="E475" s="1023"/>
      <c r="I475" s="1024"/>
      <c r="J475" s="1024"/>
      <c r="K475" s="1024"/>
      <c r="O475" s="673"/>
    </row>
    <row r="476" spans="1:24" ht="15.75" customHeight="1">
      <c r="C476" s="1023"/>
      <c r="D476" s="1023"/>
      <c r="E476" s="1023"/>
      <c r="I476" s="1024"/>
      <c r="J476" s="1024"/>
      <c r="K476" s="1024"/>
      <c r="O476" s="673"/>
    </row>
    <row r="477" spans="1:24" ht="15.75" customHeight="1">
      <c r="C477" s="1023"/>
      <c r="D477" s="1023"/>
      <c r="E477" s="1023"/>
      <c r="I477" s="1024"/>
      <c r="J477" s="1024"/>
      <c r="K477" s="1024"/>
      <c r="O477" s="673"/>
    </row>
    <row r="478" spans="1:24" ht="15.75" customHeight="1">
      <c r="C478" s="1023"/>
      <c r="D478" s="1023"/>
      <c r="E478" s="1023"/>
      <c r="I478" s="1024"/>
      <c r="J478" s="1024"/>
      <c r="K478" s="1024"/>
      <c r="O478" s="673"/>
    </row>
    <row r="479" spans="1:24" ht="15.75" customHeight="1">
      <c r="C479" s="1023"/>
      <c r="D479" s="1023"/>
      <c r="E479" s="1023"/>
      <c r="I479" s="1024"/>
      <c r="J479" s="1024"/>
      <c r="K479" s="1024"/>
      <c r="O479" s="673"/>
    </row>
    <row r="480" spans="1:24" ht="15.75" customHeight="1">
      <c r="C480" s="1023"/>
      <c r="D480" s="1023"/>
      <c r="E480" s="1023"/>
      <c r="I480" s="1024"/>
      <c r="J480" s="1024"/>
      <c r="K480" s="1024"/>
      <c r="O480" s="673"/>
    </row>
    <row r="481" spans="3:15" ht="15.75" customHeight="1">
      <c r="C481" s="1023"/>
      <c r="D481" s="1023"/>
      <c r="E481" s="1023"/>
      <c r="I481" s="1024"/>
      <c r="J481" s="1024"/>
      <c r="K481" s="1024"/>
      <c r="O481" s="673"/>
    </row>
    <row r="482" spans="3:15" ht="15.75" customHeight="1">
      <c r="C482" s="1023"/>
      <c r="D482" s="1023"/>
      <c r="E482" s="1023"/>
      <c r="I482" s="1024"/>
      <c r="J482" s="1024"/>
      <c r="K482" s="1024"/>
      <c r="O482" s="673"/>
    </row>
    <row r="483" spans="3:15" ht="15.75" customHeight="1">
      <c r="C483" s="1023"/>
      <c r="D483" s="1023"/>
      <c r="E483" s="1023"/>
      <c r="I483" s="1024"/>
      <c r="J483" s="1024"/>
      <c r="K483" s="1024"/>
      <c r="O483" s="673"/>
    </row>
    <row r="484" spans="3:15" ht="15.75" customHeight="1">
      <c r="C484" s="1023"/>
      <c r="D484" s="1023"/>
      <c r="E484" s="1023"/>
      <c r="I484" s="1024"/>
      <c r="J484" s="1024"/>
      <c r="K484" s="1024"/>
      <c r="O484" s="673"/>
    </row>
    <row r="485" spans="3:15" ht="15.75" customHeight="1">
      <c r="C485" s="1023"/>
      <c r="D485" s="1023"/>
      <c r="E485" s="1023"/>
      <c r="I485" s="1024"/>
      <c r="J485" s="1024"/>
      <c r="K485" s="1024"/>
      <c r="O485" s="673"/>
    </row>
    <row r="486" spans="3:15" ht="15.75" customHeight="1">
      <c r="C486" s="1023"/>
      <c r="D486" s="1023"/>
      <c r="E486" s="1023"/>
      <c r="I486" s="1024"/>
      <c r="J486" s="1024"/>
      <c r="K486" s="1024"/>
      <c r="O486" s="673"/>
    </row>
    <row r="487" spans="3:15" ht="15.75" customHeight="1">
      <c r="C487" s="1023"/>
      <c r="D487" s="1023"/>
      <c r="E487" s="1023"/>
      <c r="I487" s="1024"/>
      <c r="J487" s="1024"/>
      <c r="K487" s="1024"/>
      <c r="O487" s="673"/>
    </row>
    <row r="488" spans="3:15" ht="15.75" customHeight="1">
      <c r="C488" s="1023"/>
      <c r="D488" s="1023"/>
      <c r="E488" s="1023"/>
      <c r="I488" s="1024"/>
      <c r="J488" s="1024"/>
      <c r="K488" s="1024"/>
      <c r="O488" s="673"/>
    </row>
    <row r="489" spans="3:15" ht="15.75" customHeight="1">
      <c r="C489" s="1023"/>
      <c r="D489" s="1023"/>
      <c r="E489" s="1023"/>
      <c r="I489" s="1024"/>
      <c r="J489" s="1024"/>
      <c r="K489" s="1024"/>
      <c r="O489" s="673"/>
    </row>
    <row r="490" spans="3:15" ht="15.75" customHeight="1">
      <c r="C490" s="1023"/>
      <c r="D490" s="1023"/>
      <c r="E490" s="1023"/>
      <c r="I490" s="1024"/>
      <c r="J490" s="1024"/>
      <c r="K490" s="1024"/>
      <c r="O490" s="673"/>
    </row>
    <row r="491" spans="3:15" ht="15.75" customHeight="1">
      <c r="C491" s="1023"/>
      <c r="D491" s="1023"/>
      <c r="E491" s="1023"/>
      <c r="I491" s="1024"/>
      <c r="J491" s="1024"/>
      <c r="K491" s="1024"/>
      <c r="O491" s="673"/>
    </row>
    <row r="492" spans="3:15" ht="15.75" customHeight="1">
      <c r="C492" s="1023"/>
      <c r="D492" s="1023"/>
      <c r="E492" s="1023"/>
      <c r="I492" s="1024"/>
      <c r="J492" s="1024"/>
      <c r="K492" s="1024"/>
      <c r="O492" s="673"/>
    </row>
    <row r="493" spans="3:15" ht="15.75" customHeight="1">
      <c r="C493" s="1023"/>
      <c r="D493" s="1023"/>
      <c r="E493" s="1023"/>
      <c r="I493" s="1024"/>
      <c r="J493" s="1024"/>
      <c r="K493" s="1024"/>
      <c r="O493" s="673"/>
    </row>
    <row r="494" spans="3:15" ht="15.75" customHeight="1">
      <c r="C494" s="1023"/>
      <c r="D494" s="1023"/>
      <c r="E494" s="1023"/>
      <c r="I494" s="1024"/>
      <c r="J494" s="1024"/>
      <c r="K494" s="1024"/>
      <c r="O494" s="673"/>
    </row>
    <row r="495" spans="3:15" ht="15.75" customHeight="1">
      <c r="C495" s="1023"/>
      <c r="D495" s="1023"/>
      <c r="E495" s="1023"/>
      <c r="I495" s="1024"/>
      <c r="J495" s="1024"/>
      <c r="K495" s="1024"/>
      <c r="O495" s="673"/>
    </row>
    <row r="496" spans="3:15" ht="15.75" customHeight="1">
      <c r="C496" s="1023"/>
      <c r="D496" s="1023"/>
      <c r="E496" s="1023"/>
      <c r="I496" s="1024"/>
      <c r="J496" s="1024"/>
      <c r="K496" s="1024"/>
      <c r="O496" s="673"/>
    </row>
    <row r="497" spans="3:15" ht="15.75" customHeight="1">
      <c r="C497" s="1023"/>
      <c r="D497" s="1023"/>
      <c r="E497" s="1023"/>
      <c r="I497" s="1024"/>
      <c r="J497" s="1024"/>
      <c r="K497" s="1024"/>
      <c r="O497" s="673"/>
    </row>
    <row r="498" spans="3:15" ht="15.75" customHeight="1">
      <c r="C498" s="1023"/>
      <c r="D498" s="1023"/>
      <c r="E498" s="1023"/>
      <c r="I498" s="1024"/>
      <c r="J498" s="1024"/>
      <c r="K498" s="1024"/>
      <c r="O498" s="673"/>
    </row>
    <row r="499" spans="3:15" ht="15.75" customHeight="1">
      <c r="C499" s="1023"/>
      <c r="D499" s="1023"/>
      <c r="E499" s="1023"/>
      <c r="I499" s="1024"/>
      <c r="J499" s="1024"/>
      <c r="K499" s="1024"/>
      <c r="O499" s="673"/>
    </row>
    <row r="500" spans="3:15" ht="15.75" customHeight="1">
      <c r="C500" s="1023"/>
      <c r="D500" s="1023"/>
      <c r="E500" s="1023"/>
      <c r="I500" s="1024"/>
      <c r="J500" s="1024"/>
      <c r="K500" s="1024"/>
      <c r="O500" s="673"/>
    </row>
    <row r="501" spans="3:15" ht="15.75" customHeight="1">
      <c r="C501" s="1023"/>
      <c r="D501" s="1023"/>
      <c r="E501" s="1023"/>
      <c r="I501" s="1024"/>
      <c r="J501" s="1024"/>
      <c r="K501" s="1024"/>
      <c r="O501" s="673"/>
    </row>
    <row r="502" spans="3:15" ht="15.75" customHeight="1">
      <c r="C502" s="1023"/>
      <c r="D502" s="1023"/>
      <c r="E502" s="1023"/>
      <c r="I502" s="1024"/>
      <c r="J502" s="1024"/>
      <c r="K502" s="1024"/>
      <c r="O502" s="673"/>
    </row>
    <row r="503" spans="3:15" ht="15.75" customHeight="1">
      <c r="C503" s="1023"/>
      <c r="D503" s="1023"/>
      <c r="E503" s="1023"/>
      <c r="I503" s="1024"/>
      <c r="J503" s="1024"/>
      <c r="K503" s="1024"/>
      <c r="O503" s="673"/>
    </row>
    <row r="504" spans="3:15" ht="15.75" customHeight="1">
      <c r="C504" s="1023"/>
      <c r="D504" s="1023"/>
      <c r="E504" s="1023"/>
      <c r="I504" s="1024"/>
      <c r="J504" s="1024"/>
      <c r="K504" s="1024"/>
      <c r="O504" s="673"/>
    </row>
    <row r="505" spans="3:15" ht="15.75" customHeight="1">
      <c r="C505" s="1023"/>
      <c r="D505" s="1023"/>
      <c r="E505" s="1023"/>
      <c r="I505" s="1024"/>
      <c r="J505" s="1024"/>
      <c r="K505" s="1024"/>
      <c r="O505" s="673"/>
    </row>
    <row r="506" spans="3:15" ht="15.75" customHeight="1">
      <c r="C506" s="1023"/>
      <c r="D506" s="1023"/>
      <c r="E506" s="1023"/>
      <c r="I506" s="1024"/>
      <c r="J506" s="1024"/>
      <c r="K506" s="1024"/>
      <c r="O506" s="673"/>
    </row>
    <row r="507" spans="3:15" ht="15.75" customHeight="1">
      <c r="C507" s="1023"/>
      <c r="D507" s="1023"/>
      <c r="E507" s="1023"/>
      <c r="I507" s="1024"/>
      <c r="J507" s="1024"/>
      <c r="K507" s="1024"/>
      <c r="O507" s="673"/>
    </row>
    <row r="508" spans="3:15" ht="15.75" customHeight="1">
      <c r="C508" s="1023"/>
      <c r="D508" s="1023"/>
      <c r="E508" s="1023"/>
      <c r="I508" s="1024"/>
      <c r="J508" s="1024"/>
      <c r="K508" s="1024"/>
      <c r="O508" s="673"/>
    </row>
    <row r="509" spans="3:15" ht="15.75" customHeight="1">
      <c r="C509" s="1023"/>
      <c r="D509" s="1023"/>
      <c r="E509" s="1023"/>
      <c r="I509" s="1024"/>
      <c r="J509" s="1024"/>
      <c r="K509" s="1024"/>
      <c r="O509" s="673"/>
    </row>
    <row r="510" spans="3:15" ht="15.75" customHeight="1">
      <c r="C510" s="1023"/>
      <c r="D510" s="1023"/>
      <c r="E510" s="1023"/>
      <c r="I510" s="1024"/>
      <c r="J510" s="1024"/>
      <c r="K510" s="1024"/>
      <c r="O510" s="673"/>
    </row>
    <row r="511" spans="3:15" ht="15.75" customHeight="1">
      <c r="C511" s="1023"/>
      <c r="D511" s="1023"/>
      <c r="E511" s="1023"/>
      <c r="I511" s="1024"/>
      <c r="J511" s="1024"/>
      <c r="K511" s="1024"/>
      <c r="O511" s="673"/>
    </row>
    <row r="512" spans="3:15" ht="15.75" customHeight="1">
      <c r="C512" s="1023"/>
      <c r="D512" s="1023"/>
      <c r="E512" s="1023"/>
      <c r="I512" s="1024"/>
      <c r="J512" s="1024"/>
      <c r="K512" s="1024"/>
      <c r="O512" s="673"/>
    </row>
    <row r="513" spans="3:15" ht="15.75" customHeight="1">
      <c r="C513" s="1023"/>
      <c r="D513" s="1023"/>
      <c r="E513" s="1023"/>
      <c r="I513" s="1024"/>
      <c r="J513" s="1024"/>
      <c r="K513" s="1024"/>
      <c r="O513" s="673"/>
    </row>
    <row r="514" spans="3:15" ht="15.75" customHeight="1">
      <c r="C514" s="1023"/>
      <c r="D514" s="1023"/>
      <c r="E514" s="1023"/>
      <c r="I514" s="1024"/>
      <c r="J514" s="1024"/>
      <c r="K514" s="1024"/>
      <c r="O514" s="673"/>
    </row>
    <row r="515" spans="3:15" ht="15.75" customHeight="1">
      <c r="C515" s="1023"/>
      <c r="D515" s="1023"/>
      <c r="E515" s="1023"/>
      <c r="I515" s="1024"/>
      <c r="J515" s="1024"/>
      <c r="K515" s="1024"/>
      <c r="O515" s="673"/>
    </row>
    <row r="516" spans="3:15" ht="15.75" customHeight="1">
      <c r="C516" s="1023"/>
      <c r="D516" s="1023"/>
      <c r="E516" s="1023"/>
      <c r="I516" s="1024"/>
      <c r="J516" s="1024"/>
      <c r="K516" s="1024"/>
      <c r="O516" s="673"/>
    </row>
    <row r="517" spans="3:15" ht="15.75" customHeight="1">
      <c r="C517" s="1023"/>
      <c r="D517" s="1023"/>
      <c r="E517" s="1023"/>
      <c r="I517" s="1024"/>
      <c r="J517" s="1024"/>
      <c r="K517" s="1024"/>
      <c r="O517" s="673"/>
    </row>
    <row r="518" spans="3:15" ht="15.75" customHeight="1">
      <c r="C518" s="1023"/>
      <c r="D518" s="1023"/>
      <c r="E518" s="1023"/>
      <c r="I518" s="1024"/>
      <c r="J518" s="1024"/>
      <c r="K518" s="1024"/>
      <c r="O518" s="673"/>
    </row>
    <row r="519" spans="3:15" ht="15.75" customHeight="1">
      <c r="C519" s="1023"/>
      <c r="D519" s="1023"/>
      <c r="E519" s="1023"/>
      <c r="I519" s="1024"/>
      <c r="J519" s="1024"/>
      <c r="K519" s="1024"/>
      <c r="O519" s="673"/>
    </row>
    <row r="520" spans="3:15" ht="15.75" customHeight="1">
      <c r="C520" s="1023"/>
      <c r="D520" s="1023"/>
      <c r="E520" s="1023"/>
      <c r="I520" s="1024"/>
      <c r="J520" s="1024"/>
      <c r="K520" s="1024"/>
      <c r="O520" s="673"/>
    </row>
    <row r="521" spans="3:15" ht="15.75" customHeight="1">
      <c r="C521" s="1023"/>
      <c r="D521" s="1023"/>
      <c r="E521" s="1023"/>
      <c r="I521" s="1024"/>
      <c r="J521" s="1024"/>
      <c r="K521" s="1024"/>
      <c r="O521" s="673"/>
    </row>
    <row r="522" spans="3:15" ht="15.75" customHeight="1">
      <c r="C522" s="1023"/>
      <c r="D522" s="1023"/>
      <c r="E522" s="1023"/>
      <c r="I522" s="1024"/>
      <c r="J522" s="1024"/>
      <c r="K522" s="1024"/>
      <c r="O522" s="673"/>
    </row>
    <row r="523" spans="3:15" ht="15.75" customHeight="1">
      <c r="C523" s="1023"/>
      <c r="D523" s="1023"/>
      <c r="E523" s="1023"/>
      <c r="I523" s="1024"/>
      <c r="J523" s="1024"/>
      <c r="K523" s="1024"/>
      <c r="O523" s="673"/>
    </row>
    <row r="524" spans="3:15" ht="15.75" customHeight="1">
      <c r="C524" s="1023"/>
      <c r="D524" s="1023"/>
      <c r="E524" s="1023"/>
      <c r="I524" s="1024"/>
      <c r="J524" s="1024"/>
      <c r="K524" s="1024"/>
      <c r="O524" s="673"/>
    </row>
    <row r="525" spans="3:15" ht="15.75" customHeight="1">
      <c r="C525" s="1023"/>
      <c r="D525" s="1023"/>
      <c r="E525" s="1023"/>
      <c r="I525" s="1024"/>
      <c r="J525" s="1024"/>
      <c r="K525" s="1024"/>
      <c r="O525" s="673"/>
    </row>
    <row r="526" spans="3:15" ht="15.75" customHeight="1">
      <c r="C526" s="1023"/>
      <c r="D526" s="1023"/>
      <c r="E526" s="1023"/>
      <c r="I526" s="1024"/>
      <c r="J526" s="1024"/>
      <c r="K526" s="1024"/>
      <c r="O526" s="673"/>
    </row>
    <row r="527" spans="3:15" ht="15.75" customHeight="1">
      <c r="C527" s="1023"/>
      <c r="D527" s="1023"/>
      <c r="E527" s="1023"/>
      <c r="I527" s="1024"/>
      <c r="J527" s="1024"/>
      <c r="K527" s="1024"/>
      <c r="O527" s="673"/>
    </row>
    <row r="528" spans="3:15" ht="15.75" customHeight="1">
      <c r="C528" s="1023"/>
      <c r="D528" s="1023"/>
      <c r="E528" s="1023"/>
      <c r="I528" s="1024"/>
      <c r="J528" s="1024"/>
      <c r="K528" s="1024"/>
      <c r="O528" s="673"/>
    </row>
    <row r="529" spans="3:15" ht="15.75" customHeight="1">
      <c r="C529" s="1023"/>
      <c r="D529" s="1023"/>
      <c r="E529" s="1023"/>
      <c r="I529" s="1024"/>
      <c r="J529" s="1024"/>
      <c r="K529" s="1024"/>
      <c r="O529" s="673"/>
    </row>
    <row r="530" spans="3:15" ht="15.75" customHeight="1">
      <c r="C530" s="1023"/>
      <c r="D530" s="1023"/>
      <c r="E530" s="1023"/>
      <c r="I530" s="1024"/>
      <c r="J530" s="1024"/>
      <c r="K530" s="1024"/>
      <c r="O530" s="673"/>
    </row>
    <row r="531" spans="3:15" ht="15.75" customHeight="1">
      <c r="C531" s="1023"/>
      <c r="D531" s="1023"/>
      <c r="E531" s="1023"/>
      <c r="I531" s="1024"/>
      <c r="J531" s="1024"/>
      <c r="K531" s="1024"/>
      <c r="O531" s="673"/>
    </row>
    <row r="532" spans="3:15" ht="15.75" customHeight="1">
      <c r="C532" s="1023"/>
      <c r="D532" s="1023"/>
      <c r="E532" s="1023"/>
      <c r="I532" s="1024"/>
      <c r="J532" s="1024"/>
      <c r="K532" s="1024"/>
      <c r="O532" s="673"/>
    </row>
    <row r="533" spans="3:15" ht="15.75" customHeight="1">
      <c r="C533" s="1023"/>
      <c r="D533" s="1023"/>
      <c r="E533" s="1023"/>
      <c r="I533" s="1024"/>
      <c r="J533" s="1024"/>
      <c r="K533" s="1024"/>
      <c r="O533" s="673"/>
    </row>
    <row r="534" spans="3:15" ht="15.75" customHeight="1">
      <c r="C534" s="1023"/>
      <c r="D534" s="1023"/>
      <c r="E534" s="1023"/>
      <c r="I534" s="1024"/>
      <c r="J534" s="1024"/>
      <c r="K534" s="1024"/>
      <c r="O534" s="673"/>
    </row>
    <row r="535" spans="3:15" ht="15.75" customHeight="1">
      <c r="C535" s="1023"/>
      <c r="D535" s="1023"/>
      <c r="E535" s="1023"/>
      <c r="I535" s="1024"/>
      <c r="J535" s="1024"/>
      <c r="K535" s="1024"/>
      <c r="O535" s="673"/>
    </row>
    <row r="536" spans="3:15" ht="15.75" customHeight="1">
      <c r="C536" s="1023"/>
      <c r="D536" s="1023"/>
      <c r="E536" s="1023"/>
      <c r="I536" s="1024"/>
      <c r="J536" s="1024"/>
      <c r="K536" s="1024"/>
      <c r="O536" s="673"/>
    </row>
    <row r="537" spans="3:15" ht="15.75" customHeight="1">
      <c r="C537" s="1023"/>
      <c r="D537" s="1023"/>
      <c r="E537" s="1023"/>
      <c r="I537" s="1024"/>
      <c r="J537" s="1024"/>
      <c r="K537" s="1024"/>
      <c r="O537" s="673"/>
    </row>
    <row r="538" spans="3:15" ht="15.75" customHeight="1">
      <c r="C538" s="1023"/>
      <c r="D538" s="1023"/>
      <c r="E538" s="1023"/>
      <c r="I538" s="1024"/>
      <c r="J538" s="1024"/>
      <c r="K538" s="1024"/>
      <c r="O538" s="673"/>
    </row>
    <row r="539" spans="3:15" ht="15.75" customHeight="1">
      <c r="C539" s="1023"/>
      <c r="D539" s="1023"/>
      <c r="E539" s="1023"/>
      <c r="I539" s="1024"/>
      <c r="J539" s="1024"/>
      <c r="K539" s="1024"/>
      <c r="O539" s="673"/>
    </row>
    <row r="540" spans="3:15" ht="15.75" customHeight="1">
      <c r="C540" s="1023"/>
      <c r="D540" s="1023"/>
      <c r="E540" s="1023"/>
      <c r="I540" s="1024"/>
      <c r="J540" s="1024"/>
      <c r="K540" s="1024"/>
      <c r="O540" s="673"/>
    </row>
    <row r="541" spans="3:15" ht="15.75" customHeight="1">
      <c r="C541" s="1023"/>
      <c r="D541" s="1023"/>
      <c r="E541" s="1023"/>
      <c r="I541" s="1024"/>
      <c r="J541" s="1024"/>
      <c r="K541" s="1024"/>
      <c r="O541" s="673"/>
    </row>
    <row r="542" spans="3:15" ht="15.75" customHeight="1">
      <c r="C542" s="1023"/>
      <c r="D542" s="1023"/>
      <c r="E542" s="1023"/>
      <c r="I542" s="1024"/>
      <c r="J542" s="1024"/>
      <c r="K542" s="1024"/>
      <c r="O542" s="673"/>
    </row>
    <row r="543" spans="3:15" ht="15.75" customHeight="1">
      <c r="C543" s="1023"/>
      <c r="D543" s="1023"/>
      <c r="E543" s="1023"/>
      <c r="I543" s="1024"/>
      <c r="J543" s="1024"/>
      <c r="K543" s="1024"/>
      <c r="O543" s="673"/>
    </row>
    <row r="544" spans="3:15" ht="15.75" customHeight="1">
      <c r="C544" s="1023"/>
      <c r="D544" s="1023"/>
      <c r="E544" s="1023"/>
      <c r="I544" s="1024"/>
      <c r="J544" s="1024"/>
      <c r="K544" s="1024"/>
      <c r="O544" s="673"/>
    </row>
    <row r="545" spans="3:15" ht="15.75" customHeight="1">
      <c r="C545" s="1023"/>
      <c r="D545" s="1023"/>
      <c r="E545" s="1023"/>
      <c r="I545" s="1024"/>
      <c r="J545" s="1024"/>
      <c r="K545" s="1024"/>
      <c r="O545" s="673"/>
    </row>
    <row r="546" spans="3:15" ht="15.75" customHeight="1">
      <c r="C546" s="1023"/>
      <c r="D546" s="1023"/>
      <c r="E546" s="1023"/>
      <c r="I546" s="1024"/>
      <c r="J546" s="1024"/>
      <c r="K546" s="1024"/>
      <c r="O546" s="673"/>
    </row>
    <row r="547" spans="3:15" ht="15.75" customHeight="1">
      <c r="C547" s="1023"/>
      <c r="D547" s="1023"/>
      <c r="E547" s="1023"/>
      <c r="I547" s="1024"/>
      <c r="J547" s="1024"/>
      <c r="K547" s="1024"/>
      <c r="O547" s="673"/>
    </row>
    <row r="548" spans="3:15" ht="15.75" customHeight="1">
      <c r="C548" s="1023"/>
      <c r="D548" s="1023"/>
      <c r="E548" s="1023"/>
      <c r="I548" s="1024"/>
      <c r="J548" s="1024"/>
      <c r="K548" s="1024"/>
      <c r="O548" s="673"/>
    </row>
    <row r="549" spans="3:15" ht="15.75" customHeight="1">
      <c r="C549" s="1023"/>
      <c r="D549" s="1023"/>
      <c r="E549" s="1023"/>
      <c r="I549" s="1024"/>
      <c r="J549" s="1024"/>
      <c r="K549" s="1024"/>
      <c r="O549" s="673"/>
    </row>
    <row r="550" spans="3:15" ht="15.75" customHeight="1">
      <c r="C550" s="1023"/>
      <c r="D550" s="1023"/>
      <c r="E550" s="1023"/>
      <c r="I550" s="1024"/>
      <c r="J550" s="1024"/>
      <c r="K550" s="1024"/>
      <c r="O550" s="673"/>
    </row>
    <row r="551" spans="3:15" ht="15.75" customHeight="1">
      <c r="C551" s="1023"/>
      <c r="D551" s="1023"/>
      <c r="E551" s="1023"/>
      <c r="I551" s="1024"/>
      <c r="J551" s="1024"/>
      <c r="K551" s="1024"/>
      <c r="O551" s="673"/>
    </row>
    <row r="552" spans="3:15" ht="15.75" customHeight="1">
      <c r="C552" s="1023"/>
      <c r="D552" s="1023"/>
      <c r="E552" s="1023"/>
      <c r="I552" s="1024"/>
      <c r="J552" s="1024"/>
      <c r="K552" s="1024"/>
      <c r="O552" s="673"/>
    </row>
    <row r="553" spans="3:15" ht="15.75" customHeight="1">
      <c r="C553" s="1023"/>
      <c r="D553" s="1023"/>
      <c r="E553" s="1023"/>
      <c r="I553" s="1024"/>
      <c r="J553" s="1024"/>
      <c r="K553" s="1024"/>
      <c r="O553" s="673"/>
    </row>
    <row r="554" spans="3:15" ht="15.75" customHeight="1">
      <c r="C554" s="1023"/>
      <c r="D554" s="1023"/>
      <c r="E554" s="1023"/>
      <c r="I554" s="1024"/>
      <c r="J554" s="1024"/>
      <c r="K554" s="1024"/>
      <c r="O554" s="673"/>
    </row>
    <row r="555" spans="3:15" ht="15.75" customHeight="1">
      <c r="C555" s="1023"/>
      <c r="D555" s="1023"/>
      <c r="E555" s="1023"/>
      <c r="I555" s="1024"/>
      <c r="J555" s="1024"/>
      <c r="K555" s="1024"/>
      <c r="O555" s="673"/>
    </row>
    <row r="556" spans="3:15" ht="15.75" customHeight="1">
      <c r="C556" s="1023"/>
      <c r="D556" s="1023"/>
      <c r="E556" s="1023"/>
      <c r="I556" s="1024"/>
      <c r="J556" s="1024"/>
      <c r="K556" s="1024"/>
      <c r="O556" s="673"/>
    </row>
    <row r="557" spans="3:15" ht="15.75" customHeight="1">
      <c r="C557" s="1023"/>
      <c r="D557" s="1023"/>
      <c r="E557" s="1023"/>
      <c r="I557" s="1024"/>
      <c r="J557" s="1024"/>
      <c r="K557" s="1024"/>
      <c r="O557" s="673"/>
    </row>
    <row r="558" spans="3:15" ht="15.75" customHeight="1">
      <c r="C558" s="1023"/>
      <c r="D558" s="1023"/>
      <c r="E558" s="1023"/>
      <c r="I558" s="1024"/>
      <c r="J558" s="1024"/>
      <c r="K558" s="1024"/>
      <c r="O558" s="673"/>
    </row>
    <row r="559" spans="3:15" ht="15.75" customHeight="1">
      <c r="C559" s="1023"/>
      <c r="D559" s="1023"/>
      <c r="E559" s="1023"/>
      <c r="I559" s="1024"/>
      <c r="J559" s="1024"/>
      <c r="K559" s="1024"/>
      <c r="O559" s="673"/>
    </row>
    <row r="560" spans="3:15" ht="15.75" customHeight="1">
      <c r="C560" s="1023"/>
      <c r="D560" s="1023"/>
      <c r="E560" s="1023"/>
      <c r="I560" s="1024"/>
      <c r="J560" s="1024"/>
      <c r="K560" s="1024"/>
      <c r="O560" s="673"/>
    </row>
    <row r="561" spans="3:15" ht="15.75" customHeight="1">
      <c r="C561" s="1023"/>
      <c r="D561" s="1023"/>
      <c r="E561" s="1023"/>
      <c r="I561" s="1024"/>
      <c r="J561" s="1024"/>
      <c r="K561" s="1024"/>
      <c r="O561" s="673"/>
    </row>
    <row r="562" spans="3:15" ht="15.75" customHeight="1">
      <c r="C562" s="1023"/>
      <c r="D562" s="1023"/>
      <c r="E562" s="1023"/>
      <c r="I562" s="1024"/>
      <c r="J562" s="1024"/>
      <c r="K562" s="1024"/>
      <c r="O562" s="673"/>
    </row>
    <row r="563" spans="3:15" ht="15.75" customHeight="1">
      <c r="C563" s="1023"/>
      <c r="D563" s="1023"/>
      <c r="E563" s="1023"/>
      <c r="I563" s="1024"/>
      <c r="J563" s="1024"/>
      <c r="K563" s="1024"/>
      <c r="O563" s="673"/>
    </row>
    <row r="564" spans="3:15" ht="15.75" customHeight="1">
      <c r="C564" s="1023"/>
      <c r="D564" s="1023"/>
      <c r="E564" s="1023"/>
      <c r="I564" s="1024"/>
      <c r="J564" s="1024"/>
      <c r="K564" s="1024"/>
      <c r="O564" s="673"/>
    </row>
    <row r="565" spans="3:15" ht="15.75" customHeight="1">
      <c r="C565" s="1023"/>
      <c r="D565" s="1023"/>
      <c r="E565" s="1023"/>
      <c r="I565" s="1024"/>
      <c r="J565" s="1024"/>
      <c r="K565" s="1024"/>
      <c r="O565" s="673"/>
    </row>
    <row r="566" spans="3:15" ht="15.75" customHeight="1">
      <c r="C566" s="1023"/>
      <c r="D566" s="1023"/>
      <c r="E566" s="1023"/>
      <c r="I566" s="1024"/>
      <c r="J566" s="1024"/>
      <c r="K566" s="1024"/>
      <c r="O566" s="673"/>
    </row>
    <row r="567" spans="3:15" ht="15.75" customHeight="1">
      <c r="C567" s="1023"/>
      <c r="D567" s="1023"/>
      <c r="E567" s="1023"/>
      <c r="I567" s="1024"/>
      <c r="J567" s="1024"/>
      <c r="K567" s="1024"/>
      <c r="O567" s="673"/>
    </row>
    <row r="568" spans="3:15" ht="15.75" customHeight="1">
      <c r="C568" s="1023"/>
      <c r="D568" s="1023"/>
      <c r="E568" s="1023"/>
      <c r="I568" s="1024"/>
      <c r="J568" s="1024"/>
      <c r="K568" s="1024"/>
      <c r="O568" s="673"/>
    </row>
    <row r="569" spans="3:15" ht="15.75" customHeight="1">
      <c r="C569" s="1023"/>
      <c r="D569" s="1023"/>
      <c r="E569" s="1023"/>
      <c r="I569" s="1024"/>
      <c r="J569" s="1024"/>
      <c r="K569" s="1024"/>
      <c r="O569" s="673"/>
    </row>
    <row r="570" spans="3:15" ht="15.75" customHeight="1">
      <c r="C570" s="1023"/>
      <c r="D570" s="1023"/>
      <c r="E570" s="1023"/>
      <c r="I570" s="1024"/>
      <c r="J570" s="1024"/>
      <c r="K570" s="1024"/>
      <c r="O570" s="673"/>
    </row>
    <row r="571" spans="3:15" ht="15.75" customHeight="1">
      <c r="C571" s="1023"/>
      <c r="D571" s="1023"/>
      <c r="E571" s="1023"/>
      <c r="I571" s="1024"/>
      <c r="J571" s="1024"/>
      <c r="K571" s="1024"/>
      <c r="O571" s="673"/>
    </row>
    <row r="572" spans="3:15" ht="15.75" customHeight="1">
      <c r="C572" s="1023"/>
      <c r="D572" s="1023"/>
      <c r="E572" s="1023"/>
      <c r="I572" s="1024"/>
      <c r="J572" s="1024"/>
      <c r="K572" s="1024"/>
      <c r="O572" s="673"/>
    </row>
    <row r="573" spans="3:15" ht="15.75" customHeight="1">
      <c r="C573" s="1023"/>
      <c r="D573" s="1023"/>
      <c r="E573" s="1023"/>
      <c r="I573" s="1024"/>
      <c r="J573" s="1024"/>
      <c r="K573" s="1024"/>
      <c r="O573" s="673"/>
    </row>
    <row r="574" spans="3:15" ht="15.75" customHeight="1">
      <c r="C574" s="1023"/>
      <c r="D574" s="1023"/>
      <c r="E574" s="1023"/>
      <c r="I574" s="1024"/>
      <c r="J574" s="1024"/>
      <c r="K574" s="1024"/>
      <c r="O574" s="673"/>
    </row>
    <row r="575" spans="3:15" ht="15.75" customHeight="1">
      <c r="C575" s="1023"/>
      <c r="D575" s="1023"/>
      <c r="E575" s="1023"/>
      <c r="I575" s="1024"/>
      <c r="J575" s="1024"/>
      <c r="K575" s="1024"/>
      <c r="O575" s="673"/>
    </row>
    <row r="576" spans="3:15" ht="15.75" customHeight="1">
      <c r="C576" s="1023"/>
      <c r="D576" s="1023"/>
      <c r="E576" s="1023"/>
      <c r="I576" s="1024"/>
      <c r="J576" s="1024"/>
      <c r="K576" s="1024"/>
      <c r="O576" s="673"/>
    </row>
    <row r="577" spans="3:15" ht="15.75" customHeight="1">
      <c r="C577" s="1023"/>
      <c r="D577" s="1023"/>
      <c r="E577" s="1023"/>
      <c r="I577" s="1024"/>
      <c r="J577" s="1024"/>
      <c r="K577" s="1024"/>
      <c r="O577" s="673"/>
    </row>
    <row r="578" spans="3:15" ht="15.75" customHeight="1">
      <c r="C578" s="1023"/>
      <c r="D578" s="1023"/>
      <c r="E578" s="1023"/>
      <c r="I578" s="1024"/>
      <c r="J578" s="1024"/>
      <c r="K578" s="1024"/>
      <c r="O578" s="673"/>
    </row>
    <row r="579" spans="3:15" ht="15.75" customHeight="1">
      <c r="C579" s="1023"/>
      <c r="D579" s="1023"/>
      <c r="E579" s="1023"/>
      <c r="I579" s="1024"/>
      <c r="J579" s="1024"/>
      <c r="K579" s="1024"/>
      <c r="O579" s="673"/>
    </row>
    <row r="580" spans="3:15" ht="15.75" customHeight="1">
      <c r="C580" s="1023"/>
      <c r="D580" s="1023"/>
      <c r="E580" s="1023"/>
      <c r="I580" s="1024"/>
      <c r="J580" s="1024"/>
      <c r="K580" s="1024"/>
      <c r="O580" s="673"/>
    </row>
    <row r="581" spans="3:15" ht="15.75" customHeight="1">
      <c r="C581" s="1023"/>
      <c r="D581" s="1023"/>
      <c r="E581" s="1023"/>
      <c r="I581" s="1024"/>
      <c r="J581" s="1024"/>
      <c r="K581" s="1024"/>
      <c r="O581" s="673"/>
    </row>
    <row r="582" spans="3:15" ht="15.75" customHeight="1">
      <c r="C582" s="1023"/>
      <c r="D582" s="1023"/>
      <c r="E582" s="1023"/>
      <c r="I582" s="1024"/>
      <c r="J582" s="1024"/>
      <c r="K582" s="1024"/>
      <c r="O582" s="673"/>
    </row>
    <row r="583" spans="3:15" ht="15.75" customHeight="1">
      <c r="C583" s="1023"/>
      <c r="D583" s="1023"/>
      <c r="E583" s="1023"/>
      <c r="I583" s="1024"/>
      <c r="J583" s="1024"/>
      <c r="K583" s="1024"/>
      <c r="O583" s="673"/>
    </row>
    <row r="584" spans="3:15" ht="15.75" customHeight="1">
      <c r="C584" s="1023"/>
      <c r="D584" s="1023"/>
      <c r="E584" s="1023"/>
      <c r="I584" s="1024"/>
      <c r="J584" s="1024"/>
      <c r="K584" s="1024"/>
      <c r="O584" s="673"/>
    </row>
    <row r="585" spans="3:15" ht="15.75" customHeight="1">
      <c r="C585" s="1023"/>
      <c r="D585" s="1023"/>
      <c r="E585" s="1023"/>
      <c r="I585" s="1024"/>
      <c r="J585" s="1024"/>
      <c r="K585" s="1024"/>
      <c r="O585" s="673"/>
    </row>
    <row r="586" spans="3:15" ht="15.75" customHeight="1">
      <c r="C586" s="1023"/>
      <c r="D586" s="1023"/>
      <c r="E586" s="1023"/>
      <c r="I586" s="1024"/>
      <c r="J586" s="1024"/>
      <c r="K586" s="1024"/>
      <c r="O586" s="673"/>
    </row>
    <row r="587" spans="3:15" ht="15.75" customHeight="1">
      <c r="C587" s="1023"/>
      <c r="D587" s="1023"/>
      <c r="E587" s="1023"/>
      <c r="I587" s="1024"/>
      <c r="J587" s="1024"/>
      <c r="K587" s="1024"/>
      <c r="O587" s="673"/>
    </row>
    <row r="588" spans="3:15" ht="15.75" customHeight="1">
      <c r="C588" s="1023"/>
      <c r="D588" s="1023"/>
      <c r="E588" s="1023"/>
      <c r="I588" s="1024"/>
      <c r="J588" s="1024"/>
      <c r="K588" s="1024"/>
      <c r="O588" s="673"/>
    </row>
    <row r="589" spans="3:15" ht="15.75" customHeight="1">
      <c r="C589" s="1023"/>
      <c r="D589" s="1023"/>
      <c r="E589" s="1023"/>
      <c r="I589" s="1024"/>
      <c r="J589" s="1024"/>
      <c r="K589" s="1024"/>
      <c r="O589" s="673"/>
    </row>
    <row r="590" spans="3:15" ht="15.75" customHeight="1">
      <c r="C590" s="1023"/>
      <c r="D590" s="1023"/>
      <c r="E590" s="1023"/>
      <c r="I590" s="1024"/>
      <c r="J590" s="1024"/>
      <c r="K590" s="1024"/>
      <c r="O590" s="673"/>
    </row>
    <row r="591" spans="3:15" ht="15.75" customHeight="1">
      <c r="C591" s="1023"/>
      <c r="D591" s="1023"/>
      <c r="E591" s="1023"/>
      <c r="I591" s="1024"/>
      <c r="J591" s="1024"/>
      <c r="K591" s="1024"/>
      <c r="O591" s="673"/>
    </row>
    <row r="592" spans="3:15" ht="15.75" customHeight="1">
      <c r="C592" s="1023"/>
      <c r="D592" s="1023"/>
      <c r="E592" s="1023"/>
      <c r="I592" s="1024"/>
      <c r="J592" s="1024"/>
      <c r="K592" s="1024"/>
      <c r="O592" s="673"/>
    </row>
    <row r="593" spans="3:15" ht="15.75" customHeight="1">
      <c r="C593" s="1023"/>
      <c r="D593" s="1023"/>
      <c r="E593" s="1023"/>
      <c r="I593" s="1024"/>
      <c r="J593" s="1024"/>
      <c r="K593" s="1024"/>
      <c r="O593" s="673"/>
    </row>
    <row r="594" spans="3:15" ht="15.75" customHeight="1">
      <c r="C594" s="1023"/>
      <c r="D594" s="1023"/>
      <c r="E594" s="1023"/>
      <c r="I594" s="1024"/>
      <c r="J594" s="1024"/>
      <c r="K594" s="1024"/>
      <c r="O594" s="673"/>
    </row>
    <row r="595" spans="3:15" ht="15.75" customHeight="1">
      <c r="C595" s="1023"/>
      <c r="D595" s="1023"/>
      <c r="E595" s="1023"/>
      <c r="I595" s="1024"/>
      <c r="J595" s="1024"/>
      <c r="K595" s="1024"/>
      <c r="O595" s="673"/>
    </row>
    <row r="596" spans="3:15" ht="15.75" customHeight="1">
      <c r="C596" s="1023"/>
      <c r="D596" s="1023"/>
      <c r="E596" s="1023"/>
      <c r="I596" s="1024"/>
      <c r="J596" s="1024"/>
      <c r="K596" s="1024"/>
      <c r="O596" s="673"/>
    </row>
    <row r="597" spans="3:15" ht="15.75" customHeight="1">
      <c r="C597" s="1023"/>
      <c r="D597" s="1023"/>
      <c r="E597" s="1023"/>
      <c r="I597" s="1024"/>
      <c r="J597" s="1024"/>
      <c r="K597" s="1024"/>
      <c r="O597" s="673"/>
    </row>
    <row r="598" spans="3:15" ht="15.75" customHeight="1">
      <c r="C598" s="1023"/>
      <c r="D598" s="1023"/>
      <c r="E598" s="1023"/>
      <c r="I598" s="1024"/>
      <c r="J598" s="1024"/>
      <c r="K598" s="1024"/>
      <c r="O598" s="673"/>
    </row>
  </sheetData>
  <autoFilter ref="A1:X467">
    <sortState ref="A180:X388">
      <sortCondition ref="O1:O388"/>
    </sortState>
  </autoFilter>
  <dataValidations disablePrompts="1" count="1">
    <dataValidation type="list" allowBlank="1" showErrorMessage="1" sqref="U1">
      <formula1>$D$1:$D$26</formula1>
    </dataValidation>
  </dataValidations>
  <pageMargins left="0.7" right="0.7" top="0.75" bottom="0.75" header="0" footer="0"/>
  <pageSetup scale="63" orientation="landscape" r:id="rId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C1143"/>
  <sheetViews>
    <sheetView topLeftCell="A46" workbookViewId="0">
      <selection activeCell="B83" sqref="B83"/>
    </sheetView>
  </sheetViews>
  <sheetFormatPr baseColWidth="10" defaultColWidth="12.58203125" defaultRowHeight="15" customHeight="1" outlineLevelCol="1"/>
  <cols>
    <col min="1" max="1" width="9.1640625" customWidth="1"/>
    <col min="2" max="2" width="42.5" customWidth="1"/>
    <col min="3" max="3" width="20.6640625" customWidth="1"/>
    <col min="4" max="4" width="29.9140625" customWidth="1"/>
    <col min="5" max="8" width="21.6640625" customWidth="1"/>
    <col min="9" max="9" width="28.58203125" customWidth="1" outlineLevel="1"/>
    <col min="10" max="10" width="3.1640625" customWidth="1" outlineLevel="1"/>
    <col min="11" max="11" width="35.4140625" customWidth="1" outlineLevel="1"/>
    <col min="12" max="29" width="9.4140625" customWidth="1"/>
  </cols>
  <sheetData>
    <row r="1" spans="1:13" ht="14.5">
      <c r="A1" s="1018" t="s">
        <v>1317</v>
      </c>
      <c r="B1" s="674" t="s">
        <v>251</v>
      </c>
      <c r="C1" s="674" t="s">
        <v>1318</v>
      </c>
      <c r="D1" s="674" t="s">
        <v>718</v>
      </c>
      <c r="E1" s="675" t="s">
        <v>719</v>
      </c>
      <c r="F1" s="675" t="s">
        <v>1319</v>
      </c>
      <c r="G1" s="675" t="s">
        <v>1320</v>
      </c>
      <c r="H1" s="4"/>
      <c r="I1" s="676" t="s">
        <v>1318</v>
      </c>
      <c r="K1" s="676" t="s">
        <v>718</v>
      </c>
    </row>
    <row r="2" spans="1:13" ht="15" customHeight="1">
      <c r="A2" s="690" t="s">
        <v>1438</v>
      </c>
      <c r="B2" s="678" t="s">
        <v>720</v>
      </c>
      <c r="C2" s="679"/>
      <c r="D2" s="679"/>
      <c r="E2" s="680"/>
      <c r="F2" s="681"/>
      <c r="G2" s="682" t="s">
        <v>2</v>
      </c>
      <c r="H2" s="3"/>
      <c r="I2" s="683" t="s">
        <v>1321</v>
      </c>
      <c r="K2" s="683">
        <f>Print_Mois!C4</f>
        <v>0</v>
      </c>
    </row>
    <row r="3" spans="1:13" ht="15" customHeight="1">
      <c r="A3" s="690" t="s">
        <v>1441</v>
      </c>
      <c r="B3" s="678" t="s">
        <v>729</v>
      </c>
      <c r="C3" s="679"/>
      <c r="D3" s="679"/>
      <c r="E3" s="680"/>
      <c r="F3" s="681"/>
      <c r="G3" s="682" t="e">
        <v>#N/A</v>
      </c>
      <c r="H3" s="33"/>
      <c r="I3" s="683" t="str">
        <f>Print_Mois!K1</f>
        <v>Véhicules neufs</v>
      </c>
      <c r="K3" s="683" t="s">
        <v>83</v>
      </c>
    </row>
    <row r="4" spans="1:13" ht="15" customHeight="1">
      <c r="A4" s="690" t="s">
        <v>1444</v>
      </c>
      <c r="B4" s="678" t="s">
        <v>730</v>
      </c>
      <c r="C4" s="679"/>
      <c r="D4" s="679"/>
      <c r="E4" s="680"/>
      <c r="F4" s="681"/>
      <c r="G4" s="682" t="s">
        <v>816</v>
      </c>
      <c r="H4" s="33"/>
      <c r="I4" s="683" t="str">
        <f>Print_Mois!K89</f>
        <v>Véhicules usagés</v>
      </c>
      <c r="K4" s="683" t="str">
        <f>Print_Mois!C184</f>
        <v>Ajustement M/O</v>
      </c>
      <c r="M4" s="684" t="s">
        <v>1322</v>
      </c>
    </row>
    <row r="5" spans="1:13" ht="15" customHeight="1">
      <c r="A5" s="690" t="s">
        <v>817</v>
      </c>
      <c r="B5" s="678" t="s">
        <v>815</v>
      </c>
      <c r="C5" s="679" t="s">
        <v>1321</v>
      </c>
      <c r="D5" s="679" t="s">
        <v>25</v>
      </c>
      <c r="E5" s="680" t="s">
        <v>303</v>
      </c>
      <c r="F5" s="681"/>
      <c r="G5" s="682" t="s">
        <v>816</v>
      </c>
      <c r="H5" s="33"/>
      <c r="I5" s="683" t="str">
        <f>Print_Mois!AE402</f>
        <v>TOTAL DES REVENUS ET DÉPENSES</v>
      </c>
      <c r="K5" s="683" t="s">
        <v>70</v>
      </c>
      <c r="M5" s="138" t="s">
        <v>1323</v>
      </c>
    </row>
    <row r="6" spans="1:13" ht="15" customHeight="1">
      <c r="A6" s="690" t="s">
        <v>3356</v>
      </c>
      <c r="B6" s="678" t="s">
        <v>1338</v>
      </c>
      <c r="C6" s="679" t="s">
        <v>1321</v>
      </c>
      <c r="D6" s="679" t="s">
        <v>25</v>
      </c>
      <c r="E6" s="680" t="s">
        <v>303</v>
      </c>
      <c r="F6" s="681"/>
      <c r="G6" s="680" t="s">
        <v>816</v>
      </c>
      <c r="H6" s="33"/>
      <c r="I6" s="683" t="str">
        <f>Print_Mois!K168</f>
        <v>Service</v>
      </c>
      <c r="K6" s="683" t="s">
        <v>72</v>
      </c>
      <c r="M6" s="138" t="s">
        <v>1324</v>
      </c>
    </row>
    <row r="7" spans="1:13" ht="15" customHeight="1">
      <c r="A7" s="690" t="s">
        <v>3357</v>
      </c>
      <c r="B7" s="678" t="s">
        <v>818</v>
      </c>
      <c r="C7" s="679" t="s">
        <v>1321</v>
      </c>
      <c r="D7" s="679" t="s">
        <v>25</v>
      </c>
      <c r="E7" s="680" t="s">
        <v>303</v>
      </c>
      <c r="F7" s="681"/>
      <c r="G7" s="682" t="s">
        <v>816</v>
      </c>
      <c r="H7" s="33"/>
      <c r="I7" s="683" t="str">
        <f>Print_Mois!K236</f>
        <v>Carrosserie</v>
      </c>
      <c r="K7" s="683" t="str">
        <f>Print_Mois!V491</f>
        <v>Amortissement</v>
      </c>
      <c r="M7" s="138" t="s">
        <v>304</v>
      </c>
    </row>
    <row r="8" spans="1:13" ht="15" customHeight="1">
      <c r="A8" s="690" t="s">
        <v>3358</v>
      </c>
      <c r="B8" s="678" t="s">
        <v>1340</v>
      </c>
      <c r="C8" s="679" t="s">
        <v>1321</v>
      </c>
      <c r="D8" s="679" t="s">
        <v>25</v>
      </c>
      <c r="E8" s="680" t="s">
        <v>303</v>
      </c>
      <c r="F8" s="681"/>
      <c r="G8" s="680" t="e">
        <v>#N/A</v>
      </c>
      <c r="H8" s="33"/>
      <c r="I8" s="683" t="str">
        <f>Print_Mois!K291</f>
        <v>Pièces</v>
      </c>
      <c r="K8" s="683" t="s">
        <v>85</v>
      </c>
      <c r="M8" s="138" t="s">
        <v>161</v>
      </c>
    </row>
    <row r="9" spans="1:13" ht="15" customHeight="1">
      <c r="A9" s="690" t="s">
        <v>3359</v>
      </c>
      <c r="B9" s="678" t="s">
        <v>1341</v>
      </c>
      <c r="C9" s="679" t="s">
        <v>1321</v>
      </c>
      <c r="D9" s="679" t="s">
        <v>25</v>
      </c>
      <c r="E9" s="680" t="s">
        <v>303</v>
      </c>
      <c r="F9" s="681"/>
      <c r="G9" s="680" t="s">
        <v>816</v>
      </c>
      <c r="H9" s="33"/>
      <c r="I9" s="683" t="s">
        <v>1325</v>
      </c>
      <c r="K9" s="683" t="str">
        <f>Print_Mois!V457</f>
        <v>Assurances</v>
      </c>
      <c r="M9" s="138" t="s">
        <v>180</v>
      </c>
    </row>
    <row r="10" spans="1:13" ht="15" customHeight="1">
      <c r="A10" s="690" t="s">
        <v>3888</v>
      </c>
      <c r="B10" s="678" t="s">
        <v>3887</v>
      </c>
      <c r="C10" s="679" t="s">
        <v>1321</v>
      </c>
      <c r="D10" s="679" t="s">
        <v>25</v>
      </c>
      <c r="E10" s="680" t="s">
        <v>303</v>
      </c>
      <c r="F10" s="681"/>
      <c r="G10" s="680" t="s">
        <v>2</v>
      </c>
      <c r="H10" s="33"/>
      <c r="I10" s="683"/>
      <c r="K10" s="683"/>
      <c r="M10" s="138"/>
    </row>
    <row r="11" spans="1:13" ht="15" customHeight="1">
      <c r="A11" s="690" t="s">
        <v>3360</v>
      </c>
      <c r="B11" s="678" t="s">
        <v>819</v>
      </c>
      <c r="C11" s="679" t="s">
        <v>1321</v>
      </c>
      <c r="D11" s="679" t="s">
        <v>25</v>
      </c>
      <c r="E11" s="680" t="s">
        <v>303</v>
      </c>
      <c r="F11" s="681"/>
      <c r="G11" s="682" t="s">
        <v>2</v>
      </c>
      <c r="H11" s="33"/>
      <c r="I11" s="683"/>
      <c r="K11" s="683" t="s">
        <v>1326</v>
      </c>
      <c r="M11" s="138" t="s">
        <v>176</v>
      </c>
    </row>
    <row r="12" spans="1:13" ht="15" customHeight="1">
      <c r="A12" s="690" t="s">
        <v>1449</v>
      </c>
      <c r="B12" s="678" t="s">
        <v>1342</v>
      </c>
      <c r="C12" s="679" t="s">
        <v>1321</v>
      </c>
      <c r="D12" s="679" t="s">
        <v>25</v>
      </c>
      <c r="E12" s="680" t="s">
        <v>303</v>
      </c>
      <c r="F12" s="681"/>
      <c r="G12" s="680" t="s">
        <v>902</v>
      </c>
      <c r="H12" s="33"/>
      <c r="I12" s="683"/>
      <c r="K12" s="683" t="s">
        <v>1327</v>
      </c>
      <c r="M12" s="684" t="s">
        <v>1328</v>
      </c>
    </row>
    <row r="13" spans="1:13" ht="15" customHeight="1">
      <c r="A13" s="690" t="s">
        <v>1452</v>
      </c>
      <c r="B13" s="678" t="s">
        <v>820</v>
      </c>
      <c r="C13" s="679" t="s">
        <v>1321</v>
      </c>
      <c r="D13" s="679" t="s">
        <v>25</v>
      </c>
      <c r="E13" s="680" t="s">
        <v>303</v>
      </c>
      <c r="F13" s="681"/>
      <c r="G13" s="682" t="s">
        <v>902</v>
      </c>
      <c r="H13" s="33"/>
      <c r="K13" s="683" t="str">
        <f>Print_Mois!C6</f>
        <v>Autos détail</v>
      </c>
      <c r="M13" s="5" t="s">
        <v>1324</v>
      </c>
    </row>
    <row r="14" spans="1:13" ht="15" customHeight="1">
      <c r="A14" s="690" t="s">
        <v>3361</v>
      </c>
      <c r="B14" s="678" t="s">
        <v>1343</v>
      </c>
      <c r="C14" s="679" t="s">
        <v>1321</v>
      </c>
      <c r="D14" s="679" t="s">
        <v>25</v>
      </c>
      <c r="E14" s="680" t="s">
        <v>303</v>
      </c>
      <c r="F14" s="681"/>
      <c r="G14" s="680" t="e">
        <v>#N/A</v>
      </c>
      <c r="H14" s="33"/>
      <c r="K14" s="683" t="s">
        <v>173</v>
      </c>
    </row>
    <row r="15" spans="1:13" ht="15" customHeight="1">
      <c r="A15" s="690" t="s">
        <v>3362</v>
      </c>
      <c r="B15" s="678" t="s">
        <v>820</v>
      </c>
      <c r="C15" s="679" t="s">
        <v>1321</v>
      </c>
      <c r="D15" s="679" t="s">
        <v>25</v>
      </c>
      <c r="E15" s="680" t="s">
        <v>303</v>
      </c>
      <c r="F15" s="681"/>
      <c r="G15" s="682" t="e">
        <v>#N/A</v>
      </c>
      <c r="H15" s="33"/>
      <c r="K15" s="683" t="str">
        <f>Print_Mois!C312</f>
        <v>Autostock</v>
      </c>
      <c r="M15" s="5" t="s">
        <v>304</v>
      </c>
    </row>
    <row r="16" spans="1:13" ht="15" customHeight="1">
      <c r="A16" s="690" t="s">
        <v>3352</v>
      </c>
      <c r="B16" s="678" t="s">
        <v>731</v>
      </c>
      <c r="C16" s="679"/>
      <c r="D16" s="679"/>
      <c r="E16" s="680"/>
      <c r="F16" s="681"/>
      <c r="G16" s="682" t="e">
        <v>#N/A</v>
      </c>
      <c r="H16" s="33"/>
      <c r="K16" s="683" t="s">
        <v>43</v>
      </c>
    </row>
    <row r="17" spans="1:13" ht="15" customHeight="1">
      <c r="A17" s="690" t="s">
        <v>823</v>
      </c>
      <c r="B17" s="678" t="s">
        <v>822</v>
      </c>
      <c r="C17" s="679" t="s">
        <v>1321</v>
      </c>
      <c r="D17" s="679" t="s">
        <v>29</v>
      </c>
      <c r="E17" s="680" t="s">
        <v>303</v>
      </c>
      <c r="F17" s="681"/>
      <c r="G17" s="682" t="e">
        <v>#N/A</v>
      </c>
      <c r="H17" s="33"/>
      <c r="K17" s="683" t="s">
        <v>57</v>
      </c>
      <c r="M17" s="684" t="s">
        <v>1329</v>
      </c>
    </row>
    <row r="18" spans="1:13" ht="15" customHeight="1">
      <c r="A18" s="690" t="s">
        <v>825</v>
      </c>
      <c r="B18" s="678" t="s">
        <v>824</v>
      </c>
      <c r="C18" s="679" t="s">
        <v>1321</v>
      </c>
      <c r="D18" s="679" t="s">
        <v>30</v>
      </c>
      <c r="E18" s="680" t="s">
        <v>303</v>
      </c>
      <c r="F18" s="681"/>
      <c r="G18" s="682" t="s">
        <v>902</v>
      </c>
      <c r="H18" s="33"/>
      <c r="K18" s="683" t="s">
        <v>73</v>
      </c>
      <c r="M18" s="5" t="s">
        <v>1324</v>
      </c>
    </row>
    <row r="19" spans="1:13" ht="15" customHeight="1">
      <c r="A19" s="690" t="s">
        <v>1459</v>
      </c>
      <c r="B19" s="678" t="s">
        <v>826</v>
      </c>
      <c r="C19" s="679" t="s">
        <v>1321</v>
      </c>
      <c r="D19" s="679" t="s">
        <v>30</v>
      </c>
      <c r="E19" s="680" t="s">
        <v>303</v>
      </c>
      <c r="F19" s="681"/>
      <c r="G19" s="682" t="s">
        <v>902</v>
      </c>
      <c r="H19" s="33"/>
      <c r="K19" s="683" t="s">
        <v>31</v>
      </c>
      <c r="M19" s="5" t="s">
        <v>304</v>
      </c>
    </row>
    <row r="20" spans="1:13" ht="15" customHeight="1">
      <c r="A20" s="690" t="s">
        <v>828</v>
      </c>
      <c r="B20" s="678" t="s">
        <v>827</v>
      </c>
      <c r="C20" s="679" t="s">
        <v>1321</v>
      </c>
      <c r="D20" s="679" t="s">
        <v>34</v>
      </c>
      <c r="E20" s="680" t="s">
        <v>303</v>
      </c>
      <c r="F20" s="681"/>
      <c r="G20" s="682" t="s">
        <v>902</v>
      </c>
      <c r="H20" s="33"/>
      <c r="K20" s="683" t="s">
        <v>54</v>
      </c>
    </row>
    <row r="21" spans="1:13" ht="15" customHeight="1">
      <c r="A21" s="690" t="s">
        <v>1464</v>
      </c>
      <c r="B21" s="678" t="s">
        <v>829</v>
      </c>
      <c r="C21" s="679" t="s">
        <v>1321</v>
      </c>
      <c r="D21" s="679" t="s">
        <v>38</v>
      </c>
      <c r="E21" s="680" t="s">
        <v>303</v>
      </c>
      <c r="F21" s="681"/>
      <c r="G21" s="682" t="s">
        <v>902</v>
      </c>
      <c r="H21" s="33"/>
      <c r="K21" s="683" t="s">
        <v>82</v>
      </c>
    </row>
    <row r="22" spans="1:13" ht="15" customHeight="1">
      <c r="A22" s="690" t="s">
        <v>3363</v>
      </c>
      <c r="B22" s="678" t="s">
        <v>830</v>
      </c>
      <c r="C22" s="679" t="s">
        <v>1321</v>
      </c>
      <c r="D22" s="679" t="s">
        <v>40</v>
      </c>
      <c r="E22" s="680" t="s">
        <v>303</v>
      </c>
      <c r="F22" s="681"/>
      <c r="G22" s="682" t="s">
        <v>902</v>
      </c>
      <c r="H22" s="33"/>
      <c r="K22" s="683" t="s">
        <v>67</v>
      </c>
    </row>
    <row r="23" spans="1:13" ht="15" customHeight="1">
      <c r="A23" s="690" t="s">
        <v>3364</v>
      </c>
      <c r="B23" s="678" t="s">
        <v>831</v>
      </c>
      <c r="C23" s="679" t="s">
        <v>1321</v>
      </c>
      <c r="D23" s="679" t="s">
        <v>40</v>
      </c>
      <c r="E23" s="680" t="s">
        <v>303</v>
      </c>
      <c r="F23" s="681"/>
      <c r="G23" s="682" t="s">
        <v>902</v>
      </c>
      <c r="H23" s="33"/>
      <c r="K23" s="683" t="s">
        <v>68</v>
      </c>
    </row>
    <row r="24" spans="1:13" ht="15" customHeight="1">
      <c r="A24" s="690" t="s">
        <v>1467</v>
      </c>
      <c r="B24" s="678" t="s">
        <v>832</v>
      </c>
      <c r="C24" s="679" t="s">
        <v>1321</v>
      </c>
      <c r="D24" s="679" t="s">
        <v>32</v>
      </c>
      <c r="E24" s="680" t="s">
        <v>303</v>
      </c>
      <c r="F24" s="681"/>
      <c r="G24" s="682" t="s">
        <v>902</v>
      </c>
      <c r="H24" s="33"/>
      <c r="K24" s="683" t="str">
        <f>Print_Mois!V430</f>
        <v>Bénéfices marginaux</v>
      </c>
    </row>
    <row r="25" spans="1:13" ht="15" customHeight="1">
      <c r="A25" s="690" t="s">
        <v>835</v>
      </c>
      <c r="B25" s="678" t="s">
        <v>834</v>
      </c>
      <c r="C25" s="679" t="s">
        <v>1321</v>
      </c>
      <c r="D25" s="679" t="s">
        <v>36</v>
      </c>
      <c r="E25" s="680" t="s">
        <v>303</v>
      </c>
      <c r="F25" s="681"/>
      <c r="G25" s="682" t="s">
        <v>902</v>
      </c>
      <c r="H25" s="33"/>
      <c r="K25" s="683" t="s">
        <v>86</v>
      </c>
    </row>
    <row r="26" spans="1:13" ht="15" customHeight="1">
      <c r="A26" s="690" t="s">
        <v>1472</v>
      </c>
      <c r="B26" s="678" t="s">
        <v>836</v>
      </c>
      <c r="C26" s="679" t="s">
        <v>1321</v>
      </c>
      <c r="D26" s="679" t="s">
        <v>1344</v>
      </c>
      <c r="E26" s="680" t="s">
        <v>303</v>
      </c>
      <c r="F26" s="681"/>
      <c r="G26" s="682" t="s">
        <v>902</v>
      </c>
      <c r="H26" s="33"/>
      <c r="K26" s="683" t="s">
        <v>1321</v>
      </c>
    </row>
    <row r="27" spans="1:13" ht="15" customHeight="1">
      <c r="A27" s="690" t="s">
        <v>1475</v>
      </c>
      <c r="B27" s="678" t="s">
        <v>837</v>
      </c>
      <c r="C27" s="679" t="s">
        <v>1321</v>
      </c>
      <c r="D27" s="679" t="s">
        <v>32</v>
      </c>
      <c r="E27" s="680" t="s">
        <v>303</v>
      </c>
      <c r="F27" s="681"/>
      <c r="G27" s="682" t="s">
        <v>902</v>
      </c>
      <c r="H27" s="33"/>
      <c r="K27" s="683" t="s">
        <v>196</v>
      </c>
    </row>
    <row r="28" spans="1:13" ht="15" customHeight="1">
      <c r="A28" s="687" t="s">
        <v>3344</v>
      </c>
      <c r="B28" s="687" t="s">
        <v>1345</v>
      </c>
      <c r="C28" s="679" t="s">
        <v>1321</v>
      </c>
      <c r="D28" s="679" t="s">
        <v>42</v>
      </c>
      <c r="E28" s="680" t="s">
        <v>303</v>
      </c>
      <c r="F28" s="681"/>
      <c r="G28" s="680" t="s">
        <v>2</v>
      </c>
      <c r="H28" s="33"/>
      <c r="K28" s="683" t="s">
        <v>98</v>
      </c>
    </row>
    <row r="29" spans="1:13" ht="15" customHeight="1">
      <c r="A29" s="687" t="s">
        <v>3365</v>
      </c>
      <c r="B29" s="687" t="s">
        <v>1345</v>
      </c>
      <c r="C29" s="679" t="s">
        <v>1321</v>
      </c>
      <c r="D29" s="679" t="s">
        <v>42</v>
      </c>
      <c r="E29" s="680" t="s">
        <v>303</v>
      </c>
      <c r="F29" s="681"/>
      <c r="G29" s="680" t="s">
        <v>902</v>
      </c>
      <c r="H29" s="33"/>
      <c r="K29" s="683" t="s">
        <v>84</v>
      </c>
    </row>
    <row r="30" spans="1:13" ht="15" customHeight="1">
      <c r="A30" s="690" t="s">
        <v>1478</v>
      </c>
      <c r="B30" s="678" t="s">
        <v>1346</v>
      </c>
      <c r="C30" s="679" t="s">
        <v>1321</v>
      </c>
      <c r="D30" s="679" t="s">
        <v>1344</v>
      </c>
      <c r="E30" s="680" t="s">
        <v>303</v>
      </c>
      <c r="F30" s="681"/>
      <c r="G30" s="680" t="s">
        <v>902</v>
      </c>
      <c r="H30" s="33"/>
      <c r="K30" s="683" t="str">
        <f>Print_Mois!C94</f>
        <v>Certifié</v>
      </c>
    </row>
    <row r="31" spans="1:13" ht="15" customHeight="1">
      <c r="A31" s="690" t="s">
        <v>1429</v>
      </c>
      <c r="B31" s="678" t="s">
        <v>1347</v>
      </c>
      <c r="C31" s="679" t="s">
        <v>1321</v>
      </c>
      <c r="D31" s="679" t="s">
        <v>35</v>
      </c>
      <c r="E31" s="680" t="s">
        <v>303</v>
      </c>
      <c r="F31" s="681"/>
      <c r="G31" s="680" t="s">
        <v>902</v>
      </c>
      <c r="H31" s="33"/>
      <c r="K31" s="683" t="str">
        <f>Print_Mois!V458</f>
        <v>Chauffage, éclairage</v>
      </c>
    </row>
    <row r="32" spans="1:13" ht="15" customHeight="1">
      <c r="A32" s="690" t="s">
        <v>839</v>
      </c>
      <c r="B32" s="678" t="s">
        <v>838</v>
      </c>
      <c r="C32" s="679" t="s">
        <v>1321</v>
      </c>
      <c r="D32" s="679" t="s">
        <v>34</v>
      </c>
      <c r="E32" s="680" t="s">
        <v>303</v>
      </c>
      <c r="F32" s="681"/>
      <c r="G32" s="682" t="s">
        <v>902</v>
      </c>
      <c r="H32" s="33"/>
      <c r="K32" s="683" t="str">
        <f>Print_Mois!C32</f>
        <v>Comm. F&amp;I</v>
      </c>
    </row>
    <row r="33" spans="1:11" ht="15" customHeight="1">
      <c r="A33" s="690" t="s">
        <v>841</v>
      </c>
      <c r="B33" s="678" t="s">
        <v>840</v>
      </c>
      <c r="C33" s="679" t="s">
        <v>1321</v>
      </c>
      <c r="D33" s="679" t="s">
        <v>46</v>
      </c>
      <c r="E33" s="680" t="s">
        <v>303</v>
      </c>
      <c r="F33" s="681"/>
      <c r="G33" s="682" t="s">
        <v>902</v>
      </c>
      <c r="H33" s="33"/>
      <c r="K33" s="683" t="str">
        <f>Print_Mois!C31</f>
        <v>Comm. vendeurs</v>
      </c>
    </row>
    <row r="34" spans="1:11" ht="15" customHeight="1">
      <c r="A34" s="690" t="s">
        <v>843</v>
      </c>
      <c r="B34" s="678" t="s">
        <v>842</v>
      </c>
      <c r="C34" s="679" t="s">
        <v>1321</v>
      </c>
      <c r="D34" s="679"/>
      <c r="E34" s="686" t="s">
        <v>341</v>
      </c>
      <c r="F34" s="681"/>
      <c r="G34" s="682" t="s">
        <v>1154</v>
      </c>
      <c r="H34" s="33"/>
      <c r="K34" s="683" t="s">
        <v>33</v>
      </c>
    </row>
    <row r="35" spans="1:11" ht="15" customHeight="1">
      <c r="A35" s="690" t="s">
        <v>1487</v>
      </c>
      <c r="B35" s="678" t="s">
        <v>844</v>
      </c>
      <c r="C35" s="679" t="s">
        <v>1321</v>
      </c>
      <c r="D35" s="679" t="s">
        <v>46</v>
      </c>
      <c r="E35" s="680" t="s">
        <v>303</v>
      </c>
      <c r="F35" s="681"/>
      <c r="G35" s="682" t="s">
        <v>902</v>
      </c>
      <c r="H35" s="33"/>
      <c r="K35" s="683" t="s">
        <v>1330</v>
      </c>
    </row>
    <row r="36" spans="1:11" ht="15" customHeight="1">
      <c r="A36" s="690" t="s">
        <v>846</v>
      </c>
      <c r="B36" s="678" t="s">
        <v>845</v>
      </c>
      <c r="C36" s="679" t="s">
        <v>1321</v>
      </c>
      <c r="D36" s="679" t="s">
        <v>48</v>
      </c>
      <c r="E36" s="680" t="s">
        <v>303</v>
      </c>
      <c r="F36" s="681"/>
      <c r="G36" s="682" t="s">
        <v>902</v>
      </c>
      <c r="H36" s="33"/>
      <c r="K36" s="683" t="s">
        <v>1331</v>
      </c>
    </row>
    <row r="37" spans="1:11" ht="15" customHeight="1">
      <c r="A37" s="690" t="s">
        <v>848</v>
      </c>
      <c r="B37" s="678" t="s">
        <v>847</v>
      </c>
      <c r="C37" s="679" t="s">
        <v>1321</v>
      </c>
      <c r="D37" s="679" t="s">
        <v>48</v>
      </c>
      <c r="E37" s="680" t="s">
        <v>303</v>
      </c>
      <c r="F37" s="681"/>
      <c r="G37" s="682" t="s">
        <v>2</v>
      </c>
      <c r="H37" s="33"/>
      <c r="K37" s="683" t="str">
        <f>Print_Mois!V431</f>
        <v>Csst</v>
      </c>
    </row>
    <row r="38" spans="1:11" ht="15" customHeight="1">
      <c r="A38" s="690" t="s">
        <v>850</v>
      </c>
      <c r="B38" s="678" t="s">
        <v>849</v>
      </c>
      <c r="C38" s="679" t="s">
        <v>1321</v>
      </c>
      <c r="D38" s="679"/>
      <c r="E38" s="686" t="s">
        <v>341</v>
      </c>
      <c r="F38" s="681"/>
      <c r="G38" s="682" t="s">
        <v>1154</v>
      </c>
      <c r="H38" s="33"/>
      <c r="K38" s="683" t="s">
        <v>55</v>
      </c>
    </row>
    <row r="39" spans="1:11" ht="15" customHeight="1">
      <c r="A39" s="690" t="s">
        <v>1430</v>
      </c>
      <c r="B39" s="678" t="s">
        <v>1349</v>
      </c>
      <c r="C39" s="679" t="s">
        <v>1321</v>
      </c>
      <c r="D39" s="679" t="s">
        <v>48</v>
      </c>
      <c r="E39" s="680" t="s">
        <v>303</v>
      </c>
      <c r="F39" s="681"/>
      <c r="G39" s="680" t="s">
        <v>902</v>
      </c>
      <c r="H39" s="33"/>
      <c r="K39" s="683" t="str">
        <f>Print_Mois!V429</f>
        <v>Déduction à la source</v>
      </c>
    </row>
    <row r="40" spans="1:11" ht="15" customHeight="1">
      <c r="A40" s="1020" t="s">
        <v>1406</v>
      </c>
      <c r="B40" s="678" t="s">
        <v>1407</v>
      </c>
      <c r="C40" s="679"/>
      <c r="D40" s="679"/>
      <c r="E40" s="680"/>
      <c r="F40" s="681"/>
      <c r="G40" s="680" t="s">
        <v>1154</v>
      </c>
      <c r="H40" s="33"/>
      <c r="K40" s="683" t="s">
        <v>39</v>
      </c>
    </row>
    <row r="41" spans="1:11" ht="15" customHeight="1">
      <c r="A41" s="690" t="s">
        <v>852</v>
      </c>
      <c r="B41" s="678" t="s">
        <v>851</v>
      </c>
      <c r="C41" s="679" t="s">
        <v>1321</v>
      </c>
      <c r="D41" s="679" t="s">
        <v>46</v>
      </c>
      <c r="E41" s="680" t="s">
        <v>303</v>
      </c>
      <c r="F41" s="681"/>
      <c r="G41" s="682" t="s">
        <v>902</v>
      </c>
      <c r="H41" s="33"/>
      <c r="K41" s="683" t="s">
        <v>71</v>
      </c>
    </row>
    <row r="42" spans="1:11" ht="15" customHeight="1">
      <c r="A42" s="690" t="s">
        <v>3366</v>
      </c>
      <c r="B42" s="678" t="s">
        <v>853</v>
      </c>
      <c r="C42" s="679" t="s">
        <v>1321</v>
      </c>
      <c r="D42" s="679" t="s">
        <v>46</v>
      </c>
      <c r="E42" s="680" t="s">
        <v>303</v>
      </c>
      <c r="F42" s="681"/>
      <c r="G42" s="682" t="s">
        <v>902</v>
      </c>
      <c r="H42" s="33"/>
      <c r="K42" s="683" t="str">
        <f>Print_Mois!V446</f>
        <v>Divers</v>
      </c>
    </row>
    <row r="43" spans="1:11" ht="15" customHeight="1">
      <c r="A43" s="690" t="s">
        <v>856</v>
      </c>
      <c r="B43" s="678" t="s">
        <v>855</v>
      </c>
      <c r="C43" s="679" t="s">
        <v>1321</v>
      </c>
      <c r="D43" s="679" t="s">
        <v>50</v>
      </c>
      <c r="E43" s="680" t="s">
        <v>303</v>
      </c>
      <c r="F43" s="681"/>
      <c r="G43" s="682" t="s">
        <v>2</v>
      </c>
      <c r="H43" s="33"/>
      <c r="K43" s="683" t="s">
        <v>87</v>
      </c>
    </row>
    <row r="44" spans="1:11" ht="15" customHeight="1">
      <c r="A44" s="690" t="s">
        <v>3367</v>
      </c>
      <c r="B44" s="678" t="s">
        <v>857</v>
      </c>
      <c r="C44" s="679" t="s">
        <v>1321</v>
      </c>
      <c r="D44" s="679" t="s">
        <v>50</v>
      </c>
      <c r="E44" s="680" t="s">
        <v>303</v>
      </c>
      <c r="F44" s="681"/>
      <c r="G44" s="682" t="s">
        <v>902</v>
      </c>
      <c r="H44" s="33"/>
      <c r="K44" s="683" t="s">
        <v>214</v>
      </c>
    </row>
    <row r="45" spans="1:11" ht="15" customHeight="1">
      <c r="A45" s="690" t="s">
        <v>1498</v>
      </c>
      <c r="B45" s="678" t="s">
        <v>858</v>
      </c>
      <c r="C45" s="679" t="s">
        <v>1321</v>
      </c>
      <c r="D45" s="679" t="s">
        <v>50</v>
      </c>
      <c r="E45" s="680" t="s">
        <v>303</v>
      </c>
      <c r="F45" s="681"/>
      <c r="G45" s="682" t="s">
        <v>902</v>
      </c>
      <c r="H45" s="33"/>
      <c r="K45" s="683" t="s">
        <v>47</v>
      </c>
    </row>
    <row r="46" spans="1:11" ht="15" customHeight="1">
      <c r="A46" s="690" t="s">
        <v>860</v>
      </c>
      <c r="B46" s="678" t="s">
        <v>859</v>
      </c>
      <c r="C46" s="679" t="s">
        <v>1321</v>
      </c>
      <c r="D46" s="679" t="s">
        <v>50</v>
      </c>
      <c r="E46" s="680" t="s">
        <v>303</v>
      </c>
      <c r="F46" s="681"/>
      <c r="G46" s="682" t="s">
        <v>902</v>
      </c>
      <c r="H46" s="33"/>
      <c r="K46" s="683" t="s">
        <v>49</v>
      </c>
    </row>
    <row r="47" spans="1:11" ht="15" customHeight="1">
      <c r="A47" s="690" t="s">
        <v>862</v>
      </c>
      <c r="B47" s="678" t="s">
        <v>861</v>
      </c>
      <c r="C47" s="679" t="s">
        <v>1321</v>
      </c>
      <c r="D47" s="679" t="s">
        <v>56</v>
      </c>
      <c r="E47" s="680" t="s">
        <v>303</v>
      </c>
      <c r="F47" s="681"/>
      <c r="G47" s="682" t="s">
        <v>2</v>
      </c>
      <c r="H47" s="33"/>
      <c r="K47" s="683" t="s">
        <v>25</v>
      </c>
    </row>
    <row r="48" spans="1:11" ht="15" customHeight="1">
      <c r="A48" s="690" t="s">
        <v>1505</v>
      </c>
      <c r="B48" s="678" t="s">
        <v>863</v>
      </c>
      <c r="C48" s="679" t="s">
        <v>1321</v>
      </c>
      <c r="D48" s="679" t="s">
        <v>58</v>
      </c>
      <c r="E48" s="680" t="s">
        <v>303</v>
      </c>
      <c r="F48" s="681"/>
      <c r="G48" s="682" t="s">
        <v>2</v>
      </c>
      <c r="H48" s="33"/>
      <c r="K48" s="683" t="s">
        <v>79</v>
      </c>
    </row>
    <row r="49" spans="1:11" ht="15" customHeight="1">
      <c r="A49" s="690" t="s">
        <v>1508</v>
      </c>
      <c r="B49" s="678" t="s">
        <v>864</v>
      </c>
      <c r="C49" s="679" t="s">
        <v>1321</v>
      </c>
      <c r="D49" s="679" t="s">
        <v>50</v>
      </c>
      <c r="E49" s="680" t="s">
        <v>303</v>
      </c>
      <c r="F49" s="681"/>
      <c r="G49" s="682" t="s">
        <v>902</v>
      </c>
      <c r="H49" s="33"/>
      <c r="K49" s="683" t="str">
        <f>Print_Mois!C35</f>
        <v>Entretien stock</v>
      </c>
    </row>
    <row r="50" spans="1:11" ht="15" customHeight="1">
      <c r="A50" s="690" t="s">
        <v>3368</v>
      </c>
      <c r="B50" s="678" t="s">
        <v>1350</v>
      </c>
      <c r="C50" s="679" t="s">
        <v>1321</v>
      </c>
      <c r="D50" s="679" t="s">
        <v>50</v>
      </c>
      <c r="E50" s="680" t="s">
        <v>303</v>
      </c>
      <c r="F50" s="681"/>
      <c r="G50" s="680" t="s">
        <v>2</v>
      </c>
      <c r="H50" s="33"/>
      <c r="K50" s="683" t="s">
        <v>76</v>
      </c>
    </row>
    <row r="51" spans="1:11" ht="15" customHeight="1">
      <c r="A51" s="690" t="s">
        <v>866</v>
      </c>
      <c r="B51" s="678" t="s">
        <v>865</v>
      </c>
      <c r="C51" s="679" t="s">
        <v>1321</v>
      </c>
      <c r="D51" s="679" t="s">
        <v>50</v>
      </c>
      <c r="E51" s="680" t="s">
        <v>303</v>
      </c>
      <c r="F51" s="681"/>
      <c r="G51" s="682" t="s">
        <v>2</v>
      </c>
      <c r="H51" s="33"/>
      <c r="K51" s="683"/>
    </row>
    <row r="52" spans="1:11" ht="15" customHeight="1">
      <c r="A52" s="690" t="s">
        <v>1513</v>
      </c>
      <c r="B52" s="678" t="s">
        <v>867</v>
      </c>
      <c r="C52" s="679" t="s">
        <v>1321</v>
      </c>
      <c r="D52" s="679" t="s">
        <v>60</v>
      </c>
      <c r="E52" s="680" t="s">
        <v>303</v>
      </c>
      <c r="F52" s="681"/>
      <c r="G52" s="682" t="s">
        <v>2</v>
      </c>
      <c r="H52" s="33"/>
      <c r="K52" s="683" t="s">
        <v>74</v>
      </c>
    </row>
    <row r="53" spans="1:11" ht="15" customHeight="1">
      <c r="A53" s="690" t="s">
        <v>1516</v>
      </c>
      <c r="B53" s="678" t="s">
        <v>869</v>
      </c>
      <c r="C53" s="679" t="s">
        <v>1321</v>
      </c>
      <c r="D53" s="679" t="s">
        <v>60</v>
      </c>
      <c r="E53" s="680" t="s">
        <v>303</v>
      </c>
      <c r="F53" s="681"/>
      <c r="G53" s="682" t="s">
        <v>2</v>
      </c>
      <c r="H53" s="33"/>
      <c r="K53" s="683" t="s">
        <v>77</v>
      </c>
    </row>
    <row r="54" spans="1:11" ht="15" customHeight="1">
      <c r="A54" s="678" t="s">
        <v>1519</v>
      </c>
      <c r="B54" s="688" t="s">
        <v>870</v>
      </c>
      <c r="C54" s="679" t="s">
        <v>1321</v>
      </c>
      <c r="D54" s="679" t="s">
        <v>60</v>
      </c>
      <c r="E54" s="680" t="s">
        <v>303</v>
      </c>
      <c r="F54" s="681"/>
      <c r="G54" s="682" t="s">
        <v>902</v>
      </c>
      <c r="H54" s="33"/>
      <c r="K54" s="683" t="str">
        <f>Print_Mois!C302</f>
        <v>Escomptes</v>
      </c>
    </row>
    <row r="55" spans="1:11" ht="15" customHeight="1">
      <c r="A55" s="678" t="s">
        <v>1522</v>
      </c>
      <c r="B55" s="688" t="s">
        <v>1351</v>
      </c>
      <c r="C55" s="679" t="s">
        <v>1321</v>
      </c>
      <c r="D55" s="679" t="s">
        <v>60</v>
      </c>
      <c r="E55" s="680" t="s">
        <v>303</v>
      </c>
      <c r="F55" s="681"/>
      <c r="G55" s="680" t="s">
        <v>902</v>
      </c>
      <c r="H55" s="33"/>
      <c r="K55" s="683" t="str">
        <f>Print_Mois!C15</f>
        <v>Ex-Démos et courtoisies</v>
      </c>
    </row>
    <row r="56" spans="1:11" ht="15" customHeight="1">
      <c r="A56" s="678" t="s">
        <v>1525</v>
      </c>
      <c r="B56" s="688" t="s">
        <v>871</v>
      </c>
      <c r="C56" s="679" t="s">
        <v>1321</v>
      </c>
      <c r="D56" s="679" t="s">
        <v>60</v>
      </c>
      <c r="E56" s="680" t="s">
        <v>303</v>
      </c>
      <c r="F56" s="681"/>
      <c r="G56" s="682" t="s">
        <v>902</v>
      </c>
      <c r="H56" s="33"/>
      <c r="K56" s="683" t="str">
        <f>Print_Mois!C17</f>
        <v>Flottes</v>
      </c>
    </row>
    <row r="57" spans="1:11" ht="15" customHeight="1">
      <c r="A57" s="690" t="s">
        <v>1528</v>
      </c>
      <c r="B57" s="678" t="s">
        <v>872</v>
      </c>
      <c r="C57" s="679" t="s">
        <v>1321</v>
      </c>
      <c r="D57" s="679" t="s">
        <v>60</v>
      </c>
      <c r="E57" s="680" t="s">
        <v>303</v>
      </c>
      <c r="F57" s="681"/>
      <c r="G57" s="682" t="e">
        <v>#N/A</v>
      </c>
      <c r="H57" s="33"/>
      <c r="K57" s="683" t="s">
        <v>1332</v>
      </c>
    </row>
    <row r="58" spans="1:11" ht="15" customHeight="1">
      <c r="A58" s="690" t="s">
        <v>1531</v>
      </c>
      <c r="B58" s="678" t="s">
        <v>1352</v>
      </c>
      <c r="C58" s="679" t="s">
        <v>1321</v>
      </c>
      <c r="D58" s="679" t="s">
        <v>60</v>
      </c>
      <c r="E58" s="680" t="s">
        <v>303</v>
      </c>
      <c r="F58" s="681"/>
      <c r="G58" s="680" t="e">
        <v>#N/A</v>
      </c>
      <c r="H58" s="33"/>
      <c r="K58" s="683" t="str">
        <f>Print_Mois!V447</f>
        <v>Formation</v>
      </c>
    </row>
    <row r="59" spans="1:11" ht="15" customHeight="1">
      <c r="A59" s="690" t="s">
        <v>3369</v>
      </c>
      <c r="B59" s="678" t="s">
        <v>1353</v>
      </c>
      <c r="C59" s="679" t="s">
        <v>1321</v>
      </c>
      <c r="D59" s="679" t="s">
        <v>60</v>
      </c>
      <c r="E59" s="680" t="s">
        <v>303</v>
      </c>
      <c r="F59" s="681"/>
      <c r="G59" s="680" t="s">
        <v>902</v>
      </c>
      <c r="H59" s="33"/>
      <c r="K59" s="683" t="str">
        <f>Print_Mois!V441</f>
        <v>Fournitures autres</v>
      </c>
    </row>
    <row r="60" spans="1:11" ht="15" customHeight="1">
      <c r="A60" s="690" t="s">
        <v>1534</v>
      </c>
      <c r="B60" s="678" t="s">
        <v>1354</v>
      </c>
      <c r="C60" s="679" t="s">
        <v>1321</v>
      </c>
      <c r="D60" s="679" t="s">
        <v>57</v>
      </c>
      <c r="E60" s="680" t="s">
        <v>303</v>
      </c>
      <c r="F60" s="681"/>
      <c r="G60" s="680" t="s">
        <v>902</v>
      </c>
      <c r="H60" s="33"/>
      <c r="K60" s="683" t="s">
        <v>490</v>
      </c>
    </row>
    <row r="61" spans="1:11" ht="15" customHeight="1">
      <c r="A61" s="690" t="s">
        <v>1537</v>
      </c>
      <c r="B61" s="678" t="s">
        <v>1355</v>
      </c>
      <c r="C61" s="679" t="s">
        <v>1321</v>
      </c>
      <c r="D61" s="679" t="s">
        <v>60</v>
      </c>
      <c r="E61" s="680" t="s">
        <v>303</v>
      </c>
      <c r="F61" s="681"/>
      <c r="G61" s="680" t="s">
        <v>2</v>
      </c>
      <c r="H61" s="33"/>
      <c r="K61" s="683" t="str">
        <f>Print_Mois!V480</f>
        <v>Frais administration</v>
      </c>
    </row>
    <row r="62" spans="1:11" ht="15" customHeight="1">
      <c r="A62" s="690" t="s">
        <v>1540</v>
      </c>
      <c r="B62" s="678" t="s">
        <v>873</v>
      </c>
      <c r="C62" s="679" t="s">
        <v>1321</v>
      </c>
      <c r="D62" s="679" t="s">
        <v>60</v>
      </c>
      <c r="E62" s="680" t="s">
        <v>303</v>
      </c>
      <c r="F62" s="681"/>
      <c r="G62" s="682" t="s">
        <v>902</v>
      </c>
      <c r="H62" s="33"/>
      <c r="K62" s="683" t="s">
        <v>142</v>
      </c>
    </row>
    <row r="63" spans="1:11" ht="15" customHeight="1">
      <c r="A63" s="690" t="s">
        <v>1543</v>
      </c>
      <c r="B63" s="678" t="s">
        <v>874</v>
      </c>
      <c r="C63" s="679" t="s">
        <v>1321</v>
      </c>
      <c r="D63" s="679" t="s">
        <v>60</v>
      </c>
      <c r="E63" s="680" t="s">
        <v>303</v>
      </c>
      <c r="F63" s="681"/>
      <c r="G63" s="682" t="s">
        <v>902</v>
      </c>
      <c r="H63" s="33"/>
      <c r="K63" s="683"/>
    </row>
    <row r="64" spans="1:11" ht="15" customHeight="1">
      <c r="A64" s="690" t="s">
        <v>1546</v>
      </c>
      <c r="B64" s="678" t="s">
        <v>1356</v>
      </c>
      <c r="C64" s="679" t="s">
        <v>1321</v>
      </c>
      <c r="D64" s="679" t="s">
        <v>60</v>
      </c>
      <c r="E64" s="680" t="s">
        <v>303</v>
      </c>
      <c r="F64" s="681"/>
      <c r="G64" s="680" t="s">
        <v>2</v>
      </c>
      <c r="H64" s="33"/>
      <c r="K64" s="683" t="str">
        <f>Print_Mois!V451</f>
        <v>[...]</v>
      </c>
    </row>
    <row r="65" spans="1:11" ht="15" customHeight="1">
      <c r="A65" s="690" t="s">
        <v>1549</v>
      </c>
      <c r="B65" s="678" t="s">
        <v>1357</v>
      </c>
      <c r="C65" s="679" t="s">
        <v>1321</v>
      </c>
      <c r="D65" s="679" t="s">
        <v>60</v>
      </c>
      <c r="E65" s="680" t="s">
        <v>303</v>
      </c>
      <c r="F65" s="681"/>
      <c r="G65" s="680" t="s">
        <v>2</v>
      </c>
      <c r="H65" s="33"/>
      <c r="K65" s="683" t="str">
        <f>Print_Mois!V438</f>
        <v>Frais de déplacement</v>
      </c>
    </row>
    <row r="66" spans="1:11" ht="15" customHeight="1">
      <c r="A66" s="690" t="s">
        <v>1552</v>
      </c>
      <c r="B66" s="678" t="s">
        <v>875</v>
      </c>
      <c r="C66" s="679" t="s">
        <v>1321</v>
      </c>
      <c r="D66" s="679" t="s">
        <v>60</v>
      </c>
      <c r="E66" s="680" t="s">
        <v>303</v>
      </c>
      <c r="F66" s="681"/>
      <c r="G66" s="682" t="s">
        <v>2</v>
      </c>
      <c r="H66" s="33"/>
      <c r="K66" s="683" t="str">
        <f>Print_Mois!C33</f>
        <v>Frais de livraison</v>
      </c>
    </row>
    <row r="67" spans="1:11" ht="15" customHeight="1">
      <c r="A67" s="690" t="s">
        <v>1555</v>
      </c>
      <c r="B67" s="678" t="s">
        <v>876</v>
      </c>
      <c r="C67" s="679" t="s">
        <v>1321</v>
      </c>
      <c r="D67" s="679" t="s">
        <v>57</v>
      </c>
      <c r="E67" s="680" t="s">
        <v>303</v>
      </c>
      <c r="F67" s="681"/>
      <c r="G67" s="682" t="e">
        <v>#N/A</v>
      </c>
      <c r="H67" s="33"/>
      <c r="K67" s="683" t="s">
        <v>1334</v>
      </c>
    </row>
    <row r="68" spans="1:11" ht="15" customHeight="1">
      <c r="A68" s="690" t="s">
        <v>1558</v>
      </c>
      <c r="B68" s="678" t="s">
        <v>877</v>
      </c>
      <c r="C68" s="679" t="s">
        <v>1321</v>
      </c>
      <c r="D68" s="679" t="s">
        <v>57</v>
      </c>
      <c r="E68" s="680" t="s">
        <v>303</v>
      </c>
      <c r="F68" s="681"/>
      <c r="G68" s="682" t="e">
        <v>#N/A</v>
      </c>
      <c r="H68" s="33"/>
      <c r="K68" s="683" t="s">
        <v>60</v>
      </c>
    </row>
    <row r="69" spans="1:11" ht="15" customHeight="1">
      <c r="A69" s="690" t="s">
        <v>1561</v>
      </c>
      <c r="B69" s="678" t="s">
        <v>878</v>
      </c>
      <c r="C69" s="679" t="s">
        <v>1321</v>
      </c>
      <c r="D69" s="679" t="s">
        <v>60</v>
      </c>
      <c r="E69" s="680" t="s">
        <v>303</v>
      </c>
      <c r="F69" s="681"/>
      <c r="G69" s="682" t="e">
        <v>#N/A</v>
      </c>
      <c r="H69" s="33"/>
      <c r="K69" s="683" t="str">
        <f>Print_Mois!V445</f>
        <v>Frais postaux</v>
      </c>
    </row>
    <row r="70" spans="1:11" ht="15" customHeight="1">
      <c r="A70" s="690" t="s">
        <v>3370</v>
      </c>
      <c r="B70" s="678" t="s">
        <v>879</v>
      </c>
      <c r="C70" s="679" t="s">
        <v>1321</v>
      </c>
      <c r="D70" s="679" t="s">
        <v>60</v>
      </c>
      <c r="E70" s="680" t="s">
        <v>303</v>
      </c>
      <c r="F70" s="681"/>
      <c r="G70" s="682" t="s">
        <v>2</v>
      </c>
      <c r="H70" s="33"/>
      <c r="K70" s="683" t="s">
        <v>1336</v>
      </c>
    </row>
    <row r="71" spans="1:11" ht="15" customHeight="1">
      <c r="A71" s="690" t="s">
        <v>1564</v>
      </c>
      <c r="B71" s="678" t="s">
        <v>880</v>
      </c>
      <c r="C71" s="679" t="s">
        <v>1321</v>
      </c>
      <c r="D71" s="679" t="s">
        <v>60</v>
      </c>
      <c r="E71" s="680" t="s">
        <v>303</v>
      </c>
      <c r="F71" s="681"/>
      <c r="G71" s="682" t="s">
        <v>957</v>
      </c>
      <c r="H71" s="33"/>
      <c r="K71" s="683" t="str">
        <f>Print_Mois!V436</f>
        <v>Frais véhicules de cie</v>
      </c>
    </row>
    <row r="72" spans="1:11" ht="15" customHeight="1">
      <c r="A72" s="690" t="s">
        <v>1567</v>
      </c>
      <c r="B72" s="678" t="s">
        <v>1358</v>
      </c>
      <c r="C72" s="679" t="s">
        <v>1321</v>
      </c>
      <c r="D72" s="679" t="s">
        <v>60</v>
      </c>
      <c r="E72" s="680" t="s">
        <v>303</v>
      </c>
      <c r="F72" s="681"/>
      <c r="G72" s="680" t="s">
        <v>957</v>
      </c>
      <c r="H72" s="33"/>
      <c r="K72" s="683" t="s">
        <v>1337</v>
      </c>
    </row>
    <row r="73" spans="1:11" ht="15" customHeight="1">
      <c r="A73" s="690" t="s">
        <v>1570</v>
      </c>
      <c r="B73" s="678" t="s">
        <v>881</v>
      </c>
      <c r="C73" s="679" t="s">
        <v>1321</v>
      </c>
      <c r="D73" s="679" t="s">
        <v>60</v>
      </c>
      <c r="E73" s="680" t="s">
        <v>303</v>
      </c>
      <c r="F73" s="681"/>
      <c r="G73" s="682" t="s">
        <v>957</v>
      </c>
      <c r="H73" s="33"/>
      <c r="K73" s="683" t="str">
        <f>Print_Mois!V470</f>
        <v>Holdbacks</v>
      </c>
    </row>
    <row r="74" spans="1:11" ht="15" customHeight="1">
      <c r="A74" s="690" t="s">
        <v>3371</v>
      </c>
      <c r="B74" s="678" t="s">
        <v>882</v>
      </c>
      <c r="C74" s="679" t="s">
        <v>1321</v>
      </c>
      <c r="D74" s="679" t="s">
        <v>60</v>
      </c>
      <c r="E74" s="680" t="s">
        <v>303</v>
      </c>
      <c r="F74" s="681"/>
      <c r="G74" s="682" t="s">
        <v>2</v>
      </c>
      <c r="H74" s="33"/>
      <c r="K74" s="683" t="str">
        <f>Print_Mois!V459</f>
        <v>Honoraires</v>
      </c>
    </row>
    <row r="75" spans="1:11" ht="15" customHeight="1">
      <c r="A75" s="690" t="s">
        <v>1573</v>
      </c>
      <c r="B75" s="678" t="s">
        <v>883</v>
      </c>
      <c r="C75" s="679" t="s">
        <v>1321</v>
      </c>
      <c r="D75" s="679" t="s">
        <v>60</v>
      </c>
      <c r="E75" s="680" t="s">
        <v>303</v>
      </c>
      <c r="F75" s="681"/>
      <c r="G75" s="682" t="s">
        <v>2</v>
      </c>
      <c r="H75" s="33"/>
      <c r="K75" s="683" t="str">
        <f>Print_Mois!C308</f>
        <v>Huiles et Graisse</v>
      </c>
    </row>
    <row r="76" spans="1:11" ht="15" customHeight="1">
      <c r="A76" s="690" t="s">
        <v>1576</v>
      </c>
      <c r="B76" s="678" t="s">
        <v>1359</v>
      </c>
      <c r="C76" s="679" t="s">
        <v>1321</v>
      </c>
      <c r="D76" s="679" t="s">
        <v>60</v>
      </c>
      <c r="E76" s="680" t="s">
        <v>303</v>
      </c>
      <c r="F76" s="681"/>
      <c r="G76" s="680" t="s">
        <v>2</v>
      </c>
      <c r="H76" s="33"/>
      <c r="K76" s="683" t="s">
        <v>69</v>
      </c>
    </row>
    <row r="77" spans="1:11" ht="15" customHeight="1">
      <c r="A77" s="690" t="s">
        <v>1579</v>
      </c>
      <c r="B77" s="678" t="s">
        <v>1360</v>
      </c>
      <c r="C77" s="679" t="s">
        <v>1321</v>
      </c>
      <c r="D77" s="679" t="s">
        <v>60</v>
      </c>
      <c r="E77" s="680" t="s">
        <v>303</v>
      </c>
      <c r="F77" s="681"/>
      <c r="G77" s="680" t="s">
        <v>2</v>
      </c>
      <c r="H77" s="33"/>
      <c r="K77" s="683" t="s">
        <v>37</v>
      </c>
    </row>
    <row r="78" spans="1:11" ht="15" customHeight="1">
      <c r="A78" s="690" t="s">
        <v>1582</v>
      </c>
      <c r="B78" s="678" t="s">
        <v>1361</v>
      </c>
      <c r="C78" s="679" t="s">
        <v>1321</v>
      </c>
      <c r="D78" s="679" t="s">
        <v>60</v>
      </c>
      <c r="E78" s="680" t="s">
        <v>303</v>
      </c>
      <c r="F78" s="681"/>
      <c r="G78" s="680" t="s">
        <v>2</v>
      </c>
      <c r="H78" s="33"/>
      <c r="K78" s="683" t="s">
        <v>65</v>
      </c>
    </row>
    <row r="79" spans="1:11" ht="15" customHeight="1">
      <c r="A79" s="690" t="s">
        <v>1585</v>
      </c>
      <c r="B79" s="678" t="s">
        <v>884</v>
      </c>
      <c r="C79" s="679" t="s">
        <v>1321</v>
      </c>
      <c r="D79" s="679" t="s">
        <v>70</v>
      </c>
      <c r="E79" s="680" t="s">
        <v>303</v>
      </c>
      <c r="F79" s="681"/>
      <c r="G79" s="682" t="s">
        <v>2</v>
      </c>
      <c r="H79" s="33"/>
      <c r="K79" s="683" t="str">
        <f>Print_Mois!V437</f>
        <v>Informatique</v>
      </c>
    </row>
    <row r="80" spans="1:11" ht="15" customHeight="1">
      <c r="A80" s="690" t="s">
        <v>1588</v>
      </c>
      <c r="B80" s="678" t="s">
        <v>886</v>
      </c>
      <c r="C80" s="679" t="s">
        <v>1321</v>
      </c>
      <c r="D80" s="679" t="s">
        <v>70</v>
      </c>
      <c r="E80" s="680" t="s">
        <v>303</v>
      </c>
      <c r="F80" s="681"/>
      <c r="G80" s="682" t="s">
        <v>2</v>
      </c>
      <c r="H80" s="33"/>
      <c r="K80" s="683" t="s">
        <v>177</v>
      </c>
    </row>
    <row r="81" spans="1:11" ht="15" customHeight="1">
      <c r="A81" s="690" t="s">
        <v>3372</v>
      </c>
      <c r="B81" s="678" t="s">
        <v>884</v>
      </c>
      <c r="C81" s="679" t="s">
        <v>1321</v>
      </c>
      <c r="D81" s="679" t="s">
        <v>70</v>
      </c>
      <c r="E81" s="680" t="s">
        <v>303</v>
      </c>
      <c r="F81" s="681"/>
      <c r="G81" s="682" t="s">
        <v>957</v>
      </c>
      <c r="H81" s="33"/>
      <c r="K81" s="683" t="s">
        <v>117</v>
      </c>
    </row>
    <row r="82" spans="1:11" ht="15" customHeight="1">
      <c r="A82" s="690" t="s">
        <v>3929</v>
      </c>
      <c r="B82" s="678" t="s">
        <v>3928</v>
      </c>
      <c r="C82" s="679" t="s">
        <v>1321</v>
      </c>
      <c r="D82" s="679" t="s">
        <v>70</v>
      </c>
      <c r="E82" s="680" t="s">
        <v>303</v>
      </c>
      <c r="F82" s="681"/>
      <c r="G82" s="682" t="s">
        <v>957</v>
      </c>
      <c r="H82" s="33"/>
      <c r="K82" s="683"/>
    </row>
    <row r="83" spans="1:11" ht="15" customHeight="1">
      <c r="A83" s="1021" t="s">
        <v>3407</v>
      </c>
      <c r="B83" s="678" t="s">
        <v>3406</v>
      </c>
      <c r="C83" s="679" t="s">
        <v>1321</v>
      </c>
      <c r="D83" s="679" t="s">
        <v>70</v>
      </c>
      <c r="E83" s="680" t="s">
        <v>303</v>
      </c>
      <c r="F83" s="681"/>
      <c r="G83" s="682" t="s">
        <v>957</v>
      </c>
      <c r="H83" s="33"/>
      <c r="K83" s="683" t="str">
        <f>Print_Mois!V492</f>
        <v>Intérêts sur marge</v>
      </c>
    </row>
    <row r="84" spans="1:11" ht="15" customHeight="1">
      <c r="A84" s="1021" t="s">
        <v>3931</v>
      </c>
      <c r="B84" s="678" t="s">
        <v>3930</v>
      </c>
      <c r="C84" s="679" t="s">
        <v>1321</v>
      </c>
      <c r="D84" s="679" t="s">
        <v>70</v>
      </c>
      <c r="E84" s="680" t="s">
        <v>303</v>
      </c>
      <c r="F84" s="681"/>
      <c r="G84" s="682" t="s">
        <v>957</v>
      </c>
      <c r="H84" s="33"/>
      <c r="K84" s="683"/>
    </row>
    <row r="85" spans="1:11" ht="15" customHeight="1">
      <c r="A85" s="690" t="s">
        <v>1591</v>
      </c>
      <c r="B85" s="678" t="s">
        <v>887</v>
      </c>
      <c r="C85" s="679" t="s">
        <v>1321</v>
      </c>
      <c r="D85" s="679" t="s">
        <v>74</v>
      </c>
      <c r="E85" s="680" t="s">
        <v>303</v>
      </c>
      <c r="F85" s="681"/>
      <c r="G85" s="682" t="s">
        <v>2</v>
      </c>
      <c r="H85" s="33"/>
      <c r="K85" s="683" t="str">
        <f>Print_Mois!V493</f>
        <v>Intérêts sur prêt</v>
      </c>
    </row>
    <row r="86" spans="1:11" ht="15" customHeight="1">
      <c r="A86" s="690" t="s">
        <v>1594</v>
      </c>
      <c r="B86" s="678" t="s">
        <v>888</v>
      </c>
      <c r="C86" s="679" t="s">
        <v>1321</v>
      </c>
      <c r="D86" s="679" t="s">
        <v>74</v>
      </c>
      <c r="E86" s="680" t="s">
        <v>303</v>
      </c>
      <c r="F86" s="681"/>
      <c r="G86" s="682" t="s">
        <v>2</v>
      </c>
      <c r="H86" s="33"/>
      <c r="K86" s="683" t="s">
        <v>50</v>
      </c>
    </row>
    <row r="87" spans="1:11" ht="15" customHeight="1">
      <c r="A87" s="690" t="s">
        <v>1597</v>
      </c>
      <c r="B87" s="678" t="s">
        <v>889</v>
      </c>
      <c r="C87" s="679" t="s">
        <v>1321</v>
      </c>
      <c r="D87" s="679" t="s">
        <v>74</v>
      </c>
      <c r="E87" s="680" t="s">
        <v>303</v>
      </c>
      <c r="F87" s="681"/>
      <c r="G87" s="682" t="s">
        <v>2</v>
      </c>
      <c r="H87" s="33"/>
      <c r="K87" s="683" t="s">
        <v>46</v>
      </c>
    </row>
    <row r="88" spans="1:11" ht="15" customHeight="1">
      <c r="A88" s="690" t="s">
        <v>1600</v>
      </c>
      <c r="B88" s="678" t="s">
        <v>890</v>
      </c>
      <c r="C88" s="679" t="s">
        <v>1321</v>
      </c>
      <c r="D88" s="679" t="s">
        <v>74</v>
      </c>
      <c r="E88" s="680" t="s">
        <v>303</v>
      </c>
      <c r="F88" s="681"/>
      <c r="G88" s="682" t="e">
        <v>#N/A</v>
      </c>
      <c r="H88" s="33"/>
      <c r="K88" s="683" t="s">
        <v>48</v>
      </c>
    </row>
    <row r="89" spans="1:11" ht="15" customHeight="1">
      <c r="A89" s="690" t="s">
        <v>1603</v>
      </c>
      <c r="B89" s="678" t="s">
        <v>1362</v>
      </c>
      <c r="C89" s="679" t="s">
        <v>1321</v>
      </c>
      <c r="D89" s="679" t="s">
        <v>77</v>
      </c>
      <c r="E89" s="680" t="s">
        <v>303</v>
      </c>
      <c r="F89" s="681"/>
      <c r="G89" s="680" t="s">
        <v>2</v>
      </c>
      <c r="H89" s="33"/>
      <c r="K89" s="683" t="str">
        <f>Print_Mois!V461</f>
        <v>Location équipement</v>
      </c>
    </row>
    <row r="90" spans="1:11" ht="15" customHeight="1">
      <c r="A90" s="690" t="s">
        <v>1606</v>
      </c>
      <c r="B90" s="678" t="s">
        <v>1363</v>
      </c>
      <c r="C90" s="679" t="s">
        <v>1321</v>
      </c>
      <c r="D90" s="679" t="s">
        <v>77</v>
      </c>
      <c r="E90" s="680" t="s">
        <v>303</v>
      </c>
      <c r="F90" s="681"/>
      <c r="G90" s="680" t="s">
        <v>2</v>
      </c>
      <c r="H90" s="33"/>
      <c r="K90" s="683" t="str">
        <f>Print_Mois!V453</f>
        <v>Loyer</v>
      </c>
    </row>
    <row r="91" spans="1:11" ht="15" customHeight="1">
      <c r="A91" s="690" t="s">
        <v>1609</v>
      </c>
      <c r="B91" s="678" t="s">
        <v>891</v>
      </c>
      <c r="C91" s="679" t="s">
        <v>1321</v>
      </c>
      <c r="D91" s="679" t="s">
        <v>75</v>
      </c>
      <c r="E91" s="680" t="s">
        <v>303</v>
      </c>
      <c r="F91" s="681"/>
      <c r="G91" s="682" t="e">
        <v>#N/A</v>
      </c>
      <c r="H91" s="33"/>
      <c r="K91" s="683" t="str">
        <f>Print_Mois!C244</f>
        <v>M/O Carrosserie</v>
      </c>
    </row>
    <row r="92" spans="1:11" ht="15" customHeight="1">
      <c r="A92" s="690" t="s">
        <v>1612</v>
      </c>
      <c r="B92" s="678" t="s">
        <v>892</v>
      </c>
      <c r="C92" s="679" t="s">
        <v>1321</v>
      </c>
      <c r="D92" s="679" t="s">
        <v>75</v>
      </c>
      <c r="E92" s="680" t="s">
        <v>303</v>
      </c>
      <c r="F92" s="681"/>
      <c r="G92" s="682" t="e">
        <v>#N/A</v>
      </c>
      <c r="H92" s="33"/>
      <c r="K92" s="683" t="str">
        <f>Print_Mois!C172</f>
        <v>M/O Client</v>
      </c>
    </row>
    <row r="93" spans="1:11" ht="15" customHeight="1">
      <c r="A93" s="690" t="s">
        <v>1615</v>
      </c>
      <c r="B93" s="678" t="s">
        <v>893</v>
      </c>
      <c r="C93" s="679" t="s">
        <v>1321</v>
      </c>
      <c r="D93" s="679" t="s">
        <v>74</v>
      </c>
      <c r="E93" s="680" t="s">
        <v>303</v>
      </c>
      <c r="F93" s="681"/>
      <c r="G93" s="682" t="e">
        <v>#N/A</v>
      </c>
      <c r="H93" s="33"/>
      <c r="K93" s="683" t="str">
        <f>Print_Mois!C181</f>
        <v>M/O Esthétique</v>
      </c>
    </row>
    <row r="94" spans="1:11" ht="15" customHeight="1">
      <c r="A94" s="690" t="s">
        <v>1618</v>
      </c>
      <c r="B94" s="678" t="s">
        <v>894</v>
      </c>
      <c r="C94" s="679" t="s">
        <v>1321</v>
      </c>
      <c r="D94" s="679" t="s">
        <v>74</v>
      </c>
      <c r="E94" s="680" t="s">
        <v>303</v>
      </c>
      <c r="F94" s="681"/>
      <c r="G94" s="682" t="e">
        <v>#N/A</v>
      </c>
      <c r="H94" s="33"/>
      <c r="K94" s="683" t="str">
        <f>+Print_Mois!C247</f>
        <v>M/O Esthétique Carr.</v>
      </c>
    </row>
    <row r="95" spans="1:11" ht="15" customHeight="1">
      <c r="A95" s="690" t="s">
        <v>1621</v>
      </c>
      <c r="B95" s="678" t="s">
        <v>895</v>
      </c>
      <c r="C95" s="679" t="s">
        <v>1321</v>
      </c>
      <c r="D95" s="679" t="s">
        <v>76</v>
      </c>
      <c r="E95" s="680" t="s">
        <v>303</v>
      </c>
      <c r="F95" s="681"/>
      <c r="G95" s="682" t="e">
        <v>#N/A</v>
      </c>
      <c r="H95" s="33"/>
      <c r="K95" s="683" t="str">
        <f>Print_Mois!C175</f>
        <v>M/O Garantie</v>
      </c>
    </row>
    <row r="96" spans="1:11" ht="15" customHeight="1">
      <c r="A96" s="690" t="s">
        <v>1624</v>
      </c>
      <c r="B96" s="678" t="s">
        <v>896</v>
      </c>
      <c r="C96" s="679" t="s">
        <v>1321</v>
      </c>
      <c r="D96" s="679" t="s">
        <v>76</v>
      </c>
      <c r="E96" s="680" t="s">
        <v>303</v>
      </c>
      <c r="F96" s="681"/>
      <c r="G96" s="682" t="e">
        <v>#N/A</v>
      </c>
      <c r="H96" s="33"/>
      <c r="K96" s="683" t="str">
        <f>Print_Mois!C178</f>
        <v>M/O Interne</v>
      </c>
    </row>
    <row r="97" spans="1:11" ht="15" customHeight="1">
      <c r="A97" s="690" t="s">
        <v>1627</v>
      </c>
      <c r="B97" s="678" t="s">
        <v>897</v>
      </c>
      <c r="C97" s="679" t="s">
        <v>1321</v>
      </c>
      <c r="D97" s="679" t="s">
        <v>79</v>
      </c>
      <c r="E97" s="680" t="s">
        <v>303</v>
      </c>
      <c r="F97" s="681"/>
      <c r="G97" s="682" t="e">
        <v>#N/A</v>
      </c>
      <c r="H97" s="33"/>
      <c r="K97" s="683" t="s">
        <v>26</v>
      </c>
    </row>
    <row r="98" spans="1:11" ht="15" customHeight="1">
      <c r="A98" s="690" t="s">
        <v>1630</v>
      </c>
      <c r="B98" s="678" t="s">
        <v>898</v>
      </c>
      <c r="C98" s="679" t="s">
        <v>1321</v>
      </c>
      <c r="D98" s="679" t="s">
        <v>79</v>
      </c>
      <c r="E98" s="680" t="s">
        <v>303</v>
      </c>
      <c r="F98" s="681"/>
      <c r="G98" s="682" t="e">
        <v>#N/A</v>
      </c>
      <c r="H98" s="33"/>
      <c r="K98" s="683" t="s">
        <v>1339</v>
      </c>
    </row>
    <row r="99" spans="1:11" ht="15" customHeight="1">
      <c r="A99" s="690" t="s">
        <v>899</v>
      </c>
      <c r="B99" s="678" t="s">
        <v>3320</v>
      </c>
      <c r="C99" s="679" t="s">
        <v>1321</v>
      </c>
      <c r="D99" s="679" t="s">
        <v>82</v>
      </c>
      <c r="E99" s="680" t="s">
        <v>303</v>
      </c>
      <c r="F99" s="681"/>
      <c r="G99" s="682" t="s">
        <v>963</v>
      </c>
      <c r="H99" s="33"/>
      <c r="K99" s="683" t="s">
        <v>75</v>
      </c>
    </row>
    <row r="100" spans="1:11" ht="15" customHeight="1">
      <c r="A100" s="690" t="s">
        <v>3373</v>
      </c>
      <c r="B100" s="678" t="s">
        <v>3321</v>
      </c>
      <c r="C100" s="679" t="s">
        <v>1321</v>
      </c>
      <c r="D100" s="679" t="s">
        <v>82</v>
      </c>
      <c r="E100" s="680" t="s">
        <v>303</v>
      </c>
      <c r="F100" s="681"/>
      <c r="G100" s="682" t="s">
        <v>7</v>
      </c>
      <c r="H100" s="33"/>
      <c r="K100" s="683" t="str">
        <f>Print_Mois!C95</f>
        <v>Non Certifié</v>
      </c>
    </row>
    <row r="101" spans="1:11" ht="15" customHeight="1">
      <c r="A101" s="690" t="s">
        <v>1635</v>
      </c>
      <c r="B101" s="678" t="s">
        <v>900</v>
      </c>
      <c r="C101" s="679" t="s">
        <v>1321</v>
      </c>
      <c r="D101" s="679" t="s">
        <v>42</v>
      </c>
      <c r="E101" s="680" t="s">
        <v>303</v>
      </c>
      <c r="F101" s="681"/>
      <c r="G101" s="682" t="e">
        <v>#N/A</v>
      </c>
      <c r="H101" s="33"/>
      <c r="K101" s="683"/>
    </row>
    <row r="102" spans="1:11" ht="15" customHeight="1">
      <c r="A102" s="690" t="s">
        <v>1638</v>
      </c>
      <c r="B102" s="678" t="s">
        <v>721</v>
      </c>
      <c r="C102" s="679"/>
      <c r="D102" s="679"/>
      <c r="E102" s="680"/>
      <c r="F102" s="681"/>
      <c r="G102" s="682" t="e">
        <v>#N/A</v>
      </c>
      <c r="H102" s="33"/>
      <c r="K102" s="683" t="str">
        <f>Print_Mois!C297</f>
        <v>P/A Garantie</v>
      </c>
    </row>
    <row r="103" spans="1:11" ht="15" customHeight="1">
      <c r="A103" s="690" t="s">
        <v>903</v>
      </c>
      <c r="B103" s="678" t="s">
        <v>901</v>
      </c>
      <c r="C103" s="679" t="s">
        <v>1321</v>
      </c>
      <c r="D103" s="679" t="s">
        <v>47</v>
      </c>
      <c r="E103" s="680" t="s">
        <v>303</v>
      </c>
      <c r="F103" s="681"/>
      <c r="G103" s="682" t="e">
        <v>#N/A</v>
      </c>
      <c r="H103" s="33"/>
      <c r="K103" s="683" t="str">
        <f>Print_Mois!V443</f>
        <v>Papeterie</v>
      </c>
    </row>
    <row r="104" spans="1:11" ht="15" customHeight="1">
      <c r="A104" s="690" t="s">
        <v>905</v>
      </c>
      <c r="B104" s="678" t="s">
        <v>904</v>
      </c>
      <c r="C104" s="679" t="s">
        <v>1321</v>
      </c>
      <c r="D104" s="679" t="s">
        <v>49</v>
      </c>
      <c r="E104" s="680" t="s">
        <v>303</v>
      </c>
      <c r="F104" s="681"/>
      <c r="G104" s="682" t="e">
        <v>#N/A</v>
      </c>
      <c r="H104" s="33"/>
      <c r="K104" s="683" t="str">
        <f>Print_Mois!C296</f>
        <v>Pièces Ro Carrosserie</v>
      </c>
    </row>
    <row r="105" spans="1:11" ht="15" customHeight="1">
      <c r="A105" s="690" t="s">
        <v>3374</v>
      </c>
      <c r="B105" s="678" t="s">
        <v>3313</v>
      </c>
      <c r="C105" s="679" t="s">
        <v>1321</v>
      </c>
      <c r="D105" s="679" t="s">
        <v>57</v>
      </c>
      <c r="E105" s="680" t="s">
        <v>303</v>
      </c>
      <c r="F105" s="681"/>
      <c r="G105" s="682" t="e">
        <v>#N/A</v>
      </c>
      <c r="H105" s="33"/>
      <c r="K105" s="683" t="str">
        <f>Print_Mois!C295</f>
        <v>Pièces Ro Clients</v>
      </c>
    </row>
    <row r="106" spans="1:11" ht="15" customHeight="1">
      <c r="A106" s="690" t="s">
        <v>3375</v>
      </c>
      <c r="B106" s="678" t="s">
        <v>3314</v>
      </c>
      <c r="C106" s="679" t="s">
        <v>1321</v>
      </c>
      <c r="D106" s="679" t="s">
        <v>57</v>
      </c>
      <c r="E106" s="680" t="s">
        <v>303</v>
      </c>
      <c r="F106" s="681"/>
      <c r="G106" s="682" t="e">
        <v>#N/A</v>
      </c>
      <c r="H106" s="33"/>
      <c r="K106" s="683" t="s">
        <v>28</v>
      </c>
    </row>
    <row r="107" spans="1:11" ht="15" customHeight="1">
      <c r="A107" s="690" t="s">
        <v>907</v>
      </c>
      <c r="B107" s="678" t="s">
        <v>906</v>
      </c>
      <c r="C107" s="679" t="s">
        <v>1321</v>
      </c>
      <c r="D107" s="679" t="s">
        <v>28</v>
      </c>
      <c r="E107" s="680" t="s">
        <v>303</v>
      </c>
      <c r="F107" s="681"/>
      <c r="G107" s="682" t="e">
        <v>#N/A</v>
      </c>
      <c r="H107" s="33"/>
      <c r="K107" s="683" t="str">
        <f>Print_Mois!V471</f>
        <v>Programme neuf 1</v>
      </c>
    </row>
    <row r="108" spans="1:11" ht="15" customHeight="1">
      <c r="A108" s="678" t="s">
        <v>909</v>
      </c>
      <c r="B108" s="678" t="s">
        <v>908</v>
      </c>
      <c r="C108" s="679" t="s">
        <v>1321</v>
      </c>
      <c r="D108" s="679" t="s">
        <v>35</v>
      </c>
      <c r="E108" s="680" t="s">
        <v>303</v>
      </c>
      <c r="F108" s="680"/>
      <c r="G108" s="682" t="s">
        <v>963</v>
      </c>
      <c r="H108" s="33"/>
      <c r="K108" s="683" t="s">
        <v>41</v>
      </c>
    </row>
    <row r="109" spans="1:11" ht="15" customHeight="1">
      <c r="A109" s="678" t="s">
        <v>911</v>
      </c>
      <c r="B109" s="678" t="s">
        <v>910</v>
      </c>
      <c r="C109" s="679" t="s">
        <v>1321</v>
      </c>
      <c r="D109" s="679" t="s">
        <v>35</v>
      </c>
      <c r="E109" s="680" t="s">
        <v>303</v>
      </c>
      <c r="F109" s="680"/>
      <c r="G109" s="682" t="s">
        <v>7</v>
      </c>
      <c r="H109" s="33"/>
      <c r="K109" s="683"/>
    </row>
    <row r="110" spans="1:11" ht="15" customHeight="1">
      <c r="A110" s="678" t="s">
        <v>1652</v>
      </c>
      <c r="B110" s="678" t="s">
        <v>912</v>
      </c>
      <c r="C110" s="679" t="s">
        <v>1321</v>
      </c>
      <c r="D110" s="679" t="s">
        <v>35</v>
      </c>
      <c r="E110" s="680" t="s">
        <v>303</v>
      </c>
      <c r="F110" s="680"/>
      <c r="G110" s="682" t="e">
        <v>#N/A</v>
      </c>
      <c r="H110" s="33"/>
      <c r="K110" s="683" t="str">
        <f>Print_Mois!V472</f>
        <v>Programme neuf 2</v>
      </c>
    </row>
    <row r="111" spans="1:11" ht="15" customHeight="1">
      <c r="A111" s="678" t="s">
        <v>914</v>
      </c>
      <c r="B111" s="678" t="s">
        <v>913</v>
      </c>
      <c r="C111" s="679" t="s">
        <v>1321</v>
      </c>
      <c r="D111" s="679" t="s">
        <v>35</v>
      </c>
      <c r="E111" s="680" t="s">
        <v>303</v>
      </c>
      <c r="F111" s="680"/>
      <c r="G111" s="682" t="s">
        <v>963</v>
      </c>
      <c r="H111" s="33"/>
      <c r="K111" s="683" t="str">
        <f>Print_Mois!V473</f>
        <v>Programme neuf 3</v>
      </c>
    </row>
    <row r="112" spans="1:11" ht="15" customHeight="1">
      <c r="A112" s="678" t="s">
        <v>1657</v>
      </c>
      <c r="B112" s="678" t="s">
        <v>915</v>
      </c>
      <c r="C112" s="679" t="s">
        <v>1321</v>
      </c>
      <c r="D112" s="679" t="s">
        <v>35</v>
      </c>
      <c r="E112" s="680" t="s">
        <v>303</v>
      </c>
      <c r="F112" s="680"/>
      <c r="G112" s="682" t="s">
        <v>7</v>
      </c>
      <c r="H112" s="33"/>
      <c r="K112" s="683" t="s">
        <v>116</v>
      </c>
    </row>
    <row r="113" spans="1:11" ht="15" customHeight="1">
      <c r="A113" s="678" t="s">
        <v>1660</v>
      </c>
      <c r="B113" s="678" t="s">
        <v>916</v>
      </c>
      <c r="C113" s="679" t="s">
        <v>1321</v>
      </c>
      <c r="D113" s="679" t="s">
        <v>35</v>
      </c>
      <c r="E113" s="680" t="s">
        <v>303</v>
      </c>
      <c r="F113" s="680"/>
      <c r="G113" s="682" t="e">
        <v>#N/A</v>
      </c>
      <c r="H113" s="33"/>
      <c r="K113" s="683" t="s">
        <v>129</v>
      </c>
    </row>
    <row r="114" spans="1:11" ht="15" customHeight="1">
      <c r="A114" s="678" t="s">
        <v>1663</v>
      </c>
      <c r="B114" s="678" t="s">
        <v>917</v>
      </c>
      <c r="C114" s="679" t="s">
        <v>1321</v>
      </c>
      <c r="D114" s="679" t="s">
        <v>43</v>
      </c>
      <c r="E114" s="680" t="s">
        <v>303</v>
      </c>
      <c r="F114" s="680"/>
      <c r="G114" s="682" t="e">
        <v>#N/A</v>
      </c>
      <c r="H114" s="33"/>
      <c r="K114" s="683" t="str">
        <f>Print_Mois!C19</f>
        <v>Rachat bail</v>
      </c>
    </row>
    <row r="115" spans="1:11" ht="15" customHeight="1">
      <c r="A115" s="678" t="s">
        <v>918</v>
      </c>
      <c r="B115" s="678" t="s">
        <v>919</v>
      </c>
      <c r="C115" s="679" t="s">
        <v>1321</v>
      </c>
      <c r="D115" s="679" t="s">
        <v>43</v>
      </c>
      <c r="E115" s="680" t="s">
        <v>303</v>
      </c>
      <c r="F115" s="680"/>
      <c r="G115" s="682" t="e">
        <v>#N/A</v>
      </c>
      <c r="H115" s="33"/>
      <c r="K115" s="683" t="s">
        <v>42</v>
      </c>
    </row>
    <row r="116" spans="1:11" ht="15" customHeight="1">
      <c r="A116" s="690" t="s">
        <v>1668</v>
      </c>
      <c r="B116" s="678" t="s">
        <v>920</v>
      </c>
      <c r="C116" s="679" t="s">
        <v>1321</v>
      </c>
      <c r="D116" s="679" t="s">
        <v>43</v>
      </c>
      <c r="E116" s="680" t="s">
        <v>303</v>
      </c>
      <c r="F116" s="681"/>
      <c r="G116" s="682" t="e">
        <v>#N/A</v>
      </c>
      <c r="H116" s="33"/>
      <c r="K116" s="683" t="s">
        <v>38</v>
      </c>
    </row>
    <row r="117" spans="1:11" ht="15" customHeight="1">
      <c r="A117" s="690" t="s">
        <v>1671</v>
      </c>
      <c r="B117" s="678" t="s">
        <v>921</v>
      </c>
      <c r="C117" s="679" t="s">
        <v>1321</v>
      </c>
      <c r="D117" s="679" t="s">
        <v>43</v>
      </c>
      <c r="E117" s="680" t="s">
        <v>303</v>
      </c>
      <c r="F117" s="681"/>
      <c r="G117" s="682" t="s">
        <v>963</v>
      </c>
      <c r="H117" s="33"/>
      <c r="K117" s="683" t="s">
        <v>29</v>
      </c>
    </row>
    <row r="118" spans="1:11" ht="15" customHeight="1">
      <c r="A118" s="690" t="s">
        <v>1674</v>
      </c>
      <c r="B118" s="678" t="s">
        <v>732</v>
      </c>
      <c r="C118" s="679"/>
      <c r="D118" s="679"/>
      <c r="E118" s="680"/>
      <c r="F118" s="681"/>
      <c r="G118" s="682" t="s">
        <v>816</v>
      </c>
      <c r="H118" s="33"/>
      <c r="K118" s="683" t="s">
        <v>29</v>
      </c>
    </row>
    <row r="119" spans="1:11" ht="15" customHeight="1">
      <c r="A119" s="690" t="s">
        <v>923</v>
      </c>
      <c r="B119" s="678" t="s">
        <v>922</v>
      </c>
      <c r="C119" s="679" t="s">
        <v>1321</v>
      </c>
      <c r="D119" s="679" t="s">
        <v>33</v>
      </c>
      <c r="E119" s="680" t="s">
        <v>303</v>
      </c>
      <c r="F119" s="681"/>
      <c r="G119" s="682" t="s">
        <v>7</v>
      </c>
      <c r="H119" s="33"/>
      <c r="K119" s="683" t="s">
        <v>36</v>
      </c>
    </row>
    <row r="120" spans="1:11" ht="15" customHeight="1">
      <c r="A120" s="690" t="s">
        <v>1679</v>
      </c>
      <c r="B120" s="678" t="s">
        <v>924</v>
      </c>
      <c r="C120" s="679" t="s">
        <v>1321</v>
      </c>
      <c r="D120" s="679" t="s">
        <v>43</v>
      </c>
      <c r="E120" s="680" t="s">
        <v>303</v>
      </c>
      <c r="F120" s="681"/>
      <c r="G120" s="682" t="s">
        <v>963</v>
      </c>
      <c r="H120" s="33"/>
      <c r="K120" s="683" t="s">
        <v>34</v>
      </c>
    </row>
    <row r="121" spans="1:11" ht="15" customHeight="1">
      <c r="A121" s="690" t="s">
        <v>928</v>
      </c>
      <c r="B121" s="678" t="s">
        <v>925</v>
      </c>
      <c r="C121" s="679" t="s">
        <v>1321</v>
      </c>
      <c r="D121" s="679" t="s">
        <v>57</v>
      </c>
      <c r="E121" s="680" t="s">
        <v>303</v>
      </c>
      <c r="F121" s="681"/>
      <c r="G121" s="682" t="s">
        <v>7</v>
      </c>
      <c r="H121" s="33"/>
      <c r="K121" s="683" t="s">
        <v>30</v>
      </c>
    </row>
    <row r="122" spans="1:11" ht="15" customHeight="1">
      <c r="A122" s="690" t="s">
        <v>3376</v>
      </c>
      <c r="B122" s="678" t="s">
        <v>1365</v>
      </c>
      <c r="C122" s="679" t="s">
        <v>1321</v>
      </c>
      <c r="D122" s="679" t="s">
        <v>57</v>
      </c>
      <c r="E122" s="680" t="s">
        <v>303</v>
      </c>
      <c r="F122" s="681"/>
      <c r="G122" s="682" t="e">
        <v>#N/A</v>
      </c>
      <c r="H122" s="33"/>
      <c r="K122" s="683" t="s">
        <v>189</v>
      </c>
    </row>
    <row r="123" spans="1:11" ht="15" customHeight="1">
      <c r="A123" s="690" t="s">
        <v>1684</v>
      </c>
      <c r="B123" s="678" t="s">
        <v>927</v>
      </c>
      <c r="C123" s="679" t="s">
        <v>1321</v>
      </c>
      <c r="D123" s="679" t="s">
        <v>57</v>
      </c>
      <c r="E123" s="680" t="s">
        <v>303</v>
      </c>
      <c r="F123" s="681"/>
      <c r="G123" s="682" t="e">
        <v>#N/A</v>
      </c>
      <c r="H123" s="33"/>
      <c r="K123" s="683" t="s">
        <v>40</v>
      </c>
    </row>
    <row r="124" spans="1:11" ht="15" customHeight="1">
      <c r="A124" s="690" t="s">
        <v>3377</v>
      </c>
      <c r="B124" s="678" t="s">
        <v>1366</v>
      </c>
      <c r="C124" s="679" t="s">
        <v>1321</v>
      </c>
      <c r="D124" s="679" t="s">
        <v>41</v>
      </c>
      <c r="E124" s="680" t="s">
        <v>303</v>
      </c>
      <c r="F124" s="681"/>
      <c r="G124" s="682" t="e">
        <v>#N/A</v>
      </c>
      <c r="H124" s="33"/>
      <c r="K124" s="683" t="str">
        <f>Print_Mois!V460</f>
        <v>Réparation équipement</v>
      </c>
    </row>
    <row r="125" spans="1:11" ht="15" customHeight="1">
      <c r="A125" s="690" t="s">
        <v>1687</v>
      </c>
      <c r="B125" s="678" t="s">
        <v>930</v>
      </c>
      <c r="C125" s="679" t="s">
        <v>1321</v>
      </c>
      <c r="D125" s="679" t="s">
        <v>57</v>
      </c>
      <c r="E125" s="680" t="s">
        <v>303</v>
      </c>
      <c r="F125" s="681"/>
      <c r="G125" s="682" t="s">
        <v>963</v>
      </c>
      <c r="H125" s="33"/>
      <c r="K125" s="683" t="s">
        <v>1348</v>
      </c>
    </row>
    <row r="126" spans="1:11" ht="15" customHeight="1">
      <c r="A126" s="690" t="s">
        <v>1690</v>
      </c>
      <c r="B126" s="678" t="s">
        <v>733</v>
      </c>
      <c r="C126" s="679"/>
      <c r="D126" s="679"/>
      <c r="E126" s="680" t="s">
        <v>303</v>
      </c>
      <c r="F126" s="681"/>
      <c r="G126" s="682" t="e">
        <v>#N/A</v>
      </c>
      <c r="H126" s="33"/>
      <c r="K126" s="683" t="str">
        <f>Print_Mois!C23</f>
        <v>Rev. Autres</v>
      </c>
    </row>
    <row r="127" spans="1:11" ht="15" customHeight="1">
      <c r="A127" s="690" t="s">
        <v>3337</v>
      </c>
      <c r="B127" s="678" t="s">
        <v>3338</v>
      </c>
      <c r="C127" s="679" t="s">
        <v>1321</v>
      </c>
      <c r="D127" s="679" t="s">
        <v>55</v>
      </c>
      <c r="E127" s="680" t="s">
        <v>303</v>
      </c>
      <c r="F127" s="681"/>
      <c r="G127" s="682" t="s">
        <v>7</v>
      </c>
      <c r="H127" s="33"/>
      <c r="K127" s="683" t="str">
        <f>Print_Mois!C24</f>
        <v>Total F&amp;I</v>
      </c>
    </row>
    <row r="128" spans="1:11" ht="15" customHeight="1">
      <c r="A128" s="690" t="s">
        <v>932</v>
      </c>
      <c r="B128" s="678" t="s">
        <v>931</v>
      </c>
      <c r="C128" s="679" t="s">
        <v>1321</v>
      </c>
      <c r="D128" s="679" t="s">
        <v>55</v>
      </c>
      <c r="E128" s="680" t="s">
        <v>303</v>
      </c>
      <c r="F128" s="681"/>
      <c r="G128" s="682" t="s">
        <v>963</v>
      </c>
      <c r="H128" s="33"/>
      <c r="K128" s="683" t="str">
        <f>Print_Mois!C21</f>
        <v>Rev. Finances</v>
      </c>
    </row>
    <row r="129" spans="1:29" ht="15" customHeight="1">
      <c r="A129" s="690" t="s">
        <v>1695</v>
      </c>
      <c r="B129" s="678" t="s">
        <v>933</v>
      </c>
      <c r="C129" s="679" t="s">
        <v>1321</v>
      </c>
      <c r="D129" s="679" t="s">
        <v>55</v>
      </c>
      <c r="E129" s="680" t="s">
        <v>303</v>
      </c>
      <c r="F129" s="681"/>
      <c r="G129" s="682" t="s">
        <v>7</v>
      </c>
      <c r="H129" s="33"/>
      <c r="K129" s="683" t="str">
        <f>Print_Mois!C22</f>
        <v>Rev. Protections</v>
      </c>
    </row>
    <row r="130" spans="1:29" ht="15" customHeight="1">
      <c r="A130" s="690" t="s">
        <v>1698</v>
      </c>
      <c r="B130" s="678" t="s">
        <v>734</v>
      </c>
      <c r="C130" s="679"/>
      <c r="D130" s="679"/>
      <c r="E130" s="680"/>
      <c r="F130" s="681"/>
      <c r="G130" s="682" t="s">
        <v>816</v>
      </c>
      <c r="H130" s="33"/>
      <c r="K130" s="683" t="str">
        <f>Print_Mois!V469</f>
        <v>Revenus autres</v>
      </c>
    </row>
    <row r="131" spans="1:29" ht="15" customHeight="1">
      <c r="A131" s="690" t="s">
        <v>1701</v>
      </c>
      <c r="B131" s="678" t="s">
        <v>934</v>
      </c>
      <c r="C131" s="679" t="s">
        <v>1321</v>
      </c>
      <c r="D131" s="679" t="s">
        <v>55</v>
      </c>
      <c r="E131" s="680" t="s">
        <v>303</v>
      </c>
      <c r="F131" s="681"/>
      <c r="G131" s="682" t="e">
        <v>#N/A</v>
      </c>
      <c r="H131" s="33"/>
      <c r="K131" s="683" t="s">
        <v>53</v>
      </c>
    </row>
    <row r="132" spans="1:29" ht="15" customHeight="1">
      <c r="A132" s="690" t="s">
        <v>1704</v>
      </c>
      <c r="B132" s="678" t="s">
        <v>935</v>
      </c>
      <c r="C132" s="679" t="s">
        <v>1321</v>
      </c>
      <c r="D132" s="679" t="s">
        <v>55</v>
      </c>
      <c r="E132" s="680" t="s">
        <v>303</v>
      </c>
      <c r="F132" s="681"/>
      <c r="G132" s="682" t="e">
        <v>#N/A</v>
      </c>
      <c r="H132" s="33"/>
      <c r="K132" s="683" t="str">
        <f>Print_Mois!V423</f>
        <v>Salaires autres</v>
      </c>
    </row>
    <row r="133" spans="1:29" ht="15" customHeight="1">
      <c r="A133" s="690" t="s">
        <v>1707</v>
      </c>
      <c r="B133" s="678" t="s">
        <v>936</v>
      </c>
      <c r="C133" s="679" t="s">
        <v>1321</v>
      </c>
      <c r="D133" s="679" t="s">
        <v>55</v>
      </c>
      <c r="E133" s="680" t="s">
        <v>303</v>
      </c>
      <c r="F133" s="681"/>
      <c r="G133" s="682" t="s">
        <v>963</v>
      </c>
      <c r="H133" s="33"/>
      <c r="K133" s="683" t="str">
        <f>Print_Mois!V421</f>
        <v>Salaires cadres</v>
      </c>
    </row>
    <row r="134" spans="1:29" ht="15" customHeight="1">
      <c r="A134" s="690" t="s">
        <v>1710</v>
      </c>
      <c r="B134" s="678" t="s">
        <v>735</v>
      </c>
      <c r="C134" s="679"/>
      <c r="D134" s="679"/>
      <c r="E134" s="680"/>
      <c r="F134" s="681"/>
      <c r="G134" s="682" t="s">
        <v>816</v>
      </c>
      <c r="H134" s="33"/>
      <c r="K134" s="683" t="str">
        <f>Print_Mois!C43</f>
        <v>Salaires commis</v>
      </c>
    </row>
    <row r="135" spans="1:29" ht="15" customHeight="1">
      <c r="A135" s="690" t="s">
        <v>1713</v>
      </c>
      <c r="B135" s="678" t="s">
        <v>736</v>
      </c>
      <c r="C135" s="679"/>
      <c r="D135" s="679"/>
      <c r="E135" s="680"/>
      <c r="F135" s="681"/>
      <c r="G135" s="682" t="s">
        <v>816</v>
      </c>
      <c r="H135" s="33"/>
      <c r="K135" s="683" t="str">
        <f>Print_Mois!V422</f>
        <v>Salaires commis</v>
      </c>
    </row>
    <row r="136" spans="1:29" ht="15" customHeight="1">
      <c r="A136" s="690" t="s">
        <v>938</v>
      </c>
      <c r="B136" s="678" t="s">
        <v>937</v>
      </c>
      <c r="C136" s="679" t="s">
        <v>1321</v>
      </c>
      <c r="D136" s="679" t="s">
        <v>39</v>
      </c>
      <c r="E136" s="680" t="s">
        <v>303</v>
      </c>
      <c r="F136" s="681"/>
      <c r="G136" s="682" t="s">
        <v>7</v>
      </c>
      <c r="H136" s="33"/>
      <c r="K136" s="683" t="str">
        <f>Print_Mois!V428</f>
        <v>Salaires en absences</v>
      </c>
    </row>
    <row r="137" spans="1:29" ht="15" customHeight="1">
      <c r="A137" s="690" t="s">
        <v>1718</v>
      </c>
      <c r="B137" s="678" t="s">
        <v>737</v>
      </c>
      <c r="C137" s="679"/>
      <c r="D137" s="679"/>
      <c r="E137" s="680"/>
      <c r="F137" s="681"/>
      <c r="G137" s="682" t="s">
        <v>816</v>
      </c>
      <c r="H137" s="33"/>
      <c r="K137" s="683" t="str">
        <f>Print_Mois!V420</f>
        <v>Salaires propriétaire</v>
      </c>
    </row>
    <row r="138" spans="1:29" ht="15" customHeight="1">
      <c r="A138" s="690" t="s">
        <v>1721</v>
      </c>
      <c r="B138" s="678" t="s">
        <v>738</v>
      </c>
      <c r="C138" s="679"/>
      <c r="D138" s="679"/>
      <c r="E138" s="680"/>
      <c r="F138" s="681"/>
      <c r="G138" s="682" t="s">
        <v>816</v>
      </c>
      <c r="H138" s="33"/>
      <c r="K138" s="683" t="str">
        <f>Print_Mois!V424</f>
        <v>Salaires spécialistes</v>
      </c>
    </row>
    <row r="139" spans="1:29" ht="15" customHeight="1">
      <c r="A139" s="690" t="s">
        <v>1724</v>
      </c>
      <c r="B139" s="678" t="s">
        <v>739</v>
      </c>
      <c r="C139" s="679"/>
      <c r="D139" s="679"/>
      <c r="E139" s="680"/>
      <c r="F139" s="681"/>
      <c r="G139" s="682" t="s">
        <v>816</v>
      </c>
      <c r="H139" s="33"/>
      <c r="K139" s="683" t="str">
        <f>Print_Mois!C34</f>
        <v>Service gratuit 1</v>
      </c>
    </row>
    <row r="140" spans="1:29" ht="15" customHeight="1">
      <c r="A140" s="690" t="s">
        <v>1727</v>
      </c>
      <c r="B140" s="678" t="s">
        <v>740</v>
      </c>
      <c r="C140" s="679"/>
      <c r="D140" s="679"/>
      <c r="E140" s="680"/>
      <c r="F140" s="681"/>
      <c r="G140" s="682" t="s">
        <v>816</v>
      </c>
      <c r="H140" s="33"/>
      <c r="K140" s="683" t="str">
        <f>Print_Mois!V435</f>
        <v>Service gratuit 2</v>
      </c>
    </row>
    <row r="141" spans="1:29" ht="15" customHeight="1">
      <c r="A141" s="690" t="s">
        <v>940</v>
      </c>
      <c r="B141" s="678" t="s">
        <v>939</v>
      </c>
      <c r="C141" s="679" t="s">
        <v>1321</v>
      </c>
      <c r="D141" s="679" t="s">
        <v>53</v>
      </c>
      <c r="E141" s="680" t="s">
        <v>303</v>
      </c>
      <c r="F141" s="681"/>
      <c r="G141" s="682" t="s">
        <v>963</v>
      </c>
      <c r="H141" s="33"/>
      <c r="I141" s="3"/>
      <c r="J141" s="3"/>
      <c r="K141" s="683" t="str">
        <f>Print_Mois!V439</f>
        <v>Services extérieurs</v>
      </c>
      <c r="L141" s="3"/>
      <c r="M141" s="3"/>
      <c r="P141" s="3"/>
      <c r="Q141" s="3"/>
      <c r="R141" s="3"/>
      <c r="S141" s="3"/>
      <c r="T141" s="3"/>
      <c r="U141" s="3"/>
      <c r="V141" s="3"/>
      <c r="W141" s="3"/>
      <c r="X141" s="3"/>
      <c r="Y141" s="3"/>
      <c r="Z141" s="3"/>
      <c r="AA141" s="3"/>
      <c r="AB141" s="3"/>
      <c r="AC141" s="3"/>
    </row>
    <row r="142" spans="1:29" ht="15" customHeight="1">
      <c r="A142" s="690" t="s">
        <v>3378</v>
      </c>
      <c r="B142" s="678" t="s">
        <v>941</v>
      </c>
      <c r="C142" s="679" t="s">
        <v>1321</v>
      </c>
      <c r="D142" s="679" t="s">
        <v>53</v>
      </c>
      <c r="E142" s="680" t="s">
        <v>303</v>
      </c>
      <c r="F142" s="681"/>
      <c r="G142" s="682" t="s">
        <v>7</v>
      </c>
      <c r="H142" s="33"/>
      <c r="K142" s="683" t="s">
        <v>58</v>
      </c>
    </row>
    <row r="143" spans="1:29" ht="15" customHeight="1">
      <c r="A143" s="690" t="s">
        <v>944</v>
      </c>
      <c r="B143" s="678" t="s">
        <v>943</v>
      </c>
      <c r="C143" s="679" t="s">
        <v>1321</v>
      </c>
      <c r="D143" s="679" t="s">
        <v>53</v>
      </c>
      <c r="E143" s="680" t="s">
        <v>303</v>
      </c>
      <c r="F143" s="681"/>
      <c r="G143" s="682" t="s">
        <v>963</v>
      </c>
      <c r="H143" s="33"/>
      <c r="K143" s="683" t="str">
        <f>Print_Mois!C188</f>
        <v>Sous-traitement</v>
      </c>
    </row>
    <row r="144" spans="1:29" ht="15" customHeight="1">
      <c r="A144" s="690" t="s">
        <v>1734</v>
      </c>
      <c r="B144" s="678" t="s">
        <v>945</v>
      </c>
      <c r="C144" s="679" t="s">
        <v>1321</v>
      </c>
      <c r="D144" s="679" t="s">
        <v>53</v>
      </c>
      <c r="E144" s="680" t="s">
        <v>303</v>
      </c>
      <c r="F144" s="681"/>
      <c r="G144" s="682" t="s">
        <v>7</v>
      </c>
      <c r="H144" s="33"/>
      <c r="K144" s="683" t="s">
        <v>129</v>
      </c>
    </row>
    <row r="145" spans="1:11" ht="15" customHeight="1">
      <c r="A145" s="690" t="s">
        <v>1737</v>
      </c>
      <c r="B145" s="678" t="s">
        <v>1367</v>
      </c>
      <c r="C145" s="679" t="s">
        <v>1321</v>
      </c>
      <c r="D145" s="679" t="s">
        <v>53</v>
      </c>
      <c r="E145" s="680" t="s">
        <v>303</v>
      </c>
      <c r="F145" s="681"/>
      <c r="G145" s="680" t="e">
        <v>#N/A</v>
      </c>
      <c r="H145" s="33"/>
      <c r="K145" s="683" t="s">
        <v>99</v>
      </c>
    </row>
    <row r="146" spans="1:11" ht="15" customHeight="1">
      <c r="A146" s="690" t="s">
        <v>1740</v>
      </c>
      <c r="B146" s="678" t="s">
        <v>946</v>
      </c>
      <c r="C146" s="679" t="s">
        <v>1321</v>
      </c>
      <c r="D146" s="679" t="s">
        <v>53</v>
      </c>
      <c r="E146" s="680" t="s">
        <v>303</v>
      </c>
      <c r="F146" s="681"/>
      <c r="G146" s="682" t="s">
        <v>963</v>
      </c>
      <c r="H146" s="33"/>
      <c r="K146" s="683" t="s">
        <v>206</v>
      </c>
    </row>
    <row r="147" spans="1:11" ht="15" customHeight="1">
      <c r="A147" s="690" t="s">
        <v>1743</v>
      </c>
      <c r="B147" s="678" t="s">
        <v>947</v>
      </c>
      <c r="C147" s="679" t="s">
        <v>1321</v>
      </c>
      <c r="D147" s="679" t="s">
        <v>53</v>
      </c>
      <c r="E147" s="680" t="s">
        <v>303</v>
      </c>
      <c r="F147" s="681"/>
      <c r="G147" s="682" t="s">
        <v>7</v>
      </c>
      <c r="H147" s="33"/>
      <c r="K147" s="683" t="s">
        <v>207</v>
      </c>
    </row>
    <row r="148" spans="1:11" ht="15" customHeight="1">
      <c r="A148" s="690" t="s">
        <v>742</v>
      </c>
      <c r="B148" s="678" t="s">
        <v>741</v>
      </c>
      <c r="C148" s="679"/>
      <c r="D148" s="679"/>
      <c r="E148" s="680"/>
      <c r="F148" s="681"/>
      <c r="G148" s="682" t="s">
        <v>816</v>
      </c>
      <c r="H148" s="33"/>
      <c r="K148" s="683" t="str">
        <f>Print_Mois!V456</f>
        <v>Taxe sur le capital</v>
      </c>
    </row>
    <row r="149" spans="1:11" ht="15" customHeight="1">
      <c r="A149" s="690" t="s">
        <v>949</v>
      </c>
      <c r="B149" s="678" t="s">
        <v>948</v>
      </c>
      <c r="C149" s="679" t="s">
        <v>1321</v>
      </c>
      <c r="D149" s="679" t="s">
        <v>57</v>
      </c>
      <c r="E149" s="680" t="s">
        <v>303</v>
      </c>
      <c r="F149" s="681"/>
      <c r="G149" s="682" t="s">
        <v>2</v>
      </c>
      <c r="H149" s="33"/>
      <c r="K149" s="683" t="s">
        <v>35</v>
      </c>
    </row>
    <row r="150" spans="1:11" ht="15" customHeight="1">
      <c r="A150" s="690" t="s">
        <v>3379</v>
      </c>
      <c r="B150" s="678" t="s">
        <v>950</v>
      </c>
      <c r="C150" s="679" t="s">
        <v>1321</v>
      </c>
      <c r="D150" s="679" t="s">
        <v>57</v>
      </c>
      <c r="E150" s="680" t="s">
        <v>303</v>
      </c>
      <c r="F150" s="681"/>
      <c r="G150" s="682" t="s">
        <v>963</v>
      </c>
      <c r="H150" s="33"/>
      <c r="K150" s="683" t="str">
        <f>Print_Mois!V444</f>
        <v>Téléphone</v>
      </c>
    </row>
    <row r="151" spans="1:11" ht="15" customHeight="1">
      <c r="A151" s="690" t="s">
        <v>744</v>
      </c>
      <c r="B151" s="678" t="s">
        <v>743</v>
      </c>
      <c r="C151" s="679"/>
      <c r="D151" s="679"/>
      <c r="E151" s="680"/>
      <c r="F151" s="681"/>
      <c r="G151" s="682" t="s">
        <v>816</v>
      </c>
      <c r="H151" s="33"/>
      <c r="K151" s="683" t="s">
        <v>56</v>
      </c>
    </row>
    <row r="152" spans="1:11" ht="15" customHeight="1">
      <c r="A152" s="690" t="s">
        <v>1750</v>
      </c>
      <c r="B152" s="678" t="s">
        <v>745</v>
      </c>
      <c r="C152" s="679"/>
      <c r="D152" s="679"/>
      <c r="E152" s="680"/>
      <c r="F152" s="681"/>
      <c r="G152" s="682" t="s">
        <v>816</v>
      </c>
      <c r="H152" s="33"/>
      <c r="K152" s="683" t="s">
        <v>136</v>
      </c>
    </row>
    <row r="153" spans="1:11" ht="15" customHeight="1">
      <c r="A153" s="690" t="s">
        <v>1753</v>
      </c>
      <c r="B153" s="678" t="s">
        <v>746</v>
      </c>
      <c r="C153" s="679"/>
      <c r="D153" s="679"/>
      <c r="E153" s="680"/>
      <c r="F153" s="681"/>
      <c r="G153" s="682" t="s">
        <v>816</v>
      </c>
      <c r="H153" s="33"/>
      <c r="K153" s="683" t="str">
        <f>Print_Mois!C100</f>
        <v>Ventes au Gros</v>
      </c>
    </row>
    <row r="154" spans="1:11" ht="15" customHeight="1">
      <c r="A154" s="690" t="s">
        <v>953</v>
      </c>
      <c r="B154" s="678" t="s">
        <v>952</v>
      </c>
      <c r="C154" s="679" t="s">
        <v>1321</v>
      </c>
      <c r="D154" s="679" t="s">
        <v>71</v>
      </c>
      <c r="E154" s="680" t="s">
        <v>303</v>
      </c>
      <c r="F154" s="681"/>
      <c r="G154" s="682" t="s">
        <v>7</v>
      </c>
      <c r="H154" s="33"/>
      <c r="K154" s="683"/>
    </row>
    <row r="155" spans="1:11" ht="15" customHeight="1">
      <c r="A155" s="690" t="s">
        <v>955</v>
      </c>
      <c r="B155" s="678" t="s">
        <v>954</v>
      </c>
      <c r="C155" s="679" t="s">
        <v>1321</v>
      </c>
      <c r="D155" s="679" t="s">
        <v>57</v>
      </c>
      <c r="E155" s="680" t="s">
        <v>303</v>
      </c>
      <c r="F155" s="681"/>
      <c r="G155" s="682" t="s">
        <v>2</v>
      </c>
      <c r="H155" s="33"/>
      <c r="K155" s="683" t="str">
        <f>Print_Mois!C300</f>
        <v>Ventes de Gros</v>
      </c>
    </row>
    <row r="156" spans="1:11" ht="15" customHeight="1">
      <c r="A156" s="690" t="s">
        <v>748</v>
      </c>
      <c r="B156" s="678" t="s">
        <v>722</v>
      </c>
      <c r="C156" s="679"/>
      <c r="D156" s="679"/>
      <c r="E156" s="680"/>
      <c r="F156" s="681"/>
      <c r="G156" s="682" t="e">
        <v>#N/A</v>
      </c>
      <c r="H156" s="33"/>
      <c r="K156" s="683" t="s">
        <v>186</v>
      </c>
    </row>
    <row r="157" spans="1:11" ht="15" customHeight="1">
      <c r="A157" s="690" t="s">
        <v>1763</v>
      </c>
      <c r="B157" s="678" t="s">
        <v>747</v>
      </c>
      <c r="C157" s="679"/>
      <c r="D157" s="679"/>
      <c r="E157" s="680"/>
      <c r="F157" s="681"/>
      <c r="G157" s="682" t="e">
        <v>#N/A</v>
      </c>
      <c r="H157" s="33"/>
      <c r="K157" s="683" t="str">
        <f>Print_Mois!C298</f>
        <v>Ventes Internes</v>
      </c>
    </row>
    <row r="158" spans="1:11" ht="15" customHeight="1">
      <c r="A158" s="690" t="s">
        <v>958</v>
      </c>
      <c r="B158" s="678" t="s">
        <v>956</v>
      </c>
      <c r="C158" s="679" t="s">
        <v>1321</v>
      </c>
      <c r="D158" s="679" t="s">
        <v>84</v>
      </c>
      <c r="E158" s="680" t="s">
        <v>303</v>
      </c>
      <c r="F158" s="681"/>
      <c r="G158" s="682" t="e">
        <v>#N/A</v>
      </c>
      <c r="H158" s="33"/>
      <c r="K158" s="683"/>
    </row>
    <row r="159" spans="1:11" ht="15" customHeight="1">
      <c r="A159" s="690" t="s">
        <v>1768</v>
      </c>
      <c r="B159" s="678" t="s">
        <v>959</v>
      </c>
      <c r="C159" s="679" t="s">
        <v>1321</v>
      </c>
      <c r="D159" s="679" t="s">
        <v>85</v>
      </c>
      <c r="E159" s="680" t="s">
        <v>303</v>
      </c>
      <c r="F159" s="681"/>
      <c r="G159" s="682" t="e">
        <v>#N/A</v>
      </c>
      <c r="H159" s="33"/>
      <c r="K159" s="683" t="str">
        <f>Print_Mois!C307</f>
        <v>Ventes Pneus</v>
      </c>
    </row>
    <row r="160" spans="1:11" ht="15" customHeight="1">
      <c r="A160" s="690" t="s">
        <v>1771</v>
      </c>
      <c r="B160" s="678" t="s">
        <v>960</v>
      </c>
      <c r="C160" s="679" t="s">
        <v>1321</v>
      </c>
      <c r="D160" s="679" t="s">
        <v>84</v>
      </c>
      <c r="E160" s="680"/>
      <c r="F160" s="681"/>
      <c r="G160" s="682" t="e">
        <v>#N/A</v>
      </c>
      <c r="H160" s="33"/>
    </row>
    <row r="161" spans="1:8" ht="15" customHeight="1">
      <c r="A161" s="690" t="s">
        <v>1774</v>
      </c>
      <c r="B161" s="678" t="s">
        <v>749</v>
      </c>
      <c r="C161" s="679"/>
      <c r="D161" s="679"/>
      <c r="E161" s="680"/>
      <c r="F161" s="681"/>
      <c r="G161" s="682" t="e">
        <v>#N/A</v>
      </c>
      <c r="H161" s="33"/>
    </row>
    <row r="162" spans="1:8" ht="15" customHeight="1">
      <c r="A162" s="690" t="s">
        <v>1777</v>
      </c>
      <c r="B162" s="678" t="s">
        <v>750</v>
      </c>
      <c r="C162" s="679"/>
      <c r="D162" s="679"/>
      <c r="E162" s="680"/>
      <c r="F162" s="681"/>
      <c r="G162" s="682" t="e">
        <v>#N/A</v>
      </c>
      <c r="H162" s="33"/>
    </row>
    <row r="163" spans="1:8" ht="15" customHeight="1">
      <c r="A163" s="690" t="s">
        <v>1780</v>
      </c>
      <c r="B163" s="678" t="s">
        <v>751</v>
      </c>
      <c r="C163" s="679"/>
      <c r="D163" s="679"/>
      <c r="E163" s="680"/>
      <c r="F163" s="681"/>
      <c r="G163" s="682" t="s">
        <v>816</v>
      </c>
      <c r="H163" s="33"/>
    </row>
    <row r="164" spans="1:8" ht="15" customHeight="1">
      <c r="A164" s="690" t="s">
        <v>1783</v>
      </c>
      <c r="B164" s="678" t="s">
        <v>752</v>
      </c>
      <c r="C164" s="679"/>
      <c r="D164" s="679"/>
      <c r="E164" s="680"/>
      <c r="F164" s="681"/>
      <c r="G164" s="682" t="e">
        <v>#N/A</v>
      </c>
      <c r="H164" s="33"/>
    </row>
    <row r="165" spans="1:8" ht="15" customHeight="1">
      <c r="A165" s="690" t="s">
        <v>1786</v>
      </c>
      <c r="B165" s="678" t="s">
        <v>753</v>
      </c>
      <c r="C165" s="679"/>
      <c r="D165" s="679"/>
      <c r="E165" s="680"/>
      <c r="F165" s="681"/>
      <c r="G165" s="682" t="s">
        <v>816</v>
      </c>
      <c r="H165" s="33"/>
    </row>
    <row r="166" spans="1:8" ht="15" customHeight="1">
      <c r="A166" s="690" t="s">
        <v>1789</v>
      </c>
      <c r="B166" s="678" t="s">
        <v>754</v>
      </c>
      <c r="C166" s="679"/>
      <c r="D166" s="679"/>
      <c r="E166" s="680"/>
      <c r="F166" s="681"/>
      <c r="G166" s="682" t="s">
        <v>7</v>
      </c>
      <c r="H166" s="3"/>
    </row>
    <row r="167" spans="1:8" ht="15" customHeight="1">
      <c r="A167" s="690" t="s">
        <v>1792</v>
      </c>
      <c r="B167" s="678" t="s">
        <v>755</v>
      </c>
      <c r="C167" s="679"/>
      <c r="D167" s="679"/>
      <c r="E167" s="680"/>
      <c r="F167" s="681"/>
      <c r="G167" s="682" t="s">
        <v>816</v>
      </c>
      <c r="H167" s="3"/>
    </row>
    <row r="168" spans="1:8" ht="15" customHeight="1">
      <c r="A168" s="690" t="s">
        <v>1795</v>
      </c>
      <c r="B168" s="678" t="s">
        <v>961</v>
      </c>
      <c r="C168" s="679" t="s">
        <v>1321</v>
      </c>
      <c r="D168" s="679" t="s">
        <v>86</v>
      </c>
      <c r="E168" s="680" t="s">
        <v>303</v>
      </c>
      <c r="F168" s="681"/>
      <c r="G168" s="682" t="e">
        <v>#N/A</v>
      </c>
      <c r="H168" s="3"/>
    </row>
    <row r="169" spans="1:8" ht="15" customHeight="1">
      <c r="A169" s="690" t="s">
        <v>1798</v>
      </c>
      <c r="B169" s="678" t="s">
        <v>756</v>
      </c>
      <c r="C169" s="679"/>
      <c r="D169" s="679"/>
      <c r="E169" s="680"/>
      <c r="F169" s="681"/>
      <c r="G169" s="682" t="s">
        <v>816</v>
      </c>
      <c r="H169" s="3"/>
    </row>
    <row r="170" spans="1:8" ht="15" customHeight="1">
      <c r="A170" s="678" t="s">
        <v>1801</v>
      </c>
      <c r="B170" s="678" t="s">
        <v>757</v>
      </c>
      <c r="C170" s="679"/>
      <c r="D170" s="679"/>
      <c r="E170" s="680"/>
      <c r="F170" s="681"/>
      <c r="G170" s="682" t="s">
        <v>816</v>
      </c>
      <c r="H170" s="3"/>
    </row>
    <row r="171" spans="1:8" ht="15" customHeight="1">
      <c r="A171" s="690" t="s">
        <v>1804</v>
      </c>
      <c r="B171" s="678" t="s">
        <v>758</v>
      </c>
      <c r="C171" s="679"/>
      <c r="D171" s="679"/>
      <c r="E171" s="680"/>
      <c r="F171" s="681"/>
      <c r="G171" s="682" t="s">
        <v>7</v>
      </c>
      <c r="H171" s="3"/>
    </row>
    <row r="172" spans="1:8" ht="15" customHeight="1">
      <c r="A172" s="690" t="s">
        <v>1807</v>
      </c>
      <c r="B172" s="678" t="s">
        <v>759</v>
      </c>
      <c r="C172" s="679"/>
      <c r="D172" s="679"/>
      <c r="E172" s="680"/>
      <c r="F172" s="681"/>
      <c r="G172" s="682" t="e">
        <v>#N/A</v>
      </c>
      <c r="H172" s="3"/>
    </row>
    <row r="173" spans="1:8" ht="15" customHeight="1">
      <c r="A173" s="690" t="s">
        <v>761</v>
      </c>
      <c r="B173" s="678" t="s">
        <v>723</v>
      </c>
      <c r="C173" s="679"/>
      <c r="D173" s="679"/>
      <c r="E173" s="680"/>
      <c r="F173" s="681"/>
      <c r="G173" s="682" t="s">
        <v>816</v>
      </c>
      <c r="H173" s="3"/>
    </row>
    <row r="174" spans="1:8" ht="15" customHeight="1">
      <c r="A174" s="690" t="s">
        <v>1812</v>
      </c>
      <c r="B174" s="678" t="s">
        <v>760</v>
      </c>
      <c r="C174" s="679"/>
      <c r="D174" s="679"/>
      <c r="E174" s="680"/>
      <c r="F174" s="681"/>
      <c r="G174" s="682" t="e">
        <v>#N/A</v>
      </c>
      <c r="H174" s="3"/>
    </row>
    <row r="175" spans="1:8" ht="15" customHeight="1">
      <c r="A175" s="690" t="s">
        <v>1815</v>
      </c>
      <c r="B175" s="678" t="s">
        <v>762</v>
      </c>
      <c r="C175" s="679"/>
      <c r="D175" s="679"/>
      <c r="E175" s="680"/>
      <c r="F175" s="681"/>
      <c r="G175" s="682" t="s">
        <v>816</v>
      </c>
      <c r="H175" s="3"/>
    </row>
    <row r="176" spans="1:8" ht="15" customHeight="1">
      <c r="A176" s="690" t="s">
        <v>1818</v>
      </c>
      <c r="B176" s="678" t="s">
        <v>763</v>
      </c>
      <c r="C176" s="679"/>
      <c r="D176" s="679"/>
      <c r="E176" s="680"/>
      <c r="F176" s="681"/>
      <c r="G176" s="682" t="s">
        <v>816</v>
      </c>
      <c r="H176" s="3"/>
    </row>
    <row r="177" spans="1:11" ht="15" customHeight="1">
      <c r="A177" s="690" t="s">
        <v>1821</v>
      </c>
      <c r="B177" s="678" t="s">
        <v>764</v>
      </c>
      <c r="C177" s="679"/>
      <c r="D177" s="679"/>
      <c r="E177" s="686"/>
      <c r="F177" s="686"/>
      <c r="G177" s="682" t="s">
        <v>816</v>
      </c>
      <c r="H177" s="3"/>
    </row>
    <row r="178" spans="1:11" ht="15" customHeight="1">
      <c r="A178" s="690" t="s">
        <v>1824</v>
      </c>
      <c r="B178" s="678" t="s">
        <v>765</v>
      </c>
      <c r="C178" s="679"/>
      <c r="D178" s="679"/>
      <c r="E178" s="680"/>
      <c r="F178" s="681"/>
      <c r="G178" s="682" t="s">
        <v>816</v>
      </c>
      <c r="H178" s="3"/>
    </row>
    <row r="179" spans="1:11" ht="15" customHeight="1">
      <c r="A179" s="690" t="s">
        <v>1827</v>
      </c>
      <c r="B179" s="678" t="s">
        <v>766</v>
      </c>
      <c r="C179" s="679"/>
      <c r="D179" s="679"/>
      <c r="E179" s="680"/>
      <c r="F179" s="681"/>
      <c r="G179" s="682" t="s">
        <v>816</v>
      </c>
      <c r="H179" s="3"/>
    </row>
    <row r="180" spans="1:11" ht="15" customHeight="1">
      <c r="A180" s="690" t="s">
        <v>1830</v>
      </c>
      <c r="B180" s="678" t="s">
        <v>767</v>
      </c>
      <c r="C180" s="679"/>
      <c r="D180" s="679"/>
      <c r="E180" s="680"/>
      <c r="F180" s="681"/>
      <c r="G180" s="682" t="s">
        <v>816</v>
      </c>
      <c r="H180" s="3"/>
      <c r="K180" s="3"/>
    </row>
    <row r="181" spans="1:11" ht="15" customHeight="1">
      <c r="A181" s="690" t="s">
        <v>1833</v>
      </c>
      <c r="B181" s="678" t="s">
        <v>768</v>
      </c>
      <c r="C181" s="679"/>
      <c r="D181" s="679"/>
      <c r="E181" s="686"/>
      <c r="F181" s="686"/>
      <c r="G181" s="682" t="s">
        <v>816</v>
      </c>
      <c r="H181" s="3"/>
    </row>
    <row r="182" spans="1:11" ht="15" customHeight="1">
      <c r="A182" s="690" t="s">
        <v>1836</v>
      </c>
      <c r="B182" s="678" t="s">
        <v>769</v>
      </c>
      <c r="C182" s="679"/>
      <c r="D182" s="679"/>
      <c r="E182" s="680"/>
      <c r="F182" s="681"/>
      <c r="G182" s="682" t="s">
        <v>816</v>
      </c>
      <c r="H182" s="3"/>
    </row>
    <row r="183" spans="1:11" ht="15" customHeight="1">
      <c r="A183" s="690" t="s">
        <v>1839</v>
      </c>
      <c r="B183" s="678" t="s">
        <v>770</v>
      </c>
      <c r="C183" s="679"/>
      <c r="D183" s="679"/>
      <c r="E183" s="686"/>
      <c r="F183" s="686"/>
      <c r="G183" s="682" t="s">
        <v>816</v>
      </c>
      <c r="H183" s="3"/>
    </row>
    <row r="184" spans="1:11" ht="15" customHeight="1">
      <c r="A184" s="690" t="s">
        <v>964</v>
      </c>
      <c r="B184" s="678" t="s">
        <v>962</v>
      </c>
      <c r="C184" s="679" t="s">
        <v>92</v>
      </c>
      <c r="D184" s="679" t="s">
        <v>104</v>
      </c>
      <c r="E184" s="680" t="s">
        <v>303</v>
      </c>
      <c r="F184" s="681" t="s">
        <v>1368</v>
      </c>
      <c r="G184" s="682" t="e">
        <v>#N/A</v>
      </c>
      <c r="H184" s="3"/>
    </row>
    <row r="185" spans="1:11" ht="15" customHeight="1">
      <c r="A185" s="690" t="s">
        <v>966</v>
      </c>
      <c r="B185" s="678" t="s">
        <v>965</v>
      </c>
      <c r="C185" s="679" t="s">
        <v>92</v>
      </c>
      <c r="D185" s="679" t="s">
        <v>104</v>
      </c>
      <c r="E185" s="686" t="s">
        <v>341</v>
      </c>
      <c r="F185" s="686"/>
      <c r="G185" s="682" t="s">
        <v>1154</v>
      </c>
      <c r="H185" s="3"/>
    </row>
    <row r="186" spans="1:11" ht="15" customHeight="1">
      <c r="A186" s="690" t="s">
        <v>1846</v>
      </c>
      <c r="B186" s="678" t="s">
        <v>1369</v>
      </c>
      <c r="C186" s="679" t="s">
        <v>92</v>
      </c>
      <c r="D186" s="679" t="s">
        <v>97</v>
      </c>
      <c r="E186" s="680" t="s">
        <v>303</v>
      </c>
      <c r="F186" s="681" t="s">
        <v>1368</v>
      </c>
      <c r="G186" s="680" t="e">
        <v>#N/A</v>
      </c>
      <c r="H186" s="3"/>
    </row>
    <row r="187" spans="1:11" ht="15" customHeight="1">
      <c r="A187" s="690" t="s">
        <v>1408</v>
      </c>
      <c r="B187" s="678" t="s">
        <v>1409</v>
      </c>
      <c r="C187" s="679" t="s">
        <v>92</v>
      </c>
      <c r="D187" s="679" t="s">
        <v>97</v>
      </c>
      <c r="E187" s="686" t="s">
        <v>341</v>
      </c>
      <c r="F187" s="686"/>
      <c r="G187" s="680" t="s">
        <v>1154</v>
      </c>
      <c r="H187" s="3"/>
    </row>
    <row r="188" spans="1:11" ht="15" customHeight="1">
      <c r="A188" s="690" t="s">
        <v>1431</v>
      </c>
      <c r="B188" s="678" t="s">
        <v>1370</v>
      </c>
      <c r="C188" s="679" t="s">
        <v>92</v>
      </c>
      <c r="D188" s="679" t="s">
        <v>97</v>
      </c>
      <c r="E188" s="680" t="s">
        <v>303</v>
      </c>
      <c r="F188" s="681" t="s">
        <v>1368</v>
      </c>
      <c r="G188" s="680" t="s">
        <v>963</v>
      </c>
      <c r="H188" s="3"/>
    </row>
    <row r="189" spans="1:11" ht="15" customHeight="1">
      <c r="A189" s="690" t="s">
        <v>1410</v>
      </c>
      <c r="B189" s="678" t="s">
        <v>1411</v>
      </c>
      <c r="C189" s="679" t="s">
        <v>92</v>
      </c>
      <c r="D189" s="679" t="s">
        <v>97</v>
      </c>
      <c r="E189" s="686" t="s">
        <v>341</v>
      </c>
      <c r="F189" s="686"/>
      <c r="G189" s="680" t="e">
        <v>#N/A</v>
      </c>
      <c r="H189" s="3"/>
    </row>
    <row r="190" spans="1:11" ht="15" customHeight="1">
      <c r="A190" s="690" t="s">
        <v>1432</v>
      </c>
      <c r="B190" s="678" t="s">
        <v>1371</v>
      </c>
      <c r="C190" s="679" t="s">
        <v>92</v>
      </c>
      <c r="D190" s="679" t="s">
        <v>97</v>
      </c>
      <c r="E190" s="680" t="s">
        <v>303</v>
      </c>
      <c r="F190" s="681" t="s">
        <v>1368</v>
      </c>
      <c r="G190" s="680" t="s">
        <v>7</v>
      </c>
      <c r="H190" s="3"/>
    </row>
    <row r="191" spans="1:11" ht="15" customHeight="1">
      <c r="A191" s="690" t="s">
        <v>1412</v>
      </c>
      <c r="B191" s="678" t="s">
        <v>1413</v>
      </c>
      <c r="C191" s="679" t="s">
        <v>92</v>
      </c>
      <c r="D191" s="679" t="s">
        <v>97</v>
      </c>
      <c r="E191" s="686" t="s">
        <v>341</v>
      </c>
      <c r="F191" s="686"/>
      <c r="G191" s="680" t="s">
        <v>1154</v>
      </c>
      <c r="H191" s="3"/>
    </row>
    <row r="192" spans="1:11" ht="15" customHeight="1">
      <c r="A192" s="690" t="s">
        <v>968</v>
      </c>
      <c r="B192" s="678" t="s">
        <v>967</v>
      </c>
      <c r="C192" s="679" t="s">
        <v>92</v>
      </c>
      <c r="D192" s="679" t="s">
        <v>97</v>
      </c>
      <c r="E192" s="680" t="s">
        <v>303</v>
      </c>
      <c r="F192" s="681" t="s">
        <v>1368</v>
      </c>
      <c r="G192" s="682" t="e">
        <v>#N/A</v>
      </c>
      <c r="H192" s="3"/>
    </row>
    <row r="193" spans="1:8" ht="15" customHeight="1">
      <c r="A193" s="690" t="s">
        <v>970</v>
      </c>
      <c r="B193" s="678" t="s">
        <v>969</v>
      </c>
      <c r="C193" s="679" t="s">
        <v>92</v>
      </c>
      <c r="D193" s="679" t="s">
        <v>97</v>
      </c>
      <c r="E193" s="686" t="s">
        <v>341</v>
      </c>
      <c r="F193" s="686"/>
      <c r="G193" s="682" t="s">
        <v>1154</v>
      </c>
      <c r="H193" s="3"/>
    </row>
    <row r="194" spans="1:8" ht="15" customHeight="1">
      <c r="A194" s="690" t="s">
        <v>978</v>
      </c>
      <c r="B194" s="678" t="s">
        <v>771</v>
      </c>
      <c r="C194" s="679"/>
      <c r="D194" s="679"/>
      <c r="E194" s="680"/>
      <c r="F194" s="681"/>
      <c r="G194" s="682" t="e">
        <v>#N/A</v>
      </c>
      <c r="H194" s="3"/>
    </row>
    <row r="195" spans="1:8" ht="15" customHeight="1">
      <c r="A195" s="690" t="s">
        <v>972</v>
      </c>
      <c r="B195" s="678" t="s">
        <v>1372</v>
      </c>
      <c r="C195" s="679" t="s">
        <v>92</v>
      </c>
      <c r="D195" s="679" t="s">
        <v>97</v>
      </c>
      <c r="E195" s="680" t="s">
        <v>303</v>
      </c>
      <c r="F195" s="681" t="s">
        <v>1368</v>
      </c>
      <c r="G195" s="682" t="s">
        <v>963</v>
      </c>
      <c r="H195" s="3"/>
    </row>
    <row r="196" spans="1:8" ht="15" customHeight="1">
      <c r="A196" s="690" t="s">
        <v>973</v>
      </c>
      <c r="B196" s="678" t="s">
        <v>1414</v>
      </c>
      <c r="C196" s="679" t="s">
        <v>92</v>
      </c>
      <c r="D196" s="679" t="s">
        <v>97</v>
      </c>
      <c r="E196" s="686" t="s">
        <v>341</v>
      </c>
      <c r="F196" s="686"/>
      <c r="G196" s="682" t="s">
        <v>1154</v>
      </c>
      <c r="H196" s="3"/>
    </row>
    <row r="197" spans="1:8" ht="15" customHeight="1">
      <c r="A197" s="690" t="s">
        <v>1869</v>
      </c>
      <c r="B197" s="678" t="s">
        <v>1373</v>
      </c>
      <c r="C197" s="679" t="s">
        <v>92</v>
      </c>
      <c r="D197" s="679" t="s">
        <v>97</v>
      </c>
      <c r="E197" s="680" t="s">
        <v>303</v>
      </c>
      <c r="F197" s="681" t="s">
        <v>1368</v>
      </c>
      <c r="G197" s="680" t="s">
        <v>7</v>
      </c>
      <c r="H197" s="3"/>
    </row>
    <row r="198" spans="1:8" ht="15" customHeight="1">
      <c r="A198" s="690" t="s">
        <v>1415</v>
      </c>
      <c r="B198" s="678" t="s">
        <v>1416</v>
      </c>
      <c r="C198" s="679" t="s">
        <v>92</v>
      </c>
      <c r="D198" s="679" t="s">
        <v>97</v>
      </c>
      <c r="E198" s="686" t="s">
        <v>341</v>
      </c>
      <c r="F198" s="686"/>
      <c r="G198" s="680" t="s">
        <v>1154</v>
      </c>
      <c r="H198" s="3"/>
    </row>
    <row r="199" spans="1:8" ht="15" customHeight="1">
      <c r="A199" s="690" t="s">
        <v>1435</v>
      </c>
      <c r="B199" s="678" t="s">
        <v>1374</v>
      </c>
      <c r="C199" s="679" t="s">
        <v>92</v>
      </c>
      <c r="D199" s="679" t="s">
        <v>97</v>
      </c>
      <c r="E199" s="680" t="s">
        <v>303</v>
      </c>
      <c r="F199" s="681" t="s">
        <v>1368</v>
      </c>
      <c r="G199" s="680" t="e">
        <v>#N/A</v>
      </c>
      <c r="H199" s="3"/>
    </row>
    <row r="200" spans="1:8" ht="15" customHeight="1">
      <c r="A200" s="690" t="s">
        <v>1417</v>
      </c>
      <c r="B200" s="678" t="s">
        <v>1418</v>
      </c>
      <c r="C200" s="679" t="s">
        <v>92</v>
      </c>
      <c r="D200" s="679" t="s">
        <v>97</v>
      </c>
      <c r="E200" s="686" t="s">
        <v>341</v>
      </c>
      <c r="F200" s="686"/>
      <c r="G200" s="680" t="s">
        <v>1154</v>
      </c>
      <c r="H200" s="3"/>
    </row>
    <row r="201" spans="1:8" ht="15" customHeight="1">
      <c r="A201" s="678" t="s">
        <v>3380</v>
      </c>
      <c r="B201" s="678" t="s">
        <v>1375</v>
      </c>
      <c r="C201" s="679" t="s">
        <v>92</v>
      </c>
      <c r="D201" s="679" t="s">
        <v>98</v>
      </c>
      <c r="E201" s="680" t="s">
        <v>303</v>
      </c>
      <c r="F201" s="681" t="s">
        <v>1368</v>
      </c>
      <c r="G201" s="682" t="e">
        <v>#N/A</v>
      </c>
      <c r="H201" s="3"/>
    </row>
    <row r="202" spans="1:8" ht="15" customHeight="1">
      <c r="A202" s="1020" t="s">
        <v>977</v>
      </c>
      <c r="B202" s="678" t="s">
        <v>1419</v>
      </c>
      <c r="C202" s="679" t="s">
        <v>92</v>
      </c>
      <c r="D202" s="679" t="s">
        <v>98</v>
      </c>
      <c r="E202" s="686" t="s">
        <v>341</v>
      </c>
      <c r="F202" s="686"/>
      <c r="G202" s="682" t="s">
        <v>1154</v>
      </c>
      <c r="H202" s="3"/>
    </row>
    <row r="203" spans="1:8" ht="15" customHeight="1">
      <c r="A203" s="678" t="s">
        <v>980</v>
      </c>
      <c r="B203" s="678" t="s">
        <v>979</v>
      </c>
      <c r="C203" s="679" t="s">
        <v>92</v>
      </c>
      <c r="D203" s="679" t="s">
        <v>98</v>
      </c>
      <c r="E203" s="680" t="s">
        <v>303</v>
      </c>
      <c r="F203" s="681" t="s">
        <v>1368</v>
      </c>
      <c r="G203" s="682" t="e">
        <v>#N/A</v>
      </c>
      <c r="H203" s="3"/>
    </row>
    <row r="204" spans="1:8" ht="15" customHeight="1">
      <c r="A204" s="690" t="s">
        <v>982</v>
      </c>
      <c r="B204" s="678" t="s">
        <v>981</v>
      </c>
      <c r="C204" s="679" t="s">
        <v>92</v>
      </c>
      <c r="D204" s="679" t="s">
        <v>98</v>
      </c>
      <c r="E204" s="686" t="s">
        <v>341</v>
      </c>
      <c r="F204" s="686"/>
      <c r="G204" s="682" t="s">
        <v>1154</v>
      </c>
      <c r="H204" s="3"/>
    </row>
    <row r="205" spans="1:8" ht="15" customHeight="1">
      <c r="A205" s="690" t="s">
        <v>3353</v>
      </c>
      <c r="B205" s="678" t="s">
        <v>772</v>
      </c>
      <c r="C205" s="679"/>
      <c r="D205" s="679"/>
      <c r="E205" s="680"/>
      <c r="F205" s="681"/>
      <c r="G205" s="682" t="s">
        <v>816</v>
      </c>
      <c r="H205" s="3"/>
    </row>
    <row r="206" spans="1:8" ht="15" customHeight="1">
      <c r="A206" s="690" t="s">
        <v>3349</v>
      </c>
      <c r="B206" s="685" t="s">
        <v>983</v>
      </c>
      <c r="C206" s="679" t="s">
        <v>92</v>
      </c>
      <c r="D206" s="679" t="s">
        <v>98</v>
      </c>
      <c r="E206" s="680" t="s">
        <v>303</v>
      </c>
      <c r="F206" s="681" t="s">
        <v>249</v>
      </c>
      <c r="G206" s="682" t="s">
        <v>963</v>
      </c>
      <c r="H206" s="3"/>
    </row>
    <row r="207" spans="1:8" ht="15" customHeight="1">
      <c r="A207" s="1020" t="s">
        <v>985</v>
      </c>
      <c r="B207" s="685" t="s">
        <v>984</v>
      </c>
      <c r="C207" s="679" t="s">
        <v>92</v>
      </c>
      <c r="D207" s="679" t="s">
        <v>98</v>
      </c>
      <c r="E207" s="686" t="s">
        <v>341</v>
      </c>
      <c r="F207" s="681"/>
      <c r="G207" s="682" t="s">
        <v>1154</v>
      </c>
      <c r="H207" s="3"/>
    </row>
    <row r="208" spans="1:8" ht="15" customHeight="1">
      <c r="A208" s="690" t="s">
        <v>987</v>
      </c>
      <c r="B208" s="678" t="s">
        <v>986</v>
      </c>
      <c r="C208" s="679" t="s">
        <v>92</v>
      </c>
      <c r="D208" s="679" t="s">
        <v>97</v>
      </c>
      <c r="E208" s="680" t="s">
        <v>303</v>
      </c>
      <c r="F208" s="681" t="s">
        <v>1368</v>
      </c>
      <c r="G208" s="682" t="s">
        <v>7</v>
      </c>
      <c r="H208" s="3"/>
    </row>
    <row r="209" spans="1:8" ht="15" customHeight="1">
      <c r="A209" s="690" t="s">
        <v>989</v>
      </c>
      <c r="B209" s="678" t="s">
        <v>988</v>
      </c>
      <c r="C209" s="679" t="s">
        <v>92</v>
      </c>
      <c r="D209" s="679" t="s">
        <v>97</v>
      </c>
      <c r="E209" s="686" t="s">
        <v>341</v>
      </c>
      <c r="F209" s="686"/>
      <c r="G209" s="682" t="s">
        <v>1154</v>
      </c>
      <c r="H209" s="3"/>
    </row>
    <row r="210" spans="1:8" ht="15" customHeight="1">
      <c r="A210" s="690" t="s">
        <v>991</v>
      </c>
      <c r="B210" s="678" t="s">
        <v>990</v>
      </c>
      <c r="C210" s="679" t="s">
        <v>92</v>
      </c>
      <c r="D210" s="679" t="s">
        <v>98</v>
      </c>
      <c r="E210" s="680" t="s">
        <v>303</v>
      </c>
      <c r="F210" s="681" t="s">
        <v>1368</v>
      </c>
      <c r="G210" s="682" t="s">
        <v>963</v>
      </c>
      <c r="H210" s="3"/>
    </row>
    <row r="211" spans="1:8" ht="15" customHeight="1">
      <c r="A211" s="678" t="s">
        <v>993</v>
      </c>
      <c r="B211" s="678" t="s">
        <v>992</v>
      </c>
      <c r="C211" s="679" t="s">
        <v>92</v>
      </c>
      <c r="D211" s="679" t="s">
        <v>98</v>
      </c>
      <c r="E211" s="686" t="s">
        <v>341</v>
      </c>
      <c r="F211" s="686"/>
      <c r="G211" s="682" t="s">
        <v>1154</v>
      </c>
      <c r="H211" s="3"/>
    </row>
    <row r="212" spans="1:8" ht="15" customHeight="1">
      <c r="A212" s="690" t="s">
        <v>1433</v>
      </c>
      <c r="B212" s="678" t="s">
        <v>1376</v>
      </c>
      <c r="C212" s="679" t="s">
        <v>92</v>
      </c>
      <c r="D212" s="679" t="s">
        <v>97</v>
      </c>
      <c r="E212" s="680" t="s">
        <v>303</v>
      </c>
      <c r="F212" s="681" t="s">
        <v>1368</v>
      </c>
      <c r="G212" s="680" t="e">
        <v>#N/A</v>
      </c>
      <c r="H212" s="3"/>
    </row>
    <row r="213" spans="1:8" ht="15" customHeight="1">
      <c r="A213" s="690" t="s">
        <v>1420</v>
      </c>
      <c r="B213" s="678" t="s">
        <v>1421</v>
      </c>
      <c r="C213" s="679" t="s">
        <v>92</v>
      </c>
      <c r="D213" s="679" t="s">
        <v>97</v>
      </c>
      <c r="E213" s="686" t="s">
        <v>341</v>
      </c>
      <c r="F213" s="686"/>
      <c r="G213" s="680" t="s">
        <v>1154</v>
      </c>
      <c r="H213" s="3"/>
    </row>
    <row r="214" spans="1:8" ht="15" customHeight="1">
      <c r="A214" s="690" t="s">
        <v>995</v>
      </c>
      <c r="B214" s="678" t="s">
        <v>994</v>
      </c>
      <c r="C214" s="679" t="s">
        <v>92</v>
      </c>
      <c r="D214" s="679" t="s">
        <v>103</v>
      </c>
      <c r="E214" s="680" t="s">
        <v>303</v>
      </c>
      <c r="F214" s="681" t="s">
        <v>1368</v>
      </c>
      <c r="G214" s="682" t="s">
        <v>963</v>
      </c>
      <c r="H214" s="3"/>
    </row>
    <row r="215" spans="1:8" ht="15" customHeight="1">
      <c r="A215" s="690" t="s">
        <v>997</v>
      </c>
      <c r="B215" s="678" t="s">
        <v>996</v>
      </c>
      <c r="C215" s="679" t="s">
        <v>92</v>
      </c>
      <c r="D215" s="679" t="s">
        <v>103</v>
      </c>
      <c r="E215" s="686" t="s">
        <v>341</v>
      </c>
      <c r="F215" s="686"/>
      <c r="G215" s="682" t="e">
        <v>#N/A</v>
      </c>
      <c r="H215" s="3"/>
    </row>
    <row r="216" spans="1:8" ht="15" customHeight="1">
      <c r="A216" s="690" t="s">
        <v>999</v>
      </c>
      <c r="B216" s="678" t="s">
        <v>998</v>
      </c>
      <c r="C216" s="679" t="s">
        <v>92</v>
      </c>
      <c r="D216" s="679" t="s">
        <v>102</v>
      </c>
      <c r="E216" s="680" t="s">
        <v>303</v>
      </c>
      <c r="F216" s="681" t="s">
        <v>1368</v>
      </c>
      <c r="G216" s="682" t="s">
        <v>7</v>
      </c>
      <c r="H216" s="3"/>
    </row>
    <row r="217" spans="1:8" ht="15" customHeight="1">
      <c r="A217" s="678" t="s">
        <v>1001</v>
      </c>
      <c r="B217" s="678" t="s">
        <v>1000</v>
      </c>
      <c r="C217" s="679" t="s">
        <v>92</v>
      </c>
      <c r="D217" s="679" t="s">
        <v>102</v>
      </c>
      <c r="E217" s="686" t="s">
        <v>341</v>
      </c>
      <c r="F217" s="686"/>
      <c r="G217" s="682" t="s">
        <v>2</v>
      </c>
      <c r="H217" s="3"/>
    </row>
    <row r="218" spans="1:8" ht="15" customHeight="1">
      <c r="A218" s="678" t="s">
        <v>3894</v>
      </c>
      <c r="B218" s="678" t="s">
        <v>3893</v>
      </c>
      <c r="C218" s="679" t="s">
        <v>92</v>
      </c>
      <c r="D218" s="679" t="s">
        <v>98</v>
      </c>
      <c r="E218" s="680" t="s">
        <v>303</v>
      </c>
      <c r="F218" s="681" t="s">
        <v>1368</v>
      </c>
      <c r="G218" s="682" t="e">
        <v>#N/A</v>
      </c>
      <c r="H218" s="3"/>
    </row>
    <row r="219" spans="1:8" ht="15" customHeight="1">
      <c r="A219" s="1156" t="s">
        <v>3898</v>
      </c>
      <c r="B219" s="678" t="s">
        <v>3897</v>
      </c>
      <c r="C219" s="679" t="s">
        <v>92</v>
      </c>
      <c r="D219" s="679" t="s">
        <v>98</v>
      </c>
      <c r="E219" s="686" t="s">
        <v>341</v>
      </c>
      <c r="F219" s="686"/>
      <c r="G219" s="682" t="s">
        <v>1154</v>
      </c>
      <c r="H219" s="3"/>
    </row>
    <row r="220" spans="1:8" ht="15" customHeight="1">
      <c r="A220" s="690" t="s">
        <v>3381</v>
      </c>
      <c r="B220" s="678" t="s">
        <v>1377</v>
      </c>
      <c r="C220" s="679" t="s">
        <v>92</v>
      </c>
      <c r="D220" s="679" t="s">
        <v>97</v>
      </c>
      <c r="E220" s="680" t="s">
        <v>303</v>
      </c>
      <c r="F220" s="681" t="s">
        <v>1368</v>
      </c>
      <c r="G220" s="682" t="s">
        <v>963</v>
      </c>
      <c r="H220" s="3"/>
    </row>
    <row r="221" spans="1:8" ht="15" customHeight="1">
      <c r="A221" s="690" t="s">
        <v>1005</v>
      </c>
      <c r="B221" s="678" t="s">
        <v>1422</v>
      </c>
      <c r="C221" s="679" t="s">
        <v>92</v>
      </c>
      <c r="D221" s="679" t="s">
        <v>97</v>
      </c>
      <c r="E221" s="686" t="s">
        <v>341</v>
      </c>
      <c r="F221" s="686"/>
      <c r="G221" s="682" t="s">
        <v>1154</v>
      </c>
      <c r="H221" s="3"/>
    </row>
    <row r="222" spans="1:8" ht="15" customHeight="1">
      <c r="A222" s="690" t="s">
        <v>3382</v>
      </c>
      <c r="B222" s="678" t="s">
        <v>1378</v>
      </c>
      <c r="C222" s="679" t="s">
        <v>92</v>
      </c>
      <c r="D222" s="679" t="s">
        <v>104</v>
      </c>
      <c r="E222" s="680" t="s">
        <v>303</v>
      </c>
      <c r="F222" s="681" t="s">
        <v>1368</v>
      </c>
      <c r="G222" s="680" t="s">
        <v>7</v>
      </c>
      <c r="H222" s="3"/>
    </row>
    <row r="223" spans="1:8" ht="15" customHeight="1">
      <c r="A223" s="690" t="s">
        <v>1007</v>
      </c>
      <c r="B223" s="678" t="s">
        <v>1006</v>
      </c>
      <c r="C223" s="679" t="s">
        <v>152</v>
      </c>
      <c r="D223" s="679" t="s">
        <v>153</v>
      </c>
      <c r="E223" s="680" t="s">
        <v>303</v>
      </c>
      <c r="F223" s="681" t="s">
        <v>1368</v>
      </c>
      <c r="G223" s="682" t="e">
        <v>#N/A</v>
      </c>
      <c r="H223" s="3"/>
    </row>
    <row r="224" spans="1:8" ht="15" customHeight="1">
      <c r="A224" s="690" t="s">
        <v>1009</v>
      </c>
      <c r="B224" s="678" t="s">
        <v>1008</v>
      </c>
      <c r="C224" s="679" t="s">
        <v>152</v>
      </c>
      <c r="D224" s="679" t="s">
        <v>153</v>
      </c>
      <c r="E224" s="686" t="s">
        <v>341</v>
      </c>
      <c r="F224" s="686"/>
      <c r="G224" s="682" t="s">
        <v>1154</v>
      </c>
      <c r="H224" s="3"/>
    </row>
    <row r="225" spans="1:9" ht="15" customHeight="1">
      <c r="A225" s="690" t="s">
        <v>1905</v>
      </c>
      <c r="B225" s="678" t="s">
        <v>773</v>
      </c>
      <c r="C225" s="679"/>
      <c r="D225" s="679"/>
      <c r="E225" s="680"/>
      <c r="F225" s="681"/>
      <c r="G225" s="682" t="s">
        <v>816</v>
      </c>
      <c r="H225" s="3"/>
    </row>
    <row r="226" spans="1:9" ht="15" customHeight="1">
      <c r="A226" s="690" t="s">
        <v>1011</v>
      </c>
      <c r="B226" s="678" t="s">
        <v>1010</v>
      </c>
      <c r="C226" s="679" t="s">
        <v>152</v>
      </c>
      <c r="D226" s="679" t="s">
        <v>154</v>
      </c>
      <c r="E226" s="680" t="s">
        <v>303</v>
      </c>
      <c r="F226" s="681" t="s">
        <v>1368</v>
      </c>
      <c r="G226" s="682" t="e">
        <v>#N/A</v>
      </c>
      <c r="H226" s="4"/>
    </row>
    <row r="227" spans="1:9" ht="15" customHeight="1">
      <c r="A227" s="690" t="s">
        <v>1013</v>
      </c>
      <c r="B227" s="678" t="s">
        <v>1012</v>
      </c>
      <c r="C227" s="679" t="s">
        <v>152</v>
      </c>
      <c r="D227" s="679" t="s">
        <v>154</v>
      </c>
      <c r="E227" s="686" t="s">
        <v>341</v>
      </c>
      <c r="F227" s="686"/>
      <c r="G227" s="682" t="s">
        <v>1154</v>
      </c>
      <c r="H227" s="3"/>
    </row>
    <row r="228" spans="1:9" ht="15" customHeight="1">
      <c r="A228" s="690" t="s">
        <v>1912</v>
      </c>
      <c r="B228" s="678" t="s">
        <v>774</v>
      </c>
      <c r="C228" s="679"/>
      <c r="D228" s="679"/>
      <c r="E228" s="680"/>
      <c r="F228" s="681"/>
      <c r="G228" s="682" t="e">
        <v>#N/A</v>
      </c>
      <c r="H228" s="3"/>
    </row>
    <row r="229" spans="1:9" ht="15" customHeight="1">
      <c r="A229" s="690" t="s">
        <v>1915</v>
      </c>
      <c r="B229" s="678" t="s">
        <v>775</v>
      </c>
      <c r="C229" s="679"/>
      <c r="D229" s="679"/>
      <c r="E229" s="680"/>
      <c r="F229" s="681"/>
      <c r="G229" s="682" t="s">
        <v>816</v>
      </c>
      <c r="H229" s="3"/>
    </row>
    <row r="230" spans="1:9" ht="15" customHeight="1">
      <c r="A230" s="690" t="s">
        <v>1918</v>
      </c>
      <c r="B230" s="678" t="s">
        <v>776</v>
      </c>
      <c r="C230" s="679"/>
      <c r="D230" s="679"/>
      <c r="E230" s="680"/>
      <c r="F230" s="681"/>
      <c r="G230" s="682" t="e">
        <v>#N/A</v>
      </c>
      <c r="H230" s="3"/>
    </row>
    <row r="231" spans="1:9" ht="15" customHeight="1">
      <c r="A231" s="690" t="s">
        <v>1921</v>
      </c>
      <c r="B231" s="678" t="s">
        <v>777</v>
      </c>
      <c r="C231" s="679"/>
      <c r="D231" s="679"/>
      <c r="E231" s="680"/>
      <c r="F231" s="681"/>
      <c r="G231" s="682" t="s">
        <v>816</v>
      </c>
      <c r="H231" s="3"/>
    </row>
    <row r="232" spans="1:9" ht="15" customHeight="1">
      <c r="A232" s="690" t="s">
        <v>1924</v>
      </c>
      <c r="B232" s="678" t="s">
        <v>778</v>
      </c>
      <c r="C232" s="679"/>
      <c r="D232" s="679"/>
      <c r="E232" s="680"/>
      <c r="F232" s="681"/>
      <c r="G232" s="682" t="s">
        <v>816</v>
      </c>
      <c r="H232" s="3"/>
    </row>
    <row r="233" spans="1:9" ht="15" customHeight="1">
      <c r="A233" s="690" t="s">
        <v>1927</v>
      </c>
      <c r="B233" s="678" t="s">
        <v>779</v>
      </c>
      <c r="C233" s="679"/>
      <c r="D233" s="679"/>
      <c r="E233" s="680"/>
      <c r="F233" s="681"/>
      <c r="G233" s="682" t="e">
        <v>#N/A</v>
      </c>
      <c r="H233" s="3"/>
    </row>
    <row r="234" spans="1:9" ht="15" customHeight="1">
      <c r="A234" s="690" t="s">
        <v>1930</v>
      </c>
      <c r="B234" s="678" t="s">
        <v>780</v>
      </c>
      <c r="C234" s="679"/>
      <c r="D234" s="679"/>
      <c r="E234" s="680"/>
      <c r="F234" s="681"/>
      <c r="G234" s="682" t="e">
        <v>#N/A</v>
      </c>
      <c r="H234" s="3"/>
    </row>
    <row r="235" spans="1:9" ht="15" customHeight="1">
      <c r="A235" s="690" t="s">
        <v>1933</v>
      </c>
      <c r="B235" s="678" t="s">
        <v>1014</v>
      </c>
      <c r="C235" s="679" t="s">
        <v>152</v>
      </c>
      <c r="D235" s="679" t="s">
        <v>3859</v>
      </c>
      <c r="E235" s="680" t="s">
        <v>303</v>
      </c>
      <c r="F235" s="681" t="s">
        <v>1368</v>
      </c>
      <c r="G235" s="682" t="s">
        <v>963</v>
      </c>
      <c r="H235" s="3"/>
      <c r="I235" s="1195" t="s">
        <v>3859</v>
      </c>
    </row>
    <row r="236" spans="1:9" ht="15" customHeight="1">
      <c r="A236" s="690" t="s">
        <v>1017</v>
      </c>
      <c r="B236" s="678" t="s">
        <v>1016</v>
      </c>
      <c r="C236" s="679" t="s">
        <v>152</v>
      </c>
      <c r="D236" s="679" t="s">
        <v>3859</v>
      </c>
      <c r="E236" s="686" t="s">
        <v>341</v>
      </c>
      <c r="F236" s="686"/>
      <c r="G236" s="682" t="s">
        <v>1154</v>
      </c>
      <c r="H236" s="3"/>
    </row>
    <row r="237" spans="1:9" ht="15" customHeight="1">
      <c r="A237" s="690" t="s">
        <v>1939</v>
      </c>
      <c r="B237" s="678" t="s">
        <v>781</v>
      </c>
      <c r="C237" s="679"/>
      <c r="D237" s="679"/>
      <c r="E237" s="680"/>
      <c r="F237" s="681"/>
      <c r="G237" s="682" t="e">
        <v>#N/A</v>
      </c>
      <c r="H237" s="3"/>
    </row>
    <row r="238" spans="1:9" ht="15" customHeight="1">
      <c r="A238" s="690" t="s">
        <v>1942</v>
      </c>
      <c r="B238" s="678" t="s">
        <v>1018</v>
      </c>
      <c r="C238" s="679" t="s">
        <v>152</v>
      </c>
      <c r="D238" s="679" t="s">
        <v>156</v>
      </c>
      <c r="E238" s="680" t="s">
        <v>303</v>
      </c>
      <c r="F238" s="681" t="s">
        <v>1368</v>
      </c>
      <c r="G238" s="682" t="s">
        <v>7</v>
      </c>
      <c r="H238" s="3"/>
    </row>
    <row r="239" spans="1:9" ht="15" customHeight="1">
      <c r="A239" s="690" t="s">
        <v>1021</v>
      </c>
      <c r="B239" s="678" t="s">
        <v>1020</v>
      </c>
      <c r="C239" s="679" t="s">
        <v>152</v>
      </c>
      <c r="D239" s="679" t="s">
        <v>156</v>
      </c>
      <c r="E239" s="686" t="s">
        <v>341</v>
      </c>
      <c r="F239" s="686"/>
      <c r="G239" s="682" t="s">
        <v>1154</v>
      </c>
      <c r="H239" s="3"/>
    </row>
    <row r="240" spans="1:9" ht="15" customHeight="1">
      <c r="A240" s="690" t="s">
        <v>1947</v>
      </c>
      <c r="B240" s="678" t="s">
        <v>782</v>
      </c>
      <c r="C240" s="679"/>
      <c r="D240" s="679"/>
      <c r="E240" s="680"/>
      <c r="F240" s="681"/>
      <c r="G240" s="682" t="e">
        <v>#N/A</v>
      </c>
      <c r="H240" s="3"/>
    </row>
    <row r="241" spans="1:8" ht="15" customHeight="1">
      <c r="A241" s="690" t="s">
        <v>1950</v>
      </c>
      <c r="B241" s="678" t="s">
        <v>783</v>
      </c>
      <c r="C241" s="679"/>
      <c r="D241" s="679"/>
      <c r="E241" s="680"/>
      <c r="F241" s="681"/>
      <c r="G241" s="682" t="s">
        <v>816</v>
      </c>
      <c r="H241" s="3"/>
    </row>
    <row r="242" spans="1:8" ht="15" customHeight="1">
      <c r="A242" s="690" t="s">
        <v>3354</v>
      </c>
      <c r="B242" s="678" t="s">
        <v>1333</v>
      </c>
      <c r="C242" s="679"/>
      <c r="D242" s="679"/>
      <c r="E242" s="680"/>
      <c r="F242" s="681"/>
      <c r="G242" s="682" t="e">
        <v>#N/A</v>
      </c>
      <c r="H242" s="3"/>
    </row>
    <row r="243" spans="1:8" ht="15" customHeight="1">
      <c r="A243" s="690" t="s">
        <v>1023</v>
      </c>
      <c r="B243" s="678" t="s">
        <v>1022</v>
      </c>
      <c r="C243" s="679" t="s">
        <v>161</v>
      </c>
      <c r="D243" s="679" t="s">
        <v>164</v>
      </c>
      <c r="E243" s="680" t="s">
        <v>303</v>
      </c>
      <c r="F243" s="681" t="s">
        <v>1368</v>
      </c>
      <c r="G243" s="682" t="s">
        <v>963</v>
      </c>
      <c r="H243" s="4"/>
    </row>
    <row r="244" spans="1:8" ht="15" customHeight="1">
      <c r="A244" s="690" t="s">
        <v>1024</v>
      </c>
      <c r="B244" s="678" t="s">
        <v>1022</v>
      </c>
      <c r="C244" s="679" t="s">
        <v>161</v>
      </c>
      <c r="D244" s="679" t="s">
        <v>164</v>
      </c>
      <c r="E244" s="686" t="s">
        <v>341</v>
      </c>
      <c r="F244" s="686"/>
      <c r="G244" s="682" t="s">
        <v>1154</v>
      </c>
      <c r="H244" s="3"/>
    </row>
    <row r="245" spans="1:8" ht="15" customHeight="1">
      <c r="A245" s="690" t="s">
        <v>1026</v>
      </c>
      <c r="B245" s="678" t="s">
        <v>1025</v>
      </c>
      <c r="C245" s="679" t="s">
        <v>161</v>
      </c>
      <c r="D245" s="679" t="s">
        <v>168</v>
      </c>
      <c r="E245" s="680" t="s">
        <v>303</v>
      </c>
      <c r="F245" s="681" t="s">
        <v>1368</v>
      </c>
      <c r="G245" s="682" t="s">
        <v>7</v>
      </c>
      <c r="H245" s="3"/>
    </row>
    <row r="246" spans="1:8" ht="15" customHeight="1">
      <c r="A246" s="690" t="s">
        <v>1423</v>
      </c>
      <c r="B246" s="678" t="s">
        <v>1424</v>
      </c>
      <c r="C246" s="679" t="s">
        <v>161</v>
      </c>
      <c r="D246" s="679" t="s">
        <v>168</v>
      </c>
      <c r="E246" s="686" t="s">
        <v>341</v>
      </c>
      <c r="F246" s="686"/>
      <c r="G246" s="680" t="e">
        <v>#N/A</v>
      </c>
      <c r="H246" s="3"/>
    </row>
    <row r="247" spans="1:8" ht="15" customHeight="1">
      <c r="A247" s="690" t="s">
        <v>1028</v>
      </c>
      <c r="B247" s="678" t="s">
        <v>1027</v>
      </c>
      <c r="C247" s="679" t="s">
        <v>161</v>
      </c>
      <c r="D247" s="679" t="s">
        <v>166</v>
      </c>
      <c r="E247" s="680" t="s">
        <v>303</v>
      </c>
      <c r="F247" s="681" t="s">
        <v>1368</v>
      </c>
      <c r="G247" s="682" t="s">
        <v>963</v>
      </c>
      <c r="H247" s="3"/>
    </row>
    <row r="248" spans="1:8" ht="15" customHeight="1">
      <c r="A248" s="690" t="s">
        <v>1029</v>
      </c>
      <c r="B248" s="678" t="s">
        <v>1027</v>
      </c>
      <c r="C248" s="679" t="s">
        <v>161</v>
      </c>
      <c r="D248" s="679" t="s">
        <v>166</v>
      </c>
      <c r="E248" s="686" t="s">
        <v>341</v>
      </c>
      <c r="F248" s="686"/>
      <c r="G248" s="682" t="e">
        <v>#N/A</v>
      </c>
      <c r="H248" s="3"/>
    </row>
    <row r="249" spans="1:8" ht="15" customHeight="1">
      <c r="A249" s="678" t="s">
        <v>1031</v>
      </c>
      <c r="B249" s="678" t="s">
        <v>1030</v>
      </c>
      <c r="C249" s="679" t="s">
        <v>161</v>
      </c>
      <c r="D249" s="679" t="s">
        <v>167</v>
      </c>
      <c r="E249" s="680" t="s">
        <v>303</v>
      </c>
      <c r="F249" s="681" t="s">
        <v>1368</v>
      </c>
      <c r="G249" s="682" t="s">
        <v>7</v>
      </c>
      <c r="H249" s="3"/>
    </row>
    <row r="250" spans="1:8" ht="15" customHeight="1">
      <c r="A250" s="690" t="s">
        <v>1032</v>
      </c>
      <c r="B250" s="678" t="s">
        <v>1030</v>
      </c>
      <c r="C250" s="679" t="s">
        <v>161</v>
      </c>
      <c r="D250" s="679" t="s">
        <v>167</v>
      </c>
      <c r="E250" s="686" t="s">
        <v>341</v>
      </c>
      <c r="F250" s="686"/>
      <c r="G250" s="682" t="e">
        <v>#N/A</v>
      </c>
      <c r="H250" s="3"/>
    </row>
    <row r="251" spans="1:8" ht="15" customHeight="1">
      <c r="A251" s="678" t="s">
        <v>1969</v>
      </c>
      <c r="B251" s="688" t="s">
        <v>1379</v>
      </c>
      <c r="C251" s="679" t="s">
        <v>161</v>
      </c>
      <c r="D251" s="679" t="s">
        <v>164</v>
      </c>
      <c r="E251" s="680" t="s">
        <v>303</v>
      </c>
      <c r="F251" s="681" t="s">
        <v>1368</v>
      </c>
      <c r="G251" s="680" t="s">
        <v>963</v>
      </c>
      <c r="H251" s="3"/>
    </row>
    <row r="252" spans="1:8" ht="15" customHeight="1">
      <c r="A252" s="690" t="s">
        <v>1425</v>
      </c>
      <c r="B252" s="678" t="s">
        <v>1426</v>
      </c>
      <c r="C252" s="679" t="s">
        <v>161</v>
      </c>
      <c r="D252" s="679" t="s">
        <v>164</v>
      </c>
      <c r="E252" s="686" t="s">
        <v>341</v>
      </c>
      <c r="F252" s="686"/>
      <c r="G252" s="680" t="e">
        <v>#N/A</v>
      </c>
      <c r="H252" s="3"/>
    </row>
    <row r="253" spans="1:8" ht="15" customHeight="1">
      <c r="A253" s="690" t="s">
        <v>3425</v>
      </c>
      <c r="B253" s="678" t="s">
        <v>3424</v>
      </c>
      <c r="C253" s="679" t="s">
        <v>161</v>
      </c>
      <c r="D253" s="679" t="s">
        <v>167</v>
      </c>
      <c r="E253" s="680" t="s">
        <v>303</v>
      </c>
      <c r="F253" s="681" t="s">
        <v>1368</v>
      </c>
      <c r="G253" s="680" t="e">
        <v>#N/A</v>
      </c>
      <c r="H253" s="3"/>
    </row>
    <row r="254" spans="1:8" ht="15" customHeight="1">
      <c r="A254" s="690" t="s">
        <v>1974</v>
      </c>
      <c r="B254" s="678" t="s">
        <v>1033</v>
      </c>
      <c r="C254" s="679" t="s">
        <v>180</v>
      </c>
      <c r="D254" s="679" t="s">
        <v>192</v>
      </c>
      <c r="E254" s="680" t="s">
        <v>303</v>
      </c>
      <c r="F254" s="681" t="s">
        <v>1368</v>
      </c>
      <c r="G254" s="682" t="s">
        <v>7</v>
      </c>
      <c r="H254" s="3"/>
    </row>
    <row r="255" spans="1:8" ht="15" customHeight="1">
      <c r="A255" s="690" t="s">
        <v>1035</v>
      </c>
      <c r="B255" s="678" t="s">
        <v>1033</v>
      </c>
      <c r="C255" s="679" t="s">
        <v>180</v>
      </c>
      <c r="D255" s="679" t="s">
        <v>192</v>
      </c>
      <c r="E255" s="686" t="s">
        <v>341</v>
      </c>
      <c r="F255" s="686"/>
      <c r="G255" s="682" t="e">
        <v>#N/A</v>
      </c>
      <c r="H255" s="3"/>
    </row>
    <row r="256" spans="1:8" ht="15" customHeight="1">
      <c r="A256" s="690" t="s">
        <v>1037</v>
      </c>
      <c r="B256" s="678" t="s">
        <v>1036</v>
      </c>
      <c r="C256" s="679" t="s">
        <v>161</v>
      </c>
      <c r="D256" s="679" t="s">
        <v>172</v>
      </c>
      <c r="E256" s="680" t="s">
        <v>303</v>
      </c>
      <c r="F256" s="681" t="s">
        <v>1368</v>
      </c>
      <c r="G256" s="682" t="e">
        <v>#N/A</v>
      </c>
      <c r="H256" s="3"/>
    </row>
    <row r="257" spans="1:8" ht="15" customHeight="1">
      <c r="A257" s="690" t="s">
        <v>1038</v>
      </c>
      <c r="B257" s="678" t="s">
        <v>1036</v>
      </c>
      <c r="C257" s="679" t="s">
        <v>161</v>
      </c>
      <c r="D257" s="679" t="s">
        <v>172</v>
      </c>
      <c r="E257" s="686" t="s">
        <v>341</v>
      </c>
      <c r="F257" s="686"/>
      <c r="G257" s="682" t="s">
        <v>1285</v>
      </c>
      <c r="H257" s="3"/>
    </row>
    <row r="258" spans="1:8" ht="15" customHeight="1">
      <c r="A258" s="690" t="s">
        <v>1040</v>
      </c>
      <c r="B258" s="678" t="s">
        <v>1039</v>
      </c>
      <c r="C258" s="679" t="s">
        <v>161</v>
      </c>
      <c r="D258" s="679" t="s">
        <v>172</v>
      </c>
      <c r="E258" s="680" t="s">
        <v>303</v>
      </c>
      <c r="F258" s="681" t="s">
        <v>1368</v>
      </c>
      <c r="G258" s="682" t="s">
        <v>963</v>
      </c>
      <c r="H258" s="3"/>
    </row>
    <row r="259" spans="1:8" ht="15" customHeight="1">
      <c r="A259" s="690" t="s">
        <v>1042</v>
      </c>
      <c r="B259" s="678" t="s">
        <v>1041</v>
      </c>
      <c r="C259" s="679" t="s">
        <v>161</v>
      </c>
      <c r="D259" s="679" t="s">
        <v>172</v>
      </c>
      <c r="E259" s="686" t="s">
        <v>341</v>
      </c>
      <c r="F259" s="686"/>
      <c r="G259" s="682" t="s">
        <v>1285</v>
      </c>
      <c r="H259" s="3"/>
    </row>
    <row r="260" spans="1:8" ht="15" customHeight="1">
      <c r="A260" s="690" t="s">
        <v>1044</v>
      </c>
      <c r="B260" s="678" t="s">
        <v>1043</v>
      </c>
      <c r="C260" s="679" t="s">
        <v>161</v>
      </c>
      <c r="D260" s="679" t="s">
        <v>172</v>
      </c>
      <c r="E260" s="680" t="s">
        <v>303</v>
      </c>
      <c r="F260" s="681" t="s">
        <v>1368</v>
      </c>
      <c r="G260" s="682" t="s">
        <v>7</v>
      </c>
      <c r="H260" s="3"/>
    </row>
    <row r="261" spans="1:8" ht="15" customHeight="1">
      <c r="A261" s="690" t="s">
        <v>1046</v>
      </c>
      <c r="B261" s="678" t="s">
        <v>1045</v>
      </c>
      <c r="C261" s="679" t="s">
        <v>161</v>
      </c>
      <c r="D261" s="679" t="s">
        <v>172</v>
      </c>
      <c r="E261" s="686" t="s">
        <v>341</v>
      </c>
      <c r="F261" s="686"/>
      <c r="G261" s="682" t="e">
        <v>#N/A</v>
      </c>
      <c r="H261" s="3"/>
    </row>
    <row r="262" spans="1:8" ht="15" customHeight="1">
      <c r="A262" s="690" t="s">
        <v>3334</v>
      </c>
      <c r="B262" s="678" t="s">
        <v>1047</v>
      </c>
      <c r="C262" s="679" t="s">
        <v>176</v>
      </c>
      <c r="D262" s="679" t="s">
        <v>177</v>
      </c>
      <c r="E262" s="680" t="s">
        <v>303</v>
      </c>
      <c r="F262" s="681" t="s">
        <v>1368</v>
      </c>
      <c r="G262" s="682" t="s">
        <v>963</v>
      </c>
      <c r="H262" s="3"/>
    </row>
    <row r="263" spans="1:8" ht="15" customHeight="1">
      <c r="A263" s="1020" t="s">
        <v>1049</v>
      </c>
      <c r="B263" s="678" t="s">
        <v>1048</v>
      </c>
      <c r="C263" s="679" t="s">
        <v>176</v>
      </c>
      <c r="D263" s="679" t="s">
        <v>177</v>
      </c>
      <c r="E263" s="686" t="s">
        <v>341</v>
      </c>
      <c r="F263" s="686"/>
      <c r="G263" s="682" t="e">
        <v>#N/A</v>
      </c>
      <c r="H263" s="3"/>
    </row>
    <row r="264" spans="1:8" ht="15" customHeight="1">
      <c r="A264" s="690" t="s">
        <v>3427</v>
      </c>
      <c r="B264" s="678" t="s">
        <v>3426</v>
      </c>
      <c r="C264" s="679" t="s">
        <v>161</v>
      </c>
      <c r="D264" s="679" t="s">
        <v>173</v>
      </c>
      <c r="E264" s="680" t="s">
        <v>303</v>
      </c>
      <c r="F264" s="681" t="s">
        <v>1368</v>
      </c>
      <c r="G264" s="682" t="s">
        <v>7</v>
      </c>
      <c r="H264" s="3"/>
    </row>
    <row r="265" spans="1:8" ht="15" customHeight="1">
      <c r="A265" s="1020" t="s">
        <v>3431</v>
      </c>
      <c r="B265" s="678" t="s">
        <v>3430</v>
      </c>
      <c r="C265" s="679" t="s">
        <v>161</v>
      </c>
      <c r="D265" s="679" t="s">
        <v>173</v>
      </c>
      <c r="E265" s="686" t="s">
        <v>341</v>
      </c>
      <c r="F265" s="686"/>
      <c r="G265" s="682" t="s">
        <v>7</v>
      </c>
      <c r="H265" s="3"/>
    </row>
    <row r="266" spans="1:8" ht="15" customHeight="1">
      <c r="A266" s="690" t="s">
        <v>1051</v>
      </c>
      <c r="B266" s="678" t="s">
        <v>1050</v>
      </c>
      <c r="C266" s="679" t="s">
        <v>176</v>
      </c>
      <c r="D266" s="679" t="s">
        <v>177</v>
      </c>
      <c r="E266" s="680" t="s">
        <v>303</v>
      </c>
      <c r="F266" s="681" t="s">
        <v>1368</v>
      </c>
      <c r="G266" s="682" t="s">
        <v>1285</v>
      </c>
      <c r="H266" s="3"/>
    </row>
    <row r="267" spans="1:8" ht="15" customHeight="1">
      <c r="A267" s="690" t="s">
        <v>1053</v>
      </c>
      <c r="B267" s="678" t="s">
        <v>1052</v>
      </c>
      <c r="C267" s="679" t="s">
        <v>176</v>
      </c>
      <c r="D267" s="679" t="s">
        <v>177</v>
      </c>
      <c r="E267" s="686" t="s">
        <v>341</v>
      </c>
      <c r="F267" s="686"/>
      <c r="G267" s="682" t="s">
        <v>7</v>
      </c>
      <c r="H267" s="3"/>
    </row>
    <row r="268" spans="1:8" ht="15" customHeight="1">
      <c r="A268" s="690" t="s">
        <v>1055</v>
      </c>
      <c r="B268" s="678" t="s">
        <v>1054</v>
      </c>
      <c r="C268" s="679" t="s">
        <v>176</v>
      </c>
      <c r="D268" s="679" t="s">
        <v>177</v>
      </c>
      <c r="E268" s="680" t="s">
        <v>303</v>
      </c>
      <c r="F268" s="681" t="s">
        <v>1368</v>
      </c>
      <c r="G268" s="682" t="s">
        <v>1285</v>
      </c>
      <c r="H268" s="3"/>
    </row>
    <row r="269" spans="1:8" ht="15" customHeight="1">
      <c r="A269" s="690" t="s">
        <v>1057</v>
      </c>
      <c r="B269" s="678" t="s">
        <v>1056</v>
      </c>
      <c r="C269" s="679" t="s">
        <v>176</v>
      </c>
      <c r="D269" s="679" t="s">
        <v>177</v>
      </c>
      <c r="E269" s="686" t="s">
        <v>341</v>
      </c>
      <c r="F269" s="686"/>
      <c r="G269" s="682" t="s">
        <v>7</v>
      </c>
      <c r="H269" s="3"/>
    </row>
    <row r="270" spans="1:8" ht="15" customHeight="1">
      <c r="A270" s="690" t="s">
        <v>1059</v>
      </c>
      <c r="B270" s="678" t="s">
        <v>1058</v>
      </c>
      <c r="C270" s="679" t="s">
        <v>176</v>
      </c>
      <c r="D270" s="679" t="s">
        <v>177</v>
      </c>
      <c r="E270" s="680" t="s">
        <v>303</v>
      </c>
      <c r="F270" s="681" t="s">
        <v>1368</v>
      </c>
      <c r="G270" s="682" t="s">
        <v>1285</v>
      </c>
      <c r="H270" s="3"/>
    </row>
    <row r="271" spans="1:8" ht="15" customHeight="1">
      <c r="A271" s="678" t="s">
        <v>1061</v>
      </c>
      <c r="B271" s="678" t="s">
        <v>1060</v>
      </c>
      <c r="C271" s="679" t="s">
        <v>176</v>
      </c>
      <c r="D271" s="679" t="s">
        <v>177</v>
      </c>
      <c r="E271" s="686" t="s">
        <v>341</v>
      </c>
      <c r="F271" s="686"/>
      <c r="G271" s="682" t="s">
        <v>7</v>
      </c>
      <c r="H271" s="3"/>
    </row>
    <row r="272" spans="1:8" ht="15" customHeight="1">
      <c r="A272" s="690" t="s">
        <v>1063</v>
      </c>
      <c r="B272" s="678" t="s">
        <v>1062</v>
      </c>
      <c r="C272" s="679" t="s">
        <v>180</v>
      </c>
      <c r="D272" s="679" t="s">
        <v>182</v>
      </c>
      <c r="E272" s="680" t="s">
        <v>303</v>
      </c>
      <c r="F272" s="681" t="s">
        <v>1368</v>
      </c>
      <c r="G272" s="682" t="s">
        <v>963</v>
      </c>
      <c r="H272" s="3"/>
    </row>
    <row r="273" spans="1:8" ht="15" customHeight="1">
      <c r="A273" s="690" t="s">
        <v>1065</v>
      </c>
      <c r="B273" s="678" t="s">
        <v>1064</v>
      </c>
      <c r="C273" s="679" t="s">
        <v>180</v>
      </c>
      <c r="D273" s="679" t="s">
        <v>182</v>
      </c>
      <c r="E273" s="686" t="s">
        <v>341</v>
      </c>
      <c r="F273" s="686"/>
      <c r="G273" s="682" t="e">
        <v>#N/A</v>
      </c>
      <c r="H273" s="3"/>
    </row>
    <row r="274" spans="1:8" ht="15" customHeight="1">
      <c r="A274" s="690" t="s">
        <v>1067</v>
      </c>
      <c r="B274" s="678" t="s">
        <v>1066</v>
      </c>
      <c r="C274" s="679" t="s">
        <v>161</v>
      </c>
      <c r="D274" s="679" t="s">
        <v>164</v>
      </c>
      <c r="E274" s="680" t="s">
        <v>303</v>
      </c>
      <c r="F274" s="681" t="s">
        <v>1368</v>
      </c>
      <c r="G274" s="682" t="s">
        <v>7</v>
      </c>
      <c r="H274" s="3"/>
    </row>
    <row r="275" spans="1:8" ht="15" customHeight="1">
      <c r="A275" s="690" t="s">
        <v>1069</v>
      </c>
      <c r="B275" s="678" t="s">
        <v>1068</v>
      </c>
      <c r="C275" s="679" t="s">
        <v>180</v>
      </c>
      <c r="D275" s="679" t="s">
        <v>184</v>
      </c>
      <c r="E275" s="680" t="s">
        <v>303</v>
      </c>
      <c r="F275" s="681" t="s">
        <v>1368</v>
      </c>
      <c r="G275" s="682" t="s">
        <v>963</v>
      </c>
      <c r="H275" s="3"/>
    </row>
    <row r="276" spans="1:8" ht="15" customHeight="1">
      <c r="A276" s="690" t="s">
        <v>1071</v>
      </c>
      <c r="B276" s="678" t="s">
        <v>1070</v>
      </c>
      <c r="C276" s="679" t="s">
        <v>180</v>
      </c>
      <c r="D276" s="679" t="s">
        <v>184</v>
      </c>
      <c r="E276" s="686" t="s">
        <v>341</v>
      </c>
      <c r="F276" s="681"/>
      <c r="G276" s="682" t="s">
        <v>1285</v>
      </c>
      <c r="H276" s="3"/>
    </row>
    <row r="277" spans="1:8" ht="15" customHeight="1">
      <c r="A277" s="690" t="s">
        <v>3417</v>
      </c>
      <c r="B277" s="678" t="s">
        <v>1066</v>
      </c>
      <c r="C277" s="679" t="s">
        <v>161</v>
      </c>
      <c r="D277" s="679" t="s">
        <v>167</v>
      </c>
      <c r="E277" s="680" t="s">
        <v>303</v>
      </c>
      <c r="F277" s="681" t="s">
        <v>1368</v>
      </c>
      <c r="G277" s="682" t="s">
        <v>7</v>
      </c>
      <c r="H277" s="3"/>
    </row>
    <row r="278" spans="1:8" ht="15" customHeight="1">
      <c r="A278" s="690" t="s">
        <v>1073</v>
      </c>
      <c r="B278" s="678" t="s">
        <v>1072</v>
      </c>
      <c r="C278" s="679" t="s">
        <v>180</v>
      </c>
      <c r="D278" s="679" t="s">
        <v>185</v>
      </c>
      <c r="E278" s="680" t="s">
        <v>303</v>
      </c>
      <c r="F278" s="681" t="s">
        <v>1368</v>
      </c>
      <c r="G278" s="682" t="s">
        <v>963</v>
      </c>
      <c r="H278" s="3"/>
    </row>
    <row r="279" spans="1:8" ht="15" customHeight="1">
      <c r="A279" s="690" t="s">
        <v>1075</v>
      </c>
      <c r="B279" s="678" t="s">
        <v>1074</v>
      </c>
      <c r="C279" s="679" t="s">
        <v>180</v>
      </c>
      <c r="D279" s="679" t="s">
        <v>185</v>
      </c>
      <c r="E279" s="686" t="s">
        <v>341</v>
      </c>
      <c r="F279" s="681"/>
      <c r="G279" s="682" t="s">
        <v>7</v>
      </c>
      <c r="H279" s="3"/>
    </row>
    <row r="280" spans="1:8" ht="15" customHeight="1">
      <c r="A280" s="690" t="s">
        <v>1076</v>
      </c>
      <c r="B280" s="678" t="s">
        <v>1066</v>
      </c>
      <c r="C280" s="679" t="s">
        <v>161</v>
      </c>
      <c r="D280" s="679" t="s">
        <v>167</v>
      </c>
      <c r="E280" s="680" t="s">
        <v>303</v>
      </c>
      <c r="F280" s="681" t="s">
        <v>1368</v>
      </c>
      <c r="G280" s="682" t="s">
        <v>7</v>
      </c>
      <c r="H280" s="3"/>
    </row>
    <row r="281" spans="1:8" ht="15" customHeight="1">
      <c r="A281" s="690" t="s">
        <v>1142</v>
      </c>
      <c r="B281" s="678" t="s">
        <v>1077</v>
      </c>
      <c r="C281" s="679" t="s">
        <v>180</v>
      </c>
      <c r="D281" s="679" t="s">
        <v>182</v>
      </c>
      <c r="E281" s="680" t="s">
        <v>303</v>
      </c>
      <c r="F281" s="681" t="s">
        <v>1368</v>
      </c>
      <c r="G281" s="682" t="s">
        <v>963</v>
      </c>
      <c r="H281" s="3"/>
    </row>
    <row r="282" spans="1:8" ht="15" customHeight="1">
      <c r="A282" s="678" t="s">
        <v>1080</v>
      </c>
      <c r="B282" s="678" t="s">
        <v>1079</v>
      </c>
      <c r="C282" s="679" t="s">
        <v>180</v>
      </c>
      <c r="D282" s="679" t="s">
        <v>182</v>
      </c>
      <c r="E282" s="686" t="s">
        <v>341</v>
      </c>
      <c r="F282" s="681"/>
      <c r="G282" s="682" t="s">
        <v>1285</v>
      </c>
      <c r="H282" s="3"/>
    </row>
    <row r="283" spans="1:8" ht="15" customHeight="1">
      <c r="A283" s="690" t="s">
        <v>3383</v>
      </c>
      <c r="B283" s="678" t="s">
        <v>1081</v>
      </c>
      <c r="C283" s="679" t="s">
        <v>180</v>
      </c>
      <c r="D283" s="679" t="s">
        <v>185</v>
      </c>
      <c r="E283" s="680" t="s">
        <v>303</v>
      </c>
      <c r="F283" s="681" t="s">
        <v>1368</v>
      </c>
      <c r="G283" s="682" t="s">
        <v>7</v>
      </c>
      <c r="H283" s="3"/>
    </row>
    <row r="284" spans="1:8" ht="15" customHeight="1">
      <c r="A284" s="1036" t="s">
        <v>1083</v>
      </c>
      <c r="B284" s="678" t="s">
        <v>1082</v>
      </c>
      <c r="C284" s="679" t="s">
        <v>180</v>
      </c>
      <c r="D284" s="679" t="s">
        <v>185</v>
      </c>
      <c r="E284" s="686" t="s">
        <v>341</v>
      </c>
      <c r="F284" s="681"/>
      <c r="G284" s="682" t="s">
        <v>7</v>
      </c>
      <c r="H284" s="3"/>
    </row>
    <row r="285" spans="1:8" ht="15" customHeight="1">
      <c r="A285" s="678" t="s">
        <v>2022</v>
      </c>
      <c r="B285" s="678" t="s">
        <v>1077</v>
      </c>
      <c r="C285" s="679" t="s">
        <v>180</v>
      </c>
      <c r="D285" s="679" t="s">
        <v>182</v>
      </c>
      <c r="E285" s="680" t="s">
        <v>303</v>
      </c>
      <c r="F285" s="681" t="s">
        <v>1368</v>
      </c>
      <c r="G285" s="680" t="s">
        <v>963</v>
      </c>
      <c r="H285" s="3"/>
    </row>
    <row r="286" spans="1:8" ht="15" customHeight="1">
      <c r="A286" s="690" t="s">
        <v>1427</v>
      </c>
      <c r="B286" s="678" t="s">
        <v>1428</v>
      </c>
      <c r="C286" s="679" t="s">
        <v>180</v>
      </c>
      <c r="D286" s="679" t="s">
        <v>182</v>
      </c>
      <c r="E286" s="686" t="s">
        <v>341</v>
      </c>
      <c r="F286" s="681"/>
      <c r="G286" s="680" t="s">
        <v>1285</v>
      </c>
      <c r="H286" s="3"/>
    </row>
    <row r="287" spans="1:8" ht="15" customHeight="1">
      <c r="A287" s="690" t="s">
        <v>1086</v>
      </c>
      <c r="B287" s="678" t="s">
        <v>1085</v>
      </c>
      <c r="C287" s="679" t="s">
        <v>180</v>
      </c>
      <c r="D287" s="679" t="s">
        <v>183</v>
      </c>
      <c r="E287" s="680" t="s">
        <v>303</v>
      </c>
      <c r="F287" s="681" t="s">
        <v>1368</v>
      </c>
      <c r="G287" s="682" t="s">
        <v>963</v>
      </c>
      <c r="H287" s="3"/>
    </row>
    <row r="288" spans="1:8" ht="15" customHeight="1">
      <c r="A288" s="690" t="s">
        <v>1088</v>
      </c>
      <c r="B288" s="678" t="s">
        <v>1087</v>
      </c>
      <c r="C288" s="679" t="s">
        <v>180</v>
      </c>
      <c r="D288" s="679" t="s">
        <v>183</v>
      </c>
      <c r="E288" s="686" t="s">
        <v>341</v>
      </c>
      <c r="F288" s="681"/>
      <c r="G288" s="682" t="s">
        <v>7</v>
      </c>
      <c r="H288" s="3"/>
    </row>
    <row r="289" spans="1:8" ht="15" customHeight="1">
      <c r="A289" s="690" t="s">
        <v>1090</v>
      </c>
      <c r="B289" s="685" t="s">
        <v>1089</v>
      </c>
      <c r="C289" s="679" t="s">
        <v>180</v>
      </c>
      <c r="D289" s="679" t="s">
        <v>183</v>
      </c>
      <c r="E289" s="680" t="s">
        <v>303</v>
      </c>
      <c r="F289" s="681" t="s">
        <v>1368</v>
      </c>
      <c r="G289" s="682" t="s">
        <v>7</v>
      </c>
      <c r="H289" s="3"/>
    </row>
    <row r="290" spans="1:8" ht="15" customHeight="1">
      <c r="A290" s="690" t="s">
        <v>1092</v>
      </c>
      <c r="B290" s="685" t="s">
        <v>1091</v>
      </c>
      <c r="C290" s="679" t="s">
        <v>180</v>
      </c>
      <c r="D290" s="679" t="s">
        <v>183</v>
      </c>
      <c r="E290" s="686" t="s">
        <v>341</v>
      </c>
      <c r="F290" s="681"/>
      <c r="G290" s="682" t="s">
        <v>1285</v>
      </c>
      <c r="H290" s="3"/>
    </row>
    <row r="291" spans="1:8" ht="15" customHeight="1">
      <c r="A291" s="678" t="s">
        <v>1094</v>
      </c>
      <c r="B291" s="685" t="s">
        <v>1093</v>
      </c>
      <c r="C291" s="679" t="s">
        <v>180</v>
      </c>
      <c r="D291" s="679" t="s">
        <v>183</v>
      </c>
      <c r="E291" s="680" t="s">
        <v>303</v>
      </c>
      <c r="F291" s="681" t="s">
        <v>1368</v>
      </c>
      <c r="G291" s="682" t="e">
        <v>#N/A</v>
      </c>
      <c r="H291" s="3"/>
    </row>
    <row r="292" spans="1:8" ht="15" customHeight="1">
      <c r="A292" s="690" t="s">
        <v>1096</v>
      </c>
      <c r="B292" s="685" t="s">
        <v>1095</v>
      </c>
      <c r="C292" s="679" t="s">
        <v>180</v>
      </c>
      <c r="D292" s="679" t="s">
        <v>183</v>
      </c>
      <c r="E292" s="686" t="s">
        <v>341</v>
      </c>
      <c r="F292" s="681"/>
      <c r="G292" s="682" t="s">
        <v>7</v>
      </c>
      <c r="H292" s="3"/>
    </row>
    <row r="293" spans="1:8" ht="15" customHeight="1">
      <c r="A293" s="690" t="s">
        <v>1098</v>
      </c>
      <c r="B293" s="685" t="s">
        <v>1097</v>
      </c>
      <c r="C293" s="679" t="s">
        <v>180</v>
      </c>
      <c r="D293" s="679" t="s">
        <v>186</v>
      </c>
      <c r="E293" s="680" t="s">
        <v>303</v>
      </c>
      <c r="F293" s="681" t="s">
        <v>1368</v>
      </c>
      <c r="G293" s="682" t="e">
        <v>#N/A</v>
      </c>
      <c r="H293" s="3"/>
    </row>
    <row r="294" spans="1:8" ht="15" customHeight="1">
      <c r="A294" s="690" t="s">
        <v>1100</v>
      </c>
      <c r="B294" s="685" t="s">
        <v>1099</v>
      </c>
      <c r="C294" s="679" t="s">
        <v>180</v>
      </c>
      <c r="D294" s="679" t="s">
        <v>186</v>
      </c>
      <c r="E294" s="686" t="s">
        <v>341</v>
      </c>
      <c r="F294" s="681"/>
      <c r="G294" s="682" t="s">
        <v>1285</v>
      </c>
      <c r="H294" s="3"/>
    </row>
    <row r="295" spans="1:8" ht="15" customHeight="1">
      <c r="A295" s="690" t="s">
        <v>1102</v>
      </c>
      <c r="B295" s="685" t="s">
        <v>1101</v>
      </c>
      <c r="C295" s="679" t="s">
        <v>180</v>
      </c>
      <c r="D295" s="679" t="s">
        <v>187</v>
      </c>
      <c r="E295" s="680" t="s">
        <v>303</v>
      </c>
      <c r="F295" s="681" t="s">
        <v>1368</v>
      </c>
      <c r="G295" s="682" t="e">
        <v>#N/A</v>
      </c>
      <c r="H295" s="3"/>
    </row>
    <row r="296" spans="1:8" ht="15" customHeight="1">
      <c r="A296" s="690" t="s">
        <v>1104</v>
      </c>
      <c r="B296" s="685" t="s">
        <v>1103</v>
      </c>
      <c r="C296" s="679" t="s">
        <v>180</v>
      </c>
      <c r="D296" s="679" t="s">
        <v>187</v>
      </c>
      <c r="E296" s="686" t="s">
        <v>341</v>
      </c>
      <c r="F296" s="681"/>
      <c r="G296" s="682" t="s">
        <v>7</v>
      </c>
      <c r="H296" s="3"/>
    </row>
    <row r="297" spans="1:8" ht="15" customHeight="1">
      <c r="A297" s="690" t="s">
        <v>1106</v>
      </c>
      <c r="B297" s="685" t="s">
        <v>1105</v>
      </c>
      <c r="C297" s="679" t="s">
        <v>180</v>
      </c>
      <c r="D297" s="679" t="s">
        <v>191</v>
      </c>
      <c r="E297" s="680" t="s">
        <v>303</v>
      </c>
      <c r="F297" s="681" t="s">
        <v>1368</v>
      </c>
      <c r="G297" s="682" t="e">
        <v>#N/A</v>
      </c>
      <c r="H297" s="3"/>
    </row>
    <row r="298" spans="1:8" ht="15" customHeight="1">
      <c r="A298" s="690" t="s">
        <v>1107</v>
      </c>
      <c r="B298" s="685" t="s">
        <v>1105</v>
      </c>
      <c r="C298" s="679" t="s">
        <v>180</v>
      </c>
      <c r="D298" s="679" t="s">
        <v>191</v>
      </c>
      <c r="E298" s="686" t="s">
        <v>341</v>
      </c>
      <c r="F298" s="681"/>
      <c r="G298" s="682" t="s">
        <v>1285</v>
      </c>
      <c r="H298" s="3"/>
    </row>
    <row r="299" spans="1:8" ht="15" customHeight="1">
      <c r="A299" s="690" t="s">
        <v>2050</v>
      </c>
      <c r="B299" s="685" t="s">
        <v>1108</v>
      </c>
      <c r="C299" s="679" t="s">
        <v>180</v>
      </c>
      <c r="D299" s="679" t="s">
        <v>191</v>
      </c>
      <c r="E299" s="680" t="s">
        <v>303</v>
      </c>
      <c r="F299" s="681" t="s">
        <v>1368</v>
      </c>
      <c r="G299" s="682" t="s">
        <v>963</v>
      </c>
      <c r="H299" s="3"/>
    </row>
    <row r="300" spans="1:8" ht="15" customHeight="1">
      <c r="A300" s="1019" t="s">
        <v>785</v>
      </c>
      <c r="B300" s="695" t="s">
        <v>724</v>
      </c>
      <c r="C300" s="693"/>
      <c r="D300" s="679"/>
      <c r="E300" s="686"/>
      <c r="F300" s="681"/>
      <c r="G300" s="682" t="s">
        <v>816</v>
      </c>
      <c r="H300" s="3"/>
    </row>
    <row r="301" spans="1:8" ht="15" customHeight="1">
      <c r="A301" s="1019" t="s">
        <v>2055</v>
      </c>
      <c r="B301" s="694" t="s">
        <v>784</v>
      </c>
      <c r="C301" s="679"/>
      <c r="D301" s="679"/>
      <c r="E301" s="680" t="s">
        <v>303</v>
      </c>
      <c r="F301" s="680"/>
      <c r="G301" s="682" t="e">
        <v>#N/A</v>
      </c>
      <c r="H301" s="3"/>
    </row>
    <row r="302" spans="1:8" ht="15" customHeight="1">
      <c r="A302" s="692" t="s">
        <v>2058</v>
      </c>
      <c r="B302" s="694" t="s">
        <v>1109</v>
      </c>
      <c r="C302" s="679" t="s">
        <v>92</v>
      </c>
      <c r="D302" s="679" t="s">
        <v>104</v>
      </c>
      <c r="E302" s="680" t="s">
        <v>303</v>
      </c>
      <c r="F302" s="681"/>
      <c r="G302" s="682" t="s">
        <v>7</v>
      </c>
      <c r="H302" s="3"/>
    </row>
    <row r="303" spans="1:8" ht="15" customHeight="1">
      <c r="A303" s="1019" t="s">
        <v>2061</v>
      </c>
      <c r="B303" s="685" t="s">
        <v>1380</v>
      </c>
      <c r="C303" s="679" t="s">
        <v>92</v>
      </c>
      <c r="D303" s="679" t="s">
        <v>97</v>
      </c>
      <c r="E303" s="680" t="s">
        <v>303</v>
      </c>
      <c r="F303" s="680"/>
      <c r="G303" s="680" t="s">
        <v>963</v>
      </c>
      <c r="H303" s="3"/>
    </row>
    <row r="304" spans="1:8" ht="15" customHeight="1">
      <c r="A304" s="1019" t="s">
        <v>2064</v>
      </c>
      <c r="B304" s="1041" t="s">
        <v>1381</v>
      </c>
      <c r="C304" s="679" t="s">
        <v>92</v>
      </c>
      <c r="D304" s="679" t="s">
        <v>97</v>
      </c>
      <c r="E304" s="680" t="s">
        <v>303</v>
      </c>
      <c r="F304" s="680"/>
      <c r="G304" s="680" t="s">
        <v>7</v>
      </c>
      <c r="H304" s="3"/>
    </row>
    <row r="305" spans="1:8" ht="15" customHeight="1">
      <c r="A305" s="1019" t="s">
        <v>2067</v>
      </c>
      <c r="B305" s="695" t="s">
        <v>1382</v>
      </c>
      <c r="C305" s="693" t="s">
        <v>92</v>
      </c>
      <c r="D305" s="679" t="s">
        <v>97</v>
      </c>
      <c r="E305" s="680" t="s">
        <v>303</v>
      </c>
      <c r="F305" s="680"/>
      <c r="G305" s="680" t="s">
        <v>963</v>
      </c>
      <c r="H305" s="3"/>
    </row>
    <row r="306" spans="1:8" ht="15" customHeight="1">
      <c r="A306" s="690" t="s">
        <v>2070</v>
      </c>
      <c r="B306" s="678" t="s">
        <v>1111</v>
      </c>
      <c r="C306" s="679" t="s">
        <v>92</v>
      </c>
      <c r="D306" s="679" t="s">
        <v>97</v>
      </c>
      <c r="E306" s="680" t="s">
        <v>303</v>
      </c>
      <c r="F306" s="680"/>
      <c r="G306" s="682" t="s">
        <v>7</v>
      </c>
      <c r="H306" s="3"/>
    </row>
    <row r="307" spans="1:8" ht="15" customHeight="1">
      <c r="A307" s="690" t="s">
        <v>1113</v>
      </c>
      <c r="B307" s="685" t="s">
        <v>786</v>
      </c>
      <c r="C307" s="679"/>
      <c r="D307" s="679"/>
      <c r="E307" s="680" t="s">
        <v>303</v>
      </c>
      <c r="F307" s="680"/>
      <c r="G307" s="682" t="e">
        <v>#N/A</v>
      </c>
      <c r="H307" s="3"/>
    </row>
    <row r="308" spans="1:8" ht="15" customHeight="1">
      <c r="A308" s="690" t="s">
        <v>2075</v>
      </c>
      <c r="B308" s="678" t="s">
        <v>1383</v>
      </c>
      <c r="C308" s="679" t="s">
        <v>92</v>
      </c>
      <c r="D308" s="679" t="s">
        <v>97</v>
      </c>
      <c r="E308" s="680" t="s">
        <v>303</v>
      </c>
      <c r="F308" s="680"/>
      <c r="G308" s="682" t="s">
        <v>963</v>
      </c>
      <c r="H308" s="3"/>
    </row>
    <row r="309" spans="1:8" ht="15" customHeight="1">
      <c r="A309" s="690" t="s">
        <v>2078</v>
      </c>
      <c r="B309" s="685" t="s">
        <v>1384</v>
      </c>
      <c r="C309" s="679" t="s">
        <v>92</v>
      </c>
      <c r="D309" s="679" t="s">
        <v>97</v>
      </c>
      <c r="E309" s="680" t="s">
        <v>303</v>
      </c>
      <c r="F309" s="680"/>
      <c r="G309" s="680" t="s">
        <v>7</v>
      </c>
      <c r="H309" s="3"/>
    </row>
    <row r="310" spans="1:8" ht="15" customHeight="1">
      <c r="A310" s="690" t="s">
        <v>2081</v>
      </c>
      <c r="B310" s="678" t="s">
        <v>1385</v>
      </c>
      <c r="C310" s="679" t="s">
        <v>92</v>
      </c>
      <c r="D310" s="679" t="s">
        <v>97</v>
      </c>
      <c r="E310" s="680" t="s">
        <v>303</v>
      </c>
      <c r="F310" s="680"/>
      <c r="G310" s="680" t="s">
        <v>963</v>
      </c>
      <c r="H310" s="3"/>
    </row>
    <row r="311" spans="1:8" ht="15" customHeight="1">
      <c r="A311" s="690" t="s">
        <v>3384</v>
      </c>
      <c r="B311" s="685" t="s">
        <v>1112</v>
      </c>
      <c r="C311" s="679" t="s">
        <v>92</v>
      </c>
      <c r="D311" s="679" t="s">
        <v>98</v>
      </c>
      <c r="E311" s="680" t="s">
        <v>303</v>
      </c>
      <c r="F311" s="680"/>
      <c r="G311" s="682" t="s">
        <v>7</v>
      </c>
      <c r="H311" s="3"/>
    </row>
    <row r="312" spans="1:8" ht="15" customHeight="1">
      <c r="A312" s="690" t="s">
        <v>2084</v>
      </c>
      <c r="B312" s="685" t="s">
        <v>1114</v>
      </c>
      <c r="C312" s="679" t="s">
        <v>92</v>
      </c>
      <c r="D312" s="679" t="s">
        <v>98</v>
      </c>
      <c r="E312" s="680" t="s">
        <v>303</v>
      </c>
      <c r="F312" s="680"/>
      <c r="G312" s="682" t="s">
        <v>963</v>
      </c>
      <c r="H312" s="3"/>
    </row>
    <row r="313" spans="1:8" ht="15" customHeight="1">
      <c r="A313" s="690" t="s">
        <v>2087</v>
      </c>
      <c r="B313" s="678" t="s">
        <v>787</v>
      </c>
      <c r="C313" s="679"/>
      <c r="D313" s="679"/>
      <c r="E313" s="680" t="s">
        <v>303</v>
      </c>
      <c r="F313" s="680"/>
      <c r="G313" s="682" t="e">
        <v>#N/A</v>
      </c>
      <c r="H313" s="3"/>
    </row>
    <row r="314" spans="1:8" ht="15" customHeight="1">
      <c r="A314" s="690" t="s">
        <v>3385</v>
      </c>
      <c r="B314" s="685" t="s">
        <v>1115</v>
      </c>
      <c r="C314" s="679" t="s">
        <v>92</v>
      </c>
      <c r="D314" s="679" t="s">
        <v>98</v>
      </c>
      <c r="E314" s="680" t="s">
        <v>303</v>
      </c>
      <c r="F314" s="681"/>
      <c r="G314" s="682" t="s">
        <v>7</v>
      </c>
      <c r="H314" s="3"/>
    </row>
    <row r="315" spans="1:8" ht="15" customHeight="1">
      <c r="A315" s="690" t="s">
        <v>2090</v>
      </c>
      <c r="B315" s="678" t="s">
        <v>1116</v>
      </c>
      <c r="C315" s="679" t="s">
        <v>92</v>
      </c>
      <c r="D315" s="679" t="s">
        <v>97</v>
      </c>
      <c r="E315" s="680" t="s">
        <v>303</v>
      </c>
      <c r="F315" s="680"/>
      <c r="G315" s="682" t="s">
        <v>963</v>
      </c>
      <c r="H315" s="3"/>
    </row>
    <row r="316" spans="1:8" ht="15" customHeight="1">
      <c r="A316" s="690" t="s">
        <v>2093</v>
      </c>
      <c r="B316" s="678" t="s">
        <v>1117</v>
      </c>
      <c r="C316" s="679" t="s">
        <v>92</v>
      </c>
      <c r="D316" s="679" t="s">
        <v>98</v>
      </c>
      <c r="E316" s="680" t="s">
        <v>303</v>
      </c>
      <c r="F316" s="680"/>
      <c r="G316" s="682" t="e">
        <v>#N/A</v>
      </c>
      <c r="H316" s="3"/>
    </row>
    <row r="317" spans="1:8" ht="15" customHeight="1">
      <c r="A317" s="690" t="s">
        <v>2096</v>
      </c>
      <c r="B317" s="685" t="s">
        <v>1386</v>
      </c>
      <c r="C317" s="679" t="s">
        <v>92</v>
      </c>
      <c r="D317" s="679" t="s">
        <v>97</v>
      </c>
      <c r="E317" s="680" t="s">
        <v>303</v>
      </c>
      <c r="F317" s="680"/>
      <c r="G317" s="680" t="s">
        <v>2</v>
      </c>
      <c r="H317" s="3"/>
    </row>
    <row r="318" spans="1:8" ht="15" customHeight="1">
      <c r="A318" s="690" t="s">
        <v>2099</v>
      </c>
      <c r="B318" s="678" t="s">
        <v>1118</v>
      </c>
      <c r="C318" s="679" t="s">
        <v>92</v>
      </c>
      <c r="D318" s="679" t="s">
        <v>103</v>
      </c>
      <c r="E318" s="680" t="s">
        <v>303</v>
      </c>
      <c r="F318" s="680"/>
      <c r="G318" s="682" t="s">
        <v>1110</v>
      </c>
      <c r="H318" s="3"/>
    </row>
    <row r="319" spans="1:8" ht="15" customHeight="1">
      <c r="A319" s="690" t="s">
        <v>2102</v>
      </c>
      <c r="B319" s="685" t="s">
        <v>1118</v>
      </c>
      <c r="C319" s="679" t="s">
        <v>92</v>
      </c>
      <c r="D319" s="679" t="s">
        <v>102</v>
      </c>
      <c r="E319" s="680" t="s">
        <v>303</v>
      </c>
      <c r="F319" s="680"/>
      <c r="G319" s="682" t="e">
        <v>#N/A</v>
      </c>
      <c r="H319" s="3"/>
    </row>
    <row r="320" spans="1:8" ht="15" customHeight="1">
      <c r="A320" s="690" t="s">
        <v>3896</v>
      </c>
      <c r="B320" s="685" t="s">
        <v>3895</v>
      </c>
      <c r="C320" s="679" t="s">
        <v>92</v>
      </c>
      <c r="D320" s="679" t="s">
        <v>98</v>
      </c>
      <c r="E320" s="680" t="s">
        <v>303</v>
      </c>
      <c r="F320" s="680"/>
      <c r="G320" s="682" t="e">
        <v>#N/A</v>
      </c>
      <c r="H320" s="3"/>
    </row>
    <row r="321" spans="1:8" ht="15" customHeight="1">
      <c r="A321" s="690" t="s">
        <v>1120</v>
      </c>
      <c r="B321" s="678" t="s">
        <v>788</v>
      </c>
      <c r="C321" s="679"/>
      <c r="D321" s="679"/>
      <c r="E321" s="680" t="s">
        <v>303</v>
      </c>
      <c r="F321" s="680"/>
      <c r="G321" s="682" t="e">
        <v>#N/A</v>
      </c>
      <c r="H321" s="3"/>
    </row>
    <row r="322" spans="1:8" ht="15" customHeight="1">
      <c r="A322" s="690" t="s">
        <v>3386</v>
      </c>
      <c r="B322" s="678" t="s">
        <v>1119</v>
      </c>
      <c r="C322" s="679" t="s">
        <v>92</v>
      </c>
      <c r="D322" s="679" t="s">
        <v>97</v>
      </c>
      <c r="E322" s="680" t="s">
        <v>303</v>
      </c>
      <c r="F322" s="680"/>
      <c r="G322" s="682" t="e">
        <v>#N/A</v>
      </c>
      <c r="H322" s="3"/>
    </row>
    <row r="323" spans="1:8" ht="15" customHeight="1">
      <c r="A323" s="690" t="s">
        <v>2107</v>
      </c>
      <c r="B323" s="685" t="s">
        <v>1335</v>
      </c>
      <c r="C323" s="679"/>
      <c r="D323" s="679"/>
      <c r="E323" s="680" t="s">
        <v>303</v>
      </c>
      <c r="F323" s="680"/>
      <c r="G323" s="680" t="s">
        <v>816</v>
      </c>
      <c r="H323" s="3"/>
    </row>
    <row r="324" spans="1:8" ht="15" customHeight="1">
      <c r="A324" s="690" t="s">
        <v>2110</v>
      </c>
      <c r="B324" s="678" t="s">
        <v>789</v>
      </c>
      <c r="C324" s="679"/>
      <c r="D324" s="679"/>
      <c r="E324" s="680" t="s">
        <v>303</v>
      </c>
      <c r="F324" s="680"/>
      <c r="G324" s="682" t="e">
        <v>#N/A</v>
      </c>
      <c r="H324" s="3"/>
    </row>
    <row r="325" spans="1:8" ht="15" customHeight="1">
      <c r="A325" s="690" t="s">
        <v>2113</v>
      </c>
      <c r="B325" s="685" t="s">
        <v>1121</v>
      </c>
      <c r="C325" s="679" t="s">
        <v>152</v>
      </c>
      <c r="D325" s="679" t="s">
        <v>153</v>
      </c>
      <c r="E325" s="680" t="s">
        <v>303</v>
      </c>
      <c r="F325" s="680"/>
      <c r="G325" s="682" t="e">
        <v>#N/A</v>
      </c>
      <c r="H325" s="3"/>
    </row>
    <row r="326" spans="1:8" ht="15" customHeight="1">
      <c r="A326" s="690" t="s">
        <v>2116</v>
      </c>
      <c r="B326" s="678" t="s">
        <v>1122</v>
      </c>
      <c r="C326" s="679" t="s">
        <v>152</v>
      </c>
      <c r="D326" s="679" t="s">
        <v>153</v>
      </c>
      <c r="E326" s="680" t="s">
        <v>303</v>
      </c>
      <c r="F326" s="680"/>
      <c r="G326" s="682" t="s">
        <v>1110</v>
      </c>
      <c r="H326" s="3"/>
    </row>
    <row r="327" spans="1:8" ht="15" customHeight="1">
      <c r="A327" s="690" t="s">
        <v>2119</v>
      </c>
      <c r="B327" s="685" t="s">
        <v>790</v>
      </c>
      <c r="C327" s="679"/>
      <c r="D327" s="679"/>
      <c r="E327" s="680" t="s">
        <v>303</v>
      </c>
      <c r="F327" s="680"/>
      <c r="G327" s="682" t="s">
        <v>816</v>
      </c>
      <c r="H327" s="3"/>
    </row>
    <row r="328" spans="1:8" ht="15" customHeight="1">
      <c r="A328" s="690" t="s">
        <v>2122</v>
      </c>
      <c r="B328" s="685" t="s">
        <v>1123</v>
      </c>
      <c r="C328" s="679" t="s">
        <v>152</v>
      </c>
      <c r="D328" s="679" t="s">
        <v>154</v>
      </c>
      <c r="E328" s="680" t="s">
        <v>303</v>
      </c>
      <c r="F328" s="680"/>
      <c r="G328" s="682" t="s">
        <v>2</v>
      </c>
      <c r="H328" s="3"/>
    </row>
    <row r="329" spans="1:8" ht="15" customHeight="1">
      <c r="A329" s="690" t="s">
        <v>2125</v>
      </c>
      <c r="B329" s="678" t="s">
        <v>1124</v>
      </c>
      <c r="C329" s="679" t="s">
        <v>152</v>
      </c>
      <c r="D329" s="679" t="s">
        <v>154</v>
      </c>
      <c r="E329" s="680" t="s">
        <v>303</v>
      </c>
      <c r="F329" s="680"/>
      <c r="G329" s="682" t="s">
        <v>1110</v>
      </c>
      <c r="H329" s="3"/>
    </row>
    <row r="330" spans="1:8" ht="15" customHeight="1">
      <c r="A330" s="690" t="s">
        <v>2128</v>
      </c>
      <c r="B330" s="685" t="s">
        <v>791</v>
      </c>
      <c r="C330" s="679"/>
      <c r="D330" s="679"/>
      <c r="E330" s="680" t="s">
        <v>303</v>
      </c>
      <c r="F330" s="680"/>
      <c r="G330" s="682" t="s">
        <v>816</v>
      </c>
      <c r="H330" s="3"/>
    </row>
    <row r="331" spans="1:8" ht="15" customHeight="1">
      <c r="A331" s="690" t="s">
        <v>2131</v>
      </c>
      <c r="B331" s="685" t="s">
        <v>792</v>
      </c>
      <c r="C331" s="679"/>
      <c r="D331" s="679"/>
      <c r="E331" s="680" t="s">
        <v>303</v>
      </c>
      <c r="F331" s="680"/>
      <c r="G331" s="682" t="e">
        <v>#N/A</v>
      </c>
      <c r="H331" s="3"/>
    </row>
    <row r="332" spans="1:8" ht="15" customHeight="1">
      <c r="A332" s="678" t="s">
        <v>2133</v>
      </c>
      <c r="B332" s="685" t="s">
        <v>793</v>
      </c>
      <c r="C332" s="679"/>
      <c r="D332" s="679"/>
      <c r="E332" s="680" t="s">
        <v>303</v>
      </c>
      <c r="F332" s="680"/>
      <c r="G332" s="682" t="s">
        <v>816</v>
      </c>
      <c r="H332" s="3"/>
    </row>
    <row r="333" spans="1:8" ht="15" customHeight="1">
      <c r="A333" s="690" t="s">
        <v>2136</v>
      </c>
      <c r="B333" s="678" t="s">
        <v>1014</v>
      </c>
      <c r="C333" s="679" t="s">
        <v>152</v>
      </c>
      <c r="D333" s="679" t="s">
        <v>3859</v>
      </c>
      <c r="E333" s="680" t="s">
        <v>303</v>
      </c>
      <c r="F333" s="680"/>
      <c r="G333" s="682" t="e">
        <v>#N/A</v>
      </c>
      <c r="H333" s="3"/>
    </row>
    <row r="334" spans="1:8" ht="15" customHeight="1">
      <c r="A334" s="678" t="s">
        <v>2139</v>
      </c>
      <c r="B334" s="685" t="s">
        <v>1125</v>
      </c>
      <c r="C334" s="679" t="s">
        <v>152</v>
      </c>
      <c r="D334" s="679" t="s">
        <v>154</v>
      </c>
      <c r="E334" s="680" t="s">
        <v>303</v>
      </c>
      <c r="F334" s="680"/>
      <c r="G334" s="682" t="e">
        <v>#N/A</v>
      </c>
      <c r="H334" s="3"/>
    </row>
    <row r="335" spans="1:8" ht="15" customHeight="1">
      <c r="A335" s="690" t="s">
        <v>2142</v>
      </c>
      <c r="B335" s="685" t="s">
        <v>1018</v>
      </c>
      <c r="C335" s="679" t="s">
        <v>152</v>
      </c>
      <c r="D335" s="679" t="s">
        <v>156</v>
      </c>
      <c r="E335" s="680" t="s">
        <v>303</v>
      </c>
      <c r="F335" s="680"/>
      <c r="G335" s="682" t="s">
        <v>1110</v>
      </c>
      <c r="H335" s="3"/>
    </row>
    <row r="336" spans="1:8" ht="15" customHeight="1">
      <c r="A336" s="690" t="s">
        <v>2145</v>
      </c>
      <c r="B336" s="678" t="s">
        <v>1126</v>
      </c>
      <c r="C336" s="679" t="s">
        <v>161</v>
      </c>
      <c r="D336" s="679" t="s">
        <v>164</v>
      </c>
      <c r="E336" s="680" t="s">
        <v>303</v>
      </c>
      <c r="F336" s="680"/>
      <c r="G336" s="682" t="s">
        <v>1110</v>
      </c>
      <c r="H336" s="3"/>
    </row>
    <row r="337" spans="1:8" ht="15" customHeight="1">
      <c r="A337" s="690" t="s">
        <v>2148</v>
      </c>
      <c r="B337" s="685" t="s">
        <v>1127</v>
      </c>
      <c r="C337" s="679" t="s">
        <v>161</v>
      </c>
      <c r="D337" s="679" t="s">
        <v>168</v>
      </c>
      <c r="E337" s="680" t="s">
        <v>303</v>
      </c>
      <c r="F337" s="680"/>
      <c r="G337" s="682" t="s">
        <v>2</v>
      </c>
      <c r="H337" s="3"/>
    </row>
    <row r="338" spans="1:8" ht="15" customHeight="1">
      <c r="A338" s="690" t="s">
        <v>2151</v>
      </c>
      <c r="B338" s="685" t="s">
        <v>1128</v>
      </c>
      <c r="C338" s="679" t="s">
        <v>161</v>
      </c>
      <c r="D338" s="679" t="s">
        <v>166</v>
      </c>
      <c r="E338" s="680" t="s">
        <v>303</v>
      </c>
      <c r="F338" s="680"/>
      <c r="G338" s="682" t="e">
        <v>#N/A</v>
      </c>
      <c r="H338" s="3"/>
    </row>
    <row r="339" spans="1:8" ht="15" customHeight="1">
      <c r="A339" s="690" t="s">
        <v>2154</v>
      </c>
      <c r="B339" s="685" t="s">
        <v>1129</v>
      </c>
      <c r="C339" s="679" t="s">
        <v>161</v>
      </c>
      <c r="D339" s="679" t="s">
        <v>167</v>
      </c>
      <c r="E339" s="680" t="s">
        <v>303</v>
      </c>
      <c r="F339" s="680"/>
      <c r="G339" s="682" t="s">
        <v>1110</v>
      </c>
      <c r="H339" s="3"/>
    </row>
    <row r="340" spans="1:8" ht="15" customHeight="1">
      <c r="A340" s="690" t="s">
        <v>2157</v>
      </c>
      <c r="B340" s="685" t="s">
        <v>794</v>
      </c>
      <c r="C340" s="679"/>
      <c r="D340" s="679"/>
      <c r="E340" s="680" t="s">
        <v>303</v>
      </c>
      <c r="F340" s="680"/>
      <c r="G340" s="682" t="e">
        <v>#N/A</v>
      </c>
      <c r="H340" s="3"/>
    </row>
    <row r="341" spans="1:8" ht="15" customHeight="1">
      <c r="A341" s="690" t="s">
        <v>2160</v>
      </c>
      <c r="B341" s="685" t="s">
        <v>1130</v>
      </c>
      <c r="C341" s="679" t="s">
        <v>161</v>
      </c>
      <c r="D341" s="679" t="s">
        <v>169</v>
      </c>
      <c r="E341" s="680" t="s">
        <v>303</v>
      </c>
      <c r="F341" s="680"/>
      <c r="G341" s="682" t="s">
        <v>1110</v>
      </c>
      <c r="H341" s="3"/>
    </row>
    <row r="342" spans="1:8" ht="15" customHeight="1">
      <c r="A342" s="690" t="s">
        <v>2163</v>
      </c>
      <c r="B342" s="678" t="s">
        <v>795</v>
      </c>
      <c r="C342" s="679"/>
      <c r="D342" s="679"/>
      <c r="E342" s="680" t="s">
        <v>303</v>
      </c>
      <c r="F342" s="680"/>
      <c r="G342" s="682" t="s">
        <v>816</v>
      </c>
      <c r="H342" s="3"/>
    </row>
    <row r="343" spans="1:8" ht="15" customHeight="1">
      <c r="A343" s="690" t="s">
        <v>2166</v>
      </c>
      <c r="B343" s="695" t="s">
        <v>1033</v>
      </c>
      <c r="C343" s="693" t="s">
        <v>180</v>
      </c>
      <c r="D343" s="679" t="s">
        <v>192</v>
      </c>
      <c r="E343" s="680" t="s">
        <v>303</v>
      </c>
      <c r="F343" s="680"/>
      <c r="G343" s="682" t="e">
        <v>#N/A</v>
      </c>
      <c r="H343" s="3"/>
    </row>
    <row r="344" spans="1:8" ht="15" customHeight="1">
      <c r="A344" s="690" t="s">
        <v>2169</v>
      </c>
      <c r="B344" s="695" t="s">
        <v>1036</v>
      </c>
      <c r="C344" s="693" t="s">
        <v>161</v>
      </c>
      <c r="D344" s="679" t="s">
        <v>172</v>
      </c>
      <c r="E344" s="680" t="s">
        <v>303</v>
      </c>
      <c r="F344" s="680"/>
      <c r="G344" s="682" t="s">
        <v>1110</v>
      </c>
      <c r="H344" s="3"/>
    </row>
    <row r="345" spans="1:8" ht="15" customHeight="1">
      <c r="A345" s="690" t="s">
        <v>2172</v>
      </c>
      <c r="B345" s="692" t="s">
        <v>1132</v>
      </c>
      <c r="C345" s="693" t="s">
        <v>161</v>
      </c>
      <c r="D345" s="679" t="s">
        <v>172</v>
      </c>
      <c r="E345" s="680" t="s">
        <v>303</v>
      </c>
      <c r="F345" s="686"/>
      <c r="G345" s="682" t="s">
        <v>1110</v>
      </c>
      <c r="H345" s="3"/>
    </row>
    <row r="346" spans="1:8" ht="15" customHeight="1">
      <c r="A346" s="690" t="s">
        <v>2175</v>
      </c>
      <c r="B346" s="695" t="s">
        <v>1133</v>
      </c>
      <c r="C346" s="693" t="s">
        <v>161</v>
      </c>
      <c r="D346" s="679" t="s">
        <v>172</v>
      </c>
      <c r="E346" s="680" t="s">
        <v>303</v>
      </c>
      <c r="F346" s="680"/>
      <c r="G346" s="682" t="s">
        <v>2</v>
      </c>
      <c r="H346" s="3"/>
    </row>
    <row r="347" spans="1:8" ht="15" customHeight="1">
      <c r="A347" s="690" t="s">
        <v>3552</v>
      </c>
      <c r="B347" s="692" t="s">
        <v>3551</v>
      </c>
      <c r="C347" s="679" t="s">
        <v>176</v>
      </c>
      <c r="D347" s="679" t="s">
        <v>177</v>
      </c>
      <c r="E347" s="680" t="s">
        <v>303</v>
      </c>
      <c r="F347" s="680"/>
      <c r="G347" s="682" t="e">
        <v>#N/A</v>
      </c>
      <c r="H347" s="3"/>
    </row>
    <row r="348" spans="1:8" ht="15" customHeight="1">
      <c r="A348" s="690" t="s">
        <v>3429</v>
      </c>
      <c r="B348" s="692" t="s">
        <v>3428</v>
      </c>
      <c r="C348" s="693" t="s">
        <v>161</v>
      </c>
      <c r="D348" s="679" t="s">
        <v>173</v>
      </c>
      <c r="E348" s="680" t="s">
        <v>303</v>
      </c>
      <c r="F348" s="686"/>
      <c r="G348" s="682" t="s">
        <v>1285</v>
      </c>
      <c r="H348" s="3"/>
    </row>
    <row r="349" spans="1:8" ht="15" customHeight="1">
      <c r="A349" s="690" t="s">
        <v>2178</v>
      </c>
      <c r="B349" s="685" t="s">
        <v>796</v>
      </c>
      <c r="C349" s="679"/>
      <c r="D349" s="679"/>
      <c r="E349" s="680" t="s">
        <v>303</v>
      </c>
      <c r="F349" s="680"/>
      <c r="G349" s="682" t="e">
        <v>#N/A</v>
      </c>
      <c r="H349" s="3"/>
    </row>
    <row r="350" spans="1:8" ht="15" customHeight="1">
      <c r="A350" s="690" t="s">
        <v>2181</v>
      </c>
      <c r="B350" s="678" t="s">
        <v>797</v>
      </c>
      <c r="C350" s="679"/>
      <c r="D350" s="679"/>
      <c r="E350" s="680" t="s">
        <v>303</v>
      </c>
      <c r="F350" s="680"/>
      <c r="G350" s="682" t="e">
        <v>#N/A</v>
      </c>
      <c r="H350" s="3"/>
    </row>
    <row r="351" spans="1:8" ht="15" customHeight="1">
      <c r="A351" s="690" t="s">
        <v>2184</v>
      </c>
      <c r="B351" s="685" t="s">
        <v>1134</v>
      </c>
      <c r="C351" s="679" t="s">
        <v>176</v>
      </c>
      <c r="D351" s="679" t="s">
        <v>177</v>
      </c>
      <c r="E351" s="680" t="s">
        <v>303</v>
      </c>
      <c r="F351" s="680"/>
      <c r="G351" s="682" t="s">
        <v>1110</v>
      </c>
      <c r="H351" s="3"/>
    </row>
    <row r="352" spans="1:8" ht="15" customHeight="1">
      <c r="A352" s="690" t="s">
        <v>2187</v>
      </c>
      <c r="B352" s="685" t="s">
        <v>1135</v>
      </c>
      <c r="C352" s="679" t="s">
        <v>176</v>
      </c>
      <c r="D352" s="679" t="s">
        <v>177</v>
      </c>
      <c r="E352" s="680" t="s">
        <v>303</v>
      </c>
      <c r="F352" s="680"/>
      <c r="G352" s="682" t="e">
        <v>#N/A</v>
      </c>
      <c r="H352" s="3"/>
    </row>
    <row r="353" spans="1:8" ht="15" customHeight="1">
      <c r="A353" s="690" t="s">
        <v>2190</v>
      </c>
      <c r="B353" s="685" t="s">
        <v>1136</v>
      </c>
      <c r="C353" s="679" t="s">
        <v>176</v>
      </c>
      <c r="D353" s="679" t="s">
        <v>177</v>
      </c>
      <c r="E353" s="680" t="s">
        <v>303</v>
      </c>
      <c r="F353" s="680"/>
      <c r="G353" s="682" t="s">
        <v>2</v>
      </c>
      <c r="H353" s="3"/>
    </row>
    <row r="354" spans="1:8" ht="15" customHeight="1">
      <c r="A354" s="687" t="s">
        <v>3355</v>
      </c>
      <c r="B354" s="687" t="s">
        <v>798</v>
      </c>
      <c r="C354" s="679"/>
      <c r="D354" s="679"/>
      <c r="E354" s="680" t="s">
        <v>303</v>
      </c>
      <c r="F354" s="681"/>
      <c r="G354" s="682" t="e">
        <v>#N/A</v>
      </c>
      <c r="H354" s="3"/>
    </row>
    <row r="355" spans="1:8" ht="15" customHeight="1">
      <c r="A355" s="690" t="s">
        <v>2193</v>
      </c>
      <c r="B355" s="685" t="s">
        <v>1137</v>
      </c>
      <c r="C355" s="679" t="s">
        <v>180</v>
      </c>
      <c r="D355" s="679" t="s">
        <v>182</v>
      </c>
      <c r="E355" s="680" t="s">
        <v>303</v>
      </c>
      <c r="F355" s="680"/>
      <c r="G355" s="682" t="s">
        <v>1110</v>
      </c>
      <c r="H355" s="3"/>
    </row>
    <row r="356" spans="1:8" ht="15" customHeight="1">
      <c r="A356" s="690" t="s">
        <v>2196</v>
      </c>
      <c r="B356" s="685" t="s">
        <v>1138</v>
      </c>
      <c r="C356" s="679" t="s">
        <v>161</v>
      </c>
      <c r="D356" s="679" t="s">
        <v>164</v>
      </c>
      <c r="E356" s="680" t="s">
        <v>303</v>
      </c>
      <c r="F356" s="680"/>
      <c r="G356" s="682" t="s">
        <v>1110</v>
      </c>
      <c r="H356" s="3"/>
    </row>
    <row r="357" spans="1:8" ht="15" customHeight="1">
      <c r="A357" s="690" t="s">
        <v>2199</v>
      </c>
      <c r="B357" s="678" t="s">
        <v>1139</v>
      </c>
      <c r="C357" s="679" t="s">
        <v>180</v>
      </c>
      <c r="D357" s="679" t="s">
        <v>184</v>
      </c>
      <c r="E357" s="680" t="s">
        <v>303</v>
      </c>
      <c r="F357" s="680"/>
      <c r="G357" s="682" t="s">
        <v>2</v>
      </c>
      <c r="H357" s="3"/>
    </row>
    <row r="358" spans="1:8" ht="15" customHeight="1">
      <c r="A358" s="690" t="s">
        <v>3418</v>
      </c>
      <c r="B358" s="678" t="s">
        <v>1138</v>
      </c>
      <c r="C358" s="679" t="s">
        <v>161</v>
      </c>
      <c r="D358" s="679" t="s">
        <v>167</v>
      </c>
      <c r="E358" s="680" t="s">
        <v>303</v>
      </c>
      <c r="F358" s="680"/>
      <c r="G358" s="682" t="s">
        <v>2</v>
      </c>
      <c r="H358" s="3"/>
    </row>
    <row r="359" spans="1:8" ht="15" customHeight="1">
      <c r="A359" s="690" t="s">
        <v>2202</v>
      </c>
      <c r="B359" s="685" t="s">
        <v>1140</v>
      </c>
      <c r="C359" s="679" t="s">
        <v>180</v>
      </c>
      <c r="D359" s="679" t="s">
        <v>185</v>
      </c>
      <c r="E359" s="680" t="s">
        <v>303</v>
      </c>
      <c r="F359" s="680"/>
      <c r="G359" s="682" t="s">
        <v>1110</v>
      </c>
      <c r="H359" s="3"/>
    </row>
    <row r="360" spans="1:8" ht="15" customHeight="1">
      <c r="A360" s="690" t="s">
        <v>2205</v>
      </c>
      <c r="B360" s="678" t="s">
        <v>1138</v>
      </c>
      <c r="C360" s="679" t="s">
        <v>161</v>
      </c>
      <c r="D360" s="679" t="s">
        <v>167</v>
      </c>
      <c r="E360" s="680" t="s">
        <v>303</v>
      </c>
      <c r="F360" s="680"/>
      <c r="G360" s="682" t="e">
        <v>#N/A</v>
      </c>
      <c r="H360" s="3"/>
    </row>
    <row r="361" spans="1:8" ht="15" customHeight="1">
      <c r="A361" s="690" t="s">
        <v>2208</v>
      </c>
      <c r="B361" s="685" t="s">
        <v>1141</v>
      </c>
      <c r="C361" s="679" t="s">
        <v>180</v>
      </c>
      <c r="D361" s="679" t="s">
        <v>182</v>
      </c>
      <c r="E361" s="680" t="s">
        <v>303</v>
      </c>
      <c r="F361" s="680"/>
      <c r="G361" s="682" t="s">
        <v>2</v>
      </c>
      <c r="H361" s="3"/>
    </row>
    <row r="362" spans="1:8" ht="15" customHeight="1">
      <c r="A362" s="690" t="s">
        <v>3387</v>
      </c>
      <c r="B362" s="685" t="s">
        <v>1143</v>
      </c>
      <c r="C362" s="679" t="s">
        <v>180</v>
      </c>
      <c r="D362" s="679" t="s">
        <v>185</v>
      </c>
      <c r="E362" s="680" t="s">
        <v>303</v>
      </c>
      <c r="F362" s="680"/>
      <c r="G362" s="682" t="s">
        <v>2</v>
      </c>
      <c r="H362" s="3"/>
    </row>
    <row r="363" spans="1:8" ht="15" customHeight="1">
      <c r="A363" s="690" t="s">
        <v>2211</v>
      </c>
      <c r="B363" s="678" t="s">
        <v>1141</v>
      </c>
      <c r="C363" s="679" t="s">
        <v>180</v>
      </c>
      <c r="D363" s="679" t="s">
        <v>182</v>
      </c>
      <c r="E363" s="680" t="s">
        <v>303</v>
      </c>
      <c r="F363" s="680"/>
      <c r="G363" s="680" t="s">
        <v>2</v>
      </c>
      <c r="H363" s="3"/>
    </row>
    <row r="364" spans="1:8" ht="15" customHeight="1">
      <c r="A364" s="690" t="s">
        <v>2214</v>
      </c>
      <c r="B364" s="685" t="s">
        <v>1144</v>
      </c>
      <c r="C364" s="679" t="s">
        <v>180</v>
      </c>
      <c r="D364" s="679" t="s">
        <v>183</v>
      </c>
      <c r="E364" s="680" t="s">
        <v>303</v>
      </c>
      <c r="F364" s="680"/>
      <c r="G364" s="682" t="s">
        <v>1110</v>
      </c>
      <c r="H364" s="3"/>
    </row>
    <row r="365" spans="1:8" ht="15" customHeight="1">
      <c r="A365" s="690" t="s">
        <v>2217</v>
      </c>
      <c r="B365" s="678" t="s">
        <v>1145</v>
      </c>
      <c r="C365" s="679" t="s">
        <v>180</v>
      </c>
      <c r="D365" s="679" t="s">
        <v>183</v>
      </c>
      <c r="E365" s="680" t="s">
        <v>303</v>
      </c>
      <c r="F365" s="680"/>
      <c r="G365" s="682" t="e">
        <v>#N/A</v>
      </c>
      <c r="H365" s="3"/>
    </row>
    <row r="366" spans="1:8" ht="15" customHeight="1">
      <c r="A366" s="690" t="s">
        <v>2220</v>
      </c>
      <c r="B366" s="685" t="s">
        <v>1146</v>
      </c>
      <c r="C366" s="679" t="s">
        <v>180</v>
      </c>
      <c r="D366" s="679" t="s">
        <v>183</v>
      </c>
      <c r="E366" s="680" t="s">
        <v>303</v>
      </c>
      <c r="F366" s="680"/>
      <c r="G366" s="682" t="s">
        <v>1110</v>
      </c>
      <c r="H366" s="3"/>
    </row>
    <row r="367" spans="1:8" ht="15" customHeight="1">
      <c r="A367" s="690" t="s">
        <v>2223</v>
      </c>
      <c r="B367" s="685" t="s">
        <v>1147</v>
      </c>
      <c r="C367" s="679" t="s">
        <v>180</v>
      </c>
      <c r="D367" s="679" t="s">
        <v>186</v>
      </c>
      <c r="E367" s="680" t="s">
        <v>303</v>
      </c>
      <c r="F367" s="680"/>
      <c r="G367" s="682" t="s">
        <v>1110</v>
      </c>
      <c r="H367" s="3"/>
    </row>
    <row r="368" spans="1:8" ht="15" customHeight="1">
      <c r="A368" s="690" t="s">
        <v>2226</v>
      </c>
      <c r="B368" s="685" t="s">
        <v>1148</v>
      </c>
      <c r="C368" s="679" t="s">
        <v>180</v>
      </c>
      <c r="D368" s="679" t="s">
        <v>187</v>
      </c>
      <c r="E368" s="680" t="s">
        <v>303</v>
      </c>
      <c r="F368" s="680"/>
      <c r="G368" s="682" t="s">
        <v>1110</v>
      </c>
      <c r="H368" s="3"/>
    </row>
    <row r="369" spans="1:8" ht="15" customHeight="1">
      <c r="A369" s="690" t="s">
        <v>3684</v>
      </c>
      <c r="B369" s="685" t="s">
        <v>3683</v>
      </c>
      <c r="C369" s="679" t="s">
        <v>180</v>
      </c>
      <c r="D369" s="679" t="s">
        <v>187</v>
      </c>
      <c r="E369" s="680" t="s">
        <v>303</v>
      </c>
      <c r="F369" s="680"/>
      <c r="G369" s="682" t="s">
        <v>1110</v>
      </c>
      <c r="H369" s="3"/>
    </row>
    <row r="370" spans="1:8" ht="15" customHeight="1">
      <c r="A370" s="690" t="s">
        <v>2229</v>
      </c>
      <c r="B370" s="685" t="s">
        <v>1149</v>
      </c>
      <c r="C370" s="679" t="s">
        <v>180</v>
      </c>
      <c r="D370" s="679" t="s">
        <v>191</v>
      </c>
      <c r="E370" s="680" t="s">
        <v>303</v>
      </c>
      <c r="F370" s="680"/>
      <c r="G370" s="682" t="s">
        <v>1110</v>
      </c>
      <c r="H370" s="3"/>
    </row>
    <row r="371" spans="1:8" ht="15" customHeight="1">
      <c r="A371" s="690" t="s">
        <v>2232</v>
      </c>
      <c r="B371" s="685" t="s">
        <v>1150</v>
      </c>
      <c r="C371" s="679" t="s">
        <v>180</v>
      </c>
      <c r="D371" s="679" t="s">
        <v>191</v>
      </c>
      <c r="E371" s="680" t="s">
        <v>303</v>
      </c>
      <c r="F371" s="680"/>
      <c r="G371" s="682" t="s">
        <v>1110</v>
      </c>
      <c r="H371" s="3"/>
    </row>
    <row r="372" spans="1:8" ht="15" customHeight="1">
      <c r="A372" s="690" t="s">
        <v>3920</v>
      </c>
      <c r="B372" s="685" t="s">
        <v>3919</v>
      </c>
      <c r="C372" s="679" t="s">
        <v>180</v>
      </c>
      <c r="D372" s="679" t="s">
        <v>191</v>
      </c>
      <c r="E372" s="680" t="s">
        <v>303</v>
      </c>
      <c r="F372" s="680"/>
      <c r="G372" s="682" t="s">
        <v>1110</v>
      </c>
      <c r="H372" s="3"/>
    </row>
    <row r="373" spans="1:8" ht="15" customHeight="1">
      <c r="A373" s="690" t="s">
        <v>1152</v>
      </c>
      <c r="B373" s="678" t="s">
        <v>1387</v>
      </c>
      <c r="C373" s="679" t="s">
        <v>180</v>
      </c>
      <c r="D373" s="679" t="s">
        <v>189</v>
      </c>
      <c r="E373" s="680" t="s">
        <v>303</v>
      </c>
      <c r="F373" s="680"/>
      <c r="G373" s="680" t="s">
        <v>2</v>
      </c>
      <c r="H373" s="3"/>
    </row>
    <row r="374" spans="1:8" ht="15" customHeight="1">
      <c r="A374" s="690" t="s">
        <v>2237</v>
      </c>
      <c r="B374" s="685" t="s">
        <v>1151</v>
      </c>
      <c r="C374" s="679" t="s">
        <v>180</v>
      </c>
      <c r="D374" s="679" t="s">
        <v>188</v>
      </c>
      <c r="E374" s="680" t="s">
        <v>303</v>
      </c>
      <c r="F374" s="680"/>
      <c r="G374" s="682" t="s">
        <v>1110</v>
      </c>
      <c r="H374" s="3"/>
    </row>
    <row r="375" spans="1:8" ht="15" customHeight="1">
      <c r="A375" s="678" t="s">
        <v>2240</v>
      </c>
      <c r="B375" s="678" t="s">
        <v>725</v>
      </c>
      <c r="C375" s="679"/>
      <c r="D375" s="679"/>
      <c r="E375" s="686"/>
      <c r="F375" s="680"/>
      <c r="G375" s="682" t="s">
        <v>816</v>
      </c>
      <c r="H375" s="3"/>
    </row>
    <row r="376" spans="1:8" ht="15" customHeight="1">
      <c r="A376" s="690" t="s">
        <v>1155</v>
      </c>
      <c r="B376" s="685" t="s">
        <v>1153</v>
      </c>
      <c r="C376" s="679" t="s">
        <v>92</v>
      </c>
      <c r="D376" s="679" t="s">
        <v>111</v>
      </c>
      <c r="E376" s="680" t="s">
        <v>303</v>
      </c>
      <c r="F376" s="680"/>
      <c r="G376" s="682" t="s">
        <v>2</v>
      </c>
      <c r="H376" s="3"/>
    </row>
    <row r="377" spans="1:8" ht="15" customHeight="1">
      <c r="A377" s="690" t="s">
        <v>1157</v>
      </c>
      <c r="B377" s="685" t="s">
        <v>1156</v>
      </c>
      <c r="C377" s="679" t="s">
        <v>92</v>
      </c>
      <c r="D377" s="679" t="s">
        <v>112</v>
      </c>
      <c r="E377" s="680" t="s">
        <v>303</v>
      </c>
      <c r="F377" s="680"/>
      <c r="G377" s="682" t="s">
        <v>1110</v>
      </c>
      <c r="H377" s="3"/>
    </row>
    <row r="378" spans="1:8" ht="15" customHeight="1">
      <c r="A378" s="690" t="s">
        <v>1159</v>
      </c>
      <c r="B378" s="685" t="s">
        <v>1158</v>
      </c>
      <c r="C378" s="679" t="s">
        <v>92</v>
      </c>
      <c r="D378" s="679" t="s">
        <v>114</v>
      </c>
      <c r="E378" s="680" t="s">
        <v>303</v>
      </c>
      <c r="F378" s="680"/>
      <c r="G378" s="682" t="s">
        <v>1110</v>
      </c>
      <c r="H378" s="3"/>
    </row>
    <row r="379" spans="1:8" ht="15" customHeight="1">
      <c r="A379" s="690" t="s">
        <v>1161</v>
      </c>
      <c r="B379" s="685" t="s">
        <v>1160</v>
      </c>
      <c r="C379" s="679" t="s">
        <v>92</v>
      </c>
      <c r="D379" s="679" t="s">
        <v>115</v>
      </c>
      <c r="E379" s="680" t="s">
        <v>303</v>
      </c>
      <c r="F379" s="680"/>
      <c r="G379" s="682" t="s">
        <v>1110</v>
      </c>
      <c r="H379" s="3"/>
    </row>
    <row r="380" spans="1:8" ht="15" customHeight="1">
      <c r="A380" s="678" t="s">
        <v>1163</v>
      </c>
      <c r="B380" s="678" t="s">
        <v>1162</v>
      </c>
      <c r="C380" s="679" t="s">
        <v>92</v>
      </c>
      <c r="D380" s="679" t="s">
        <v>117</v>
      </c>
      <c r="E380" s="680" t="s">
        <v>303</v>
      </c>
      <c r="F380" s="680"/>
      <c r="G380" s="682" t="s">
        <v>1110</v>
      </c>
      <c r="H380" s="3"/>
    </row>
    <row r="381" spans="1:8" ht="15" customHeight="1">
      <c r="A381" s="690" t="s">
        <v>1165</v>
      </c>
      <c r="B381" s="685" t="s">
        <v>1164</v>
      </c>
      <c r="C381" s="679" t="s">
        <v>92</v>
      </c>
      <c r="D381" s="679" t="s">
        <v>113</v>
      </c>
      <c r="E381" s="680" t="s">
        <v>303</v>
      </c>
      <c r="F381" s="680"/>
      <c r="G381" s="682" t="s">
        <v>1110</v>
      </c>
      <c r="H381" s="3"/>
    </row>
    <row r="382" spans="1:8" ht="15" customHeight="1">
      <c r="A382" s="678" t="s">
        <v>1167</v>
      </c>
      <c r="B382" s="678" t="s">
        <v>1166</v>
      </c>
      <c r="C382" s="679" t="s">
        <v>92</v>
      </c>
      <c r="D382" s="679" t="s">
        <v>116</v>
      </c>
      <c r="E382" s="680" t="s">
        <v>303</v>
      </c>
      <c r="F382" s="680"/>
      <c r="G382" s="682" t="s">
        <v>2</v>
      </c>
      <c r="H382" s="3"/>
    </row>
    <row r="383" spans="1:8" ht="15" customHeight="1">
      <c r="A383" s="690" t="s">
        <v>2257</v>
      </c>
      <c r="B383" s="685" t="s">
        <v>1168</v>
      </c>
      <c r="C383" s="679" t="s">
        <v>92</v>
      </c>
      <c r="D383" s="679" t="s">
        <v>116</v>
      </c>
      <c r="E383" s="680" t="s">
        <v>303</v>
      </c>
      <c r="F383" s="680"/>
      <c r="G383" s="682" t="s">
        <v>2</v>
      </c>
      <c r="H383" s="3"/>
    </row>
    <row r="384" spans="1:8" ht="15" customHeight="1">
      <c r="A384" s="690" t="s">
        <v>1170</v>
      </c>
      <c r="B384" s="685" t="s">
        <v>1169</v>
      </c>
      <c r="C384" s="679" t="s">
        <v>92</v>
      </c>
      <c r="D384" s="679" t="s">
        <v>204</v>
      </c>
      <c r="E384" s="680" t="s">
        <v>303</v>
      </c>
      <c r="F384" s="680"/>
      <c r="G384" s="682" t="s">
        <v>1110</v>
      </c>
      <c r="H384" s="3"/>
    </row>
    <row r="385" spans="1:8" ht="15" customHeight="1">
      <c r="A385" s="678" t="s">
        <v>1172</v>
      </c>
      <c r="B385" s="678" t="s">
        <v>1171</v>
      </c>
      <c r="C385" s="679" t="s">
        <v>92</v>
      </c>
      <c r="D385" s="679" t="s">
        <v>120</v>
      </c>
      <c r="E385" s="680" t="s">
        <v>303</v>
      </c>
      <c r="F385" s="680"/>
      <c r="G385" s="682" t="s">
        <v>1110</v>
      </c>
      <c r="H385" s="3"/>
    </row>
    <row r="386" spans="1:8" ht="15" customHeight="1">
      <c r="A386" s="690" t="s">
        <v>1174</v>
      </c>
      <c r="B386" s="685" t="s">
        <v>1173</v>
      </c>
      <c r="C386" s="679" t="s">
        <v>92</v>
      </c>
      <c r="D386" s="679" t="s">
        <v>121</v>
      </c>
      <c r="E386" s="680" t="s">
        <v>303</v>
      </c>
      <c r="F386" s="680"/>
      <c r="G386" s="682" t="s">
        <v>1110</v>
      </c>
      <c r="H386" s="3"/>
    </row>
    <row r="387" spans="1:8" ht="15" customHeight="1">
      <c r="A387" s="678" t="s">
        <v>1176</v>
      </c>
      <c r="B387" s="678" t="s">
        <v>1175</v>
      </c>
      <c r="C387" s="679" t="s">
        <v>92</v>
      </c>
      <c r="D387" s="679" t="s">
        <v>122</v>
      </c>
      <c r="E387" s="680" t="s">
        <v>303</v>
      </c>
      <c r="F387" s="680"/>
      <c r="G387" s="682" t="s">
        <v>2</v>
      </c>
      <c r="H387" s="3"/>
    </row>
    <row r="388" spans="1:8" ht="15" customHeight="1">
      <c r="A388" s="690" t="s">
        <v>1178</v>
      </c>
      <c r="B388" s="685" t="s">
        <v>1177</v>
      </c>
      <c r="C388" s="679" t="s">
        <v>92</v>
      </c>
      <c r="D388" s="679" t="s">
        <v>124</v>
      </c>
      <c r="E388" s="680" t="s">
        <v>303</v>
      </c>
      <c r="F388" s="680"/>
      <c r="G388" s="682" t="s">
        <v>1110</v>
      </c>
      <c r="H388" s="3"/>
    </row>
    <row r="389" spans="1:8" ht="15" customHeight="1">
      <c r="A389" s="690" t="s">
        <v>1180</v>
      </c>
      <c r="B389" s="685" t="s">
        <v>1179</v>
      </c>
      <c r="C389" s="679" t="s">
        <v>92</v>
      </c>
      <c r="D389" s="679" t="s">
        <v>127</v>
      </c>
      <c r="E389" s="680" t="s">
        <v>303</v>
      </c>
      <c r="F389" s="680"/>
      <c r="G389" s="682" t="s">
        <v>1110</v>
      </c>
      <c r="H389" s="3"/>
    </row>
    <row r="390" spans="1:8" ht="15" customHeight="1">
      <c r="A390" s="690" t="s">
        <v>1182</v>
      </c>
      <c r="B390" s="685" t="s">
        <v>1181</v>
      </c>
      <c r="C390" s="679" t="s">
        <v>92</v>
      </c>
      <c r="D390" s="679" t="s">
        <v>125</v>
      </c>
      <c r="E390" s="680" t="s">
        <v>303</v>
      </c>
      <c r="F390" s="680"/>
      <c r="G390" s="682" t="s">
        <v>1110</v>
      </c>
      <c r="H390" s="4"/>
    </row>
    <row r="391" spans="1:8" ht="15" customHeight="1">
      <c r="A391" s="690" t="s">
        <v>1184</v>
      </c>
      <c r="B391" s="685" t="s">
        <v>1388</v>
      </c>
      <c r="C391" s="679" t="s">
        <v>92</v>
      </c>
      <c r="D391" s="679" t="s">
        <v>126</v>
      </c>
      <c r="E391" s="680" t="s">
        <v>303</v>
      </c>
      <c r="F391" s="680"/>
      <c r="G391" s="682" t="s">
        <v>1110</v>
      </c>
      <c r="H391" s="4"/>
    </row>
    <row r="392" spans="1:8" ht="15" customHeight="1">
      <c r="A392" s="678" t="s">
        <v>1186</v>
      </c>
      <c r="B392" s="678" t="s">
        <v>1185</v>
      </c>
      <c r="C392" s="679" t="s">
        <v>92</v>
      </c>
      <c r="D392" s="679" t="s">
        <v>126</v>
      </c>
      <c r="E392" s="680" t="s">
        <v>303</v>
      </c>
      <c r="F392" s="680"/>
      <c r="G392" s="682" t="s">
        <v>1110</v>
      </c>
      <c r="H392" s="3"/>
    </row>
    <row r="393" spans="1:8" ht="15" customHeight="1">
      <c r="A393" s="690" t="s">
        <v>2276</v>
      </c>
      <c r="B393" s="688" t="s">
        <v>799</v>
      </c>
      <c r="C393" s="679"/>
      <c r="D393" s="679"/>
      <c r="E393" s="680" t="s">
        <v>303</v>
      </c>
      <c r="F393" s="680"/>
      <c r="G393" s="682" t="s">
        <v>816</v>
      </c>
      <c r="H393" s="3"/>
    </row>
    <row r="394" spans="1:8" ht="15" customHeight="1">
      <c r="A394" s="678" t="s">
        <v>1188</v>
      </c>
      <c r="B394" s="678" t="s">
        <v>1187</v>
      </c>
      <c r="C394" s="679" t="s">
        <v>92</v>
      </c>
      <c r="D394" s="679" t="s">
        <v>135</v>
      </c>
      <c r="E394" s="680" t="s">
        <v>303</v>
      </c>
      <c r="F394" s="680"/>
      <c r="G394" s="682" t="s">
        <v>1110</v>
      </c>
      <c r="H394" s="3"/>
    </row>
    <row r="395" spans="1:8" ht="15" customHeight="1">
      <c r="A395" s="678" t="s">
        <v>1190</v>
      </c>
      <c r="B395" s="685" t="s">
        <v>1189</v>
      </c>
      <c r="C395" s="679" t="s">
        <v>92</v>
      </c>
      <c r="D395" s="679" t="s">
        <v>136</v>
      </c>
      <c r="E395" s="680" t="s">
        <v>303</v>
      </c>
      <c r="F395" s="680"/>
      <c r="G395" s="682" t="e">
        <v>#N/A</v>
      </c>
      <c r="H395" s="3"/>
    </row>
    <row r="396" spans="1:8" ht="15" customHeight="1">
      <c r="A396" s="678" t="s">
        <v>1192</v>
      </c>
      <c r="B396" s="685" t="s">
        <v>1191</v>
      </c>
      <c r="C396" s="679" t="s">
        <v>92</v>
      </c>
      <c r="D396" s="679" t="s">
        <v>141</v>
      </c>
      <c r="E396" s="680" t="s">
        <v>303</v>
      </c>
      <c r="F396" s="680"/>
      <c r="G396" s="682" t="e">
        <v>#N/A</v>
      </c>
      <c r="H396" s="3"/>
    </row>
    <row r="397" spans="1:8" ht="15" customHeight="1">
      <c r="A397" s="690" t="s">
        <v>1194</v>
      </c>
      <c r="B397" s="685" t="s">
        <v>1193</v>
      </c>
      <c r="C397" s="679" t="s">
        <v>92</v>
      </c>
      <c r="D397" s="679" t="s">
        <v>131</v>
      </c>
      <c r="E397" s="680" t="s">
        <v>303</v>
      </c>
      <c r="F397" s="680"/>
      <c r="G397" s="682" t="s">
        <v>1110</v>
      </c>
      <c r="H397" s="3"/>
    </row>
    <row r="398" spans="1:8" ht="15" customHeight="1">
      <c r="A398" s="678" t="s">
        <v>1196</v>
      </c>
      <c r="B398" s="678" t="s">
        <v>1195</v>
      </c>
      <c r="C398" s="679" t="s">
        <v>92</v>
      </c>
      <c r="D398" s="679" t="s">
        <v>139</v>
      </c>
      <c r="E398" s="680" t="s">
        <v>303</v>
      </c>
      <c r="F398" s="680"/>
      <c r="G398" s="682" t="s">
        <v>1110</v>
      </c>
      <c r="H398" s="3"/>
    </row>
    <row r="399" spans="1:8" ht="15" customHeight="1">
      <c r="A399" s="690" t="s">
        <v>1208</v>
      </c>
      <c r="B399" s="688" t="s">
        <v>800</v>
      </c>
      <c r="C399" s="679"/>
      <c r="D399" s="679"/>
      <c r="E399" s="680" t="s">
        <v>303</v>
      </c>
      <c r="F399" s="680"/>
      <c r="G399" s="682" t="s">
        <v>816</v>
      </c>
      <c r="H399" s="3"/>
    </row>
    <row r="400" spans="1:8" ht="15" customHeight="1">
      <c r="A400" s="678" t="s">
        <v>1198</v>
      </c>
      <c r="B400" s="678" t="s">
        <v>1197</v>
      </c>
      <c r="C400" s="679" t="s">
        <v>92</v>
      </c>
      <c r="D400" s="679" t="s">
        <v>132</v>
      </c>
      <c r="E400" s="680" t="s">
        <v>303</v>
      </c>
      <c r="F400" s="680"/>
      <c r="G400" s="682" t="s">
        <v>1110</v>
      </c>
      <c r="H400" s="3"/>
    </row>
    <row r="401" spans="1:8" ht="15" customHeight="1">
      <c r="A401" s="690" t="s">
        <v>1200</v>
      </c>
      <c r="B401" s="678" t="s">
        <v>1199</v>
      </c>
      <c r="C401" s="679" t="s">
        <v>92</v>
      </c>
      <c r="D401" s="679" t="s">
        <v>137</v>
      </c>
      <c r="E401" s="680" t="s">
        <v>303</v>
      </c>
      <c r="F401" s="680"/>
      <c r="G401" s="682" t="s">
        <v>1110</v>
      </c>
      <c r="H401" s="3"/>
    </row>
    <row r="402" spans="1:8" ht="15" customHeight="1">
      <c r="A402" s="678" t="s">
        <v>1202</v>
      </c>
      <c r="B402" s="678" t="s">
        <v>1201</v>
      </c>
      <c r="C402" s="679" t="s">
        <v>92</v>
      </c>
      <c r="D402" s="679" t="s">
        <v>138</v>
      </c>
      <c r="E402" s="680" t="s">
        <v>303</v>
      </c>
      <c r="F402" s="680"/>
      <c r="G402" s="682" t="s">
        <v>1110</v>
      </c>
      <c r="H402" s="3"/>
    </row>
    <row r="403" spans="1:8" ht="15" customHeight="1">
      <c r="A403" s="690" t="s">
        <v>1204</v>
      </c>
      <c r="B403" s="678" t="s">
        <v>1203</v>
      </c>
      <c r="C403" s="679" t="s">
        <v>92</v>
      </c>
      <c r="D403" s="679" t="s">
        <v>140</v>
      </c>
      <c r="E403" s="680" t="s">
        <v>303</v>
      </c>
      <c r="F403" s="680"/>
      <c r="G403" s="682" t="s">
        <v>1110</v>
      </c>
      <c r="H403" s="3"/>
    </row>
    <row r="404" spans="1:8" ht="15" customHeight="1">
      <c r="A404" s="678" t="s">
        <v>1206</v>
      </c>
      <c r="B404" s="678" t="s">
        <v>1205</v>
      </c>
      <c r="C404" s="679" t="s">
        <v>92</v>
      </c>
      <c r="D404" s="679" t="s">
        <v>133</v>
      </c>
      <c r="E404" s="680" t="s">
        <v>303</v>
      </c>
      <c r="F404" s="680"/>
      <c r="G404" s="682" t="s">
        <v>1110</v>
      </c>
      <c r="H404" s="3"/>
    </row>
    <row r="405" spans="1:8" ht="15" customHeight="1">
      <c r="A405" s="678" t="s">
        <v>3388</v>
      </c>
      <c r="B405" s="678" t="s">
        <v>1207</v>
      </c>
      <c r="C405" s="679" t="s">
        <v>92</v>
      </c>
      <c r="D405" s="679" t="s">
        <v>142</v>
      </c>
      <c r="E405" s="680" t="s">
        <v>303</v>
      </c>
      <c r="F405" s="680"/>
      <c r="G405" s="682" t="e">
        <v>#N/A</v>
      </c>
      <c r="H405" s="3"/>
    </row>
    <row r="406" spans="1:8" ht="15" customHeight="1">
      <c r="A406" s="690" t="s">
        <v>1210</v>
      </c>
      <c r="B406" s="685" t="s">
        <v>1209</v>
      </c>
      <c r="C406" s="679" t="s">
        <v>92</v>
      </c>
      <c r="D406" s="679" t="s">
        <v>134</v>
      </c>
      <c r="E406" s="680" t="s">
        <v>303</v>
      </c>
      <c r="F406" s="680"/>
      <c r="G406" s="682" t="s">
        <v>1110</v>
      </c>
      <c r="H406" s="3"/>
    </row>
    <row r="407" spans="1:8" ht="15" customHeight="1">
      <c r="A407" s="690" t="s">
        <v>1212</v>
      </c>
      <c r="B407" s="685" t="s">
        <v>1211</v>
      </c>
      <c r="C407" s="679" t="s">
        <v>92</v>
      </c>
      <c r="D407" s="679" t="s">
        <v>221</v>
      </c>
      <c r="E407" s="680" t="s">
        <v>303</v>
      </c>
      <c r="F407" s="680"/>
      <c r="G407" s="682" t="e">
        <v>#N/A</v>
      </c>
      <c r="H407" s="3"/>
    </row>
    <row r="408" spans="1:8" ht="15" customHeight="1">
      <c r="A408" s="690" t="s">
        <v>2304</v>
      </c>
      <c r="B408" s="685" t="s">
        <v>1389</v>
      </c>
      <c r="C408" s="679" t="s">
        <v>92</v>
      </c>
      <c r="D408" s="679" t="s">
        <v>213</v>
      </c>
      <c r="E408" s="680" t="s">
        <v>303</v>
      </c>
      <c r="F408" s="680"/>
      <c r="G408" s="680" t="s">
        <v>1154</v>
      </c>
      <c r="H408" s="3"/>
    </row>
    <row r="409" spans="1:8" ht="15" customHeight="1">
      <c r="A409" s="690" t="s">
        <v>1214</v>
      </c>
      <c r="B409" s="685" t="s">
        <v>1213</v>
      </c>
      <c r="C409" s="679" t="s">
        <v>92</v>
      </c>
      <c r="D409" s="679" t="s">
        <v>210</v>
      </c>
      <c r="E409" s="680" t="s">
        <v>303</v>
      </c>
      <c r="F409" s="680"/>
      <c r="G409" s="682" t="s">
        <v>1154</v>
      </c>
      <c r="H409" s="3"/>
    </row>
    <row r="410" spans="1:8" ht="15" customHeight="1">
      <c r="A410" s="678" t="s">
        <v>1216</v>
      </c>
      <c r="B410" s="678" t="s">
        <v>1215</v>
      </c>
      <c r="C410" s="679" t="s">
        <v>92</v>
      </c>
      <c r="D410" s="679" t="s">
        <v>205</v>
      </c>
      <c r="E410" s="680" t="s">
        <v>303</v>
      </c>
      <c r="F410" s="680"/>
      <c r="G410" s="682" t="s">
        <v>1154</v>
      </c>
      <c r="H410" s="3"/>
    </row>
    <row r="411" spans="1:8" ht="15" customHeight="1">
      <c r="A411" s="690" t="s">
        <v>1218</v>
      </c>
      <c r="B411" s="685" t="s">
        <v>1217</v>
      </c>
      <c r="C411" s="679" t="s">
        <v>92</v>
      </c>
      <c r="D411" s="679" t="s">
        <v>209</v>
      </c>
      <c r="E411" s="680" t="s">
        <v>303</v>
      </c>
      <c r="F411" s="680"/>
      <c r="G411" s="682" t="s">
        <v>1154</v>
      </c>
      <c r="H411" s="3"/>
    </row>
    <row r="412" spans="1:8" ht="15" customHeight="1">
      <c r="A412" s="678" t="s">
        <v>1220</v>
      </c>
      <c r="B412" s="678" t="s">
        <v>1219</v>
      </c>
      <c r="C412" s="679" t="s">
        <v>92</v>
      </c>
      <c r="D412" s="679" t="s">
        <v>206</v>
      </c>
      <c r="E412" s="680" t="s">
        <v>303</v>
      </c>
      <c r="F412" s="680"/>
      <c r="G412" s="682" t="s">
        <v>1154</v>
      </c>
      <c r="H412" s="3"/>
    </row>
    <row r="413" spans="1:8" ht="15" customHeight="1">
      <c r="A413" s="690" t="s">
        <v>1222</v>
      </c>
      <c r="B413" s="678" t="s">
        <v>1221</v>
      </c>
      <c r="C413" s="679" t="s">
        <v>92</v>
      </c>
      <c r="D413" s="679" t="s">
        <v>207</v>
      </c>
      <c r="E413" s="680" t="s">
        <v>303</v>
      </c>
      <c r="F413" s="680"/>
      <c r="G413" s="682" t="s">
        <v>1154</v>
      </c>
      <c r="H413" s="3"/>
    </row>
    <row r="414" spans="1:8" ht="15" customHeight="1">
      <c r="A414" s="678" t="s">
        <v>1224</v>
      </c>
      <c r="B414" s="678" t="s">
        <v>1223</v>
      </c>
      <c r="C414" s="679" t="s">
        <v>92</v>
      </c>
      <c r="D414" s="679" t="s">
        <v>211</v>
      </c>
      <c r="E414" s="680" t="s">
        <v>303</v>
      </c>
      <c r="F414" s="680"/>
      <c r="G414" s="682" t="s">
        <v>1154</v>
      </c>
      <c r="H414" s="3"/>
    </row>
    <row r="415" spans="1:8" ht="15" customHeight="1">
      <c r="A415" s="678" t="s">
        <v>3389</v>
      </c>
      <c r="B415" s="678" t="s">
        <v>1390</v>
      </c>
      <c r="C415" s="679" t="s">
        <v>92</v>
      </c>
      <c r="D415" s="679" t="s">
        <v>214</v>
      </c>
      <c r="E415" s="680" t="s">
        <v>303</v>
      </c>
      <c r="F415" s="680"/>
      <c r="G415" s="680" t="s">
        <v>1154</v>
      </c>
      <c r="H415" s="3"/>
    </row>
    <row r="416" spans="1:8" ht="15" customHeight="1">
      <c r="A416" s="690" t="s">
        <v>2319</v>
      </c>
      <c r="B416" s="688" t="s">
        <v>1225</v>
      </c>
      <c r="C416" s="679" t="s">
        <v>152</v>
      </c>
      <c r="D416" s="679" t="s">
        <v>111</v>
      </c>
      <c r="E416" s="680" t="s">
        <v>303</v>
      </c>
      <c r="F416" s="680"/>
      <c r="G416" s="682" t="s">
        <v>1154</v>
      </c>
      <c r="H416" s="3"/>
    </row>
    <row r="417" spans="1:12" ht="15" customHeight="1">
      <c r="A417" s="690" t="s">
        <v>2322</v>
      </c>
      <c r="B417" s="688" t="s">
        <v>1156</v>
      </c>
      <c r="C417" s="679" t="s">
        <v>152</v>
      </c>
      <c r="D417" s="679" t="s">
        <v>112</v>
      </c>
      <c r="E417" s="680" t="s">
        <v>303</v>
      </c>
      <c r="F417" s="680"/>
      <c r="G417" s="682" t="s">
        <v>1154</v>
      </c>
      <c r="H417" s="3"/>
    </row>
    <row r="418" spans="1:12" ht="15" customHeight="1">
      <c r="A418" s="678" t="s">
        <v>2325</v>
      </c>
      <c r="B418" s="678" t="s">
        <v>1226</v>
      </c>
      <c r="C418" s="679" t="s">
        <v>152</v>
      </c>
      <c r="D418" s="679" t="s">
        <v>114</v>
      </c>
      <c r="E418" s="680" t="s">
        <v>303</v>
      </c>
      <c r="F418" s="680"/>
      <c r="G418" s="682" t="s">
        <v>1154</v>
      </c>
      <c r="H418" s="3"/>
    </row>
    <row r="419" spans="1:12" ht="15" customHeight="1">
      <c r="A419" s="690" t="s">
        <v>2328</v>
      </c>
      <c r="B419" s="688" t="s">
        <v>1160</v>
      </c>
      <c r="C419" s="679" t="s">
        <v>152</v>
      </c>
      <c r="D419" s="679" t="s">
        <v>115</v>
      </c>
      <c r="E419" s="680" t="s">
        <v>303</v>
      </c>
      <c r="F419" s="680"/>
      <c r="G419" s="682" t="s">
        <v>1154</v>
      </c>
      <c r="H419" s="3"/>
    </row>
    <row r="420" spans="1:12" ht="15" customHeight="1">
      <c r="A420" s="678" t="s">
        <v>2331</v>
      </c>
      <c r="B420" s="678" t="s">
        <v>1162</v>
      </c>
      <c r="C420" s="679" t="s">
        <v>152</v>
      </c>
      <c r="D420" s="679" t="s">
        <v>117</v>
      </c>
      <c r="E420" s="680" t="s">
        <v>303</v>
      </c>
      <c r="F420" s="680"/>
      <c r="G420" s="682" t="s">
        <v>1154</v>
      </c>
      <c r="H420" s="3"/>
    </row>
    <row r="421" spans="1:12" ht="15" customHeight="1">
      <c r="A421" s="690" t="s">
        <v>2334</v>
      </c>
      <c r="B421" s="688" t="s">
        <v>1164</v>
      </c>
      <c r="C421" s="679" t="s">
        <v>152</v>
      </c>
      <c r="D421" s="679" t="s">
        <v>113</v>
      </c>
      <c r="E421" s="680" t="s">
        <v>303</v>
      </c>
      <c r="F421" s="680"/>
      <c r="G421" s="682" t="s">
        <v>1154</v>
      </c>
      <c r="H421" s="3"/>
      <c r="L421" s="3"/>
    </row>
    <row r="422" spans="1:12" ht="15" customHeight="1">
      <c r="A422" s="678" t="s">
        <v>2337</v>
      </c>
      <c r="B422" s="678" t="s">
        <v>801</v>
      </c>
      <c r="C422" s="679"/>
      <c r="D422" s="679"/>
      <c r="E422" s="680" t="s">
        <v>303</v>
      </c>
      <c r="F422" s="680"/>
      <c r="G422" s="682" t="s">
        <v>816</v>
      </c>
      <c r="H422" s="3"/>
      <c r="L422" s="3"/>
    </row>
    <row r="423" spans="1:12" ht="15" customHeight="1">
      <c r="A423" s="690" t="s">
        <v>2340</v>
      </c>
      <c r="B423" s="688" t="s">
        <v>1166</v>
      </c>
      <c r="C423" s="679" t="s">
        <v>152</v>
      </c>
      <c r="D423" s="679" t="s">
        <v>116</v>
      </c>
      <c r="E423" s="680" t="s">
        <v>303</v>
      </c>
      <c r="F423" s="680"/>
      <c r="G423" s="682" t="s">
        <v>1154</v>
      </c>
      <c r="H423" s="3"/>
    </row>
    <row r="424" spans="1:12" ht="15" customHeight="1">
      <c r="A424" s="678" t="s">
        <v>2343</v>
      </c>
      <c r="B424" s="678" t="s">
        <v>1227</v>
      </c>
      <c r="C424" s="679" t="s">
        <v>152</v>
      </c>
      <c r="D424" s="679" t="s">
        <v>116</v>
      </c>
      <c r="E424" s="680" t="s">
        <v>303</v>
      </c>
      <c r="F424" s="680"/>
      <c r="G424" s="682" t="s">
        <v>1154</v>
      </c>
      <c r="H424" s="3"/>
    </row>
    <row r="425" spans="1:12" ht="15" customHeight="1">
      <c r="A425" s="690" t="s">
        <v>2346</v>
      </c>
      <c r="B425" s="688" t="s">
        <v>802</v>
      </c>
      <c r="C425" s="679"/>
      <c r="D425" s="679"/>
      <c r="E425" s="680" t="s">
        <v>303</v>
      </c>
      <c r="F425" s="680"/>
      <c r="G425" s="682" t="s">
        <v>816</v>
      </c>
      <c r="H425" s="3"/>
    </row>
    <row r="426" spans="1:12" ht="15" customHeight="1">
      <c r="A426" s="678" t="s">
        <v>2349</v>
      </c>
      <c r="B426" s="688" t="s">
        <v>1169</v>
      </c>
      <c r="C426" s="679" t="s">
        <v>152</v>
      </c>
      <c r="D426" s="679" t="s">
        <v>204</v>
      </c>
      <c r="E426" s="680" t="s">
        <v>303</v>
      </c>
      <c r="F426" s="680"/>
      <c r="G426" s="682" t="s">
        <v>1154</v>
      </c>
      <c r="H426" s="3"/>
    </row>
    <row r="427" spans="1:12" ht="15" customHeight="1">
      <c r="A427" s="690" t="s">
        <v>2352</v>
      </c>
      <c r="B427" s="688" t="s">
        <v>1171</v>
      </c>
      <c r="C427" s="679" t="s">
        <v>152</v>
      </c>
      <c r="D427" s="679" t="s">
        <v>120</v>
      </c>
      <c r="E427" s="680" t="s">
        <v>303</v>
      </c>
      <c r="F427" s="680"/>
      <c r="G427" s="682" t="s">
        <v>2</v>
      </c>
      <c r="H427" s="3"/>
    </row>
    <row r="428" spans="1:12" ht="15" customHeight="1">
      <c r="A428" s="690" t="s">
        <v>2355</v>
      </c>
      <c r="B428" s="688" t="s">
        <v>1173</v>
      </c>
      <c r="C428" s="679" t="s">
        <v>152</v>
      </c>
      <c r="D428" s="679" t="s">
        <v>121</v>
      </c>
      <c r="E428" s="680" t="s">
        <v>303</v>
      </c>
      <c r="F428" s="680"/>
      <c r="G428" s="682" t="s">
        <v>1154</v>
      </c>
      <c r="H428" s="3"/>
    </row>
    <row r="429" spans="1:12" ht="15" customHeight="1">
      <c r="A429" s="690" t="s">
        <v>2358</v>
      </c>
      <c r="B429" s="688" t="s">
        <v>1228</v>
      </c>
      <c r="C429" s="679" t="s">
        <v>152</v>
      </c>
      <c r="D429" s="679" t="s">
        <v>122</v>
      </c>
      <c r="E429" s="680" t="s">
        <v>303</v>
      </c>
      <c r="F429" s="680"/>
      <c r="G429" s="682" t="e">
        <v>#N/A</v>
      </c>
      <c r="H429" s="3"/>
    </row>
    <row r="430" spans="1:12" ht="15" customHeight="1">
      <c r="A430" s="690" t="s">
        <v>2359</v>
      </c>
      <c r="B430" s="688" t="s">
        <v>1229</v>
      </c>
      <c r="C430" s="679" t="s">
        <v>152</v>
      </c>
      <c r="D430" s="679" t="s">
        <v>124</v>
      </c>
      <c r="E430" s="680" t="s">
        <v>303</v>
      </c>
      <c r="F430" s="680"/>
      <c r="G430" s="682" t="s">
        <v>1154</v>
      </c>
      <c r="H430" s="3"/>
    </row>
    <row r="431" spans="1:12" ht="15" customHeight="1">
      <c r="A431" s="690" t="s">
        <v>2362</v>
      </c>
      <c r="B431" s="688" t="s">
        <v>1179</v>
      </c>
      <c r="C431" s="679" t="s">
        <v>152</v>
      </c>
      <c r="D431" s="679" t="s">
        <v>127</v>
      </c>
      <c r="E431" s="680" t="s">
        <v>303</v>
      </c>
      <c r="F431" s="680"/>
      <c r="G431" s="682" t="s">
        <v>1154</v>
      </c>
      <c r="H431" s="3"/>
    </row>
    <row r="432" spans="1:12" ht="15" customHeight="1">
      <c r="A432" s="690" t="s">
        <v>2365</v>
      </c>
      <c r="B432" s="688" t="s">
        <v>1181</v>
      </c>
      <c r="C432" s="679" t="s">
        <v>152</v>
      </c>
      <c r="D432" s="679" t="s">
        <v>125</v>
      </c>
      <c r="E432" s="680" t="s">
        <v>303</v>
      </c>
      <c r="F432" s="680"/>
      <c r="G432" s="682" t="s">
        <v>1154</v>
      </c>
      <c r="H432" s="3"/>
    </row>
    <row r="433" spans="1:8" ht="15" customHeight="1">
      <c r="A433" s="690" t="s">
        <v>3390</v>
      </c>
      <c r="B433" s="688" t="s">
        <v>1391</v>
      </c>
      <c r="C433" s="679" t="s">
        <v>152</v>
      </c>
      <c r="D433" s="679" t="s">
        <v>126</v>
      </c>
      <c r="E433" s="680" t="s">
        <v>303</v>
      </c>
      <c r="F433" s="680"/>
      <c r="G433" s="682" t="s">
        <v>2</v>
      </c>
      <c r="H433" s="3"/>
    </row>
    <row r="434" spans="1:8" ht="15" customHeight="1">
      <c r="A434" s="690" t="s">
        <v>2368</v>
      </c>
      <c r="B434" s="688" t="s">
        <v>1231</v>
      </c>
      <c r="C434" s="679" t="s">
        <v>152</v>
      </c>
      <c r="D434" s="679" t="s">
        <v>126</v>
      </c>
      <c r="E434" s="680" t="s">
        <v>303</v>
      </c>
      <c r="F434" s="680"/>
      <c r="G434" s="682" t="s">
        <v>1154</v>
      </c>
      <c r="H434" s="3"/>
    </row>
    <row r="435" spans="1:8" ht="15" customHeight="1">
      <c r="A435" s="690" t="s">
        <v>2371</v>
      </c>
      <c r="B435" s="688" t="s">
        <v>803</v>
      </c>
      <c r="C435" s="679"/>
      <c r="D435" s="679"/>
      <c r="E435" s="680" t="s">
        <v>303</v>
      </c>
      <c r="F435" s="680"/>
      <c r="G435" s="682" t="s">
        <v>816</v>
      </c>
      <c r="H435" s="3"/>
    </row>
    <row r="436" spans="1:8" ht="15" customHeight="1">
      <c r="A436" s="690" t="s">
        <v>2374</v>
      </c>
      <c r="B436" s="688" t="s">
        <v>1187</v>
      </c>
      <c r="C436" s="679" t="s">
        <v>152</v>
      </c>
      <c r="D436" s="679" t="s">
        <v>135</v>
      </c>
      <c r="E436" s="680" t="s">
        <v>303</v>
      </c>
      <c r="F436" s="680"/>
      <c r="G436" s="682" t="s">
        <v>1154</v>
      </c>
      <c r="H436" s="3"/>
    </row>
    <row r="437" spans="1:8" ht="15" customHeight="1">
      <c r="A437" s="690" t="s">
        <v>2376</v>
      </c>
      <c r="B437" s="688" t="s">
        <v>1189</v>
      </c>
      <c r="C437" s="679" t="s">
        <v>152</v>
      </c>
      <c r="D437" s="679" t="s">
        <v>136</v>
      </c>
      <c r="E437" s="680" t="s">
        <v>303</v>
      </c>
      <c r="F437" s="680"/>
      <c r="G437" s="680" t="s">
        <v>1154</v>
      </c>
      <c r="H437" s="3"/>
    </row>
    <row r="438" spans="1:8" ht="15" customHeight="1">
      <c r="A438" s="678" t="s">
        <v>2379</v>
      </c>
      <c r="B438" s="678" t="s">
        <v>1191</v>
      </c>
      <c r="C438" s="679" t="s">
        <v>152</v>
      </c>
      <c r="D438" s="679" t="s">
        <v>141</v>
      </c>
      <c r="E438" s="680" t="s">
        <v>303</v>
      </c>
      <c r="F438" s="680"/>
      <c r="G438" s="682" t="s">
        <v>1154</v>
      </c>
      <c r="H438" s="3"/>
    </row>
    <row r="439" spans="1:8" ht="15" customHeight="1">
      <c r="A439" s="690" t="s">
        <v>2382</v>
      </c>
      <c r="B439" s="688" t="s">
        <v>1193</v>
      </c>
      <c r="C439" s="679" t="s">
        <v>152</v>
      </c>
      <c r="D439" s="679" t="s">
        <v>131</v>
      </c>
      <c r="E439" s="680" t="s">
        <v>303</v>
      </c>
      <c r="F439" s="680"/>
      <c r="G439" s="682" t="s">
        <v>1154</v>
      </c>
      <c r="H439" s="3"/>
    </row>
    <row r="440" spans="1:8" ht="15" customHeight="1">
      <c r="A440" s="678" t="s">
        <v>2385</v>
      </c>
      <c r="B440" s="678" t="s">
        <v>1195</v>
      </c>
      <c r="C440" s="679" t="s">
        <v>152</v>
      </c>
      <c r="D440" s="679" t="s">
        <v>139</v>
      </c>
      <c r="E440" s="680" t="s">
        <v>303</v>
      </c>
      <c r="F440" s="686"/>
      <c r="G440" s="682" t="s">
        <v>1154</v>
      </c>
      <c r="H440" s="3"/>
    </row>
    <row r="441" spans="1:8" ht="15" customHeight="1">
      <c r="A441" s="690" t="s">
        <v>2388</v>
      </c>
      <c r="B441" s="688" t="s">
        <v>1197</v>
      </c>
      <c r="C441" s="679" t="s">
        <v>152</v>
      </c>
      <c r="D441" s="679" t="s">
        <v>132</v>
      </c>
      <c r="E441" s="680" t="s">
        <v>303</v>
      </c>
      <c r="F441" s="680"/>
      <c r="G441" s="682" t="s">
        <v>1154</v>
      </c>
      <c r="H441" s="3"/>
    </row>
    <row r="442" spans="1:8" ht="15" customHeight="1">
      <c r="A442" s="678" t="s">
        <v>2391</v>
      </c>
      <c r="B442" s="678" t="s">
        <v>1199</v>
      </c>
      <c r="C442" s="679" t="s">
        <v>152</v>
      </c>
      <c r="D442" s="679" t="s">
        <v>137</v>
      </c>
      <c r="E442" s="680" t="s">
        <v>303</v>
      </c>
      <c r="F442" s="680"/>
      <c r="G442" s="682" t="s">
        <v>1154</v>
      </c>
      <c r="H442" s="3"/>
    </row>
    <row r="443" spans="1:8" ht="15" customHeight="1">
      <c r="A443" s="690" t="s">
        <v>2394</v>
      </c>
      <c r="B443" s="688" t="s">
        <v>1201</v>
      </c>
      <c r="C443" s="679" t="s">
        <v>152</v>
      </c>
      <c r="D443" s="679" t="s">
        <v>138</v>
      </c>
      <c r="E443" s="680" t="s">
        <v>303</v>
      </c>
      <c r="F443" s="680"/>
      <c r="G443" s="682" t="e">
        <v>#N/A</v>
      </c>
      <c r="H443" s="3"/>
    </row>
    <row r="444" spans="1:8" ht="15" customHeight="1">
      <c r="A444" s="690" t="s">
        <v>2397</v>
      </c>
      <c r="B444" s="678" t="s">
        <v>1203</v>
      </c>
      <c r="C444" s="679" t="s">
        <v>152</v>
      </c>
      <c r="D444" s="679" t="s">
        <v>140</v>
      </c>
      <c r="E444" s="680" t="s">
        <v>303</v>
      </c>
      <c r="F444" s="680"/>
      <c r="G444" s="682" t="s">
        <v>1154</v>
      </c>
      <c r="H444" s="3"/>
    </row>
    <row r="445" spans="1:8" ht="15" customHeight="1">
      <c r="A445" s="690" t="s">
        <v>2400</v>
      </c>
      <c r="B445" s="688" t="s">
        <v>1232</v>
      </c>
      <c r="C445" s="679" t="s">
        <v>152</v>
      </c>
      <c r="D445" s="679" t="s">
        <v>133</v>
      </c>
      <c r="E445" s="680" t="s">
        <v>303</v>
      </c>
      <c r="F445" s="680"/>
      <c r="G445" s="682" t="s">
        <v>1154</v>
      </c>
      <c r="H445" s="3"/>
    </row>
    <row r="446" spans="1:8" ht="15" customHeight="1">
      <c r="A446" s="690" t="s">
        <v>3391</v>
      </c>
      <c r="B446" s="688" t="s">
        <v>1233</v>
      </c>
      <c r="C446" s="679" t="s">
        <v>152</v>
      </c>
      <c r="D446" s="679" t="s">
        <v>142</v>
      </c>
      <c r="E446" s="680" t="s">
        <v>303</v>
      </c>
      <c r="F446" s="680"/>
      <c r="G446" s="682" t="s">
        <v>1154</v>
      </c>
      <c r="H446" s="3"/>
    </row>
    <row r="447" spans="1:8" ht="15" customHeight="1">
      <c r="A447" s="690" t="s">
        <v>2403</v>
      </c>
      <c r="B447" s="678" t="s">
        <v>1209</v>
      </c>
      <c r="C447" s="679" t="s">
        <v>152</v>
      </c>
      <c r="D447" s="679" t="s">
        <v>134</v>
      </c>
      <c r="E447" s="680" t="s">
        <v>303</v>
      </c>
      <c r="F447" s="686"/>
      <c r="G447" s="682" t="s">
        <v>1154</v>
      </c>
      <c r="H447" s="3"/>
    </row>
    <row r="448" spans="1:8" ht="15" customHeight="1">
      <c r="A448" s="690" t="s">
        <v>2406</v>
      </c>
      <c r="B448" s="688" t="s">
        <v>1211</v>
      </c>
      <c r="C448" s="679" t="s">
        <v>152</v>
      </c>
      <c r="D448" s="679" t="s">
        <v>221</v>
      </c>
      <c r="E448" s="680" t="s">
        <v>303</v>
      </c>
      <c r="F448" s="680"/>
      <c r="G448" s="682" t="s">
        <v>1154</v>
      </c>
      <c r="H448" s="3"/>
    </row>
    <row r="449" spans="1:8" ht="15" customHeight="1">
      <c r="A449" s="690" t="s">
        <v>2409</v>
      </c>
      <c r="B449" s="688" t="s">
        <v>1389</v>
      </c>
      <c r="C449" s="679" t="s">
        <v>152</v>
      </c>
      <c r="D449" s="679" t="s">
        <v>213</v>
      </c>
      <c r="E449" s="680" t="s">
        <v>303</v>
      </c>
      <c r="F449" s="680"/>
      <c r="G449" s="680" t="s">
        <v>1154</v>
      </c>
      <c r="H449" s="3"/>
    </row>
    <row r="450" spans="1:8" ht="15" customHeight="1">
      <c r="A450" s="690" t="s">
        <v>2412</v>
      </c>
      <c r="B450" s="678" t="s">
        <v>1235</v>
      </c>
      <c r="C450" s="679" t="s">
        <v>152</v>
      </c>
      <c r="D450" s="679" t="s">
        <v>210</v>
      </c>
      <c r="E450" s="680" t="s">
        <v>303</v>
      </c>
      <c r="F450" s="680"/>
      <c r="G450" s="682" t="e">
        <v>#N/A</v>
      </c>
      <c r="H450" s="3"/>
    </row>
    <row r="451" spans="1:8" ht="15" customHeight="1">
      <c r="A451" s="690" t="s">
        <v>2415</v>
      </c>
      <c r="B451" s="688" t="s">
        <v>1236</v>
      </c>
      <c r="C451" s="679" t="s">
        <v>152</v>
      </c>
      <c r="D451" s="679" t="s">
        <v>205</v>
      </c>
      <c r="E451" s="680" t="s">
        <v>303</v>
      </c>
      <c r="F451" s="680"/>
      <c r="G451" s="682" t="s">
        <v>1154</v>
      </c>
      <c r="H451" s="3"/>
    </row>
    <row r="452" spans="1:8" ht="15" customHeight="1">
      <c r="A452" s="690" t="s">
        <v>2418</v>
      </c>
      <c r="B452" s="688" t="s">
        <v>1237</v>
      </c>
      <c r="C452" s="679" t="s">
        <v>152</v>
      </c>
      <c r="D452" s="679" t="s">
        <v>209</v>
      </c>
      <c r="E452" s="680" t="s">
        <v>303</v>
      </c>
      <c r="F452" s="680"/>
      <c r="G452" s="682" t="s">
        <v>1154</v>
      </c>
      <c r="H452" s="3"/>
    </row>
    <row r="453" spans="1:8" ht="15" customHeight="1">
      <c r="A453" s="690" t="s">
        <v>2421</v>
      </c>
      <c r="B453" s="678" t="s">
        <v>1238</v>
      </c>
      <c r="C453" s="679" t="s">
        <v>152</v>
      </c>
      <c r="D453" s="679" t="s">
        <v>206</v>
      </c>
      <c r="E453" s="680" t="s">
        <v>303</v>
      </c>
      <c r="F453" s="680"/>
      <c r="G453" s="682" t="s">
        <v>1154</v>
      </c>
      <c r="H453" s="3"/>
    </row>
    <row r="454" spans="1:8" ht="15" customHeight="1">
      <c r="A454" s="690" t="s">
        <v>2424</v>
      </c>
      <c r="B454" s="688" t="s">
        <v>1239</v>
      </c>
      <c r="C454" s="679" t="s">
        <v>152</v>
      </c>
      <c r="D454" s="679" t="s">
        <v>207</v>
      </c>
      <c r="E454" s="680" t="s">
        <v>303</v>
      </c>
      <c r="F454" s="680"/>
      <c r="G454" s="682" t="s">
        <v>1154</v>
      </c>
      <c r="H454" s="3"/>
    </row>
    <row r="455" spans="1:8" ht="15" customHeight="1">
      <c r="A455" s="690" t="s">
        <v>2427</v>
      </c>
      <c r="B455" s="678" t="s">
        <v>1240</v>
      </c>
      <c r="C455" s="679" t="s">
        <v>152</v>
      </c>
      <c r="D455" s="679" t="s">
        <v>211</v>
      </c>
      <c r="E455" s="680" t="s">
        <v>303</v>
      </c>
      <c r="F455" s="680"/>
      <c r="G455" s="682" t="s">
        <v>1154</v>
      </c>
      <c r="H455" s="3"/>
    </row>
    <row r="456" spans="1:8" ht="15" customHeight="1">
      <c r="A456" s="678" t="s">
        <v>3392</v>
      </c>
      <c r="B456" s="678" t="s">
        <v>1392</v>
      </c>
      <c r="C456" s="679" t="s">
        <v>152</v>
      </c>
      <c r="D456" s="679" t="s">
        <v>214</v>
      </c>
      <c r="E456" s="680" t="s">
        <v>303</v>
      </c>
      <c r="F456" s="680"/>
      <c r="G456" s="680" t="s">
        <v>1154</v>
      </c>
      <c r="H456" s="3"/>
    </row>
    <row r="457" spans="1:8" ht="15" customHeight="1">
      <c r="A457" s="678" t="s">
        <v>3393</v>
      </c>
      <c r="B457" s="678" t="s">
        <v>3315</v>
      </c>
      <c r="C457" s="679" t="s">
        <v>152</v>
      </c>
      <c r="D457" s="679" t="s">
        <v>140</v>
      </c>
      <c r="E457" s="680" t="s">
        <v>303</v>
      </c>
      <c r="F457" s="680"/>
      <c r="G457" s="682" t="s">
        <v>2</v>
      </c>
      <c r="H457" s="3"/>
    </row>
    <row r="458" spans="1:8" ht="15" customHeight="1">
      <c r="A458" s="690" t="s">
        <v>2430</v>
      </c>
      <c r="B458" s="688" t="s">
        <v>1241</v>
      </c>
      <c r="C458" s="679" t="s">
        <v>161</v>
      </c>
      <c r="D458" s="679" t="s">
        <v>130</v>
      </c>
      <c r="E458" s="680" t="s">
        <v>303</v>
      </c>
      <c r="F458" s="680"/>
      <c r="G458" s="682" t="s">
        <v>1154</v>
      </c>
      <c r="H458" s="3"/>
    </row>
    <row r="459" spans="1:8" ht="15" customHeight="1">
      <c r="A459" s="678" t="s">
        <v>2433</v>
      </c>
      <c r="B459" s="678" t="s">
        <v>1243</v>
      </c>
      <c r="C459" s="679" t="s">
        <v>161</v>
      </c>
      <c r="D459" s="679" t="s">
        <v>130</v>
      </c>
      <c r="E459" s="680" t="s">
        <v>303</v>
      </c>
      <c r="F459" s="680"/>
      <c r="G459" s="682" t="s">
        <v>1154</v>
      </c>
      <c r="H459" s="3"/>
    </row>
    <row r="460" spans="1:8" ht="15" customHeight="1">
      <c r="A460" s="690" t="s">
        <v>2436</v>
      </c>
      <c r="B460" s="688" t="s">
        <v>1166</v>
      </c>
      <c r="C460" s="679" t="s">
        <v>161</v>
      </c>
      <c r="D460" s="679" t="s">
        <v>129</v>
      </c>
      <c r="E460" s="680" t="s">
        <v>303</v>
      </c>
      <c r="F460" s="680"/>
      <c r="G460" s="682" t="s">
        <v>2</v>
      </c>
      <c r="H460" s="3"/>
    </row>
    <row r="461" spans="1:8" ht="15" customHeight="1">
      <c r="A461" s="678" t="s">
        <v>2439</v>
      </c>
      <c r="B461" s="678" t="s">
        <v>1169</v>
      </c>
      <c r="C461" s="679" t="s">
        <v>161</v>
      </c>
      <c r="D461" s="679" t="s">
        <v>204</v>
      </c>
      <c r="E461" s="680" t="s">
        <v>303</v>
      </c>
      <c r="F461" s="680"/>
      <c r="G461" s="682" t="s">
        <v>1154</v>
      </c>
      <c r="H461" s="3"/>
    </row>
    <row r="462" spans="1:8" ht="15" customHeight="1">
      <c r="A462" s="690" t="s">
        <v>2442</v>
      </c>
      <c r="B462" s="688" t="s">
        <v>1171</v>
      </c>
      <c r="C462" s="679" t="s">
        <v>161</v>
      </c>
      <c r="D462" s="679" t="s">
        <v>120</v>
      </c>
      <c r="E462" s="680" t="s">
        <v>303</v>
      </c>
      <c r="F462" s="680"/>
      <c r="G462" s="682" t="s">
        <v>1154</v>
      </c>
      <c r="H462" s="3"/>
    </row>
    <row r="463" spans="1:8" ht="15" customHeight="1">
      <c r="A463" s="678" t="s">
        <v>2445</v>
      </c>
      <c r="B463" s="678" t="s">
        <v>1244</v>
      </c>
      <c r="C463" s="679" t="s">
        <v>161</v>
      </c>
      <c r="D463" s="679" t="s">
        <v>121</v>
      </c>
      <c r="E463" s="680" t="s">
        <v>303</v>
      </c>
      <c r="F463" s="680"/>
      <c r="G463" s="682" t="s">
        <v>1154</v>
      </c>
      <c r="H463" s="3"/>
    </row>
    <row r="464" spans="1:8" ht="15" customHeight="1">
      <c r="A464" s="690" t="s">
        <v>2448</v>
      </c>
      <c r="B464" s="688" t="s">
        <v>1175</v>
      </c>
      <c r="C464" s="679" t="s">
        <v>161</v>
      </c>
      <c r="D464" s="679" t="s">
        <v>122</v>
      </c>
      <c r="E464" s="680" t="s">
        <v>303</v>
      </c>
      <c r="F464" s="680"/>
      <c r="G464" s="682" t="s">
        <v>1154</v>
      </c>
      <c r="H464" s="3"/>
    </row>
    <row r="465" spans="1:8" ht="15" customHeight="1">
      <c r="A465" s="678" t="s">
        <v>2451</v>
      </c>
      <c r="B465" s="678" t="s">
        <v>1245</v>
      </c>
      <c r="C465" s="679" t="s">
        <v>161</v>
      </c>
      <c r="D465" s="679" t="s">
        <v>123</v>
      </c>
      <c r="E465" s="680" t="s">
        <v>303</v>
      </c>
      <c r="F465" s="680"/>
      <c r="G465" s="682" t="s">
        <v>1154</v>
      </c>
      <c r="H465" s="3"/>
    </row>
    <row r="466" spans="1:8" ht="15" customHeight="1">
      <c r="A466" s="690" t="s">
        <v>2454</v>
      </c>
      <c r="B466" s="688" t="s">
        <v>1247</v>
      </c>
      <c r="C466" s="679" t="s">
        <v>161</v>
      </c>
      <c r="D466" s="679" t="s">
        <v>124</v>
      </c>
      <c r="E466" s="680" t="s">
        <v>303</v>
      </c>
      <c r="F466" s="680"/>
      <c r="G466" s="682" t="s">
        <v>1154</v>
      </c>
      <c r="H466" s="3"/>
    </row>
    <row r="467" spans="1:8" ht="15" customHeight="1">
      <c r="A467" s="678" t="s">
        <v>2457</v>
      </c>
      <c r="B467" s="678" t="s">
        <v>1179</v>
      </c>
      <c r="C467" s="679" t="s">
        <v>161</v>
      </c>
      <c r="D467" s="679" t="s">
        <v>127</v>
      </c>
      <c r="E467" s="680" t="s">
        <v>303</v>
      </c>
      <c r="F467" s="680"/>
      <c r="G467" s="682" t="s">
        <v>1154</v>
      </c>
      <c r="H467" s="3"/>
    </row>
    <row r="468" spans="1:8" ht="15" customHeight="1">
      <c r="A468" s="690" t="s">
        <v>2460</v>
      </c>
      <c r="B468" s="688" t="s">
        <v>1181</v>
      </c>
      <c r="C468" s="679" t="s">
        <v>161</v>
      </c>
      <c r="D468" s="679" t="s">
        <v>125</v>
      </c>
      <c r="E468" s="680" t="s">
        <v>303</v>
      </c>
      <c r="F468" s="680"/>
      <c r="G468" s="682" t="s">
        <v>1154</v>
      </c>
      <c r="H468" s="3"/>
    </row>
    <row r="469" spans="1:8" ht="15" customHeight="1">
      <c r="A469" s="678" t="s">
        <v>2463</v>
      </c>
      <c r="B469" s="678" t="s">
        <v>1248</v>
      </c>
      <c r="C469" s="679" t="s">
        <v>161</v>
      </c>
      <c r="D469" s="679" t="s">
        <v>126</v>
      </c>
      <c r="E469" s="680" t="s">
        <v>303</v>
      </c>
      <c r="F469" s="680"/>
      <c r="G469" s="682" t="s">
        <v>1154</v>
      </c>
      <c r="H469" s="3"/>
    </row>
    <row r="470" spans="1:8" ht="15" customHeight="1">
      <c r="A470" s="690" t="s">
        <v>2466</v>
      </c>
      <c r="B470" s="688" t="s">
        <v>1231</v>
      </c>
      <c r="C470" s="679" t="s">
        <v>161</v>
      </c>
      <c r="D470" s="679" t="s">
        <v>126</v>
      </c>
      <c r="E470" s="680" t="s">
        <v>303</v>
      </c>
      <c r="F470" s="680"/>
      <c r="G470" s="682" t="s">
        <v>2</v>
      </c>
      <c r="H470" s="3"/>
    </row>
    <row r="471" spans="1:8" ht="15" customHeight="1">
      <c r="A471" s="678" t="s">
        <v>2469</v>
      </c>
      <c r="B471" s="678" t="s">
        <v>804</v>
      </c>
      <c r="C471" s="679"/>
      <c r="D471" s="679"/>
      <c r="E471" s="680" t="s">
        <v>303</v>
      </c>
      <c r="F471" s="680"/>
      <c r="G471" s="682" t="s">
        <v>816</v>
      </c>
      <c r="H471" s="3"/>
    </row>
    <row r="472" spans="1:8" ht="15" customHeight="1">
      <c r="A472" s="690" t="s">
        <v>2472</v>
      </c>
      <c r="B472" s="688" t="s">
        <v>1249</v>
      </c>
      <c r="C472" s="679" t="s">
        <v>161</v>
      </c>
      <c r="D472" s="679" t="s">
        <v>130</v>
      </c>
      <c r="E472" s="680" t="s">
        <v>303</v>
      </c>
      <c r="F472" s="680"/>
      <c r="G472" s="682" t="s">
        <v>1154</v>
      </c>
      <c r="H472" s="3"/>
    </row>
    <row r="473" spans="1:8" ht="15" customHeight="1">
      <c r="A473" s="690" t="s">
        <v>2475</v>
      </c>
      <c r="B473" s="688" t="s">
        <v>1187</v>
      </c>
      <c r="C473" s="679" t="s">
        <v>161</v>
      </c>
      <c r="D473" s="679" t="s">
        <v>135</v>
      </c>
      <c r="E473" s="680" t="s">
        <v>303</v>
      </c>
      <c r="F473" s="680"/>
      <c r="G473" s="682" t="e">
        <v>#N/A</v>
      </c>
      <c r="H473" s="3"/>
    </row>
    <row r="474" spans="1:8" ht="15" customHeight="1">
      <c r="A474" s="678" t="s">
        <v>2478</v>
      </c>
      <c r="B474" s="678" t="s">
        <v>1189</v>
      </c>
      <c r="C474" s="679" t="s">
        <v>161</v>
      </c>
      <c r="D474" s="679" t="s">
        <v>136</v>
      </c>
      <c r="E474" s="680" t="s">
        <v>303</v>
      </c>
      <c r="F474" s="680"/>
      <c r="G474" s="682" t="s">
        <v>1154</v>
      </c>
      <c r="H474" s="3"/>
    </row>
    <row r="475" spans="1:8" ht="15" customHeight="1">
      <c r="A475" s="690" t="s">
        <v>2481</v>
      </c>
      <c r="B475" s="688" t="s">
        <v>1191</v>
      </c>
      <c r="C475" s="679" t="s">
        <v>161</v>
      </c>
      <c r="D475" s="679" t="s">
        <v>141</v>
      </c>
      <c r="E475" s="680" t="s">
        <v>303</v>
      </c>
      <c r="F475" s="680"/>
      <c r="G475" s="682" t="s">
        <v>1154</v>
      </c>
      <c r="H475" s="3"/>
    </row>
    <row r="476" spans="1:8" ht="15" customHeight="1">
      <c r="A476" s="678" t="s">
        <v>2484</v>
      </c>
      <c r="B476" s="678" t="s">
        <v>1250</v>
      </c>
      <c r="C476" s="679" t="s">
        <v>161</v>
      </c>
      <c r="D476" s="679" t="s">
        <v>131</v>
      </c>
      <c r="E476" s="680" t="s">
        <v>303</v>
      </c>
      <c r="F476" s="680"/>
      <c r="G476" s="682" t="s">
        <v>1154</v>
      </c>
      <c r="H476" s="3"/>
    </row>
    <row r="477" spans="1:8" ht="15" customHeight="1">
      <c r="A477" s="690" t="s">
        <v>2487</v>
      </c>
      <c r="B477" s="688" t="s">
        <v>1195</v>
      </c>
      <c r="C477" s="679" t="s">
        <v>161</v>
      </c>
      <c r="D477" s="679" t="s">
        <v>139</v>
      </c>
      <c r="E477" s="680" t="s">
        <v>303</v>
      </c>
      <c r="F477" s="680"/>
      <c r="G477" s="682" t="s">
        <v>1154</v>
      </c>
      <c r="H477" s="3"/>
    </row>
    <row r="478" spans="1:8" ht="15" customHeight="1">
      <c r="A478" s="678" t="s">
        <v>2490</v>
      </c>
      <c r="B478" s="678" t="s">
        <v>1197</v>
      </c>
      <c r="C478" s="679" t="s">
        <v>161</v>
      </c>
      <c r="D478" s="679" t="s">
        <v>132</v>
      </c>
      <c r="E478" s="680" t="s">
        <v>303</v>
      </c>
      <c r="F478" s="680"/>
      <c r="G478" s="682" t="s">
        <v>1154</v>
      </c>
      <c r="H478" s="3"/>
    </row>
    <row r="479" spans="1:8" ht="15" customHeight="1">
      <c r="A479" s="690" t="s">
        <v>2493</v>
      </c>
      <c r="B479" s="688" t="s">
        <v>1199</v>
      </c>
      <c r="C479" s="679" t="s">
        <v>161</v>
      </c>
      <c r="D479" s="679" t="s">
        <v>137</v>
      </c>
      <c r="E479" s="680" t="s">
        <v>303</v>
      </c>
      <c r="F479" s="680"/>
      <c r="G479" s="682" t="s">
        <v>1154</v>
      </c>
      <c r="H479" s="3"/>
    </row>
    <row r="480" spans="1:8" ht="15" customHeight="1">
      <c r="A480" s="678" t="s">
        <v>2496</v>
      </c>
      <c r="B480" s="678" t="s">
        <v>1201</v>
      </c>
      <c r="C480" s="679" t="s">
        <v>161</v>
      </c>
      <c r="D480" s="679" t="s">
        <v>138</v>
      </c>
      <c r="E480" s="680" t="s">
        <v>303</v>
      </c>
      <c r="F480" s="680"/>
      <c r="G480" s="682" t="s">
        <v>1154</v>
      </c>
      <c r="H480" s="3"/>
    </row>
    <row r="481" spans="1:8" ht="15" customHeight="1">
      <c r="A481" s="690" t="s">
        <v>2499</v>
      </c>
      <c r="B481" s="688" t="s">
        <v>1203</v>
      </c>
      <c r="C481" s="679" t="s">
        <v>161</v>
      </c>
      <c r="D481" s="679" t="s">
        <v>140</v>
      </c>
      <c r="E481" s="680" t="s">
        <v>303</v>
      </c>
      <c r="F481" s="680"/>
      <c r="G481" s="682" t="s">
        <v>1154</v>
      </c>
      <c r="H481" s="3"/>
    </row>
    <row r="482" spans="1:8" ht="15" customHeight="1">
      <c r="A482" s="690" t="s">
        <v>2502</v>
      </c>
      <c r="B482" s="688" t="s">
        <v>1251</v>
      </c>
      <c r="C482" s="679" t="s">
        <v>161</v>
      </c>
      <c r="D482" s="679" t="s">
        <v>133</v>
      </c>
      <c r="E482" s="680" t="s">
        <v>303</v>
      </c>
      <c r="F482" s="680"/>
      <c r="G482" s="682" t="s">
        <v>1154</v>
      </c>
      <c r="H482" s="3"/>
    </row>
    <row r="483" spans="1:8" ht="15" customHeight="1">
      <c r="A483" s="690" t="s">
        <v>3394</v>
      </c>
      <c r="B483" s="688" t="s">
        <v>1252</v>
      </c>
      <c r="C483" s="679" t="s">
        <v>161</v>
      </c>
      <c r="D483" s="679" t="s">
        <v>142</v>
      </c>
      <c r="E483" s="680" t="s">
        <v>303</v>
      </c>
      <c r="F483" s="680"/>
      <c r="G483" s="682" t="s">
        <v>1154</v>
      </c>
      <c r="H483" s="3"/>
    </row>
    <row r="484" spans="1:8" ht="15" customHeight="1">
      <c r="A484" s="678" t="s">
        <v>2505</v>
      </c>
      <c r="B484" s="678" t="s">
        <v>1209</v>
      </c>
      <c r="C484" s="679" t="s">
        <v>161</v>
      </c>
      <c r="D484" s="679" t="s">
        <v>134</v>
      </c>
      <c r="E484" s="680" t="s">
        <v>303</v>
      </c>
      <c r="F484" s="680"/>
      <c r="G484" s="682" t="s">
        <v>1154</v>
      </c>
      <c r="H484" s="3"/>
    </row>
    <row r="485" spans="1:8" ht="15" customHeight="1">
      <c r="A485" s="690" t="s">
        <v>2508</v>
      </c>
      <c r="B485" s="688" t="s">
        <v>1211</v>
      </c>
      <c r="C485" s="679" t="s">
        <v>161</v>
      </c>
      <c r="D485" s="679" t="s">
        <v>221</v>
      </c>
      <c r="E485" s="680" t="s">
        <v>303</v>
      </c>
      <c r="F485" s="680"/>
      <c r="G485" s="682" t="e">
        <v>#N/A</v>
      </c>
      <c r="H485" s="3"/>
    </row>
    <row r="486" spans="1:8" ht="15" customHeight="1">
      <c r="A486" s="678" t="s">
        <v>2511</v>
      </c>
      <c r="B486" s="678" t="s">
        <v>1389</v>
      </c>
      <c r="C486" s="679" t="s">
        <v>161</v>
      </c>
      <c r="D486" s="679" t="s">
        <v>213</v>
      </c>
      <c r="E486" s="680" t="s">
        <v>303</v>
      </c>
      <c r="F486" s="680"/>
      <c r="G486" s="680" t="s">
        <v>1154</v>
      </c>
      <c r="H486" s="3"/>
    </row>
    <row r="487" spans="1:8" ht="15" customHeight="1">
      <c r="A487" s="690" t="s">
        <v>2514</v>
      </c>
      <c r="B487" s="688" t="s">
        <v>1254</v>
      </c>
      <c r="C487" s="679" t="s">
        <v>161</v>
      </c>
      <c r="D487" s="679" t="s">
        <v>212</v>
      </c>
      <c r="E487" s="680" t="s">
        <v>303</v>
      </c>
      <c r="F487" s="680"/>
      <c r="G487" s="682" t="s">
        <v>1154</v>
      </c>
      <c r="H487" s="3"/>
    </row>
    <row r="488" spans="1:8" ht="15" customHeight="1">
      <c r="A488" s="690" t="s">
        <v>2517</v>
      </c>
      <c r="B488" s="688" t="s">
        <v>1256</v>
      </c>
      <c r="C488" s="679" t="s">
        <v>161</v>
      </c>
      <c r="D488" s="679" t="s">
        <v>210</v>
      </c>
      <c r="E488" s="680" t="s">
        <v>303</v>
      </c>
      <c r="F488" s="680"/>
      <c r="G488" s="682" t="s">
        <v>1154</v>
      </c>
      <c r="H488" s="3"/>
    </row>
    <row r="489" spans="1:8" ht="15" customHeight="1">
      <c r="A489" s="690" t="s">
        <v>2520</v>
      </c>
      <c r="B489" s="688" t="s">
        <v>1257</v>
      </c>
      <c r="C489" s="679" t="s">
        <v>161</v>
      </c>
      <c r="D489" s="679" t="s">
        <v>205</v>
      </c>
      <c r="E489" s="680" t="s">
        <v>303</v>
      </c>
      <c r="F489" s="680"/>
      <c r="G489" s="682" t="s">
        <v>1154</v>
      </c>
      <c r="H489" s="3"/>
    </row>
    <row r="490" spans="1:8" ht="15" customHeight="1">
      <c r="A490" s="678" t="s">
        <v>2523</v>
      </c>
      <c r="B490" s="678" t="s">
        <v>1258</v>
      </c>
      <c r="C490" s="679" t="s">
        <v>161</v>
      </c>
      <c r="D490" s="679" t="s">
        <v>209</v>
      </c>
      <c r="E490" s="680" t="s">
        <v>303</v>
      </c>
      <c r="F490" s="680"/>
      <c r="G490" s="682" t="s">
        <v>1154</v>
      </c>
      <c r="H490" s="3"/>
    </row>
    <row r="491" spans="1:8" ht="15" customHeight="1">
      <c r="A491" s="690" t="s">
        <v>2526</v>
      </c>
      <c r="B491" s="688" t="s">
        <v>1259</v>
      </c>
      <c r="C491" s="679" t="s">
        <v>161</v>
      </c>
      <c r="D491" s="679" t="s">
        <v>206</v>
      </c>
      <c r="E491" s="680" t="s">
        <v>303</v>
      </c>
      <c r="F491" s="680"/>
      <c r="G491" s="682" t="s">
        <v>1154</v>
      </c>
      <c r="H491" s="3"/>
    </row>
    <row r="492" spans="1:8" ht="15" customHeight="1">
      <c r="A492" s="690" t="s">
        <v>2529</v>
      </c>
      <c r="B492" s="688" t="s">
        <v>1260</v>
      </c>
      <c r="C492" s="679" t="s">
        <v>161</v>
      </c>
      <c r="D492" s="679" t="s">
        <v>207</v>
      </c>
      <c r="E492" s="680" t="s">
        <v>303</v>
      </c>
      <c r="F492" s="680"/>
      <c r="G492" s="682" t="e">
        <v>#N/A</v>
      </c>
      <c r="H492" s="3"/>
    </row>
    <row r="493" spans="1:8" ht="15" customHeight="1">
      <c r="A493" s="690" t="s">
        <v>2532</v>
      </c>
      <c r="B493" s="688" t="s">
        <v>1261</v>
      </c>
      <c r="C493" s="679" t="s">
        <v>161</v>
      </c>
      <c r="D493" s="679" t="s">
        <v>211</v>
      </c>
      <c r="E493" s="680" t="s">
        <v>303</v>
      </c>
      <c r="F493" s="680"/>
      <c r="G493" s="682" t="e">
        <v>#N/A</v>
      </c>
      <c r="H493" s="3"/>
    </row>
    <row r="494" spans="1:8" ht="15" customHeight="1">
      <c r="A494" s="678" t="s">
        <v>3395</v>
      </c>
      <c r="B494" s="678" t="s">
        <v>1393</v>
      </c>
      <c r="C494" s="679" t="s">
        <v>161</v>
      </c>
      <c r="D494" s="679" t="s">
        <v>214</v>
      </c>
      <c r="E494" s="680" t="s">
        <v>303</v>
      </c>
      <c r="F494" s="680"/>
      <c r="G494" s="680" t="s">
        <v>1154</v>
      </c>
      <c r="H494" s="3"/>
    </row>
    <row r="495" spans="1:8" ht="15" customHeight="1">
      <c r="A495" s="696" t="s">
        <v>3396</v>
      </c>
      <c r="B495" s="696" t="s">
        <v>1262</v>
      </c>
      <c r="C495" s="679" t="s">
        <v>161</v>
      </c>
      <c r="D495" s="679" t="s">
        <v>140</v>
      </c>
      <c r="E495" s="680" t="s">
        <v>303</v>
      </c>
      <c r="F495" s="680"/>
      <c r="G495" s="682" t="s">
        <v>1154</v>
      </c>
      <c r="H495" s="3"/>
    </row>
    <row r="496" spans="1:8" ht="15" customHeight="1">
      <c r="A496" s="678" t="s">
        <v>2535</v>
      </c>
      <c r="B496" s="678" t="s">
        <v>1158</v>
      </c>
      <c r="C496" s="679" t="s">
        <v>176</v>
      </c>
      <c r="D496" s="679" t="s">
        <v>130</v>
      </c>
      <c r="E496" s="680" t="s">
        <v>303</v>
      </c>
      <c r="F496" s="680"/>
      <c r="G496" s="682" t="s">
        <v>1154</v>
      </c>
      <c r="H496" s="3"/>
    </row>
    <row r="497" spans="1:8" ht="15" customHeight="1">
      <c r="A497" s="690" t="s">
        <v>2538</v>
      </c>
      <c r="B497" s="688" t="s">
        <v>805</v>
      </c>
      <c r="C497" s="679"/>
      <c r="D497" s="679"/>
      <c r="E497" s="680" t="s">
        <v>303</v>
      </c>
      <c r="F497" s="680"/>
      <c r="G497" s="682" t="s">
        <v>816</v>
      </c>
      <c r="H497" s="3"/>
    </row>
    <row r="498" spans="1:8" ht="15" customHeight="1">
      <c r="A498" s="690" t="s">
        <v>2541</v>
      </c>
      <c r="B498" s="688" t="s">
        <v>1166</v>
      </c>
      <c r="C498" s="679" t="s">
        <v>176</v>
      </c>
      <c r="D498" s="679" t="s">
        <v>129</v>
      </c>
      <c r="E498" s="680" t="s">
        <v>303</v>
      </c>
      <c r="F498" s="680"/>
      <c r="G498" s="682" t="s">
        <v>1154</v>
      </c>
      <c r="H498" s="3"/>
    </row>
    <row r="499" spans="1:8" ht="15" customHeight="1">
      <c r="A499" s="690" t="s">
        <v>2544</v>
      </c>
      <c r="B499" s="678" t="s">
        <v>806</v>
      </c>
      <c r="C499" s="679"/>
      <c r="D499" s="679"/>
      <c r="E499" s="680" t="s">
        <v>303</v>
      </c>
      <c r="F499" s="680"/>
      <c r="G499" s="682" t="s">
        <v>816</v>
      </c>
      <c r="H499" s="3"/>
    </row>
    <row r="500" spans="1:8" ht="15" customHeight="1">
      <c r="A500" s="690" t="s">
        <v>2547</v>
      </c>
      <c r="B500" s="688" t="s">
        <v>1169</v>
      </c>
      <c r="C500" s="679" t="s">
        <v>176</v>
      </c>
      <c r="D500" s="679" t="s">
        <v>204</v>
      </c>
      <c r="E500" s="680" t="s">
        <v>303</v>
      </c>
      <c r="F500" s="680"/>
      <c r="G500" s="682" t="s">
        <v>1154</v>
      </c>
      <c r="H500" s="3"/>
    </row>
    <row r="501" spans="1:8" ht="15" customHeight="1">
      <c r="A501" s="690" t="s">
        <v>2550</v>
      </c>
      <c r="B501" s="688" t="s">
        <v>1171</v>
      </c>
      <c r="C501" s="679" t="s">
        <v>176</v>
      </c>
      <c r="D501" s="679" t="s">
        <v>120</v>
      </c>
      <c r="E501" s="680" t="s">
        <v>303</v>
      </c>
      <c r="F501" s="680"/>
      <c r="G501" s="682" t="s">
        <v>1154</v>
      </c>
      <c r="H501" s="3"/>
    </row>
    <row r="502" spans="1:8" ht="15" customHeight="1">
      <c r="A502" s="690" t="s">
        <v>2553</v>
      </c>
      <c r="B502" s="688" t="s">
        <v>1244</v>
      </c>
      <c r="C502" s="679" t="s">
        <v>176</v>
      </c>
      <c r="D502" s="679" t="s">
        <v>121</v>
      </c>
      <c r="E502" s="680" t="s">
        <v>303</v>
      </c>
      <c r="F502" s="680"/>
      <c r="G502" s="682" t="s">
        <v>1154</v>
      </c>
      <c r="H502" s="3"/>
    </row>
    <row r="503" spans="1:8" ht="15" customHeight="1">
      <c r="A503" s="690" t="s">
        <v>2556</v>
      </c>
      <c r="B503" s="688" t="s">
        <v>1175</v>
      </c>
      <c r="C503" s="679" t="s">
        <v>176</v>
      </c>
      <c r="D503" s="679" t="s">
        <v>122</v>
      </c>
      <c r="E503" s="680" t="s">
        <v>303</v>
      </c>
      <c r="F503" s="680"/>
      <c r="G503" s="682" t="s">
        <v>1154</v>
      </c>
      <c r="H503" s="3"/>
    </row>
    <row r="504" spans="1:8" ht="15" customHeight="1">
      <c r="A504" s="690" t="s">
        <v>2559</v>
      </c>
      <c r="B504" s="688" t="s">
        <v>1245</v>
      </c>
      <c r="C504" s="679" t="s">
        <v>176</v>
      </c>
      <c r="D504" s="679" t="s">
        <v>123</v>
      </c>
      <c r="E504" s="680" t="s">
        <v>303</v>
      </c>
      <c r="F504" s="680"/>
      <c r="G504" s="682" t="s">
        <v>1154</v>
      </c>
      <c r="H504" s="3"/>
    </row>
    <row r="505" spans="1:8" ht="15" customHeight="1">
      <c r="A505" s="690" t="s">
        <v>2562</v>
      </c>
      <c r="B505" s="678" t="s">
        <v>1229</v>
      </c>
      <c r="C505" s="679" t="s">
        <v>176</v>
      </c>
      <c r="D505" s="679" t="s">
        <v>124</v>
      </c>
      <c r="E505" s="680" t="s">
        <v>303</v>
      </c>
      <c r="F505" s="680"/>
      <c r="G505" s="682" t="s">
        <v>1154</v>
      </c>
      <c r="H505" s="3"/>
    </row>
    <row r="506" spans="1:8" ht="15" customHeight="1">
      <c r="A506" s="690" t="s">
        <v>2565</v>
      </c>
      <c r="B506" s="688" t="s">
        <v>1179</v>
      </c>
      <c r="C506" s="679" t="s">
        <v>176</v>
      </c>
      <c r="D506" s="679" t="s">
        <v>127</v>
      </c>
      <c r="E506" s="680" t="s">
        <v>303</v>
      </c>
      <c r="F506" s="680"/>
      <c r="G506" s="682" t="s">
        <v>1154</v>
      </c>
      <c r="H506" s="3"/>
    </row>
    <row r="507" spans="1:8" ht="15" customHeight="1">
      <c r="A507" s="690" t="s">
        <v>2568</v>
      </c>
      <c r="B507" s="688" t="s">
        <v>1181</v>
      </c>
      <c r="C507" s="679" t="s">
        <v>176</v>
      </c>
      <c r="D507" s="679" t="s">
        <v>125</v>
      </c>
      <c r="E507" s="680" t="s">
        <v>303</v>
      </c>
      <c r="F507" s="680"/>
      <c r="G507" s="682" t="s">
        <v>1154</v>
      </c>
      <c r="H507" s="3"/>
    </row>
    <row r="508" spans="1:8" ht="15" customHeight="1">
      <c r="A508" s="690" t="s">
        <v>3397</v>
      </c>
      <c r="B508" s="688" t="s">
        <v>1394</v>
      </c>
      <c r="C508" s="679" t="s">
        <v>176</v>
      </c>
      <c r="D508" s="679" t="s">
        <v>126</v>
      </c>
      <c r="E508" s="680" t="s">
        <v>303</v>
      </c>
      <c r="F508" s="680"/>
      <c r="G508" s="682" t="s">
        <v>1154</v>
      </c>
      <c r="H508" s="3"/>
    </row>
    <row r="509" spans="1:8" ht="15" customHeight="1">
      <c r="A509" s="690" t="s">
        <v>2571</v>
      </c>
      <c r="B509" s="688" t="s">
        <v>1231</v>
      </c>
      <c r="C509" s="679" t="s">
        <v>176</v>
      </c>
      <c r="D509" s="679" t="s">
        <v>126</v>
      </c>
      <c r="E509" s="680" t="s">
        <v>303</v>
      </c>
      <c r="F509" s="680"/>
      <c r="G509" s="682" t="s">
        <v>2</v>
      </c>
      <c r="H509" s="3"/>
    </row>
    <row r="510" spans="1:8" ht="15" customHeight="1">
      <c r="A510" s="690" t="s">
        <v>2574</v>
      </c>
      <c r="B510" s="688" t="s">
        <v>807</v>
      </c>
      <c r="C510" s="679"/>
      <c r="D510" s="679"/>
      <c r="E510" s="680" t="s">
        <v>303</v>
      </c>
      <c r="F510" s="680"/>
      <c r="G510" s="682" t="e">
        <v>#N/A</v>
      </c>
      <c r="H510" s="3"/>
    </row>
    <row r="511" spans="1:8" ht="15" customHeight="1">
      <c r="A511" s="690" t="s">
        <v>3686</v>
      </c>
      <c r="B511" s="688" t="s">
        <v>1249</v>
      </c>
      <c r="C511" s="679" t="s">
        <v>161</v>
      </c>
      <c r="D511" s="679" t="s">
        <v>130</v>
      </c>
      <c r="E511" s="680" t="s">
        <v>303</v>
      </c>
      <c r="F511" s="680"/>
      <c r="G511" s="682" t="s">
        <v>1154</v>
      </c>
      <c r="H511" s="3"/>
    </row>
    <row r="512" spans="1:8" ht="15" customHeight="1">
      <c r="A512" s="690" t="s">
        <v>2577</v>
      </c>
      <c r="B512" s="688" t="s">
        <v>1187</v>
      </c>
      <c r="C512" s="679" t="s">
        <v>176</v>
      </c>
      <c r="D512" s="679" t="s">
        <v>135</v>
      </c>
      <c r="E512" s="680" t="s">
        <v>303</v>
      </c>
      <c r="F512" s="680"/>
      <c r="G512" s="682" t="s">
        <v>1154</v>
      </c>
      <c r="H512" s="3"/>
    </row>
    <row r="513" spans="1:29" ht="15" customHeight="1">
      <c r="A513" s="690" t="s">
        <v>2580</v>
      </c>
      <c r="B513" s="678" t="s">
        <v>1395</v>
      </c>
      <c r="C513" s="679" t="s">
        <v>176</v>
      </c>
      <c r="D513" s="679" t="s">
        <v>136</v>
      </c>
      <c r="E513" s="680" t="s">
        <v>303</v>
      </c>
      <c r="F513" s="680"/>
      <c r="G513" s="680" t="s">
        <v>1154</v>
      </c>
      <c r="H513" s="3"/>
    </row>
    <row r="514" spans="1:29" ht="15" customHeight="1">
      <c r="A514" s="690" t="s">
        <v>2583</v>
      </c>
      <c r="B514" s="688" t="s">
        <v>1191</v>
      </c>
      <c r="C514" s="679" t="s">
        <v>176</v>
      </c>
      <c r="D514" s="679" t="s">
        <v>141</v>
      </c>
      <c r="E514" s="680" t="s">
        <v>303</v>
      </c>
      <c r="F514" s="680"/>
      <c r="G514" s="682" t="s">
        <v>1154</v>
      </c>
      <c r="H514" s="3"/>
    </row>
    <row r="515" spans="1:29" ht="15" customHeight="1">
      <c r="A515" s="690" t="s">
        <v>2586</v>
      </c>
      <c r="B515" s="688" t="s">
        <v>1193</v>
      </c>
      <c r="C515" s="679" t="s">
        <v>176</v>
      </c>
      <c r="D515" s="679" t="s">
        <v>131</v>
      </c>
      <c r="E515" s="680" t="s">
        <v>303</v>
      </c>
      <c r="F515" s="680"/>
      <c r="G515" s="682" t="s">
        <v>1154</v>
      </c>
      <c r="H515" s="3"/>
    </row>
    <row r="516" spans="1:29" ht="15" customHeight="1">
      <c r="A516" s="690" t="s">
        <v>2589</v>
      </c>
      <c r="B516" s="678" t="s">
        <v>1195</v>
      </c>
      <c r="C516" s="679" t="s">
        <v>176</v>
      </c>
      <c r="D516" s="679" t="s">
        <v>139</v>
      </c>
      <c r="E516" s="680" t="s">
        <v>303</v>
      </c>
      <c r="F516" s="680"/>
      <c r="G516" s="682" t="s">
        <v>1154</v>
      </c>
      <c r="H516" s="3"/>
    </row>
    <row r="517" spans="1:29" ht="15" customHeight="1">
      <c r="A517" s="690" t="s">
        <v>1267</v>
      </c>
      <c r="B517" s="678" t="s">
        <v>808</v>
      </c>
      <c r="C517" s="679"/>
      <c r="D517" s="679"/>
      <c r="E517" s="680" t="s">
        <v>303</v>
      </c>
      <c r="F517" s="686"/>
      <c r="G517" s="682" t="e">
        <v>#N/A</v>
      </c>
      <c r="H517" s="3"/>
      <c r="I517" s="3"/>
      <c r="J517" s="3"/>
      <c r="L517" s="3"/>
      <c r="M517" s="3"/>
      <c r="N517" s="3"/>
      <c r="O517" s="3"/>
      <c r="P517" s="3"/>
      <c r="Q517" s="3"/>
      <c r="R517" s="3"/>
      <c r="S517" s="3"/>
      <c r="T517" s="3"/>
      <c r="U517" s="3"/>
      <c r="V517" s="3"/>
      <c r="W517" s="3"/>
      <c r="X517" s="3"/>
      <c r="Y517" s="3"/>
      <c r="Z517" s="3"/>
      <c r="AA517" s="3"/>
      <c r="AB517" s="3"/>
      <c r="AC517" s="3"/>
    </row>
    <row r="518" spans="1:29" ht="15" customHeight="1">
      <c r="A518" s="690" t="s">
        <v>2594</v>
      </c>
      <c r="B518" s="688" t="s">
        <v>1197</v>
      </c>
      <c r="C518" s="679" t="s">
        <v>176</v>
      </c>
      <c r="D518" s="679" t="s">
        <v>132</v>
      </c>
      <c r="E518" s="680" t="s">
        <v>303</v>
      </c>
      <c r="F518" s="680"/>
      <c r="G518" s="682" t="s">
        <v>1154</v>
      </c>
      <c r="H518" s="3"/>
      <c r="I518" s="3"/>
      <c r="J518" s="3"/>
      <c r="L518" s="3"/>
      <c r="M518" s="3"/>
      <c r="N518" s="3"/>
      <c r="O518" s="3"/>
      <c r="P518" s="3"/>
      <c r="Q518" s="3"/>
      <c r="R518" s="3"/>
      <c r="S518" s="3"/>
      <c r="T518" s="3"/>
      <c r="U518" s="3"/>
      <c r="V518" s="3"/>
      <c r="W518" s="3"/>
      <c r="X518" s="3"/>
      <c r="Y518" s="3"/>
      <c r="Z518" s="3"/>
      <c r="AA518" s="3"/>
      <c r="AB518" s="3"/>
      <c r="AC518" s="3"/>
    </row>
    <row r="519" spans="1:29" ht="13.5" customHeight="1">
      <c r="A519" s="690" t="s">
        <v>2597</v>
      </c>
      <c r="B519" s="678" t="s">
        <v>1199</v>
      </c>
      <c r="C519" s="679" t="s">
        <v>176</v>
      </c>
      <c r="D519" s="679" t="s">
        <v>137</v>
      </c>
      <c r="E519" s="680" t="s">
        <v>303</v>
      </c>
      <c r="F519" s="686"/>
      <c r="G519" s="682" t="s">
        <v>1154</v>
      </c>
      <c r="H519" s="3"/>
    </row>
    <row r="520" spans="1:29" ht="15" customHeight="1">
      <c r="A520" s="690" t="s">
        <v>2600</v>
      </c>
      <c r="B520" s="688" t="s">
        <v>1201</v>
      </c>
      <c r="C520" s="679" t="s">
        <v>176</v>
      </c>
      <c r="D520" s="679" t="s">
        <v>138</v>
      </c>
      <c r="E520" s="680" t="s">
        <v>303</v>
      </c>
      <c r="F520" s="680"/>
      <c r="G520" s="682" t="s">
        <v>1154</v>
      </c>
      <c r="H520" s="3"/>
    </row>
    <row r="521" spans="1:29" ht="15" customHeight="1">
      <c r="A521" s="690" t="s">
        <v>2603</v>
      </c>
      <c r="B521" s="678" t="s">
        <v>1203</v>
      </c>
      <c r="C521" s="679" t="s">
        <v>176</v>
      </c>
      <c r="D521" s="679" t="s">
        <v>140</v>
      </c>
      <c r="E521" s="680" t="s">
        <v>303</v>
      </c>
      <c r="F521" s="686"/>
      <c r="G521" s="682" t="s">
        <v>1154</v>
      </c>
      <c r="H521" s="3"/>
    </row>
    <row r="522" spans="1:29" ht="15" customHeight="1">
      <c r="A522" s="690" t="s">
        <v>2606</v>
      </c>
      <c r="B522" s="678" t="s">
        <v>1265</v>
      </c>
      <c r="C522" s="679" t="s">
        <v>176</v>
      </c>
      <c r="D522" s="679" t="s">
        <v>133</v>
      </c>
      <c r="E522" s="680" t="s">
        <v>303</v>
      </c>
      <c r="F522" s="680"/>
      <c r="G522" s="682" t="s">
        <v>1154</v>
      </c>
      <c r="H522" s="3"/>
    </row>
    <row r="523" spans="1:29" ht="15" customHeight="1">
      <c r="A523" s="690" t="s">
        <v>3398</v>
      </c>
      <c r="B523" s="678" t="s">
        <v>1266</v>
      </c>
      <c r="C523" s="679" t="s">
        <v>176</v>
      </c>
      <c r="D523" s="679" t="s">
        <v>142</v>
      </c>
      <c r="E523" s="680" t="s">
        <v>303</v>
      </c>
      <c r="F523" s="680"/>
      <c r="G523" s="682" t="s">
        <v>1154</v>
      </c>
      <c r="H523" s="3"/>
    </row>
    <row r="524" spans="1:29" ht="15" customHeight="1">
      <c r="A524" s="690" t="s">
        <v>2609</v>
      </c>
      <c r="B524" s="678" t="s">
        <v>1209</v>
      </c>
      <c r="C524" s="679" t="s">
        <v>176</v>
      </c>
      <c r="D524" s="679" t="s">
        <v>134</v>
      </c>
      <c r="E524" s="680" t="s">
        <v>303</v>
      </c>
      <c r="F524" s="686"/>
      <c r="G524" s="682" t="s">
        <v>1154</v>
      </c>
      <c r="H524" s="3"/>
      <c r="K524" s="3"/>
    </row>
    <row r="525" spans="1:29" ht="15" customHeight="1">
      <c r="A525" s="690" t="s">
        <v>2611</v>
      </c>
      <c r="B525" s="688" t="s">
        <v>1211</v>
      </c>
      <c r="C525" s="679" t="s">
        <v>176</v>
      </c>
      <c r="D525" s="679" t="s">
        <v>221</v>
      </c>
      <c r="E525" s="680" t="s">
        <v>303</v>
      </c>
      <c r="F525" s="680"/>
      <c r="G525" s="682" t="s">
        <v>1154</v>
      </c>
      <c r="H525" s="3"/>
      <c r="I525" s="3"/>
      <c r="J525" s="3"/>
      <c r="K525" s="3"/>
      <c r="L525" s="3"/>
      <c r="M525" s="3"/>
      <c r="N525" s="3"/>
      <c r="O525" s="3"/>
      <c r="P525" s="3"/>
      <c r="Q525" s="3"/>
      <c r="R525" s="3"/>
      <c r="S525" s="3"/>
      <c r="T525" s="3"/>
      <c r="U525" s="3"/>
      <c r="V525" s="3"/>
      <c r="W525" s="3"/>
      <c r="X525" s="3"/>
      <c r="Y525" s="3"/>
      <c r="Z525" s="3"/>
      <c r="AA525" s="3"/>
      <c r="AB525" s="3"/>
      <c r="AC525" s="3"/>
    </row>
    <row r="526" spans="1:29" ht="15" customHeight="1">
      <c r="A526" s="690" t="s">
        <v>2614</v>
      </c>
      <c r="B526" s="678" t="s">
        <v>1389</v>
      </c>
      <c r="C526" s="679" t="s">
        <v>176</v>
      </c>
      <c r="D526" s="679" t="s">
        <v>213</v>
      </c>
      <c r="E526" s="680" t="s">
        <v>303</v>
      </c>
      <c r="F526" s="680"/>
      <c r="G526" s="680" t="s">
        <v>1154</v>
      </c>
      <c r="H526" s="3"/>
    </row>
    <row r="527" spans="1:29" ht="15" customHeight="1">
      <c r="A527" s="678" t="s">
        <v>2617</v>
      </c>
      <c r="B527" s="678" t="s">
        <v>809</v>
      </c>
      <c r="C527" s="679"/>
      <c r="D527" s="679"/>
      <c r="E527" s="680" t="s">
        <v>303</v>
      </c>
      <c r="F527" s="680"/>
      <c r="G527" s="682" t="s">
        <v>816</v>
      </c>
      <c r="H527" s="3"/>
    </row>
    <row r="528" spans="1:29" ht="15" customHeight="1">
      <c r="A528" s="690" t="s">
        <v>2620</v>
      </c>
      <c r="B528" s="688" t="s">
        <v>1268</v>
      </c>
      <c r="C528" s="679" t="s">
        <v>176</v>
      </c>
      <c r="D528" s="679" t="s">
        <v>210</v>
      </c>
      <c r="E528" s="680" t="s">
        <v>303</v>
      </c>
      <c r="F528" s="680"/>
      <c r="G528" s="682" t="s">
        <v>1154</v>
      </c>
      <c r="H528" s="3"/>
    </row>
    <row r="529" spans="1:29" ht="15" customHeight="1">
      <c r="A529" s="690" t="s">
        <v>2623</v>
      </c>
      <c r="B529" s="678" t="s">
        <v>1269</v>
      </c>
      <c r="C529" s="679" t="s">
        <v>176</v>
      </c>
      <c r="D529" s="679" t="s">
        <v>205</v>
      </c>
      <c r="E529" s="680" t="s">
        <v>303</v>
      </c>
      <c r="F529" s="680"/>
      <c r="G529" s="682" t="s">
        <v>1154</v>
      </c>
      <c r="H529" s="3"/>
    </row>
    <row r="530" spans="1:29" ht="15" customHeight="1">
      <c r="A530" s="678" t="s">
        <v>2625</v>
      </c>
      <c r="B530" s="688" t="s">
        <v>1270</v>
      </c>
      <c r="C530" s="679" t="s">
        <v>176</v>
      </c>
      <c r="D530" s="679" t="s">
        <v>209</v>
      </c>
      <c r="E530" s="680" t="s">
        <v>303</v>
      </c>
      <c r="F530" s="680"/>
      <c r="G530" s="682" t="s">
        <v>1154</v>
      </c>
      <c r="H530" s="3"/>
    </row>
    <row r="531" spans="1:29" ht="15" customHeight="1">
      <c r="A531" s="678" t="s">
        <v>2627</v>
      </c>
      <c r="B531" s="688" t="s">
        <v>1271</v>
      </c>
      <c r="C531" s="679" t="s">
        <v>176</v>
      </c>
      <c r="D531" s="679" t="s">
        <v>206</v>
      </c>
      <c r="E531" s="680" t="s">
        <v>303</v>
      </c>
      <c r="F531" s="680"/>
      <c r="G531" s="682" t="s">
        <v>1154</v>
      </c>
      <c r="H531" s="3"/>
    </row>
    <row r="532" spans="1:29" ht="15" customHeight="1">
      <c r="A532" s="690" t="s">
        <v>2630</v>
      </c>
      <c r="B532" s="678" t="s">
        <v>1272</v>
      </c>
      <c r="C532" s="679" t="s">
        <v>176</v>
      </c>
      <c r="D532" s="679" t="s">
        <v>207</v>
      </c>
      <c r="E532" s="680" t="s">
        <v>303</v>
      </c>
      <c r="F532" s="680"/>
      <c r="G532" s="682" t="s">
        <v>1154</v>
      </c>
      <c r="H532" s="3"/>
      <c r="I532" s="3"/>
      <c r="J532" s="3"/>
      <c r="L532" s="3"/>
      <c r="M532" s="3"/>
      <c r="N532" s="3"/>
      <c r="O532" s="3"/>
      <c r="P532" s="3"/>
      <c r="Q532" s="3"/>
      <c r="R532" s="3"/>
      <c r="S532" s="3"/>
      <c r="T532" s="3"/>
      <c r="U532" s="3"/>
      <c r="V532" s="3"/>
      <c r="W532" s="3"/>
      <c r="X532" s="3"/>
      <c r="Y532" s="3"/>
      <c r="Z532" s="3"/>
      <c r="AA532" s="3"/>
      <c r="AB532" s="3"/>
      <c r="AC532" s="3"/>
    </row>
    <row r="533" spans="1:29" ht="15" customHeight="1">
      <c r="A533" s="690" t="s">
        <v>2632</v>
      </c>
      <c r="B533" s="678" t="s">
        <v>1273</v>
      </c>
      <c r="C533" s="679" t="s">
        <v>176</v>
      </c>
      <c r="D533" s="679" t="s">
        <v>211</v>
      </c>
      <c r="E533" s="680" t="s">
        <v>303</v>
      </c>
      <c r="F533" s="680"/>
      <c r="G533" s="682" t="s">
        <v>1154</v>
      </c>
      <c r="H533" s="3"/>
      <c r="K533" s="3"/>
    </row>
    <row r="534" spans="1:29" ht="15" customHeight="1">
      <c r="A534" s="678" t="s">
        <v>3399</v>
      </c>
      <c r="B534" s="678" t="s">
        <v>1396</v>
      </c>
      <c r="C534" s="679" t="s">
        <v>176</v>
      </c>
      <c r="D534" s="679" t="s">
        <v>214</v>
      </c>
      <c r="E534" s="680" t="s">
        <v>303</v>
      </c>
      <c r="F534" s="680"/>
      <c r="G534" s="680" t="s">
        <v>1154</v>
      </c>
      <c r="H534" s="3"/>
      <c r="K534" s="3"/>
    </row>
    <row r="535" spans="1:29" ht="15" customHeight="1">
      <c r="A535" s="678" t="s">
        <v>3400</v>
      </c>
      <c r="B535" s="678" t="s">
        <v>3316</v>
      </c>
      <c r="C535" s="679" t="s">
        <v>176</v>
      </c>
      <c r="D535" s="679" t="s">
        <v>140</v>
      </c>
      <c r="E535" s="680" t="s">
        <v>303</v>
      </c>
      <c r="F535" s="680"/>
      <c r="G535" s="682" t="s">
        <v>1154</v>
      </c>
      <c r="H535" s="3"/>
    </row>
    <row r="536" spans="1:29" ht="15" customHeight="1">
      <c r="A536" s="678" t="s">
        <v>2635</v>
      </c>
      <c r="B536" s="688" t="s">
        <v>810</v>
      </c>
      <c r="C536" s="679"/>
      <c r="D536" s="679"/>
      <c r="E536" s="680" t="s">
        <v>303</v>
      </c>
      <c r="F536" s="680"/>
      <c r="G536" s="682" t="s">
        <v>816</v>
      </c>
      <c r="H536" s="3"/>
    </row>
    <row r="537" spans="1:29" ht="15" customHeight="1">
      <c r="A537" s="690" t="s">
        <v>2638</v>
      </c>
      <c r="B537" s="678" t="s">
        <v>811</v>
      </c>
      <c r="C537" s="679"/>
      <c r="D537" s="679"/>
      <c r="E537" s="680" t="s">
        <v>303</v>
      </c>
      <c r="F537" s="686"/>
      <c r="G537" s="682" t="s">
        <v>816</v>
      </c>
      <c r="H537" s="3"/>
    </row>
    <row r="538" spans="1:29" ht="15" customHeight="1">
      <c r="A538" s="690" t="s">
        <v>2641</v>
      </c>
      <c r="B538" s="688" t="s">
        <v>812</v>
      </c>
      <c r="C538" s="679"/>
      <c r="D538" s="679"/>
      <c r="E538" s="680" t="s">
        <v>303</v>
      </c>
      <c r="F538" s="680"/>
      <c r="G538" s="682" t="s">
        <v>816</v>
      </c>
      <c r="H538" s="3"/>
    </row>
    <row r="539" spans="1:29" ht="15" customHeight="1">
      <c r="A539" s="690" t="s">
        <v>2644</v>
      </c>
      <c r="B539" s="688" t="s">
        <v>813</v>
      </c>
      <c r="C539" s="679"/>
      <c r="D539" s="679"/>
      <c r="E539" s="680" t="s">
        <v>303</v>
      </c>
      <c r="F539" s="680"/>
      <c r="G539" s="682" t="s">
        <v>816</v>
      </c>
      <c r="H539" s="3"/>
    </row>
    <row r="540" spans="1:29" ht="15" customHeight="1">
      <c r="A540" s="690" t="s">
        <v>2647</v>
      </c>
      <c r="B540" s="678" t="s">
        <v>1158</v>
      </c>
      <c r="C540" s="679" t="s">
        <v>180</v>
      </c>
      <c r="D540" s="679" t="s">
        <v>130</v>
      </c>
      <c r="E540" s="680" t="s">
        <v>303</v>
      </c>
      <c r="F540" s="680"/>
      <c r="G540" s="682" t="e">
        <v>#N/A</v>
      </c>
      <c r="H540" s="3"/>
    </row>
    <row r="541" spans="1:29" ht="15" customHeight="1">
      <c r="A541" s="690" t="s">
        <v>2650</v>
      </c>
      <c r="B541" s="688" t="s">
        <v>1397</v>
      </c>
      <c r="C541" s="679" t="s">
        <v>180</v>
      </c>
      <c r="D541" s="679" t="s">
        <v>130</v>
      </c>
      <c r="E541" s="680" t="s">
        <v>303</v>
      </c>
      <c r="F541" s="680"/>
      <c r="G541" s="680" t="e">
        <v>#N/A</v>
      </c>
      <c r="H541" s="3"/>
    </row>
    <row r="542" spans="1:29" ht="15" customHeight="1">
      <c r="A542" s="678" t="s">
        <v>2653</v>
      </c>
      <c r="B542" s="688" t="s">
        <v>1166</v>
      </c>
      <c r="C542" s="679" t="s">
        <v>180</v>
      </c>
      <c r="D542" s="679" t="s">
        <v>129</v>
      </c>
      <c r="E542" s="680" t="s">
        <v>303</v>
      </c>
      <c r="F542" s="680"/>
      <c r="G542" s="682" t="s">
        <v>1154</v>
      </c>
      <c r="H542" s="3"/>
    </row>
    <row r="543" spans="1:29" ht="15" customHeight="1">
      <c r="A543" s="690" t="s">
        <v>2656</v>
      </c>
      <c r="B543" s="678" t="s">
        <v>1274</v>
      </c>
      <c r="C543" s="679" t="s">
        <v>180</v>
      </c>
      <c r="D543" s="679" t="s">
        <v>204</v>
      </c>
      <c r="E543" s="680" t="s">
        <v>303</v>
      </c>
      <c r="F543" s="680"/>
      <c r="G543" s="682" t="s">
        <v>2</v>
      </c>
      <c r="H543" s="3"/>
    </row>
    <row r="544" spans="1:29" ht="15" customHeight="1">
      <c r="A544" s="678" t="s">
        <v>2659</v>
      </c>
      <c r="B544" s="688" t="s">
        <v>1171</v>
      </c>
      <c r="C544" s="679" t="s">
        <v>180</v>
      </c>
      <c r="D544" s="679" t="s">
        <v>120</v>
      </c>
      <c r="E544" s="680" t="s">
        <v>303</v>
      </c>
      <c r="F544" s="680"/>
      <c r="G544" s="682" t="s">
        <v>1154</v>
      </c>
      <c r="H544" s="3"/>
    </row>
    <row r="545" spans="1:29" ht="15" customHeight="1">
      <c r="A545" s="690" t="s">
        <v>2662</v>
      </c>
      <c r="B545" s="678" t="s">
        <v>1173</v>
      </c>
      <c r="C545" s="679" t="s">
        <v>180</v>
      </c>
      <c r="D545" s="679" t="s">
        <v>121</v>
      </c>
      <c r="E545" s="680" t="s">
        <v>303</v>
      </c>
      <c r="F545" s="680"/>
      <c r="G545" s="682" t="s">
        <v>2</v>
      </c>
      <c r="H545" s="3"/>
    </row>
    <row r="546" spans="1:29" ht="15" customHeight="1">
      <c r="A546" s="690" t="s">
        <v>2665</v>
      </c>
      <c r="B546" s="688" t="s">
        <v>1175</v>
      </c>
      <c r="C546" s="679" t="s">
        <v>180</v>
      </c>
      <c r="D546" s="679" t="s">
        <v>122</v>
      </c>
      <c r="E546" s="680" t="s">
        <v>303</v>
      </c>
      <c r="F546" s="680"/>
      <c r="G546" s="682" t="s">
        <v>1154</v>
      </c>
      <c r="H546" s="3"/>
    </row>
    <row r="547" spans="1:29" ht="15" customHeight="1">
      <c r="A547" s="690" t="s">
        <v>2668</v>
      </c>
      <c r="B547" s="678" t="s">
        <v>1275</v>
      </c>
      <c r="C547" s="679" t="s">
        <v>180</v>
      </c>
      <c r="D547" s="679" t="s">
        <v>124</v>
      </c>
      <c r="E547" s="680" t="s">
        <v>303</v>
      </c>
      <c r="F547" s="680"/>
      <c r="G547" s="682" t="s">
        <v>1154</v>
      </c>
      <c r="H547" s="3"/>
    </row>
    <row r="548" spans="1:29" ht="15" customHeight="1">
      <c r="A548" s="690" t="s">
        <v>2671</v>
      </c>
      <c r="B548" s="688" t="s">
        <v>1179</v>
      </c>
      <c r="C548" s="679" t="s">
        <v>180</v>
      </c>
      <c r="D548" s="679" t="s">
        <v>127</v>
      </c>
      <c r="E548" s="680" t="s">
        <v>303</v>
      </c>
      <c r="F548" s="680"/>
      <c r="G548" s="682" t="s">
        <v>1154</v>
      </c>
      <c r="H548" s="3"/>
    </row>
    <row r="549" spans="1:29" ht="15" customHeight="1">
      <c r="A549" s="690" t="s">
        <v>2674</v>
      </c>
      <c r="B549" s="678" t="s">
        <v>1181</v>
      </c>
      <c r="C549" s="679" t="s">
        <v>180</v>
      </c>
      <c r="D549" s="679" t="s">
        <v>125</v>
      </c>
      <c r="E549" s="680" t="s">
        <v>303</v>
      </c>
      <c r="F549" s="680"/>
      <c r="G549" s="682" t="s">
        <v>1154</v>
      </c>
      <c r="H549" s="3"/>
    </row>
    <row r="550" spans="1:29" ht="15" customHeight="1">
      <c r="A550" s="690" t="s">
        <v>2677</v>
      </c>
      <c r="B550" s="688" t="s">
        <v>1276</v>
      </c>
      <c r="C550" s="679" t="s">
        <v>180</v>
      </c>
      <c r="D550" s="679" t="s">
        <v>125</v>
      </c>
      <c r="E550" s="680" t="s">
        <v>303</v>
      </c>
      <c r="F550" s="680"/>
      <c r="G550" s="682" t="e">
        <v>#N/A</v>
      </c>
      <c r="H550" s="3"/>
    </row>
    <row r="551" spans="1:29" ht="15" customHeight="1">
      <c r="A551" s="690" t="s">
        <v>2680</v>
      </c>
      <c r="B551" s="678" t="s">
        <v>1231</v>
      </c>
      <c r="C551" s="679" t="s">
        <v>180</v>
      </c>
      <c r="D551" s="679" t="s">
        <v>126</v>
      </c>
      <c r="E551" s="680" t="s">
        <v>303</v>
      </c>
      <c r="F551" s="680"/>
      <c r="G551" s="682" t="s">
        <v>1154</v>
      </c>
      <c r="H551" s="3"/>
      <c r="I551" s="3"/>
      <c r="J551" s="3"/>
      <c r="L551" s="3"/>
      <c r="M551" s="3"/>
      <c r="N551" s="3"/>
      <c r="O551" s="3"/>
      <c r="P551" s="3"/>
      <c r="Q551" s="3"/>
      <c r="R551" s="3"/>
      <c r="S551" s="3"/>
      <c r="T551" s="3"/>
      <c r="U551" s="3"/>
      <c r="V551" s="3"/>
      <c r="W551" s="3"/>
      <c r="X551" s="3"/>
      <c r="Y551" s="3"/>
      <c r="Z551" s="3"/>
      <c r="AA551" s="3"/>
      <c r="AB551" s="3"/>
      <c r="AC551" s="3"/>
    </row>
    <row r="552" spans="1:29" ht="15" customHeight="1">
      <c r="A552" s="690" t="s">
        <v>2684</v>
      </c>
      <c r="B552" s="688" t="s">
        <v>1187</v>
      </c>
      <c r="C552" s="679" t="s">
        <v>180</v>
      </c>
      <c r="D552" s="679" t="s">
        <v>135</v>
      </c>
      <c r="E552" s="680" t="s">
        <v>303</v>
      </c>
      <c r="F552" s="680"/>
      <c r="G552" s="682" t="s">
        <v>1154</v>
      </c>
      <c r="H552" s="3"/>
    </row>
    <row r="553" spans="1:29" ht="15" customHeight="1">
      <c r="A553" s="1019" t="s">
        <v>2687</v>
      </c>
      <c r="B553" s="692" t="s">
        <v>1189</v>
      </c>
      <c r="C553" s="693" t="s">
        <v>180</v>
      </c>
      <c r="D553" s="679" t="s">
        <v>136</v>
      </c>
      <c r="E553" s="680" t="s">
        <v>303</v>
      </c>
      <c r="F553" s="680"/>
      <c r="G553" s="680" t="s">
        <v>1154</v>
      </c>
      <c r="H553" s="3"/>
    </row>
    <row r="554" spans="1:29" ht="15" customHeight="1">
      <c r="A554" s="690" t="s">
        <v>2690</v>
      </c>
      <c r="B554" s="688" t="s">
        <v>1191</v>
      </c>
      <c r="C554" s="679" t="s">
        <v>180</v>
      </c>
      <c r="D554" s="679" t="s">
        <v>141</v>
      </c>
      <c r="E554" s="680" t="s">
        <v>303</v>
      </c>
      <c r="F554" s="680"/>
      <c r="G554" s="682" t="s">
        <v>1154</v>
      </c>
      <c r="H554" s="3"/>
    </row>
    <row r="555" spans="1:29" ht="15" customHeight="1">
      <c r="A555" s="690" t="s">
        <v>2693</v>
      </c>
      <c r="B555" s="678" t="s">
        <v>1193</v>
      </c>
      <c r="C555" s="679" t="s">
        <v>180</v>
      </c>
      <c r="D555" s="679" t="s">
        <v>131</v>
      </c>
      <c r="E555" s="680" t="s">
        <v>303</v>
      </c>
      <c r="F555" s="680"/>
      <c r="G555" s="682" t="s">
        <v>1154</v>
      </c>
      <c r="H555" s="3"/>
    </row>
    <row r="556" spans="1:29" ht="15" customHeight="1">
      <c r="A556" s="678" t="s">
        <v>2696</v>
      </c>
      <c r="B556" s="685" t="s">
        <v>1195</v>
      </c>
      <c r="C556" s="679" t="s">
        <v>180</v>
      </c>
      <c r="D556" s="679" t="s">
        <v>139</v>
      </c>
      <c r="E556" s="680" t="s">
        <v>303</v>
      </c>
      <c r="F556" s="681"/>
      <c r="G556" s="682" t="s">
        <v>2</v>
      </c>
      <c r="H556" s="3"/>
    </row>
    <row r="557" spans="1:29" ht="15" customHeight="1">
      <c r="A557" s="690" t="s">
        <v>2698</v>
      </c>
      <c r="B557" s="685" t="s">
        <v>1197</v>
      </c>
      <c r="C557" s="679" t="s">
        <v>180</v>
      </c>
      <c r="D557" s="679" t="s">
        <v>132</v>
      </c>
      <c r="E557" s="680" t="s">
        <v>303</v>
      </c>
      <c r="F557" s="681"/>
      <c r="G557" s="682" t="e">
        <v>#N/A</v>
      </c>
      <c r="H557" s="3"/>
    </row>
    <row r="558" spans="1:29" ht="15" customHeight="1">
      <c r="A558" s="690" t="s">
        <v>2701</v>
      </c>
      <c r="B558" s="685" t="s">
        <v>1199</v>
      </c>
      <c r="C558" s="679" t="s">
        <v>180</v>
      </c>
      <c r="D558" s="679" t="s">
        <v>137</v>
      </c>
      <c r="E558" s="680" t="s">
        <v>303</v>
      </c>
      <c r="F558" s="681"/>
      <c r="G558" s="682" t="e">
        <v>#N/A</v>
      </c>
      <c r="H558" s="3"/>
    </row>
    <row r="559" spans="1:29" ht="15" customHeight="1">
      <c r="A559" s="690" t="s">
        <v>2704</v>
      </c>
      <c r="B559" s="685" t="s">
        <v>1201</v>
      </c>
      <c r="C559" s="679" t="s">
        <v>180</v>
      </c>
      <c r="D559" s="679" t="s">
        <v>138</v>
      </c>
      <c r="E559" s="680" t="s">
        <v>303</v>
      </c>
      <c r="F559" s="681"/>
      <c r="G559" s="682" t="s">
        <v>1154</v>
      </c>
      <c r="H559" s="3"/>
    </row>
    <row r="560" spans="1:29" ht="15" customHeight="1">
      <c r="A560" s="690" t="s">
        <v>2707</v>
      </c>
      <c r="B560" s="685" t="s">
        <v>1203</v>
      </c>
      <c r="C560" s="679" t="s">
        <v>180</v>
      </c>
      <c r="D560" s="679" t="s">
        <v>140</v>
      </c>
      <c r="E560" s="680" t="s">
        <v>303</v>
      </c>
      <c r="F560" s="681"/>
      <c r="G560" s="682" t="s">
        <v>1154</v>
      </c>
      <c r="H560" s="3"/>
    </row>
    <row r="561" spans="1:8" ht="15" customHeight="1">
      <c r="A561" s="690" t="s">
        <v>2710</v>
      </c>
      <c r="B561" s="685" t="s">
        <v>1277</v>
      </c>
      <c r="C561" s="679" t="s">
        <v>180</v>
      </c>
      <c r="D561" s="679" t="s">
        <v>133</v>
      </c>
      <c r="E561" s="680" t="s">
        <v>303</v>
      </c>
      <c r="F561" s="681"/>
      <c r="G561" s="682" t="s">
        <v>1154</v>
      </c>
      <c r="H561" s="3"/>
    </row>
    <row r="562" spans="1:8" ht="15" customHeight="1">
      <c r="A562" s="690" t="s">
        <v>3401</v>
      </c>
      <c r="B562" s="685" t="s">
        <v>1278</v>
      </c>
      <c r="C562" s="679" t="s">
        <v>180</v>
      </c>
      <c r="D562" s="679" t="s">
        <v>142</v>
      </c>
      <c r="E562" s="680" t="s">
        <v>303</v>
      </c>
      <c r="F562" s="681"/>
      <c r="G562" s="682" t="s">
        <v>2</v>
      </c>
      <c r="H562" s="3"/>
    </row>
    <row r="563" spans="1:8" ht="15" customHeight="1">
      <c r="A563" s="690" t="s">
        <v>3890</v>
      </c>
      <c r="B563" s="685" t="s">
        <v>3889</v>
      </c>
      <c r="C563" s="679" t="s">
        <v>180</v>
      </c>
      <c r="D563" s="679" t="s">
        <v>134</v>
      </c>
      <c r="E563" s="680" t="s">
        <v>303</v>
      </c>
      <c r="F563" s="681"/>
      <c r="G563" s="682" t="s">
        <v>1154</v>
      </c>
      <c r="H563" s="3"/>
    </row>
    <row r="564" spans="1:8" ht="15" customHeight="1">
      <c r="A564" s="690" t="s">
        <v>2713</v>
      </c>
      <c r="B564" s="685" t="s">
        <v>1209</v>
      </c>
      <c r="C564" s="679" t="s">
        <v>180</v>
      </c>
      <c r="D564" s="679" t="s">
        <v>134</v>
      </c>
      <c r="E564" s="680" t="s">
        <v>303</v>
      </c>
      <c r="F564" s="681"/>
      <c r="G564" s="682" t="s">
        <v>1154</v>
      </c>
      <c r="H564" s="3"/>
    </row>
    <row r="565" spans="1:8" ht="15" customHeight="1">
      <c r="A565" s="690" t="s">
        <v>2716</v>
      </c>
      <c r="B565" s="688" t="s">
        <v>1211</v>
      </c>
      <c r="C565" s="679" t="s">
        <v>180</v>
      </c>
      <c r="D565" s="679" t="s">
        <v>221</v>
      </c>
      <c r="E565" s="680" t="s">
        <v>303</v>
      </c>
      <c r="F565" s="681"/>
      <c r="G565" s="682" t="s">
        <v>1154</v>
      </c>
      <c r="H565" s="3"/>
    </row>
    <row r="566" spans="1:8" ht="15" customHeight="1">
      <c r="A566" s="690" t="s">
        <v>2719</v>
      </c>
      <c r="B566" s="685" t="s">
        <v>1389</v>
      </c>
      <c r="C566" s="679" t="s">
        <v>180</v>
      </c>
      <c r="D566" s="679" t="s">
        <v>213</v>
      </c>
      <c r="E566" s="680" t="s">
        <v>303</v>
      </c>
      <c r="F566" s="681"/>
      <c r="G566" s="680" t="s">
        <v>1154</v>
      </c>
      <c r="H566" s="3"/>
    </row>
    <row r="567" spans="1:8" ht="15" customHeight="1">
      <c r="A567" s="690" t="s">
        <v>2722</v>
      </c>
      <c r="B567" s="685" t="s">
        <v>814</v>
      </c>
      <c r="C567" s="679"/>
      <c r="D567" s="679"/>
      <c r="E567" s="680" t="s">
        <v>303</v>
      </c>
      <c r="F567" s="681"/>
      <c r="G567" s="682" t="s">
        <v>816</v>
      </c>
      <c r="H567" s="3"/>
    </row>
    <row r="568" spans="1:8" ht="15" customHeight="1">
      <c r="A568" s="690" t="s">
        <v>2725</v>
      </c>
      <c r="B568" s="685" t="s">
        <v>1279</v>
      </c>
      <c r="C568" s="679" t="s">
        <v>180</v>
      </c>
      <c r="D568" s="679" t="s">
        <v>210</v>
      </c>
      <c r="E568" s="680" t="s">
        <v>303</v>
      </c>
      <c r="F568" s="681"/>
      <c r="G568" s="682" t="s">
        <v>1154</v>
      </c>
      <c r="H568" s="3"/>
    </row>
    <row r="569" spans="1:8" ht="15" customHeight="1">
      <c r="A569" s="690" t="s">
        <v>2728</v>
      </c>
      <c r="B569" s="685" t="s">
        <v>1280</v>
      </c>
      <c r="C569" s="679" t="s">
        <v>180</v>
      </c>
      <c r="D569" s="679" t="s">
        <v>205</v>
      </c>
      <c r="E569" s="680" t="s">
        <v>303</v>
      </c>
      <c r="F569" s="681"/>
      <c r="G569" s="682" t="s">
        <v>1154</v>
      </c>
      <c r="H569" s="3"/>
    </row>
    <row r="570" spans="1:8" ht="15" customHeight="1">
      <c r="A570" s="690" t="s">
        <v>2731</v>
      </c>
      <c r="B570" s="685" t="s">
        <v>1281</v>
      </c>
      <c r="C570" s="679" t="s">
        <v>180</v>
      </c>
      <c r="D570" s="679" t="s">
        <v>209</v>
      </c>
      <c r="E570" s="680" t="s">
        <v>303</v>
      </c>
      <c r="F570" s="681"/>
      <c r="G570" s="682" t="s">
        <v>1154</v>
      </c>
      <c r="H570" s="3"/>
    </row>
    <row r="571" spans="1:8" ht="15" customHeight="1">
      <c r="A571" s="690" t="s">
        <v>2734</v>
      </c>
      <c r="B571" s="685" t="s">
        <v>1282</v>
      </c>
      <c r="C571" s="679" t="s">
        <v>180</v>
      </c>
      <c r="D571" s="679" t="s">
        <v>206</v>
      </c>
      <c r="E571" s="680" t="s">
        <v>303</v>
      </c>
      <c r="F571" s="681"/>
      <c r="G571" s="682" t="s">
        <v>1154</v>
      </c>
      <c r="H571" s="3"/>
    </row>
    <row r="572" spans="1:8" ht="15" customHeight="1">
      <c r="A572" s="690" t="s">
        <v>2737</v>
      </c>
      <c r="B572" s="685" t="s">
        <v>1283</v>
      </c>
      <c r="C572" s="679" t="s">
        <v>180</v>
      </c>
      <c r="D572" s="679" t="s">
        <v>207</v>
      </c>
      <c r="E572" s="680" t="s">
        <v>303</v>
      </c>
      <c r="F572" s="681"/>
      <c r="G572" s="682" t="s">
        <v>1154</v>
      </c>
      <c r="H572" s="3"/>
    </row>
    <row r="573" spans="1:8" ht="15" customHeight="1">
      <c r="A573" s="690" t="s">
        <v>2740</v>
      </c>
      <c r="B573" s="685" t="s">
        <v>1284</v>
      </c>
      <c r="C573" s="679" t="s">
        <v>180</v>
      </c>
      <c r="D573" s="679" t="s">
        <v>211</v>
      </c>
      <c r="E573" s="680" t="s">
        <v>303</v>
      </c>
      <c r="F573" s="681"/>
      <c r="G573" s="682" t="e">
        <v>#N/A</v>
      </c>
      <c r="H573" s="3"/>
    </row>
    <row r="574" spans="1:8" ht="15" customHeight="1">
      <c r="A574" s="697" t="s">
        <v>3402</v>
      </c>
      <c r="B574" s="697" t="s">
        <v>1398</v>
      </c>
      <c r="C574" s="679" t="s">
        <v>180</v>
      </c>
      <c r="D574" s="679" t="s">
        <v>214</v>
      </c>
      <c r="E574" s="680" t="s">
        <v>303</v>
      </c>
      <c r="F574" s="680"/>
      <c r="G574" s="680" t="s">
        <v>2</v>
      </c>
      <c r="H574" s="3"/>
    </row>
    <row r="575" spans="1:8" ht="15" customHeight="1">
      <c r="A575" s="678" t="s">
        <v>2742</v>
      </c>
      <c r="B575" s="685" t="s">
        <v>726</v>
      </c>
      <c r="C575" s="679"/>
      <c r="D575" s="679"/>
      <c r="E575" s="680"/>
      <c r="F575" s="681"/>
      <c r="G575" s="682" t="e">
        <v>#N/A</v>
      </c>
      <c r="H575" s="3"/>
    </row>
    <row r="576" spans="1:8" ht="15" customHeight="1">
      <c r="A576" s="690" t="s">
        <v>2745</v>
      </c>
      <c r="B576" s="685" t="s">
        <v>727</v>
      </c>
      <c r="C576" s="679"/>
      <c r="D576" s="679"/>
      <c r="E576" s="680"/>
      <c r="F576" s="681"/>
      <c r="G576" s="682" t="e">
        <v>#N/A</v>
      </c>
      <c r="H576" s="3"/>
    </row>
    <row r="577" spans="1:11" ht="15" customHeight="1">
      <c r="A577" s="690" t="s">
        <v>2748</v>
      </c>
      <c r="B577" s="685" t="s">
        <v>728</v>
      </c>
      <c r="C577" s="679"/>
      <c r="D577" s="679"/>
      <c r="E577" s="680"/>
      <c r="F577" s="681"/>
      <c r="G577" s="682" t="s">
        <v>816</v>
      </c>
      <c r="H577" s="3"/>
    </row>
    <row r="578" spans="1:11" ht="15" customHeight="1">
      <c r="A578" s="678" t="s">
        <v>3403</v>
      </c>
      <c r="B578" s="678" t="s">
        <v>1399</v>
      </c>
      <c r="C578" s="679" t="s">
        <v>198</v>
      </c>
      <c r="D578" s="679" t="s">
        <v>216</v>
      </c>
      <c r="E578" s="680" t="s">
        <v>303</v>
      </c>
      <c r="F578" s="681"/>
      <c r="G578" s="682" t="s">
        <v>1154</v>
      </c>
      <c r="H578" s="3"/>
    </row>
    <row r="579" spans="1:11" ht="15" customHeight="1">
      <c r="A579" s="698" t="s">
        <v>2751</v>
      </c>
      <c r="B579" s="695" t="s">
        <v>1287</v>
      </c>
      <c r="C579" s="693" t="s">
        <v>92</v>
      </c>
      <c r="D579" s="679" t="s">
        <v>148</v>
      </c>
      <c r="E579" s="680" t="s">
        <v>303</v>
      </c>
      <c r="F579" s="681"/>
      <c r="G579" s="682" t="s">
        <v>1154</v>
      </c>
      <c r="H579" s="3"/>
    </row>
    <row r="580" spans="1:11" ht="15" customHeight="1">
      <c r="A580" s="698" t="s">
        <v>1289</v>
      </c>
      <c r="B580" s="695" t="s">
        <v>1288</v>
      </c>
      <c r="C580" s="693" t="s">
        <v>180</v>
      </c>
      <c r="D580" s="679" t="s">
        <v>188</v>
      </c>
      <c r="E580" s="680" t="s">
        <v>303</v>
      </c>
      <c r="F580" s="681"/>
      <c r="G580" s="682" t="s">
        <v>1154</v>
      </c>
      <c r="H580" s="3"/>
      <c r="K580" s="3"/>
    </row>
    <row r="581" spans="1:11" ht="15" customHeight="1">
      <c r="A581" s="690" t="s">
        <v>2756</v>
      </c>
      <c r="B581" s="685" t="s">
        <v>1400</v>
      </c>
      <c r="C581" s="679" t="s">
        <v>92</v>
      </c>
      <c r="D581" s="679" t="s">
        <v>145</v>
      </c>
      <c r="E581" s="680" t="s">
        <v>303</v>
      </c>
      <c r="F581" s="681"/>
      <c r="G581" s="682" t="s">
        <v>1154</v>
      </c>
      <c r="H581" s="3"/>
    </row>
    <row r="582" spans="1:11" ht="15" customHeight="1">
      <c r="A582" s="698" t="s">
        <v>1291</v>
      </c>
      <c r="B582" s="705" t="s">
        <v>1290</v>
      </c>
      <c r="C582" s="679" t="s">
        <v>92</v>
      </c>
      <c r="D582" s="679" t="s">
        <v>105</v>
      </c>
      <c r="E582" s="680" t="s">
        <v>303</v>
      </c>
      <c r="F582" s="681" t="s">
        <v>1368</v>
      </c>
      <c r="G582" s="682" t="s">
        <v>1154</v>
      </c>
      <c r="H582" s="3"/>
    </row>
    <row r="583" spans="1:11" ht="15" customHeight="1">
      <c r="A583" s="699" t="s">
        <v>1293</v>
      </c>
      <c r="B583" s="1039" t="s">
        <v>1292</v>
      </c>
      <c r="C583" s="693" t="s">
        <v>92</v>
      </c>
      <c r="D583" s="679"/>
      <c r="E583" s="686" t="s">
        <v>341</v>
      </c>
      <c r="F583" s="681"/>
      <c r="G583" s="682" t="s">
        <v>1285</v>
      </c>
      <c r="H583" s="3"/>
    </row>
    <row r="584" spans="1:11" ht="15" customHeight="1">
      <c r="A584" s="690" t="s">
        <v>1295</v>
      </c>
      <c r="B584" s="695" t="s">
        <v>1294</v>
      </c>
      <c r="C584" s="693" t="s">
        <v>152</v>
      </c>
      <c r="D584" s="679" t="s">
        <v>105</v>
      </c>
      <c r="E584" s="680" t="s">
        <v>303</v>
      </c>
      <c r="F584" s="681" t="s">
        <v>1368</v>
      </c>
      <c r="G584" s="682" t="s">
        <v>1154</v>
      </c>
      <c r="H584" s="3"/>
    </row>
    <row r="585" spans="1:11" ht="15" customHeight="1">
      <c r="A585" s="1035" t="s">
        <v>1296</v>
      </c>
      <c r="B585" s="1035" t="s">
        <v>1294</v>
      </c>
      <c r="C585" s="679" t="s">
        <v>152</v>
      </c>
      <c r="D585" s="679"/>
      <c r="E585" s="686" t="s">
        <v>341</v>
      </c>
      <c r="F585" s="681"/>
      <c r="G585" s="682" t="s">
        <v>1285</v>
      </c>
      <c r="H585" s="3"/>
    </row>
    <row r="586" spans="1:11" ht="15" customHeight="1">
      <c r="A586" s="690" t="s">
        <v>2763</v>
      </c>
      <c r="B586" s="685" t="s">
        <v>1297</v>
      </c>
      <c r="C586" s="679" t="s">
        <v>92</v>
      </c>
      <c r="D586" s="679" t="s">
        <v>107</v>
      </c>
      <c r="E586" s="680" t="s">
        <v>303</v>
      </c>
      <c r="F586" s="681" t="s">
        <v>1368</v>
      </c>
      <c r="G586" s="682" t="e">
        <v>#N/A</v>
      </c>
      <c r="H586" s="3"/>
    </row>
    <row r="587" spans="1:11" ht="15" customHeight="1">
      <c r="A587" s="690" t="s">
        <v>2766</v>
      </c>
      <c r="B587" s="685" t="s">
        <v>1298</v>
      </c>
      <c r="C587" s="679" t="s">
        <v>152</v>
      </c>
      <c r="D587" s="679" t="s">
        <v>107</v>
      </c>
      <c r="E587" s="680" t="s">
        <v>303</v>
      </c>
      <c r="F587" s="681" t="s">
        <v>1368</v>
      </c>
      <c r="G587" s="682" t="e">
        <v>#N/A</v>
      </c>
      <c r="H587" s="3"/>
    </row>
    <row r="588" spans="1:11" ht="15" customHeight="1">
      <c r="A588" s="1035" t="s">
        <v>1300</v>
      </c>
      <c r="B588" s="1035" t="s">
        <v>1299</v>
      </c>
      <c r="C588" s="679" t="s">
        <v>152</v>
      </c>
      <c r="D588" s="679"/>
      <c r="E588" s="686" t="s">
        <v>341</v>
      </c>
      <c r="F588" s="681"/>
      <c r="G588" s="682" t="e">
        <v>#N/A</v>
      </c>
      <c r="H588" s="3"/>
    </row>
    <row r="589" spans="1:11" ht="15" customHeight="1">
      <c r="A589" s="690" t="s">
        <v>2769</v>
      </c>
      <c r="B589" s="685" t="s">
        <v>1301</v>
      </c>
      <c r="C589" s="679" t="s">
        <v>92</v>
      </c>
      <c r="D589" s="679" t="s">
        <v>106</v>
      </c>
      <c r="E589" s="680" t="s">
        <v>303</v>
      </c>
      <c r="F589" s="681" t="s">
        <v>1368</v>
      </c>
      <c r="G589" s="682" t="s">
        <v>2</v>
      </c>
      <c r="H589" s="3"/>
    </row>
    <row r="590" spans="1:11" ht="15" customHeight="1">
      <c r="A590" s="699" t="s">
        <v>3346</v>
      </c>
      <c r="B590" s="1037" t="s">
        <v>3345</v>
      </c>
      <c r="C590" s="679"/>
      <c r="D590" s="679"/>
      <c r="E590" s="686" t="s">
        <v>341</v>
      </c>
      <c r="F590" s="681"/>
      <c r="G590" s="682" t="e">
        <v>#N/A</v>
      </c>
      <c r="H590" s="3"/>
    </row>
    <row r="591" spans="1:11" ht="15" customHeight="1">
      <c r="A591" s="698" t="s">
        <v>2772</v>
      </c>
      <c r="B591" s="679" t="s">
        <v>1302</v>
      </c>
      <c r="C591" s="679" t="s">
        <v>92</v>
      </c>
      <c r="D591" s="679" t="s">
        <v>106</v>
      </c>
      <c r="E591" s="680" t="s">
        <v>303</v>
      </c>
      <c r="F591" s="681" t="s">
        <v>1368</v>
      </c>
      <c r="G591" s="682" t="s">
        <v>2</v>
      </c>
      <c r="H591" s="3"/>
    </row>
    <row r="592" spans="1:11" ht="15" customHeight="1">
      <c r="A592" s="699" t="s">
        <v>3348</v>
      </c>
      <c r="B592" s="1037" t="s">
        <v>3347</v>
      </c>
      <c r="C592" s="679" t="s">
        <v>92</v>
      </c>
      <c r="D592" s="679"/>
      <c r="E592" s="686" t="s">
        <v>341</v>
      </c>
      <c r="F592" s="681"/>
      <c r="G592" s="682" t="e">
        <v>#N/A</v>
      </c>
      <c r="H592" s="3"/>
    </row>
    <row r="593" spans="1:11" ht="15" customHeight="1">
      <c r="A593" s="698" t="s">
        <v>2775</v>
      </c>
      <c r="B593" s="679" t="s">
        <v>1303</v>
      </c>
      <c r="C593" s="679" t="s">
        <v>152</v>
      </c>
      <c r="D593" s="679" t="s">
        <v>106</v>
      </c>
      <c r="E593" s="680" t="s">
        <v>303</v>
      </c>
      <c r="F593" s="681" t="s">
        <v>1368</v>
      </c>
      <c r="G593" s="682" t="s">
        <v>2</v>
      </c>
      <c r="H593" s="3"/>
      <c r="K593" s="3"/>
    </row>
    <row r="594" spans="1:11" ht="15" customHeight="1">
      <c r="A594" s="699" t="s">
        <v>1305</v>
      </c>
      <c r="B594" s="699" t="s">
        <v>1304</v>
      </c>
      <c r="C594" s="679" t="s">
        <v>152</v>
      </c>
      <c r="D594" s="679"/>
      <c r="E594" s="686" t="s">
        <v>341</v>
      </c>
      <c r="F594" s="681"/>
      <c r="G594" s="682" t="e">
        <v>#N/A</v>
      </c>
      <c r="H594" s="3"/>
    </row>
    <row r="595" spans="1:11" ht="15" customHeight="1">
      <c r="A595" s="698" t="s">
        <v>2778</v>
      </c>
      <c r="B595" s="679" t="s">
        <v>1306</v>
      </c>
      <c r="C595" s="679" t="s">
        <v>152</v>
      </c>
      <c r="D595" s="679" t="s">
        <v>106</v>
      </c>
      <c r="E595" s="680" t="s">
        <v>303</v>
      </c>
      <c r="F595" s="681" t="s">
        <v>1368</v>
      </c>
      <c r="G595" s="682" t="s">
        <v>2</v>
      </c>
      <c r="H595" s="3"/>
    </row>
    <row r="596" spans="1:11" ht="15" customHeight="1">
      <c r="A596" s="699" t="s">
        <v>1308</v>
      </c>
      <c r="B596" s="699" t="s">
        <v>1307</v>
      </c>
      <c r="C596" s="679" t="s">
        <v>152</v>
      </c>
      <c r="D596" s="679"/>
      <c r="E596" s="686" t="s">
        <v>341</v>
      </c>
      <c r="F596" s="681"/>
      <c r="G596" s="682" t="e">
        <v>#N/A</v>
      </c>
      <c r="H596" s="3"/>
    </row>
    <row r="597" spans="1:11" ht="15" customHeight="1">
      <c r="A597" s="698" t="s">
        <v>2781</v>
      </c>
      <c r="B597" s="679" t="s">
        <v>1401</v>
      </c>
      <c r="C597" s="679" t="s">
        <v>92</v>
      </c>
      <c r="D597" s="679" t="s">
        <v>149</v>
      </c>
      <c r="E597" s="680" t="s">
        <v>303</v>
      </c>
      <c r="F597" s="681"/>
      <c r="G597" s="682" t="s">
        <v>1154</v>
      </c>
      <c r="H597" s="3"/>
    </row>
    <row r="598" spans="1:11" ht="15" customHeight="1">
      <c r="A598" s="698" t="s">
        <v>3404</v>
      </c>
      <c r="B598" s="679" t="s">
        <v>1402</v>
      </c>
      <c r="C598" s="679" t="s">
        <v>152</v>
      </c>
      <c r="D598" s="679" t="s">
        <v>149</v>
      </c>
      <c r="E598" s="680" t="s">
        <v>303</v>
      </c>
      <c r="F598" s="681"/>
      <c r="G598" s="682" t="s">
        <v>1154</v>
      </c>
      <c r="H598" s="3"/>
    </row>
    <row r="599" spans="1:11" ht="15" customHeight="1">
      <c r="A599" s="698" t="s">
        <v>1310</v>
      </c>
      <c r="B599" s="679" t="s">
        <v>1312</v>
      </c>
      <c r="C599" s="679" t="s">
        <v>198</v>
      </c>
      <c r="D599" s="679" t="s">
        <v>216</v>
      </c>
      <c r="E599" s="680" t="s">
        <v>303</v>
      </c>
      <c r="F599" s="681"/>
      <c r="G599" s="682" t="s">
        <v>1154</v>
      </c>
      <c r="H599" s="3"/>
    </row>
    <row r="600" spans="1:11" ht="15" customHeight="1">
      <c r="A600" s="698" t="s">
        <v>3405</v>
      </c>
      <c r="B600" s="679" t="s">
        <v>1403</v>
      </c>
      <c r="C600" s="679" t="s">
        <v>198</v>
      </c>
      <c r="D600" s="679" t="s">
        <v>216</v>
      </c>
      <c r="E600" s="680" t="s">
        <v>303</v>
      </c>
      <c r="F600" s="681"/>
      <c r="G600" s="680" t="s">
        <v>1154</v>
      </c>
      <c r="H600" s="3"/>
    </row>
    <row r="601" spans="1:11" ht="15" customHeight="1">
      <c r="A601" s="698" t="s">
        <v>1315</v>
      </c>
      <c r="B601" s="1038" t="s">
        <v>1313</v>
      </c>
      <c r="C601" s="679" t="s">
        <v>198</v>
      </c>
      <c r="D601" s="679" t="s">
        <v>223</v>
      </c>
      <c r="E601" s="680" t="s">
        <v>303</v>
      </c>
      <c r="F601" s="681"/>
      <c r="G601" s="682" t="s">
        <v>1154</v>
      </c>
      <c r="H601" s="3"/>
    </row>
    <row r="602" spans="1:11" ht="15" customHeight="1">
      <c r="A602" s="698" t="s">
        <v>2788</v>
      </c>
      <c r="B602" s="1038" t="s">
        <v>1404</v>
      </c>
      <c r="C602" s="679" t="s">
        <v>198</v>
      </c>
      <c r="D602" s="679" t="s">
        <v>222</v>
      </c>
      <c r="E602" s="680" t="s">
        <v>303</v>
      </c>
      <c r="F602" s="681"/>
      <c r="G602" s="680" t="s">
        <v>1154</v>
      </c>
      <c r="H602" s="3"/>
    </row>
    <row r="603" spans="1:11" ht="15" customHeight="1">
      <c r="A603" s="698" t="s">
        <v>2791</v>
      </c>
      <c r="B603" s="679" t="s">
        <v>1316</v>
      </c>
      <c r="C603" s="679" t="s">
        <v>198</v>
      </c>
      <c r="D603" s="679" t="s">
        <v>223</v>
      </c>
      <c r="E603" s="680" t="s">
        <v>303</v>
      </c>
      <c r="F603" s="681"/>
      <c r="G603" s="682" t="s">
        <v>1154</v>
      </c>
      <c r="H603" s="3"/>
    </row>
    <row r="604" spans="1:11" ht="15" customHeight="1">
      <c r="A604" s="698" t="s">
        <v>3892</v>
      </c>
      <c r="B604" s="679" t="s">
        <v>3891</v>
      </c>
      <c r="C604" s="679" t="s">
        <v>1325</v>
      </c>
      <c r="D604" s="679" t="s">
        <v>3861</v>
      </c>
      <c r="E604" s="680" t="s">
        <v>303</v>
      </c>
      <c r="F604" s="681"/>
      <c r="G604" s="682" t="s">
        <v>1154</v>
      </c>
      <c r="H604" s="3"/>
    </row>
    <row r="605" spans="1:11" ht="15" customHeight="1">
      <c r="A605" s="698" t="s">
        <v>2794</v>
      </c>
      <c r="B605" s="679" t="s">
        <v>1405</v>
      </c>
      <c r="C605" s="679" t="s">
        <v>198</v>
      </c>
      <c r="D605" s="679" t="s">
        <v>142</v>
      </c>
      <c r="E605" s="680" t="s">
        <v>303</v>
      </c>
      <c r="F605" s="681"/>
      <c r="G605" s="680" t="s">
        <v>1154</v>
      </c>
      <c r="H605" s="3"/>
    </row>
    <row r="606" spans="1:11" ht="15" customHeight="1">
      <c r="A606" s="690" t="s">
        <v>3554</v>
      </c>
      <c r="B606" s="685" t="s">
        <v>3553</v>
      </c>
      <c r="C606" s="679" t="s">
        <v>161</v>
      </c>
      <c r="D606" s="679" t="s">
        <v>140</v>
      </c>
      <c r="E606" s="680" t="s">
        <v>303</v>
      </c>
      <c r="F606" s="680"/>
      <c r="G606" s="682" t="s">
        <v>1154</v>
      </c>
      <c r="H606" s="3"/>
    </row>
    <row r="607" spans="1:11" ht="15" customHeight="1">
      <c r="A607" s="1173" t="s">
        <v>3906</v>
      </c>
      <c r="B607" s="1174" t="s">
        <v>3905</v>
      </c>
      <c r="C607" s="679" t="s">
        <v>152</v>
      </c>
      <c r="D607" s="679" t="s">
        <v>153</v>
      </c>
      <c r="E607" s="680" t="s">
        <v>303</v>
      </c>
      <c r="F607" s="681"/>
      <c r="G607" s="680" t="s">
        <v>1110</v>
      </c>
      <c r="H607" s="3"/>
    </row>
    <row r="608" spans="1:11" ht="15" customHeight="1">
      <c r="A608" s="1175" t="s">
        <v>3907</v>
      </c>
      <c r="B608" s="1174" t="s">
        <v>1397</v>
      </c>
      <c r="C608" s="679" t="s">
        <v>176</v>
      </c>
      <c r="D608" s="679" t="s">
        <v>130</v>
      </c>
      <c r="E608" s="680" t="s">
        <v>303</v>
      </c>
      <c r="F608" s="681"/>
      <c r="G608" s="680" t="s">
        <v>1154</v>
      </c>
      <c r="H608" s="3"/>
    </row>
    <row r="609" spans="1:8" ht="15" customHeight="1">
      <c r="A609" s="685"/>
      <c r="B609" s="685"/>
      <c r="C609" s="679"/>
      <c r="D609" s="679"/>
      <c r="E609" s="680"/>
      <c r="F609" s="681"/>
      <c r="G609" s="680" t="e">
        <v>#N/A</v>
      </c>
      <c r="H609" s="3"/>
    </row>
    <row r="610" spans="1:8" ht="15" customHeight="1">
      <c r="A610" s="677"/>
      <c r="B610" s="688"/>
      <c r="C610" s="679"/>
      <c r="D610" s="679"/>
      <c r="E610" s="680"/>
      <c r="F610" s="681"/>
      <c r="G610" s="680" t="e">
        <v>#N/A</v>
      </c>
      <c r="H610" s="3"/>
    </row>
    <row r="611" spans="1:8" ht="15" customHeight="1">
      <c r="A611" s="685"/>
      <c r="B611" s="685"/>
      <c r="C611" s="679"/>
      <c r="D611" s="679"/>
      <c r="E611" s="680"/>
      <c r="F611" s="681"/>
      <c r="G611" s="680" t="e">
        <v>#N/A</v>
      </c>
      <c r="H611" s="3"/>
    </row>
    <row r="612" spans="1:8" ht="15" customHeight="1">
      <c r="A612" s="685"/>
      <c r="B612" s="685"/>
      <c r="C612" s="679"/>
      <c r="D612" s="679"/>
      <c r="E612" s="680"/>
      <c r="F612" s="681"/>
      <c r="G612" s="680" t="e">
        <v>#N/A</v>
      </c>
      <c r="H612" s="3"/>
    </row>
    <row r="613" spans="1:8" ht="15" customHeight="1">
      <c r="A613" s="690"/>
      <c r="B613" s="685"/>
      <c r="C613" s="679"/>
      <c r="D613" s="679"/>
      <c r="E613" s="680"/>
      <c r="F613" s="681"/>
      <c r="G613" s="680" t="e">
        <v>#N/A</v>
      </c>
      <c r="H613" s="3"/>
    </row>
    <row r="614" spans="1:8" ht="15" customHeight="1">
      <c r="A614" s="677"/>
      <c r="B614" s="688"/>
      <c r="C614" s="679"/>
      <c r="D614" s="679"/>
      <c r="E614" s="680"/>
      <c r="F614" s="681"/>
      <c r="G614" s="680" t="e">
        <v>#N/A</v>
      </c>
      <c r="H614" s="3"/>
    </row>
    <row r="615" spans="1:8" ht="15" customHeight="1">
      <c r="A615" s="689"/>
      <c r="B615" s="678"/>
      <c r="C615" s="679"/>
      <c r="D615" s="679"/>
      <c r="E615" s="680"/>
      <c r="F615" s="681"/>
      <c r="G615" s="680" t="e">
        <v>#N/A</v>
      </c>
      <c r="H615" s="3"/>
    </row>
    <row r="616" spans="1:8" ht="15" customHeight="1">
      <c r="A616" s="689"/>
      <c r="B616" s="678"/>
      <c r="C616" s="679"/>
      <c r="D616" s="679"/>
      <c r="E616" s="680"/>
      <c r="F616" s="681"/>
      <c r="G616" s="680" t="e">
        <v>#N/A</v>
      </c>
      <c r="H616" s="3"/>
    </row>
    <row r="617" spans="1:8" ht="15" customHeight="1">
      <c r="A617" s="677"/>
      <c r="B617" s="685"/>
      <c r="C617" s="679"/>
      <c r="D617" s="679"/>
      <c r="E617" s="680"/>
      <c r="F617" s="681"/>
      <c r="G617" s="680" t="e">
        <v>#N/A</v>
      </c>
      <c r="H617" s="3"/>
    </row>
    <row r="618" spans="1:8" ht="15" customHeight="1">
      <c r="A618" s="690"/>
      <c r="B618" s="685"/>
      <c r="C618" s="679"/>
      <c r="D618" s="679"/>
      <c r="E618" s="680"/>
      <c r="F618" s="681"/>
      <c r="G618" s="680" t="e">
        <v>#N/A</v>
      </c>
      <c r="H618" s="3"/>
    </row>
    <row r="619" spans="1:8" ht="15" customHeight="1">
      <c r="A619" s="690"/>
      <c r="B619" s="685"/>
      <c r="C619" s="679"/>
      <c r="D619" s="679"/>
      <c r="E619" s="680"/>
      <c r="F619" s="681"/>
      <c r="G619" s="680" t="e">
        <v>#N/A</v>
      </c>
      <c r="H619" s="3"/>
    </row>
    <row r="620" spans="1:8" ht="15" customHeight="1">
      <c r="A620" s="690"/>
      <c r="B620" s="685"/>
      <c r="C620" s="679"/>
      <c r="D620" s="679"/>
      <c r="E620" s="680"/>
      <c r="F620" s="681"/>
      <c r="G620" s="680" t="e">
        <v>#N/A</v>
      </c>
      <c r="H620" s="3"/>
    </row>
    <row r="621" spans="1:8" ht="15" customHeight="1">
      <c r="A621" s="690"/>
      <c r="B621" s="685"/>
      <c r="C621" s="679"/>
      <c r="D621" s="679"/>
      <c r="E621" s="680"/>
      <c r="F621" s="681"/>
      <c r="G621" s="680" t="e">
        <v>#N/A</v>
      </c>
      <c r="H621" s="3"/>
    </row>
    <row r="622" spans="1:8" ht="15" customHeight="1">
      <c r="A622" s="677"/>
      <c r="B622" s="688"/>
      <c r="C622" s="679"/>
      <c r="D622" s="679"/>
      <c r="E622" s="680"/>
      <c r="F622" s="681"/>
      <c r="G622" s="680" t="e">
        <v>#N/A</v>
      </c>
      <c r="H622" s="3"/>
    </row>
    <row r="623" spans="1:8" ht="15" customHeight="1">
      <c r="A623" s="677"/>
      <c r="B623" s="688"/>
      <c r="C623" s="679"/>
      <c r="D623" s="679"/>
      <c r="E623" s="680"/>
      <c r="F623" s="681"/>
      <c r="G623" s="680" t="e">
        <v>#N/A</v>
      </c>
      <c r="H623" s="3"/>
    </row>
    <row r="624" spans="1:8" ht="15" customHeight="1">
      <c r="A624" s="677"/>
      <c r="B624" s="688"/>
      <c r="C624" s="679"/>
      <c r="D624" s="679"/>
      <c r="E624" s="680"/>
      <c r="F624" s="681"/>
      <c r="G624" s="680" t="e">
        <v>#N/A</v>
      </c>
      <c r="H624" s="3"/>
    </row>
    <row r="625" spans="1:29" ht="15" customHeight="1">
      <c r="A625" s="691"/>
      <c r="B625" s="700"/>
      <c r="C625" s="679"/>
      <c r="D625" s="679"/>
      <c r="E625" s="680"/>
      <c r="F625" s="681"/>
      <c r="G625" s="680" t="e">
        <v>#N/A</v>
      </c>
      <c r="H625" s="3"/>
    </row>
    <row r="626" spans="1:29" ht="15" customHeight="1">
      <c r="A626" s="677"/>
      <c r="B626" s="688"/>
      <c r="C626" s="679"/>
      <c r="D626" s="679"/>
      <c r="E626" s="680"/>
      <c r="F626" s="681"/>
      <c r="G626" s="680" t="e">
        <v>#N/A</v>
      </c>
      <c r="H626" s="3"/>
    </row>
    <row r="627" spans="1:29" ht="15" customHeight="1">
      <c r="A627" s="677"/>
      <c r="B627" s="688"/>
      <c r="C627" s="679"/>
      <c r="D627" s="679"/>
      <c r="E627" s="680"/>
      <c r="F627" s="681"/>
      <c r="G627" s="680" t="e">
        <v>#N/A</v>
      </c>
      <c r="H627" s="3"/>
    </row>
    <row r="628" spans="1:29" ht="15" customHeight="1">
      <c r="A628" s="677"/>
      <c r="B628" s="688"/>
      <c r="C628" s="679"/>
      <c r="D628" s="679"/>
      <c r="E628" s="680"/>
      <c r="F628" s="681"/>
      <c r="G628" s="680" t="e">
        <v>#N/A</v>
      </c>
      <c r="H628" s="3"/>
    </row>
    <row r="629" spans="1:29" ht="15" customHeight="1">
      <c r="A629" s="677"/>
      <c r="B629" s="688"/>
      <c r="C629" s="679"/>
      <c r="D629" s="679"/>
      <c r="E629" s="680"/>
      <c r="F629" s="681"/>
      <c r="G629" s="680" t="e">
        <v>#N/A</v>
      </c>
      <c r="H629" s="3"/>
      <c r="I629" s="3"/>
      <c r="J629" s="3"/>
      <c r="L629" s="3"/>
      <c r="M629" s="3"/>
      <c r="N629" s="3"/>
      <c r="O629" s="3"/>
      <c r="P629" s="3"/>
      <c r="Q629" s="3"/>
      <c r="R629" s="3"/>
      <c r="S629" s="3"/>
      <c r="T629" s="3"/>
      <c r="U629" s="3"/>
      <c r="V629" s="3"/>
      <c r="W629" s="3"/>
      <c r="X629" s="3"/>
      <c r="Y629" s="3"/>
      <c r="Z629" s="3"/>
      <c r="AA629" s="3"/>
      <c r="AB629" s="3"/>
      <c r="AC629" s="3"/>
    </row>
    <row r="630" spans="1:29" ht="15" customHeight="1">
      <c r="A630" s="688"/>
      <c r="B630" s="688"/>
      <c r="C630" s="679"/>
      <c r="D630" s="679"/>
      <c r="E630" s="680"/>
      <c r="F630" s="681"/>
      <c r="G630" s="680" t="e">
        <v>#N/A</v>
      </c>
      <c r="H630" s="3"/>
    </row>
    <row r="631" spans="1:29" ht="15" customHeight="1">
      <c r="A631" s="688"/>
      <c r="B631" s="688"/>
      <c r="C631" s="679"/>
      <c r="D631" s="679"/>
      <c r="E631" s="680"/>
      <c r="F631" s="681"/>
      <c r="G631" s="680" t="e">
        <v>#N/A</v>
      </c>
      <c r="H631" s="3"/>
    </row>
    <row r="632" spans="1:29" ht="15" customHeight="1">
      <c r="A632" s="677"/>
      <c r="B632" s="688"/>
      <c r="C632" s="679"/>
      <c r="D632" s="679"/>
      <c r="E632" s="680"/>
      <c r="F632" s="681"/>
      <c r="G632" s="680" t="e">
        <v>#N/A</v>
      </c>
      <c r="H632" s="3"/>
    </row>
    <row r="633" spans="1:29" ht="15" customHeight="1">
      <c r="A633" s="677"/>
      <c r="B633" s="688"/>
      <c r="C633" s="679"/>
      <c r="D633" s="679"/>
      <c r="E633" s="680"/>
      <c r="F633" s="681"/>
      <c r="G633" s="680" t="e">
        <v>#N/A</v>
      </c>
      <c r="H633" s="3"/>
    </row>
    <row r="634" spans="1:29" ht="15" customHeight="1">
      <c r="A634" s="677"/>
      <c r="B634" s="688"/>
      <c r="C634" s="679"/>
      <c r="D634" s="679"/>
      <c r="E634" s="680"/>
      <c r="F634" s="681"/>
      <c r="G634" s="680" t="e">
        <v>#N/A</v>
      </c>
      <c r="H634" s="3"/>
    </row>
    <row r="635" spans="1:29" ht="15" customHeight="1">
      <c r="A635" s="677"/>
      <c r="B635" s="688"/>
      <c r="C635" s="679"/>
      <c r="D635" s="679"/>
      <c r="E635" s="680"/>
      <c r="F635" s="681"/>
      <c r="G635" s="680" t="e">
        <v>#N/A</v>
      </c>
      <c r="H635" s="3"/>
    </row>
    <row r="636" spans="1:29" ht="15" customHeight="1">
      <c r="A636" s="677"/>
      <c r="B636" s="688"/>
      <c r="C636" s="679"/>
      <c r="D636" s="679"/>
      <c r="E636" s="680"/>
      <c r="F636" s="681"/>
      <c r="G636" s="680" t="e">
        <v>#N/A</v>
      </c>
      <c r="H636" s="3"/>
      <c r="K636" s="3"/>
    </row>
    <row r="637" spans="1:29" ht="15" customHeight="1">
      <c r="A637" s="677"/>
      <c r="B637" s="688"/>
      <c r="C637" s="679"/>
      <c r="D637" s="679"/>
      <c r="E637" s="680"/>
      <c r="F637" s="681"/>
      <c r="G637" s="680" t="e">
        <v>#N/A</v>
      </c>
      <c r="H637" s="3"/>
    </row>
    <row r="638" spans="1:29" ht="15" customHeight="1">
      <c r="A638" s="677"/>
      <c r="B638" s="688"/>
      <c r="C638" s="679"/>
      <c r="D638" s="679"/>
      <c r="E638" s="680"/>
      <c r="F638" s="681"/>
      <c r="G638" s="680" t="e">
        <v>#N/A</v>
      </c>
      <c r="H638" s="3"/>
    </row>
    <row r="639" spans="1:29" ht="15" customHeight="1">
      <c r="A639" s="677"/>
      <c r="B639" s="688"/>
      <c r="C639" s="679"/>
      <c r="D639" s="679"/>
      <c r="E639" s="680"/>
      <c r="F639" s="681"/>
      <c r="G639" s="680" t="e">
        <v>#N/A</v>
      </c>
      <c r="H639" s="3"/>
    </row>
    <row r="640" spans="1:29" ht="15" customHeight="1">
      <c r="A640" s="677"/>
      <c r="B640" s="688"/>
      <c r="C640" s="679"/>
      <c r="D640" s="679"/>
      <c r="E640" s="680"/>
      <c r="F640" s="681"/>
      <c r="G640" s="680" t="e">
        <v>#N/A</v>
      </c>
      <c r="H640" s="3"/>
    </row>
    <row r="641" spans="1:8" ht="15" customHeight="1">
      <c r="A641" s="677"/>
      <c r="B641" s="688"/>
      <c r="C641" s="679"/>
      <c r="D641" s="679"/>
      <c r="E641" s="680"/>
      <c r="F641" s="681"/>
      <c r="G641" s="680" t="e">
        <v>#N/A</v>
      </c>
      <c r="H641" s="3"/>
    </row>
    <row r="642" spans="1:8" ht="15" customHeight="1">
      <c r="A642" s="677"/>
      <c r="B642" s="688"/>
      <c r="C642" s="679"/>
      <c r="D642" s="679"/>
      <c r="E642" s="680"/>
      <c r="F642" s="681"/>
      <c r="G642" s="680" t="e">
        <v>#N/A</v>
      </c>
      <c r="H642" s="3"/>
    </row>
    <row r="643" spans="1:8" ht="15" customHeight="1">
      <c r="A643" s="677"/>
      <c r="B643" s="688"/>
      <c r="C643" s="679"/>
      <c r="D643" s="679"/>
      <c r="E643" s="680"/>
      <c r="F643" s="681"/>
      <c r="G643" s="680" t="e">
        <v>#N/A</v>
      </c>
      <c r="H643" s="3"/>
    </row>
    <row r="644" spans="1:8" ht="15" customHeight="1">
      <c r="A644" s="677"/>
      <c r="B644" s="688"/>
      <c r="C644" s="679"/>
      <c r="D644" s="679"/>
      <c r="E644" s="680"/>
      <c r="F644" s="681"/>
      <c r="G644" s="680" t="e">
        <v>#N/A</v>
      </c>
      <c r="H644" s="3"/>
    </row>
    <row r="645" spans="1:8" ht="15" customHeight="1">
      <c r="A645" s="677"/>
      <c r="B645" s="688"/>
      <c r="C645" s="679"/>
      <c r="D645" s="679"/>
      <c r="E645" s="680"/>
      <c r="F645" s="681"/>
      <c r="G645" s="680" t="e">
        <v>#N/A</v>
      </c>
      <c r="H645" s="3"/>
    </row>
    <row r="646" spans="1:8" ht="15" customHeight="1">
      <c r="A646" s="677"/>
      <c r="B646" s="688"/>
      <c r="C646" s="679"/>
      <c r="D646" s="679"/>
      <c r="E646" s="680"/>
      <c r="F646" s="681"/>
      <c r="G646" s="680" t="e">
        <v>#N/A</v>
      </c>
      <c r="H646" s="3"/>
    </row>
    <row r="647" spans="1:8" ht="15" customHeight="1">
      <c r="A647" s="677"/>
      <c r="B647" s="688"/>
      <c r="C647" s="679"/>
      <c r="D647" s="679"/>
      <c r="E647" s="680"/>
      <c r="F647" s="681"/>
      <c r="G647" s="680" t="e">
        <v>#N/A</v>
      </c>
      <c r="H647" s="3"/>
    </row>
    <row r="648" spans="1:8" ht="15" customHeight="1">
      <c r="A648" s="677"/>
      <c r="B648" s="688"/>
      <c r="C648" s="679"/>
      <c r="D648" s="679"/>
      <c r="E648" s="680"/>
      <c r="F648" s="681"/>
      <c r="G648" s="680" t="e">
        <v>#N/A</v>
      </c>
      <c r="H648" s="3"/>
    </row>
    <row r="649" spans="1:8" ht="15" customHeight="1">
      <c r="A649" s="677"/>
      <c r="B649" s="688"/>
      <c r="C649" s="679"/>
      <c r="D649" s="679"/>
      <c r="E649" s="680"/>
      <c r="F649" s="681"/>
      <c r="G649" s="680" t="e">
        <v>#N/A</v>
      </c>
      <c r="H649" s="3"/>
    </row>
    <row r="650" spans="1:8" ht="15" customHeight="1">
      <c r="A650" s="688"/>
      <c r="B650" s="688"/>
      <c r="C650" s="679"/>
      <c r="D650" s="679"/>
      <c r="E650" s="680"/>
      <c r="F650" s="681"/>
      <c r="G650" s="680" t="e">
        <v>#N/A</v>
      </c>
      <c r="H650" s="3"/>
    </row>
    <row r="651" spans="1:8" ht="15" customHeight="1">
      <c r="A651" s="688"/>
      <c r="B651" s="688"/>
      <c r="C651" s="679"/>
      <c r="D651" s="679"/>
      <c r="E651" s="680"/>
      <c r="F651" s="681"/>
      <c r="G651" s="680" t="e">
        <v>#N/A</v>
      </c>
      <c r="H651" s="3"/>
    </row>
    <row r="652" spans="1:8" ht="15" customHeight="1">
      <c r="A652" s="677"/>
      <c r="B652" s="688"/>
      <c r="C652" s="679"/>
      <c r="D652" s="679"/>
      <c r="E652" s="680"/>
      <c r="F652" s="681"/>
      <c r="G652" s="680" t="e">
        <v>#N/A</v>
      </c>
      <c r="H652" s="3"/>
    </row>
    <row r="653" spans="1:8" ht="15" customHeight="1">
      <c r="A653" s="677"/>
      <c r="B653" s="688"/>
      <c r="C653" s="679"/>
      <c r="D653" s="679"/>
      <c r="E653" s="680"/>
      <c r="F653" s="681"/>
      <c r="G653" s="680" t="e">
        <v>#N/A</v>
      </c>
      <c r="H653" s="3"/>
    </row>
    <row r="654" spans="1:8" ht="15" customHeight="1">
      <c r="A654" s="677"/>
      <c r="B654" s="688"/>
      <c r="C654" s="679"/>
      <c r="D654" s="679"/>
      <c r="E654" s="680"/>
      <c r="F654" s="681"/>
      <c r="G654" s="680" t="e">
        <v>#N/A</v>
      </c>
      <c r="H654" s="3"/>
    </row>
    <row r="655" spans="1:8" ht="15" customHeight="1">
      <c r="A655" s="677"/>
      <c r="B655" s="701"/>
      <c r="C655" s="693"/>
      <c r="D655" s="679"/>
      <c r="E655" s="680"/>
      <c r="F655" s="681"/>
      <c r="G655" s="680" t="e">
        <v>#N/A</v>
      </c>
      <c r="H655" s="3"/>
    </row>
    <row r="656" spans="1:8" ht="15" customHeight="1">
      <c r="A656" s="677"/>
      <c r="B656" s="688"/>
      <c r="C656" s="679"/>
      <c r="D656" s="679"/>
      <c r="E656" s="680"/>
      <c r="F656" s="681"/>
      <c r="G656" s="680" t="e">
        <v>#N/A</v>
      </c>
      <c r="H656" s="3"/>
    </row>
    <row r="657" spans="1:29" ht="15" customHeight="1">
      <c r="A657" s="677"/>
      <c r="B657" s="688"/>
      <c r="C657" s="679"/>
      <c r="D657" s="679"/>
      <c r="E657" s="680"/>
      <c r="F657" s="681"/>
      <c r="G657" s="680" t="e">
        <v>#N/A</v>
      </c>
      <c r="H657" s="3"/>
    </row>
    <row r="658" spans="1:29" ht="15" customHeight="1">
      <c r="A658" s="677"/>
      <c r="B658" s="688"/>
      <c r="C658" s="679"/>
      <c r="D658" s="679"/>
      <c r="E658" s="680"/>
      <c r="F658" s="681"/>
      <c r="G658" s="680" t="e">
        <v>#N/A</v>
      </c>
      <c r="H658" s="3"/>
    </row>
    <row r="659" spans="1:29" ht="15" customHeight="1">
      <c r="A659" s="677"/>
      <c r="B659" s="688"/>
      <c r="C659" s="679"/>
      <c r="D659" s="679"/>
      <c r="E659" s="680"/>
      <c r="F659" s="681"/>
      <c r="G659" s="680" t="e">
        <v>#N/A</v>
      </c>
      <c r="H659" s="3"/>
    </row>
    <row r="660" spans="1:29" ht="15" customHeight="1">
      <c r="A660" s="677"/>
      <c r="B660" s="688"/>
      <c r="C660" s="679"/>
      <c r="D660" s="679"/>
      <c r="E660" s="680"/>
      <c r="F660" s="681"/>
      <c r="G660" s="680" t="e">
        <v>#N/A</v>
      </c>
      <c r="H660" s="3"/>
      <c r="I660" s="3"/>
      <c r="J660" s="3"/>
      <c r="L660" s="3"/>
      <c r="M660" s="3"/>
      <c r="N660" s="3"/>
      <c r="O660" s="3"/>
      <c r="P660" s="3"/>
      <c r="Q660" s="3"/>
      <c r="R660" s="3"/>
      <c r="S660" s="3"/>
      <c r="T660" s="3"/>
      <c r="U660" s="3"/>
      <c r="V660" s="3"/>
      <c r="W660" s="3"/>
      <c r="X660" s="3"/>
      <c r="Y660" s="3"/>
      <c r="Z660" s="3"/>
      <c r="AA660" s="3"/>
      <c r="AB660" s="3"/>
      <c r="AC660" s="3"/>
    </row>
    <row r="661" spans="1:29" ht="15" customHeight="1">
      <c r="A661" s="677"/>
      <c r="B661" s="688"/>
      <c r="C661" s="679"/>
      <c r="D661" s="679"/>
      <c r="E661" s="680"/>
      <c r="F661" s="681"/>
      <c r="G661" s="680" t="e">
        <v>#N/A</v>
      </c>
      <c r="H661" s="3"/>
    </row>
    <row r="662" spans="1:29" ht="15" customHeight="1">
      <c r="A662" s="677"/>
      <c r="B662" s="688"/>
      <c r="C662" s="679"/>
      <c r="D662" s="679"/>
      <c r="E662" s="680"/>
      <c r="F662" s="681"/>
      <c r="G662" s="680" t="e">
        <v>#N/A</v>
      </c>
      <c r="H662" s="3"/>
    </row>
    <row r="663" spans="1:29" ht="15" customHeight="1">
      <c r="A663" s="677"/>
      <c r="B663" s="688"/>
      <c r="C663" s="679"/>
      <c r="D663" s="679"/>
      <c r="E663" s="680"/>
      <c r="F663" s="681"/>
      <c r="G663" s="680" t="e">
        <v>#N/A</v>
      </c>
      <c r="H663" s="3"/>
    </row>
    <row r="664" spans="1:29" ht="15" customHeight="1">
      <c r="A664" s="677"/>
      <c r="B664" s="688"/>
      <c r="C664" s="679"/>
      <c r="D664" s="679"/>
      <c r="E664" s="680"/>
      <c r="F664" s="681"/>
      <c r="G664" s="680" t="e">
        <v>#N/A</v>
      </c>
      <c r="H664" s="3"/>
    </row>
    <row r="665" spans="1:29" ht="15" customHeight="1">
      <c r="A665" s="677"/>
      <c r="B665" s="688"/>
      <c r="C665" s="679"/>
      <c r="D665" s="679"/>
      <c r="E665" s="680"/>
      <c r="F665" s="681"/>
      <c r="G665" s="680" t="e">
        <v>#N/A</v>
      </c>
      <c r="H665" s="3"/>
    </row>
    <row r="666" spans="1:29" ht="15" customHeight="1">
      <c r="A666" s="677"/>
      <c r="B666" s="688"/>
      <c r="C666" s="679"/>
      <c r="D666" s="679"/>
      <c r="E666" s="680"/>
      <c r="F666" s="681"/>
      <c r="G666" s="680" t="e">
        <v>#N/A</v>
      </c>
      <c r="H666" s="3"/>
    </row>
    <row r="667" spans="1:29" ht="15" customHeight="1">
      <c r="A667" s="677"/>
      <c r="B667" s="688"/>
      <c r="C667" s="679"/>
      <c r="D667" s="679"/>
      <c r="E667" s="680"/>
      <c r="F667" s="681"/>
      <c r="G667" s="680" t="e">
        <v>#N/A</v>
      </c>
      <c r="H667" s="3"/>
    </row>
    <row r="668" spans="1:29" ht="15" customHeight="1">
      <c r="A668" s="677"/>
      <c r="B668" s="688"/>
      <c r="C668" s="679"/>
      <c r="D668" s="679"/>
      <c r="E668" s="680"/>
      <c r="F668" s="681"/>
      <c r="G668" s="680" t="e">
        <v>#N/A</v>
      </c>
      <c r="H668" s="3"/>
    </row>
    <row r="669" spans="1:29" ht="15" customHeight="1">
      <c r="A669" s="677"/>
      <c r="B669" s="688"/>
      <c r="C669" s="679"/>
      <c r="D669" s="679"/>
      <c r="E669" s="680"/>
      <c r="F669" s="681"/>
      <c r="G669" s="680" t="e">
        <v>#N/A</v>
      </c>
      <c r="H669" s="3"/>
    </row>
    <row r="670" spans="1:29" ht="15" customHeight="1">
      <c r="A670" s="677"/>
      <c r="B670" s="688"/>
      <c r="C670" s="679"/>
      <c r="D670" s="679"/>
      <c r="E670" s="680"/>
      <c r="F670" s="681"/>
      <c r="G670" s="680" t="e">
        <v>#N/A</v>
      </c>
      <c r="H670" s="3"/>
    </row>
    <row r="671" spans="1:29" ht="15" customHeight="1">
      <c r="A671" s="677"/>
      <c r="B671" s="688"/>
      <c r="C671" s="679"/>
      <c r="D671" s="679"/>
      <c r="E671" s="680"/>
      <c r="F671" s="681"/>
      <c r="G671" s="680" t="e">
        <v>#N/A</v>
      </c>
      <c r="H671" s="3"/>
    </row>
    <row r="672" spans="1:29" ht="15" customHeight="1">
      <c r="A672" s="677"/>
      <c r="B672" s="688"/>
      <c r="C672" s="679"/>
      <c r="D672" s="679"/>
      <c r="E672" s="680"/>
      <c r="F672" s="681"/>
      <c r="G672" s="680" t="e">
        <v>#N/A</v>
      </c>
      <c r="H672" s="3"/>
    </row>
    <row r="673" spans="1:8" ht="15" customHeight="1">
      <c r="A673" s="677"/>
      <c r="B673" s="688"/>
      <c r="C673" s="679"/>
      <c r="D673" s="679"/>
      <c r="E673" s="680"/>
      <c r="F673" s="681"/>
      <c r="G673" s="680" t="e">
        <v>#N/A</v>
      </c>
      <c r="H673" s="3"/>
    </row>
    <row r="674" spans="1:8" ht="15" customHeight="1">
      <c r="A674" s="677"/>
      <c r="B674" s="688"/>
      <c r="C674" s="679"/>
      <c r="D674" s="679"/>
      <c r="E674" s="680"/>
      <c r="F674" s="681"/>
      <c r="G674" s="680" t="e">
        <v>#N/A</v>
      </c>
      <c r="H674" s="3"/>
    </row>
    <row r="675" spans="1:8" ht="15" customHeight="1">
      <c r="A675" s="677"/>
      <c r="B675" s="688"/>
      <c r="C675" s="679"/>
      <c r="D675" s="679"/>
      <c r="E675" s="680"/>
      <c r="F675" s="681"/>
      <c r="G675" s="680" t="e">
        <v>#N/A</v>
      </c>
      <c r="H675" s="3"/>
    </row>
    <row r="676" spans="1:8" ht="15" customHeight="1">
      <c r="A676" s="677"/>
      <c r="B676" s="688"/>
      <c r="C676" s="679"/>
      <c r="D676" s="679"/>
      <c r="E676" s="680"/>
      <c r="F676" s="681"/>
      <c r="G676" s="680" t="e">
        <v>#N/A</v>
      </c>
      <c r="H676" s="3"/>
    </row>
    <row r="677" spans="1:8" ht="15" customHeight="1">
      <c r="A677" s="677"/>
      <c r="B677" s="688"/>
      <c r="C677" s="679"/>
      <c r="D677" s="679"/>
      <c r="E677" s="680"/>
      <c r="F677" s="681"/>
      <c r="G677" s="680" t="e">
        <v>#N/A</v>
      </c>
      <c r="H677" s="3"/>
    </row>
    <row r="678" spans="1:8" ht="15" customHeight="1">
      <c r="A678" s="677"/>
      <c r="B678" s="688"/>
      <c r="C678" s="679"/>
      <c r="D678" s="679"/>
      <c r="E678" s="680"/>
      <c r="F678" s="681"/>
      <c r="G678" s="680" t="e">
        <v>#N/A</v>
      </c>
      <c r="H678" s="3"/>
    </row>
    <row r="679" spans="1:8" ht="15" customHeight="1">
      <c r="A679" s="677"/>
      <c r="B679" s="688"/>
      <c r="C679" s="679"/>
      <c r="D679" s="679"/>
      <c r="E679" s="680"/>
      <c r="F679" s="681"/>
      <c r="G679" s="680" t="e">
        <v>#N/A</v>
      </c>
      <c r="H679" s="3"/>
    </row>
    <row r="680" spans="1:8" ht="15" customHeight="1">
      <c r="A680" s="677"/>
      <c r="B680" s="688"/>
      <c r="C680" s="679"/>
      <c r="D680" s="679"/>
      <c r="E680" s="680"/>
      <c r="F680" s="681"/>
      <c r="G680" s="680" t="e">
        <v>#N/A</v>
      </c>
      <c r="H680" s="3"/>
    </row>
    <row r="681" spans="1:8" ht="15" customHeight="1">
      <c r="A681" s="677"/>
      <c r="B681" s="688"/>
      <c r="C681" s="679"/>
      <c r="D681" s="679"/>
      <c r="E681" s="680"/>
      <c r="F681" s="681"/>
      <c r="G681" s="680" t="e">
        <v>#N/A</v>
      </c>
      <c r="H681" s="3"/>
    </row>
    <row r="682" spans="1:8" ht="15" customHeight="1">
      <c r="A682" s="677"/>
      <c r="B682" s="688"/>
      <c r="C682" s="679"/>
      <c r="D682" s="679"/>
      <c r="E682" s="680"/>
      <c r="F682" s="681"/>
      <c r="G682" s="680" t="e">
        <v>#N/A</v>
      </c>
      <c r="H682" s="3"/>
    </row>
    <row r="683" spans="1:8" ht="15" customHeight="1">
      <c r="A683" s="677"/>
      <c r="B683" s="700"/>
      <c r="C683" s="679"/>
      <c r="D683" s="679"/>
      <c r="E683" s="680"/>
      <c r="F683" s="681"/>
      <c r="G683" s="680" t="e">
        <v>#N/A</v>
      </c>
      <c r="H683" s="3"/>
    </row>
    <row r="684" spans="1:8" ht="15" customHeight="1">
      <c r="A684" s="677"/>
      <c r="B684" s="700"/>
      <c r="C684" s="679"/>
      <c r="D684" s="679"/>
      <c r="E684" s="680"/>
      <c r="F684" s="681"/>
      <c r="G684" s="680" t="e">
        <v>#N/A</v>
      </c>
      <c r="H684" s="3"/>
    </row>
    <row r="685" spans="1:8" ht="15" customHeight="1">
      <c r="A685" s="677"/>
      <c r="B685" s="688"/>
      <c r="C685" s="679"/>
      <c r="D685" s="679"/>
      <c r="E685" s="680"/>
      <c r="F685" s="681"/>
      <c r="G685" s="680" t="e">
        <v>#N/A</v>
      </c>
      <c r="H685" s="3"/>
    </row>
    <row r="686" spans="1:8" ht="15" customHeight="1">
      <c r="A686" s="677"/>
      <c r="B686" s="688"/>
      <c r="C686" s="679"/>
      <c r="D686" s="679"/>
      <c r="E686" s="680"/>
      <c r="F686" s="681"/>
      <c r="G686" s="680" t="e">
        <v>#N/A</v>
      </c>
      <c r="H686" s="3"/>
    </row>
    <row r="687" spans="1:8" ht="15" customHeight="1">
      <c r="A687" s="677"/>
      <c r="B687" s="688"/>
      <c r="C687" s="679"/>
      <c r="D687" s="679"/>
      <c r="E687" s="680"/>
      <c r="F687" s="681"/>
      <c r="G687" s="680" t="e">
        <v>#N/A</v>
      </c>
      <c r="H687" s="3"/>
    </row>
    <row r="688" spans="1:8" ht="15" customHeight="1">
      <c r="A688" s="677"/>
      <c r="B688" s="688"/>
      <c r="C688" s="679"/>
      <c r="D688" s="679"/>
      <c r="E688" s="680"/>
      <c r="F688" s="681"/>
      <c r="G688" s="680" t="e">
        <v>#N/A</v>
      </c>
      <c r="H688" s="3"/>
    </row>
    <row r="689" spans="1:29" ht="15" customHeight="1">
      <c r="A689" s="677"/>
      <c r="B689" s="688"/>
      <c r="C689" s="679"/>
      <c r="D689" s="679"/>
      <c r="E689" s="680"/>
      <c r="F689" s="681"/>
      <c r="G689" s="680" t="e">
        <v>#N/A</v>
      </c>
      <c r="H689" s="3"/>
    </row>
    <row r="690" spans="1:29" ht="15" customHeight="1">
      <c r="A690" s="677"/>
      <c r="B690" s="688"/>
      <c r="C690" s="679"/>
      <c r="D690" s="679"/>
      <c r="E690" s="680"/>
      <c r="F690" s="681"/>
      <c r="G690" s="680" t="e">
        <v>#N/A</v>
      </c>
      <c r="H690" s="3"/>
    </row>
    <row r="691" spans="1:29" ht="15" customHeight="1">
      <c r="A691" s="677"/>
      <c r="B691" s="688"/>
      <c r="C691" s="679"/>
      <c r="D691" s="679"/>
      <c r="E691" s="680"/>
      <c r="F691" s="681"/>
      <c r="G691" s="680" t="e">
        <v>#N/A</v>
      </c>
      <c r="H691" s="3"/>
    </row>
    <row r="692" spans="1:29" ht="15" customHeight="1">
      <c r="A692" s="677"/>
      <c r="B692" s="688"/>
      <c r="C692" s="679"/>
      <c r="D692" s="679"/>
      <c r="E692" s="680"/>
      <c r="F692" s="681"/>
      <c r="G692" s="680" t="e">
        <v>#N/A</v>
      </c>
      <c r="H692" s="3"/>
    </row>
    <row r="693" spans="1:29" ht="15" customHeight="1">
      <c r="A693" s="677"/>
      <c r="B693" s="688"/>
      <c r="C693" s="679"/>
      <c r="D693" s="679"/>
      <c r="E693" s="680"/>
      <c r="F693" s="681"/>
      <c r="G693" s="680" t="e">
        <v>#N/A</v>
      </c>
      <c r="H693" s="3"/>
    </row>
    <row r="694" spans="1:29" ht="15" customHeight="1">
      <c r="A694" s="677"/>
      <c r="B694" s="688"/>
      <c r="C694" s="679"/>
      <c r="D694" s="679"/>
      <c r="E694" s="680"/>
      <c r="F694" s="681"/>
      <c r="G694" s="680" t="e">
        <v>#N/A</v>
      </c>
      <c r="H694" s="3"/>
    </row>
    <row r="695" spans="1:29" ht="15" customHeight="1">
      <c r="A695" s="677"/>
      <c r="B695" s="688"/>
      <c r="C695" s="679"/>
      <c r="D695" s="679"/>
      <c r="E695" s="680"/>
      <c r="F695" s="681"/>
      <c r="G695" s="680" t="e">
        <v>#N/A</v>
      </c>
      <c r="H695" s="3"/>
      <c r="I695" s="3"/>
      <c r="J695" s="3"/>
      <c r="L695" s="3"/>
      <c r="M695" s="3"/>
      <c r="N695" s="3"/>
      <c r="O695" s="3"/>
      <c r="P695" s="3"/>
      <c r="Q695" s="3"/>
      <c r="R695" s="3"/>
      <c r="S695" s="3"/>
      <c r="T695" s="3"/>
      <c r="U695" s="3"/>
      <c r="V695" s="3"/>
      <c r="W695" s="3"/>
      <c r="X695" s="3"/>
      <c r="Y695" s="3"/>
      <c r="Z695" s="3"/>
      <c r="AA695" s="3"/>
      <c r="AB695" s="3"/>
      <c r="AC695" s="3"/>
    </row>
    <row r="696" spans="1:29" ht="15" customHeight="1">
      <c r="A696" s="677"/>
      <c r="B696" s="688"/>
      <c r="C696" s="679"/>
      <c r="D696" s="679"/>
      <c r="E696" s="680"/>
      <c r="F696" s="681"/>
      <c r="G696" s="680" t="e">
        <v>#N/A</v>
      </c>
      <c r="H696" s="3"/>
    </row>
    <row r="697" spans="1:29" ht="15" customHeight="1">
      <c r="A697" s="677"/>
      <c r="B697" s="688"/>
      <c r="C697" s="679"/>
      <c r="D697" s="679"/>
      <c r="E697" s="680"/>
      <c r="F697" s="681"/>
      <c r="G697" s="680" t="e">
        <v>#N/A</v>
      </c>
      <c r="H697" s="3"/>
    </row>
    <row r="698" spans="1:29" ht="15" customHeight="1">
      <c r="A698" s="689"/>
      <c r="B698" s="678"/>
      <c r="C698" s="679"/>
      <c r="D698" s="679"/>
      <c r="E698" s="680"/>
      <c r="F698" s="681"/>
      <c r="G698" s="680" t="e">
        <v>#N/A</v>
      </c>
      <c r="H698" s="3"/>
    </row>
    <row r="699" spans="1:29" ht="15" customHeight="1">
      <c r="A699" s="677"/>
      <c r="B699" s="688"/>
      <c r="C699" s="679"/>
      <c r="D699" s="679"/>
      <c r="E699" s="680"/>
      <c r="F699" s="681"/>
      <c r="G699" s="680" t="e">
        <v>#N/A</v>
      </c>
      <c r="H699" s="3"/>
    </row>
    <row r="700" spans="1:29" ht="15" customHeight="1">
      <c r="A700" s="678"/>
      <c r="B700" s="678"/>
      <c r="C700" s="679"/>
      <c r="D700" s="679"/>
      <c r="E700" s="680"/>
      <c r="F700" s="681"/>
      <c r="G700" s="680" t="e">
        <v>#N/A</v>
      </c>
      <c r="H700" s="3"/>
    </row>
    <row r="701" spans="1:29" ht="15" customHeight="1">
      <c r="A701" s="688"/>
      <c r="B701" s="688"/>
      <c r="C701" s="679"/>
      <c r="D701" s="679"/>
      <c r="E701" s="680"/>
      <c r="F701" s="681"/>
      <c r="G701" s="680" t="e">
        <v>#N/A</v>
      </c>
      <c r="H701" s="3"/>
    </row>
    <row r="702" spans="1:29" ht="15" customHeight="1">
      <c r="A702" s="689"/>
      <c r="B702" s="678"/>
      <c r="C702" s="679"/>
      <c r="D702" s="679"/>
      <c r="E702" s="680"/>
      <c r="F702" s="681"/>
      <c r="G702" s="680" t="e">
        <v>#N/A</v>
      </c>
      <c r="H702" s="3"/>
    </row>
    <row r="703" spans="1:29" ht="15" customHeight="1">
      <c r="A703" s="688"/>
      <c r="B703" s="688"/>
      <c r="C703" s="679"/>
      <c r="D703" s="679"/>
      <c r="E703" s="680"/>
      <c r="F703" s="681"/>
      <c r="G703" s="680" t="e">
        <v>#N/A</v>
      </c>
      <c r="H703" s="3"/>
    </row>
    <row r="704" spans="1:29" ht="15" customHeight="1">
      <c r="A704" s="689"/>
      <c r="B704" s="678"/>
      <c r="C704" s="679"/>
      <c r="D704" s="679"/>
      <c r="E704" s="680"/>
      <c r="F704" s="681"/>
      <c r="G704" s="680" t="e">
        <v>#N/A</v>
      </c>
      <c r="H704" s="3"/>
    </row>
    <row r="705" spans="1:29" ht="15" customHeight="1">
      <c r="A705" s="688"/>
      <c r="B705" s="688"/>
      <c r="C705" s="679"/>
      <c r="D705" s="679"/>
      <c r="E705" s="680"/>
      <c r="F705" s="681"/>
      <c r="G705" s="680" t="e">
        <v>#N/A</v>
      </c>
      <c r="H705" s="3"/>
    </row>
    <row r="706" spans="1:29" ht="15" customHeight="1">
      <c r="A706" s="677"/>
      <c r="B706" s="688"/>
      <c r="C706" s="679"/>
      <c r="D706" s="679"/>
      <c r="E706" s="680"/>
      <c r="F706" s="681"/>
      <c r="G706" s="680" t="e">
        <v>#N/A</v>
      </c>
      <c r="H706" s="3"/>
    </row>
    <row r="707" spans="1:29" ht="15" customHeight="1">
      <c r="A707" s="677"/>
      <c r="B707" s="688"/>
      <c r="C707" s="679"/>
      <c r="D707" s="679"/>
      <c r="E707" s="680"/>
      <c r="F707" s="681"/>
      <c r="G707" s="680" t="e">
        <v>#N/A</v>
      </c>
      <c r="H707" s="3"/>
    </row>
    <row r="708" spans="1:29" ht="15" customHeight="1">
      <c r="A708" s="677"/>
      <c r="B708" s="688"/>
      <c r="C708" s="679"/>
      <c r="D708" s="679"/>
      <c r="E708" s="680"/>
      <c r="F708" s="681"/>
      <c r="G708" s="680" t="e">
        <v>#N/A</v>
      </c>
      <c r="H708" s="3"/>
      <c r="I708" s="3"/>
      <c r="J708" s="3"/>
      <c r="L708" s="3"/>
      <c r="M708" s="3"/>
      <c r="N708" s="3"/>
      <c r="O708" s="3"/>
      <c r="P708" s="3"/>
      <c r="Q708" s="3"/>
      <c r="R708" s="3"/>
      <c r="S708" s="3"/>
      <c r="T708" s="3"/>
      <c r="U708" s="3"/>
      <c r="V708" s="3"/>
      <c r="W708" s="3"/>
      <c r="X708" s="3"/>
      <c r="Y708" s="3"/>
      <c r="Z708" s="3"/>
      <c r="AA708" s="3"/>
      <c r="AB708" s="3"/>
      <c r="AC708" s="3"/>
    </row>
    <row r="709" spans="1:29" ht="15" customHeight="1">
      <c r="A709" s="688"/>
      <c r="B709" s="688"/>
      <c r="C709" s="679"/>
      <c r="D709" s="679"/>
      <c r="E709" s="680"/>
      <c r="F709" s="681"/>
      <c r="G709" s="680" t="e">
        <v>#N/A</v>
      </c>
      <c r="H709" s="3"/>
    </row>
    <row r="710" spans="1:29" ht="15" customHeight="1">
      <c r="A710" s="688"/>
      <c r="B710" s="688"/>
      <c r="C710" s="679"/>
      <c r="D710" s="679"/>
      <c r="E710" s="680"/>
      <c r="F710" s="681"/>
      <c r="G710" s="680" t="e">
        <v>#N/A</v>
      </c>
      <c r="H710" s="3"/>
      <c r="I710" s="3"/>
      <c r="J710" s="3"/>
      <c r="L710" s="3"/>
      <c r="M710" s="3"/>
      <c r="N710" s="3"/>
      <c r="O710" s="3"/>
      <c r="P710" s="3"/>
      <c r="Q710" s="3"/>
      <c r="R710" s="3"/>
      <c r="S710" s="3"/>
      <c r="T710" s="3"/>
      <c r="U710" s="3"/>
      <c r="V710" s="3"/>
      <c r="W710" s="3"/>
      <c r="X710" s="3"/>
      <c r="Y710" s="3"/>
      <c r="Z710" s="3"/>
      <c r="AA710" s="3"/>
      <c r="AB710" s="3"/>
      <c r="AC710" s="3"/>
    </row>
    <row r="711" spans="1:29" ht="15" customHeight="1">
      <c r="A711" s="677"/>
      <c r="B711" s="688"/>
      <c r="C711" s="679"/>
      <c r="D711" s="679"/>
      <c r="E711" s="680"/>
      <c r="F711" s="681"/>
      <c r="G711" s="680" t="e">
        <v>#N/A</v>
      </c>
      <c r="H711" s="3"/>
      <c r="K711" s="3"/>
    </row>
    <row r="712" spans="1:29" ht="15" customHeight="1">
      <c r="A712" s="677"/>
      <c r="B712" s="688"/>
      <c r="C712" s="679"/>
      <c r="D712" s="679"/>
      <c r="E712" s="680"/>
      <c r="F712" s="681"/>
      <c r="G712" s="680" t="e">
        <v>#N/A</v>
      </c>
      <c r="H712" s="3"/>
    </row>
    <row r="713" spans="1:29" ht="15" customHeight="1">
      <c r="A713" s="677"/>
      <c r="B713" s="688"/>
      <c r="C713" s="679"/>
      <c r="D713" s="679"/>
      <c r="E713" s="680"/>
      <c r="F713" s="681"/>
      <c r="G713" s="680" t="e">
        <v>#N/A</v>
      </c>
      <c r="H713" s="3"/>
    </row>
    <row r="714" spans="1:29" ht="15" customHeight="1">
      <c r="A714" s="677"/>
      <c r="B714" s="688"/>
      <c r="C714" s="679"/>
      <c r="D714" s="679"/>
      <c r="E714" s="680"/>
      <c r="F714" s="681"/>
      <c r="G714" s="680" t="e">
        <v>#N/A</v>
      </c>
      <c r="H714" s="3"/>
    </row>
    <row r="715" spans="1:29" ht="15" customHeight="1">
      <c r="A715" s="677"/>
      <c r="B715" s="688"/>
      <c r="C715" s="679"/>
      <c r="D715" s="679"/>
      <c r="E715" s="680"/>
      <c r="F715" s="681"/>
      <c r="G715" s="680" t="e">
        <v>#N/A</v>
      </c>
      <c r="H715" s="3"/>
    </row>
    <row r="716" spans="1:29" ht="15" customHeight="1">
      <c r="A716" s="677"/>
      <c r="B716" s="688"/>
      <c r="C716" s="679"/>
      <c r="D716" s="679"/>
      <c r="E716" s="680"/>
      <c r="F716" s="681"/>
      <c r="G716" s="680" t="e">
        <v>#N/A</v>
      </c>
      <c r="H716" s="3"/>
    </row>
    <row r="717" spans="1:29" ht="15" customHeight="1">
      <c r="A717" s="677"/>
      <c r="B717" s="688"/>
      <c r="C717" s="679"/>
      <c r="D717" s="679"/>
      <c r="E717" s="680"/>
      <c r="F717" s="681"/>
      <c r="G717" s="680" t="e">
        <v>#N/A</v>
      </c>
      <c r="H717" s="3"/>
    </row>
    <row r="718" spans="1:29" ht="15" customHeight="1">
      <c r="A718" s="677"/>
      <c r="B718" s="688"/>
      <c r="C718" s="679"/>
      <c r="D718" s="679"/>
      <c r="E718" s="680"/>
      <c r="F718" s="681"/>
      <c r="G718" s="680" t="e">
        <v>#N/A</v>
      </c>
      <c r="H718" s="3"/>
    </row>
    <row r="719" spans="1:29" ht="15" customHeight="1">
      <c r="A719" s="677"/>
      <c r="B719" s="688"/>
      <c r="C719" s="679"/>
      <c r="D719" s="679"/>
      <c r="E719" s="680"/>
      <c r="F719" s="681"/>
      <c r="G719" s="680" t="e">
        <v>#N/A</v>
      </c>
      <c r="H719" s="3"/>
    </row>
    <row r="720" spans="1:29" ht="15" customHeight="1">
      <c r="A720" s="677"/>
      <c r="B720" s="688"/>
      <c r="C720" s="679"/>
      <c r="D720" s="679"/>
      <c r="E720" s="680"/>
      <c r="F720" s="681"/>
      <c r="G720" s="680" t="e">
        <v>#N/A</v>
      </c>
      <c r="H720" s="3"/>
    </row>
    <row r="721" spans="1:8" ht="15" customHeight="1">
      <c r="A721" s="677"/>
      <c r="B721" s="688"/>
      <c r="C721" s="679"/>
      <c r="D721" s="679"/>
      <c r="E721" s="680"/>
      <c r="F721" s="681"/>
      <c r="G721" s="680" t="e">
        <v>#N/A</v>
      </c>
      <c r="H721" s="3"/>
    </row>
    <row r="722" spans="1:8" ht="15" customHeight="1">
      <c r="A722" s="702"/>
      <c r="B722" s="701"/>
      <c r="C722" s="693"/>
      <c r="D722" s="679"/>
      <c r="E722" s="680"/>
      <c r="F722" s="681"/>
      <c r="G722" s="680" t="e">
        <v>#N/A</v>
      </c>
      <c r="H722" s="3"/>
    </row>
    <row r="723" spans="1:8" ht="15" customHeight="1">
      <c r="A723" s="677"/>
      <c r="B723" s="688"/>
      <c r="C723" s="679"/>
      <c r="D723" s="679"/>
      <c r="E723" s="680"/>
      <c r="F723" s="681"/>
      <c r="G723" s="680" t="e">
        <v>#N/A</v>
      </c>
      <c r="H723" s="3"/>
    </row>
    <row r="724" spans="1:8" ht="15" customHeight="1">
      <c r="A724" s="677"/>
      <c r="B724" s="688"/>
      <c r="C724" s="679"/>
      <c r="D724" s="679"/>
      <c r="E724" s="680"/>
      <c r="F724" s="681"/>
      <c r="G724" s="680" t="e">
        <v>#N/A</v>
      </c>
      <c r="H724" s="3"/>
    </row>
    <row r="725" spans="1:8" ht="15" customHeight="1">
      <c r="A725" s="677"/>
      <c r="B725" s="688"/>
      <c r="C725" s="679"/>
      <c r="D725" s="679"/>
      <c r="E725" s="680"/>
      <c r="F725" s="681"/>
      <c r="G725" s="680" t="e">
        <v>#N/A</v>
      </c>
      <c r="H725" s="3"/>
    </row>
    <row r="726" spans="1:8" ht="15" customHeight="1">
      <c r="A726" s="677"/>
      <c r="B726" s="688"/>
      <c r="C726" s="679"/>
      <c r="D726" s="679"/>
      <c r="E726" s="680"/>
      <c r="F726" s="681"/>
      <c r="G726" s="680" t="e">
        <v>#N/A</v>
      </c>
      <c r="H726" s="3"/>
    </row>
    <row r="727" spans="1:8" ht="15" customHeight="1">
      <c r="A727" s="677"/>
      <c r="B727" s="688"/>
      <c r="C727" s="679"/>
      <c r="D727" s="679"/>
      <c r="E727" s="680"/>
      <c r="F727" s="681"/>
      <c r="G727" s="680" t="e">
        <v>#N/A</v>
      </c>
      <c r="H727" s="3"/>
    </row>
    <row r="728" spans="1:8" ht="15" customHeight="1">
      <c r="A728" s="677"/>
      <c r="B728" s="688"/>
      <c r="C728" s="679"/>
      <c r="D728" s="679"/>
      <c r="E728" s="680"/>
      <c r="F728" s="681"/>
      <c r="G728" s="680" t="e">
        <v>#N/A</v>
      </c>
      <c r="H728" s="3"/>
    </row>
    <row r="729" spans="1:8" ht="15" customHeight="1">
      <c r="A729" s="677"/>
      <c r="B729" s="688"/>
      <c r="C729" s="679"/>
      <c r="D729" s="679"/>
      <c r="E729" s="680"/>
      <c r="F729" s="681"/>
      <c r="G729" s="680" t="e">
        <v>#N/A</v>
      </c>
      <c r="H729" s="3"/>
    </row>
    <row r="730" spans="1:8" ht="15" customHeight="1">
      <c r="A730" s="677"/>
      <c r="B730" s="688"/>
      <c r="C730" s="679"/>
      <c r="D730" s="679"/>
      <c r="E730" s="680"/>
      <c r="F730" s="681"/>
      <c r="G730" s="680" t="e">
        <v>#N/A</v>
      </c>
      <c r="H730" s="3"/>
    </row>
    <row r="731" spans="1:8" ht="15" customHeight="1">
      <c r="A731" s="677"/>
      <c r="B731" s="688"/>
      <c r="C731" s="679"/>
      <c r="D731" s="679"/>
      <c r="E731" s="680"/>
      <c r="F731" s="681"/>
      <c r="G731" s="680" t="e">
        <v>#N/A</v>
      </c>
      <c r="H731" s="3"/>
    </row>
    <row r="732" spans="1:8" ht="15" customHeight="1">
      <c r="A732" s="702"/>
      <c r="B732" s="703"/>
      <c r="C732" s="679"/>
      <c r="D732" s="679"/>
      <c r="E732" s="680"/>
      <c r="F732" s="681"/>
      <c r="G732" s="680" t="e">
        <v>#N/A</v>
      </c>
      <c r="H732" s="3"/>
    </row>
    <row r="733" spans="1:8" ht="15" customHeight="1">
      <c r="A733" s="677"/>
      <c r="B733" s="685"/>
      <c r="C733" s="679"/>
      <c r="D733" s="679"/>
      <c r="E733" s="680"/>
      <c r="F733" s="681"/>
      <c r="G733" s="680" t="e">
        <v>#N/A</v>
      </c>
      <c r="H733" s="3"/>
    </row>
    <row r="734" spans="1:8" ht="15" customHeight="1">
      <c r="A734" s="677"/>
      <c r="B734" s="688"/>
      <c r="C734" s="679"/>
      <c r="D734" s="679"/>
      <c r="E734" s="680"/>
      <c r="F734" s="681"/>
      <c r="G734" s="680" t="e">
        <v>#N/A</v>
      </c>
      <c r="H734" s="3"/>
    </row>
    <row r="735" spans="1:8" ht="15" customHeight="1">
      <c r="A735" s="677"/>
      <c r="B735" s="688"/>
      <c r="C735" s="679"/>
      <c r="D735" s="679"/>
      <c r="E735" s="680"/>
      <c r="F735" s="681"/>
      <c r="G735" s="680" t="e">
        <v>#N/A</v>
      </c>
      <c r="H735" s="3"/>
    </row>
    <row r="736" spans="1:8" ht="15" customHeight="1">
      <c r="A736" s="677"/>
      <c r="B736" s="688"/>
      <c r="C736" s="679"/>
      <c r="D736" s="679"/>
      <c r="E736" s="680"/>
      <c r="F736" s="681"/>
      <c r="G736" s="680" t="e">
        <v>#N/A</v>
      </c>
      <c r="H736" s="3"/>
    </row>
    <row r="737" spans="1:11" ht="15" customHeight="1">
      <c r="A737" s="677"/>
      <c r="B737" s="688"/>
      <c r="C737" s="679"/>
      <c r="D737" s="679"/>
      <c r="E737" s="680"/>
      <c r="F737" s="681"/>
      <c r="G737" s="680" t="e">
        <v>#N/A</v>
      </c>
      <c r="H737" s="3"/>
    </row>
    <row r="738" spans="1:11" ht="15" customHeight="1">
      <c r="A738" s="677"/>
      <c r="B738" s="688"/>
      <c r="C738" s="679"/>
      <c r="D738" s="679"/>
      <c r="E738" s="680"/>
      <c r="F738" s="681"/>
      <c r="G738" s="680" t="e">
        <v>#N/A</v>
      </c>
      <c r="H738" s="3"/>
    </row>
    <row r="739" spans="1:11" ht="15" customHeight="1">
      <c r="A739" s="689"/>
      <c r="B739" s="678"/>
      <c r="C739" s="679"/>
      <c r="D739" s="679"/>
      <c r="E739" s="680"/>
      <c r="F739" s="681"/>
      <c r="G739" s="680" t="e">
        <v>#N/A</v>
      </c>
      <c r="H739" s="3"/>
    </row>
    <row r="740" spans="1:11" ht="15" customHeight="1">
      <c r="A740" s="677"/>
      <c r="B740" s="688"/>
      <c r="C740" s="679"/>
      <c r="D740" s="679"/>
      <c r="E740" s="680"/>
      <c r="F740" s="681"/>
      <c r="G740" s="680" t="e">
        <v>#N/A</v>
      </c>
      <c r="H740" s="3"/>
    </row>
    <row r="741" spans="1:11" ht="15" customHeight="1">
      <c r="A741" s="677"/>
      <c r="B741" s="688"/>
      <c r="C741" s="679"/>
      <c r="D741" s="679"/>
      <c r="E741" s="680"/>
      <c r="F741" s="681"/>
      <c r="G741" s="680" t="e">
        <v>#N/A</v>
      </c>
      <c r="H741" s="3"/>
    </row>
    <row r="742" spans="1:11" ht="15" customHeight="1">
      <c r="A742" s="677"/>
      <c r="B742" s="688"/>
      <c r="C742" s="679"/>
      <c r="D742" s="679"/>
      <c r="E742" s="680"/>
      <c r="F742" s="681"/>
      <c r="G742" s="680" t="e">
        <v>#N/A</v>
      </c>
      <c r="H742" s="3"/>
    </row>
    <row r="743" spans="1:11" ht="15" customHeight="1">
      <c r="A743" s="677"/>
      <c r="B743" s="688"/>
      <c r="C743" s="679"/>
      <c r="D743" s="679"/>
      <c r="E743" s="680"/>
      <c r="F743" s="681"/>
      <c r="G743" s="680" t="e">
        <v>#N/A</v>
      </c>
      <c r="H743" s="3"/>
    </row>
    <row r="744" spans="1:11" ht="15" customHeight="1">
      <c r="A744" s="677"/>
      <c r="B744" s="688"/>
      <c r="C744" s="679"/>
      <c r="D744" s="679"/>
      <c r="E744" s="680"/>
      <c r="F744" s="681"/>
      <c r="G744" s="680" t="e">
        <v>#N/A</v>
      </c>
      <c r="H744" s="3"/>
    </row>
    <row r="745" spans="1:11" ht="15" customHeight="1">
      <c r="A745" s="677"/>
      <c r="B745" s="688"/>
      <c r="C745" s="679"/>
      <c r="D745" s="679"/>
      <c r="E745" s="680"/>
      <c r="F745" s="681"/>
      <c r="G745" s="680" t="e">
        <v>#N/A</v>
      </c>
      <c r="H745" s="3"/>
    </row>
    <row r="746" spans="1:11" ht="15" customHeight="1">
      <c r="A746" s="677"/>
      <c r="B746" s="688"/>
      <c r="C746" s="679"/>
      <c r="D746" s="679"/>
      <c r="E746" s="680"/>
      <c r="F746" s="681"/>
      <c r="G746" s="680" t="e">
        <v>#N/A</v>
      </c>
      <c r="H746" s="3"/>
      <c r="K746" s="3"/>
    </row>
    <row r="747" spans="1:11" ht="15" customHeight="1">
      <c r="A747" s="677"/>
      <c r="B747" s="688"/>
      <c r="C747" s="679"/>
      <c r="D747" s="679"/>
      <c r="E747" s="680"/>
      <c r="F747" s="681"/>
      <c r="G747" s="680" t="e">
        <v>#N/A</v>
      </c>
      <c r="H747" s="3"/>
    </row>
    <row r="748" spans="1:11" ht="15" customHeight="1">
      <c r="A748" s="677"/>
      <c r="B748" s="701"/>
      <c r="C748" s="693"/>
      <c r="D748" s="679"/>
      <c r="E748" s="680"/>
      <c r="F748" s="681"/>
      <c r="G748" s="680" t="e">
        <v>#N/A</v>
      </c>
      <c r="H748" s="3"/>
    </row>
    <row r="749" spans="1:11" ht="15" customHeight="1">
      <c r="A749" s="677"/>
      <c r="B749" s="688"/>
      <c r="C749" s="679"/>
      <c r="D749" s="679"/>
      <c r="E749" s="680"/>
      <c r="F749" s="681"/>
      <c r="G749" s="680" t="e">
        <v>#N/A</v>
      </c>
      <c r="H749" s="3"/>
    </row>
    <row r="750" spans="1:11" ht="15" customHeight="1">
      <c r="A750" s="677"/>
      <c r="B750" s="688"/>
      <c r="C750" s="679"/>
      <c r="D750" s="679"/>
      <c r="E750" s="680"/>
      <c r="F750" s="681"/>
      <c r="G750" s="680" t="e">
        <v>#N/A</v>
      </c>
      <c r="H750" s="3"/>
    </row>
    <row r="751" spans="1:11" ht="15" customHeight="1">
      <c r="A751" s="677"/>
      <c r="B751" s="688"/>
      <c r="C751" s="679"/>
      <c r="D751" s="679"/>
      <c r="E751" s="680"/>
      <c r="F751" s="681"/>
      <c r="G751" s="680" t="e">
        <v>#N/A</v>
      </c>
      <c r="H751" s="3"/>
    </row>
    <row r="752" spans="1:11" ht="15" customHeight="1">
      <c r="A752" s="677"/>
      <c r="B752" s="688"/>
      <c r="C752" s="679"/>
      <c r="D752" s="679"/>
      <c r="E752" s="680"/>
      <c r="F752" s="681"/>
      <c r="G752" s="680" t="e">
        <v>#N/A</v>
      </c>
      <c r="H752" s="3"/>
    </row>
    <row r="753" spans="1:29" ht="15" customHeight="1">
      <c r="A753" s="677"/>
      <c r="B753" s="688"/>
      <c r="C753" s="679"/>
      <c r="D753" s="679"/>
      <c r="E753" s="680"/>
      <c r="F753" s="681"/>
      <c r="G753" s="680" t="e">
        <v>#N/A</v>
      </c>
      <c r="H753" s="3"/>
    </row>
    <row r="754" spans="1:29" ht="15" customHeight="1">
      <c r="A754" s="677"/>
      <c r="B754" s="688"/>
      <c r="C754" s="679"/>
      <c r="D754" s="679"/>
      <c r="E754" s="680"/>
      <c r="F754" s="681"/>
      <c r="G754" s="680" t="e">
        <v>#N/A</v>
      </c>
      <c r="H754" s="3"/>
    </row>
    <row r="755" spans="1:29" ht="15" customHeight="1">
      <c r="A755" s="677"/>
      <c r="B755" s="688"/>
      <c r="C755" s="679"/>
      <c r="D755" s="679"/>
      <c r="E755" s="680"/>
      <c r="F755" s="681"/>
      <c r="G755" s="680" t="e">
        <v>#N/A</v>
      </c>
      <c r="H755" s="3"/>
    </row>
    <row r="756" spans="1:29" ht="15" customHeight="1">
      <c r="A756" s="688"/>
      <c r="B756" s="688"/>
      <c r="C756" s="679"/>
      <c r="D756" s="679"/>
      <c r="E756" s="680"/>
      <c r="F756" s="681"/>
      <c r="G756" s="680" t="e">
        <v>#N/A</v>
      </c>
      <c r="H756" s="3"/>
    </row>
    <row r="757" spans="1:29" ht="15" customHeight="1">
      <c r="A757" s="677"/>
      <c r="B757" s="688"/>
      <c r="C757" s="679"/>
      <c r="D757" s="679"/>
      <c r="E757" s="680"/>
      <c r="F757" s="681"/>
      <c r="G757" s="680" t="e">
        <v>#N/A</v>
      </c>
      <c r="H757" s="3"/>
    </row>
    <row r="758" spans="1:29" ht="15" customHeight="1">
      <c r="A758" s="677"/>
      <c r="B758" s="688"/>
      <c r="C758" s="679"/>
      <c r="D758" s="679"/>
      <c r="E758" s="680"/>
      <c r="F758" s="681"/>
      <c r="G758" s="680" t="e">
        <v>#N/A</v>
      </c>
      <c r="H758" s="3"/>
    </row>
    <row r="759" spans="1:29" ht="15" customHeight="1">
      <c r="A759" s="677"/>
      <c r="B759" s="688"/>
      <c r="C759" s="679"/>
      <c r="D759" s="679"/>
      <c r="E759" s="680"/>
      <c r="F759" s="681"/>
      <c r="G759" s="680" t="e">
        <v>#N/A</v>
      </c>
      <c r="H759" s="3"/>
      <c r="K759" s="3"/>
    </row>
    <row r="760" spans="1:29" ht="15" customHeight="1">
      <c r="A760" s="677"/>
      <c r="B760" s="688"/>
      <c r="C760" s="679"/>
      <c r="D760" s="679"/>
      <c r="E760" s="680"/>
      <c r="F760" s="681"/>
      <c r="G760" s="680" t="e">
        <v>#N/A</v>
      </c>
      <c r="H760" s="3"/>
    </row>
    <row r="761" spans="1:29" ht="15" customHeight="1">
      <c r="A761" s="677"/>
      <c r="B761" s="688"/>
      <c r="C761" s="679"/>
      <c r="D761" s="679"/>
      <c r="E761" s="680"/>
      <c r="F761" s="681"/>
      <c r="G761" s="680" t="e">
        <v>#N/A</v>
      </c>
      <c r="H761" s="3"/>
      <c r="K761" s="3"/>
    </row>
    <row r="762" spans="1:29" ht="15" customHeight="1">
      <c r="A762" s="677"/>
      <c r="B762" s="688"/>
      <c r="C762" s="679"/>
      <c r="D762" s="679"/>
      <c r="E762" s="680"/>
      <c r="F762" s="681"/>
      <c r="G762" s="680" t="e">
        <v>#N/A</v>
      </c>
      <c r="H762" s="3"/>
    </row>
    <row r="763" spans="1:29" ht="15" customHeight="1">
      <c r="A763" s="677"/>
      <c r="B763" s="688"/>
      <c r="C763" s="679"/>
      <c r="D763" s="679"/>
      <c r="E763" s="680"/>
      <c r="F763" s="681"/>
      <c r="G763" s="680" t="e">
        <v>#N/A</v>
      </c>
      <c r="H763" s="3"/>
    </row>
    <row r="764" spans="1:29" ht="15" customHeight="1">
      <c r="A764" s="677"/>
      <c r="B764" s="688"/>
      <c r="C764" s="679"/>
      <c r="D764" s="679"/>
      <c r="E764" s="680"/>
      <c r="F764" s="681"/>
      <c r="G764" s="680" t="e">
        <v>#N/A</v>
      </c>
      <c r="H764" s="3"/>
    </row>
    <row r="765" spans="1:29" ht="15" customHeight="1">
      <c r="A765" s="677"/>
      <c r="B765" s="688"/>
      <c r="C765" s="679"/>
      <c r="D765" s="679"/>
      <c r="E765" s="680"/>
      <c r="F765" s="681"/>
      <c r="G765" s="680" t="e">
        <v>#N/A</v>
      </c>
      <c r="H765" s="3"/>
    </row>
    <row r="766" spans="1:29" ht="15" customHeight="1">
      <c r="A766" s="677"/>
      <c r="B766" s="688"/>
      <c r="C766" s="679"/>
      <c r="D766" s="679"/>
      <c r="E766" s="680"/>
      <c r="F766" s="681"/>
      <c r="G766" s="680" t="e">
        <v>#N/A</v>
      </c>
      <c r="H766" s="3"/>
    </row>
    <row r="767" spans="1:29" ht="15" customHeight="1">
      <c r="A767" s="677"/>
      <c r="B767" s="688"/>
      <c r="C767" s="679"/>
      <c r="D767" s="679"/>
      <c r="E767" s="680"/>
      <c r="F767" s="681"/>
      <c r="G767" s="680" t="e">
        <v>#N/A</v>
      </c>
      <c r="H767" s="3"/>
    </row>
    <row r="768" spans="1:29" ht="15" customHeight="1">
      <c r="A768" s="677"/>
      <c r="B768" s="688"/>
      <c r="C768" s="679"/>
      <c r="D768" s="679"/>
      <c r="E768" s="680"/>
      <c r="F768" s="681"/>
      <c r="G768" s="680" t="e">
        <v>#N/A</v>
      </c>
      <c r="H768" s="3"/>
      <c r="I768" s="3"/>
      <c r="J768" s="3"/>
      <c r="L768" s="3"/>
      <c r="M768" s="3"/>
      <c r="N768" s="3"/>
      <c r="O768" s="3"/>
      <c r="P768" s="3"/>
      <c r="Q768" s="3"/>
      <c r="R768" s="3"/>
      <c r="S768" s="3"/>
      <c r="T768" s="3"/>
      <c r="U768" s="3"/>
      <c r="V768" s="3"/>
      <c r="W768" s="3"/>
      <c r="X768" s="3"/>
      <c r="Y768" s="3"/>
      <c r="Z768" s="3"/>
      <c r="AA768" s="3"/>
      <c r="AB768" s="3"/>
      <c r="AC768" s="3"/>
    </row>
    <row r="769" spans="1:8" ht="15" customHeight="1">
      <c r="A769" s="677"/>
      <c r="B769" s="688"/>
      <c r="C769" s="679"/>
      <c r="D769" s="679"/>
      <c r="E769" s="680"/>
      <c r="F769" s="681"/>
      <c r="G769" s="680" t="e">
        <v>#N/A</v>
      </c>
      <c r="H769" s="3"/>
    </row>
    <row r="770" spans="1:8" ht="15" customHeight="1">
      <c r="A770" s="677"/>
      <c r="B770" s="688"/>
      <c r="C770" s="679"/>
      <c r="D770" s="679"/>
      <c r="E770" s="680"/>
      <c r="F770" s="681"/>
      <c r="G770" s="680" t="e">
        <v>#N/A</v>
      </c>
      <c r="H770" s="3"/>
    </row>
    <row r="771" spans="1:8" ht="15" customHeight="1">
      <c r="A771" s="677"/>
      <c r="B771" s="688"/>
      <c r="C771" s="679"/>
      <c r="D771" s="679"/>
      <c r="E771" s="680"/>
      <c r="F771" s="681"/>
      <c r="G771" s="680" t="e">
        <v>#N/A</v>
      </c>
      <c r="H771" s="3"/>
    </row>
    <row r="772" spans="1:8" ht="15" customHeight="1">
      <c r="A772" s="677"/>
      <c r="B772" s="688"/>
      <c r="C772" s="679"/>
      <c r="D772" s="679"/>
      <c r="E772" s="680"/>
      <c r="F772" s="681"/>
      <c r="G772" s="680" t="e">
        <v>#N/A</v>
      </c>
      <c r="H772" s="3"/>
    </row>
    <row r="773" spans="1:8" ht="15" customHeight="1">
      <c r="A773" s="677"/>
      <c r="B773" s="688"/>
      <c r="C773" s="679"/>
      <c r="D773" s="679"/>
      <c r="E773" s="680"/>
      <c r="F773" s="681"/>
      <c r="G773" s="680" t="e">
        <v>#N/A</v>
      </c>
      <c r="H773" s="3"/>
    </row>
    <row r="774" spans="1:8" ht="15" customHeight="1">
      <c r="A774" s="677"/>
      <c r="B774" s="688"/>
      <c r="C774" s="679"/>
      <c r="D774" s="679"/>
      <c r="E774" s="680"/>
      <c r="F774" s="681"/>
      <c r="G774" s="680" t="e">
        <v>#N/A</v>
      </c>
      <c r="H774" s="3"/>
    </row>
    <row r="775" spans="1:8" ht="15" customHeight="1">
      <c r="A775" s="677"/>
      <c r="B775" s="688"/>
      <c r="C775" s="679"/>
      <c r="D775" s="679"/>
      <c r="E775" s="680"/>
      <c r="F775" s="681"/>
      <c r="G775" s="680" t="e">
        <v>#N/A</v>
      </c>
      <c r="H775" s="3"/>
    </row>
    <row r="776" spans="1:8" ht="15" customHeight="1">
      <c r="A776" s="677"/>
      <c r="B776" s="688"/>
      <c r="C776" s="679"/>
      <c r="D776" s="679"/>
      <c r="E776" s="680"/>
      <c r="F776" s="681"/>
      <c r="G776" s="680" t="e">
        <v>#N/A</v>
      </c>
      <c r="H776" s="3"/>
    </row>
    <row r="777" spans="1:8" ht="15" customHeight="1">
      <c r="A777" s="677"/>
      <c r="B777" s="688"/>
      <c r="C777" s="679"/>
      <c r="D777" s="679"/>
      <c r="E777" s="680"/>
      <c r="F777" s="681"/>
      <c r="G777" s="680" t="e">
        <v>#N/A</v>
      </c>
      <c r="H777" s="3"/>
    </row>
    <row r="778" spans="1:8" ht="15" customHeight="1">
      <c r="A778" s="677"/>
      <c r="B778" s="688"/>
      <c r="C778" s="679"/>
      <c r="D778" s="679"/>
      <c r="E778" s="680"/>
      <c r="F778" s="681"/>
      <c r="G778" s="680" t="e">
        <v>#N/A</v>
      </c>
      <c r="H778" s="3"/>
    </row>
    <row r="779" spans="1:8" ht="15" customHeight="1">
      <c r="A779" s="677"/>
      <c r="B779" s="688"/>
      <c r="C779" s="679"/>
      <c r="D779" s="679"/>
      <c r="E779" s="680"/>
      <c r="F779" s="681"/>
      <c r="G779" s="680" t="e">
        <v>#N/A</v>
      </c>
      <c r="H779" s="3"/>
    </row>
    <row r="780" spans="1:8" ht="15" customHeight="1">
      <c r="A780" s="677"/>
      <c r="B780" s="688"/>
      <c r="C780" s="679"/>
      <c r="D780" s="679"/>
      <c r="E780" s="680"/>
      <c r="F780" s="681"/>
      <c r="G780" s="680" t="e">
        <v>#N/A</v>
      </c>
      <c r="H780" s="3"/>
    </row>
    <row r="781" spans="1:8" ht="15" customHeight="1">
      <c r="A781" s="677"/>
      <c r="B781" s="688"/>
      <c r="C781" s="679"/>
      <c r="D781" s="679"/>
      <c r="E781" s="680"/>
      <c r="F781" s="681"/>
      <c r="G781" s="680" t="e">
        <v>#N/A</v>
      </c>
      <c r="H781" s="3"/>
    </row>
    <row r="782" spans="1:8" ht="15" customHeight="1">
      <c r="A782" s="677"/>
      <c r="B782" s="688"/>
      <c r="C782" s="679"/>
      <c r="D782" s="679"/>
      <c r="E782" s="680"/>
      <c r="F782" s="681"/>
      <c r="G782" s="680" t="e">
        <v>#N/A</v>
      </c>
      <c r="H782" s="3"/>
    </row>
    <row r="783" spans="1:8" ht="15" customHeight="1">
      <c r="A783" s="677"/>
      <c r="B783" s="688"/>
      <c r="C783" s="679"/>
      <c r="D783" s="679"/>
      <c r="E783" s="680"/>
      <c r="F783" s="681"/>
      <c r="G783" s="680" t="e">
        <v>#N/A</v>
      </c>
      <c r="H783" s="3"/>
    </row>
    <row r="784" spans="1:8" ht="15" customHeight="1">
      <c r="A784" s="677"/>
      <c r="B784" s="688"/>
      <c r="C784" s="679"/>
      <c r="D784" s="679"/>
      <c r="E784" s="680"/>
      <c r="F784" s="681"/>
      <c r="G784" s="680" t="e">
        <v>#N/A</v>
      </c>
      <c r="H784" s="3"/>
    </row>
    <row r="785" spans="1:8" ht="15" customHeight="1">
      <c r="A785" s="677"/>
      <c r="B785" s="688"/>
      <c r="C785" s="679"/>
      <c r="D785" s="679"/>
      <c r="E785" s="680"/>
      <c r="F785" s="681"/>
      <c r="G785" s="680" t="e">
        <v>#N/A</v>
      </c>
      <c r="H785" s="3"/>
    </row>
    <row r="786" spans="1:8" ht="15" customHeight="1">
      <c r="A786" s="677"/>
      <c r="B786" s="688"/>
      <c r="C786" s="679"/>
      <c r="D786" s="679"/>
      <c r="E786" s="680"/>
      <c r="F786" s="681"/>
      <c r="G786" s="680" t="e">
        <v>#N/A</v>
      </c>
      <c r="H786" s="3"/>
    </row>
    <row r="787" spans="1:8" ht="15" customHeight="1">
      <c r="A787" s="677"/>
      <c r="B787" s="688"/>
      <c r="C787" s="679"/>
      <c r="D787" s="679"/>
      <c r="E787" s="680"/>
      <c r="F787" s="681"/>
      <c r="G787" s="680" t="e">
        <v>#N/A</v>
      </c>
      <c r="H787" s="3"/>
    </row>
    <row r="788" spans="1:8" ht="15" customHeight="1">
      <c r="A788" s="677"/>
      <c r="B788" s="688"/>
      <c r="C788" s="679"/>
      <c r="D788" s="679"/>
      <c r="E788" s="680"/>
      <c r="F788" s="681"/>
      <c r="G788" s="680" t="e">
        <v>#N/A</v>
      </c>
      <c r="H788" s="3"/>
    </row>
    <row r="789" spans="1:8" ht="15" customHeight="1">
      <c r="A789" s="677"/>
      <c r="B789" s="688"/>
      <c r="C789" s="679"/>
      <c r="D789" s="679"/>
      <c r="E789" s="680"/>
      <c r="F789" s="681"/>
      <c r="G789" s="680" t="e">
        <v>#N/A</v>
      </c>
      <c r="H789" s="3"/>
    </row>
    <row r="790" spans="1:8" ht="15" customHeight="1">
      <c r="A790" s="677"/>
      <c r="B790" s="688"/>
      <c r="C790" s="679"/>
      <c r="D790" s="679"/>
      <c r="E790" s="680"/>
      <c r="F790" s="681"/>
      <c r="G790" s="680" t="e">
        <v>#N/A</v>
      </c>
      <c r="H790" s="3"/>
    </row>
    <row r="791" spans="1:8" ht="15" customHeight="1">
      <c r="A791" s="677"/>
      <c r="B791" s="688"/>
      <c r="C791" s="679"/>
      <c r="D791" s="679"/>
      <c r="E791" s="680"/>
      <c r="F791" s="681"/>
      <c r="G791" s="680" t="e">
        <v>#N/A</v>
      </c>
      <c r="H791" s="3"/>
    </row>
    <row r="792" spans="1:8" ht="15" customHeight="1">
      <c r="A792" s="677"/>
      <c r="B792" s="688"/>
      <c r="C792" s="679"/>
      <c r="D792" s="679"/>
      <c r="E792" s="680"/>
      <c r="F792" s="681"/>
      <c r="G792" s="680" t="e">
        <v>#N/A</v>
      </c>
      <c r="H792" s="3"/>
    </row>
    <row r="793" spans="1:8" ht="15" customHeight="1">
      <c r="A793" s="688"/>
      <c r="B793" s="688"/>
      <c r="C793" s="679"/>
      <c r="D793" s="679"/>
      <c r="E793" s="680"/>
      <c r="F793" s="681"/>
      <c r="G793" s="680" t="e">
        <v>#N/A</v>
      </c>
      <c r="H793" s="3"/>
    </row>
    <row r="794" spans="1:8" ht="15" customHeight="1">
      <c r="A794" s="677"/>
      <c r="B794" s="688"/>
      <c r="C794" s="679"/>
      <c r="D794" s="679"/>
      <c r="E794" s="680"/>
      <c r="F794" s="681"/>
      <c r="G794" s="680" t="e">
        <v>#N/A</v>
      </c>
      <c r="H794" s="3"/>
    </row>
    <row r="795" spans="1:8" ht="15" customHeight="1">
      <c r="A795" s="677"/>
      <c r="B795" s="688"/>
      <c r="C795" s="679"/>
      <c r="D795" s="679"/>
      <c r="E795" s="680"/>
      <c r="F795" s="681"/>
      <c r="G795" s="680" t="e">
        <v>#N/A</v>
      </c>
      <c r="H795" s="3"/>
    </row>
    <row r="796" spans="1:8" ht="15" customHeight="1">
      <c r="A796" s="677"/>
      <c r="B796" s="688"/>
      <c r="C796" s="679"/>
      <c r="D796" s="679"/>
      <c r="E796" s="680"/>
      <c r="F796" s="681"/>
      <c r="G796" s="680" t="e">
        <v>#N/A</v>
      </c>
      <c r="H796" s="3"/>
    </row>
    <row r="797" spans="1:8" ht="15" customHeight="1">
      <c r="A797" s="677"/>
      <c r="B797" s="688"/>
      <c r="C797" s="679"/>
      <c r="D797" s="679"/>
      <c r="E797" s="680"/>
      <c r="F797" s="681"/>
      <c r="G797" s="680" t="e">
        <v>#N/A</v>
      </c>
      <c r="H797" s="3"/>
    </row>
    <row r="798" spans="1:8" ht="15" customHeight="1">
      <c r="A798" s="677"/>
      <c r="B798" s="688"/>
      <c r="C798" s="679"/>
      <c r="D798" s="679"/>
      <c r="E798" s="680"/>
      <c r="F798" s="681"/>
      <c r="G798" s="680" t="e">
        <v>#N/A</v>
      </c>
      <c r="H798" s="3"/>
    </row>
    <row r="799" spans="1:8" ht="15" customHeight="1">
      <c r="A799" s="677"/>
      <c r="B799" s="688"/>
      <c r="C799" s="679"/>
      <c r="D799" s="679"/>
      <c r="E799" s="680"/>
      <c r="F799" s="681"/>
      <c r="G799" s="680" t="e">
        <v>#N/A</v>
      </c>
      <c r="H799" s="3"/>
    </row>
    <row r="800" spans="1:8" ht="15" customHeight="1">
      <c r="A800" s="677"/>
      <c r="B800" s="688"/>
      <c r="C800" s="679"/>
      <c r="D800" s="679"/>
      <c r="E800" s="680"/>
      <c r="F800" s="681"/>
      <c r="G800" s="680" t="e">
        <v>#N/A</v>
      </c>
      <c r="H800" s="3"/>
    </row>
    <row r="801" spans="1:29" ht="15" customHeight="1">
      <c r="A801" s="677"/>
      <c r="B801" s="688"/>
      <c r="C801" s="679"/>
      <c r="D801" s="679"/>
      <c r="E801" s="680"/>
      <c r="F801" s="681"/>
      <c r="G801" s="680" t="e">
        <v>#N/A</v>
      </c>
      <c r="H801" s="3"/>
    </row>
    <row r="802" spans="1:29" ht="15" customHeight="1">
      <c r="A802" s="677"/>
      <c r="B802" s="688"/>
      <c r="C802" s="679"/>
      <c r="D802" s="679"/>
      <c r="E802" s="680"/>
      <c r="F802" s="681"/>
      <c r="G802" s="680" t="e">
        <v>#N/A</v>
      </c>
      <c r="H802" s="3"/>
    </row>
    <row r="803" spans="1:29" ht="15" customHeight="1">
      <c r="A803" s="677"/>
      <c r="B803" s="688"/>
      <c r="C803" s="679"/>
      <c r="D803" s="679"/>
      <c r="E803" s="680"/>
      <c r="F803" s="681"/>
      <c r="G803" s="680" t="e">
        <v>#N/A</v>
      </c>
      <c r="H803" s="3"/>
    </row>
    <row r="804" spans="1:29" ht="15" customHeight="1">
      <c r="A804" s="677"/>
      <c r="B804" s="688"/>
      <c r="C804" s="679"/>
      <c r="D804" s="679"/>
      <c r="E804" s="680"/>
      <c r="F804" s="681"/>
      <c r="G804" s="680" t="e">
        <v>#N/A</v>
      </c>
      <c r="H804" s="3"/>
      <c r="I804" s="3"/>
      <c r="J804" s="3"/>
      <c r="L804" s="3"/>
      <c r="M804" s="3"/>
      <c r="N804" s="3"/>
      <c r="O804" s="3"/>
      <c r="P804" s="3"/>
      <c r="Q804" s="3"/>
      <c r="R804" s="3"/>
      <c r="S804" s="3"/>
      <c r="T804" s="3"/>
      <c r="U804" s="3"/>
      <c r="V804" s="3"/>
      <c r="W804" s="3"/>
      <c r="X804" s="3"/>
      <c r="Y804" s="3"/>
      <c r="Z804" s="3"/>
      <c r="AA804" s="3"/>
      <c r="AB804" s="3"/>
      <c r="AC804" s="3"/>
    </row>
    <row r="805" spans="1:29" ht="15" customHeight="1">
      <c r="A805" s="677"/>
      <c r="B805" s="688"/>
      <c r="C805" s="679"/>
      <c r="D805" s="679"/>
      <c r="E805" s="680"/>
      <c r="F805" s="681"/>
      <c r="G805" s="680" t="e">
        <v>#N/A</v>
      </c>
      <c r="H805" s="3"/>
    </row>
    <row r="806" spans="1:29" ht="15" customHeight="1">
      <c r="A806" s="677"/>
      <c r="B806" s="688"/>
      <c r="C806" s="679"/>
      <c r="D806" s="679"/>
      <c r="E806" s="680"/>
      <c r="F806" s="681"/>
      <c r="G806" s="680" t="e">
        <v>#N/A</v>
      </c>
      <c r="H806" s="3"/>
    </row>
    <row r="807" spans="1:29" ht="15" customHeight="1">
      <c r="A807" s="677"/>
      <c r="B807" s="688"/>
      <c r="C807" s="679"/>
      <c r="D807" s="679"/>
      <c r="E807" s="680"/>
      <c r="F807" s="681"/>
      <c r="G807" s="680" t="e">
        <v>#N/A</v>
      </c>
      <c r="H807" s="3"/>
    </row>
    <row r="808" spans="1:29" ht="15" customHeight="1">
      <c r="A808" s="677"/>
      <c r="B808" s="688"/>
      <c r="C808" s="679"/>
      <c r="D808" s="679"/>
      <c r="E808" s="680"/>
      <c r="F808" s="681"/>
      <c r="G808" s="680" t="e">
        <v>#N/A</v>
      </c>
      <c r="H808" s="3"/>
    </row>
    <row r="809" spans="1:29" ht="15" customHeight="1">
      <c r="A809" s="677"/>
      <c r="B809" s="688"/>
      <c r="C809" s="679"/>
      <c r="D809" s="679"/>
      <c r="E809" s="680"/>
      <c r="F809" s="681"/>
      <c r="G809" s="680" t="e">
        <v>#N/A</v>
      </c>
      <c r="H809" s="3"/>
    </row>
    <row r="810" spans="1:29" ht="15" customHeight="1">
      <c r="A810" s="677"/>
      <c r="B810" s="688"/>
      <c r="C810" s="679"/>
      <c r="D810" s="679"/>
      <c r="E810" s="680"/>
      <c r="F810" s="681"/>
      <c r="G810" s="680" t="e">
        <v>#N/A</v>
      </c>
      <c r="H810" s="3"/>
    </row>
    <row r="811" spans="1:29" ht="15" customHeight="1">
      <c r="A811" s="677"/>
      <c r="B811" s="688"/>
      <c r="C811" s="679"/>
      <c r="D811" s="679"/>
      <c r="E811" s="680"/>
      <c r="F811" s="681"/>
      <c r="G811" s="680" t="e">
        <v>#N/A</v>
      </c>
      <c r="H811" s="3"/>
      <c r="K811" s="3"/>
    </row>
    <row r="812" spans="1:29" ht="15" customHeight="1">
      <c r="A812" s="677"/>
      <c r="B812" s="688"/>
      <c r="C812" s="679"/>
      <c r="D812" s="679"/>
      <c r="E812" s="680"/>
      <c r="F812" s="681"/>
      <c r="G812" s="680" t="e">
        <v>#N/A</v>
      </c>
      <c r="H812" s="3"/>
    </row>
    <row r="813" spans="1:29" ht="15" customHeight="1">
      <c r="A813" s="677"/>
      <c r="B813" s="688"/>
      <c r="C813" s="679"/>
      <c r="D813" s="679"/>
      <c r="E813" s="680"/>
      <c r="F813" s="681"/>
      <c r="G813" s="680" t="e">
        <v>#N/A</v>
      </c>
      <c r="H813" s="3"/>
    </row>
    <row r="814" spans="1:29" ht="15" customHeight="1">
      <c r="A814" s="677"/>
      <c r="B814" s="688"/>
      <c r="C814" s="679"/>
      <c r="D814" s="679"/>
      <c r="E814" s="680"/>
      <c r="F814" s="681"/>
      <c r="G814" s="680" t="e">
        <v>#N/A</v>
      </c>
      <c r="H814" s="3"/>
    </row>
    <row r="815" spans="1:29" ht="15" customHeight="1">
      <c r="A815" s="677"/>
      <c r="B815" s="703"/>
      <c r="C815" s="679"/>
      <c r="D815" s="679"/>
      <c r="E815" s="680"/>
      <c r="F815" s="681"/>
      <c r="G815" s="680" t="e">
        <v>#N/A</v>
      </c>
      <c r="H815" s="3"/>
    </row>
    <row r="816" spans="1:29" ht="15" customHeight="1">
      <c r="A816" s="677"/>
      <c r="B816" s="688"/>
      <c r="C816" s="679"/>
      <c r="D816" s="679"/>
      <c r="E816" s="680"/>
      <c r="F816" s="681"/>
      <c r="G816" s="680" t="e">
        <v>#N/A</v>
      </c>
      <c r="H816" s="4"/>
    </row>
    <row r="817" spans="1:29" ht="15" customHeight="1">
      <c r="A817" s="677"/>
      <c r="B817" s="688"/>
      <c r="C817" s="679"/>
      <c r="D817" s="679"/>
      <c r="E817" s="680"/>
      <c r="F817" s="681"/>
      <c r="G817" s="680" t="e">
        <v>#N/A</v>
      </c>
      <c r="H817" s="4"/>
    </row>
    <row r="818" spans="1:29" ht="15" customHeight="1">
      <c r="A818" s="677"/>
      <c r="B818" s="688"/>
      <c r="C818" s="679"/>
      <c r="D818" s="679"/>
      <c r="E818" s="680"/>
      <c r="F818" s="681"/>
      <c r="G818" s="680" t="e">
        <v>#N/A</v>
      </c>
      <c r="H818" s="3"/>
    </row>
    <row r="819" spans="1:29" ht="15" customHeight="1">
      <c r="A819" s="677"/>
      <c r="B819" s="688"/>
      <c r="C819" s="679"/>
      <c r="D819" s="679"/>
      <c r="E819" s="680"/>
      <c r="F819" s="681"/>
      <c r="G819" s="680" t="e">
        <v>#N/A</v>
      </c>
      <c r="H819" s="3"/>
    </row>
    <row r="820" spans="1:29" ht="15" customHeight="1">
      <c r="A820" s="677"/>
      <c r="B820" s="688"/>
      <c r="C820" s="679"/>
      <c r="D820" s="679"/>
      <c r="E820" s="680"/>
      <c r="F820" s="681"/>
      <c r="G820" s="680" t="e">
        <v>#N/A</v>
      </c>
      <c r="H820" s="3"/>
      <c r="I820" s="3"/>
      <c r="J820" s="3"/>
      <c r="K820" s="3"/>
      <c r="L820" s="3"/>
      <c r="M820" s="3"/>
      <c r="N820" s="3"/>
      <c r="O820" s="3"/>
      <c r="P820" s="3"/>
      <c r="Q820" s="3"/>
      <c r="R820" s="3"/>
      <c r="S820" s="3"/>
      <c r="T820" s="3"/>
      <c r="U820" s="3"/>
      <c r="V820" s="3"/>
      <c r="W820" s="3"/>
      <c r="X820" s="3"/>
      <c r="Y820" s="3"/>
      <c r="Z820" s="3"/>
      <c r="AA820" s="3"/>
      <c r="AB820" s="3"/>
      <c r="AC820" s="3"/>
    </row>
    <row r="821" spans="1:29" ht="15" customHeight="1">
      <c r="A821" s="677"/>
      <c r="B821" s="688"/>
      <c r="C821" s="679"/>
      <c r="D821" s="679"/>
      <c r="E821" s="680"/>
      <c r="F821" s="681"/>
      <c r="G821" s="680" t="e">
        <v>#N/A</v>
      </c>
      <c r="H821" s="3"/>
      <c r="I821" s="3"/>
      <c r="J821" s="3"/>
      <c r="L821" s="3"/>
      <c r="M821" s="3"/>
      <c r="N821" s="3"/>
      <c r="O821" s="3"/>
      <c r="P821" s="3"/>
      <c r="Q821" s="3"/>
      <c r="R821" s="3"/>
      <c r="S821" s="3"/>
      <c r="T821" s="3"/>
      <c r="U821" s="3"/>
      <c r="V821" s="3"/>
      <c r="W821" s="3"/>
      <c r="X821" s="3"/>
      <c r="Y821" s="3"/>
      <c r="Z821" s="3"/>
      <c r="AA821" s="3"/>
      <c r="AB821" s="3"/>
      <c r="AC821" s="3"/>
    </row>
    <row r="822" spans="1:29" ht="15" customHeight="1">
      <c r="A822" s="677"/>
      <c r="B822" s="688"/>
      <c r="C822" s="679"/>
      <c r="D822" s="679"/>
      <c r="E822" s="680"/>
      <c r="F822" s="681"/>
      <c r="G822" s="680" t="e">
        <v>#N/A</v>
      </c>
      <c r="H822" s="3"/>
    </row>
    <row r="823" spans="1:29" ht="15" customHeight="1">
      <c r="A823" s="677"/>
      <c r="B823" s="688"/>
      <c r="C823" s="679"/>
      <c r="D823" s="679"/>
      <c r="E823" s="680"/>
      <c r="F823" s="681"/>
      <c r="G823" s="680" t="e">
        <v>#N/A</v>
      </c>
      <c r="H823" s="3"/>
    </row>
    <row r="824" spans="1:29" ht="15" customHeight="1">
      <c r="A824" s="677"/>
      <c r="B824" s="688"/>
      <c r="C824" s="679"/>
      <c r="D824" s="679"/>
      <c r="E824" s="680"/>
      <c r="F824" s="681"/>
      <c r="G824" s="680" t="e">
        <v>#N/A</v>
      </c>
      <c r="H824" s="3"/>
    </row>
    <row r="825" spans="1:29" ht="15" customHeight="1">
      <c r="A825" s="677"/>
      <c r="B825" s="688"/>
      <c r="C825" s="679"/>
      <c r="D825" s="679"/>
      <c r="E825" s="680"/>
      <c r="F825" s="681"/>
      <c r="G825" s="680" t="e">
        <v>#N/A</v>
      </c>
      <c r="H825" s="3"/>
    </row>
    <row r="826" spans="1:29" ht="15" customHeight="1">
      <c r="A826" s="688"/>
      <c r="B826" s="688"/>
      <c r="C826" s="679"/>
      <c r="D826" s="679"/>
      <c r="E826" s="680"/>
      <c r="F826" s="681"/>
      <c r="G826" s="680" t="e">
        <v>#N/A</v>
      </c>
      <c r="H826" s="33"/>
    </row>
    <row r="827" spans="1:29" ht="15" customHeight="1">
      <c r="A827" s="688"/>
      <c r="B827" s="688"/>
      <c r="C827" s="679"/>
      <c r="D827" s="679"/>
      <c r="E827" s="680"/>
      <c r="F827" s="681"/>
      <c r="G827" s="680" t="e">
        <v>#N/A</v>
      </c>
      <c r="H827" s="33"/>
      <c r="I827" s="3"/>
      <c r="J827" s="3"/>
      <c r="L827" s="3"/>
      <c r="M827" s="3"/>
      <c r="N827" s="3"/>
      <c r="O827" s="3"/>
      <c r="P827" s="3"/>
      <c r="Q827" s="3"/>
      <c r="R827" s="3"/>
      <c r="S827" s="3"/>
      <c r="T827" s="3"/>
      <c r="U827" s="3"/>
      <c r="V827" s="3"/>
      <c r="W827" s="3"/>
      <c r="X827" s="3"/>
      <c r="Y827" s="3"/>
      <c r="Z827" s="3"/>
      <c r="AA827" s="3"/>
      <c r="AB827" s="3"/>
      <c r="AC827" s="3"/>
    </row>
    <row r="828" spans="1:29" ht="15" customHeight="1">
      <c r="A828" s="677"/>
      <c r="B828" s="688"/>
      <c r="C828" s="679"/>
      <c r="D828" s="679"/>
      <c r="E828" s="680"/>
      <c r="F828" s="681"/>
      <c r="G828" s="680" t="e">
        <v>#N/A</v>
      </c>
      <c r="H828" s="33"/>
    </row>
    <row r="829" spans="1:29" ht="15" customHeight="1">
      <c r="A829" s="677"/>
      <c r="B829" s="688"/>
      <c r="C829" s="679"/>
      <c r="D829" s="679"/>
      <c r="E829" s="680"/>
      <c r="F829" s="681"/>
      <c r="G829" s="680" t="e">
        <v>#N/A</v>
      </c>
      <c r="H829" s="33"/>
    </row>
    <row r="830" spans="1:29" ht="15" customHeight="1">
      <c r="A830" s="677"/>
      <c r="B830" s="688"/>
      <c r="C830" s="679"/>
      <c r="D830" s="679"/>
      <c r="E830" s="680"/>
      <c r="F830" s="681"/>
      <c r="G830" s="680" t="e">
        <v>#N/A</v>
      </c>
      <c r="H830" s="33"/>
    </row>
    <row r="831" spans="1:29" ht="15" customHeight="1">
      <c r="A831" s="677"/>
      <c r="B831" s="688"/>
      <c r="C831" s="679"/>
      <c r="D831" s="679"/>
      <c r="E831" s="680"/>
      <c r="F831" s="681"/>
      <c r="G831" s="680" t="e">
        <v>#N/A</v>
      </c>
      <c r="H831" s="33"/>
    </row>
    <row r="832" spans="1:29" ht="15" customHeight="1">
      <c r="A832" s="677"/>
      <c r="B832" s="688"/>
      <c r="C832" s="679"/>
      <c r="D832" s="679"/>
      <c r="E832" s="680"/>
      <c r="F832" s="681"/>
      <c r="G832" s="680" t="e">
        <v>#N/A</v>
      </c>
      <c r="H832" s="33"/>
    </row>
    <row r="833" spans="1:8" ht="15" customHeight="1">
      <c r="A833" s="677"/>
      <c r="B833" s="688"/>
      <c r="C833" s="679"/>
      <c r="D833" s="679"/>
      <c r="E833" s="680"/>
      <c r="F833" s="681"/>
      <c r="G833" s="680" t="e">
        <v>#N/A</v>
      </c>
      <c r="H833" s="33"/>
    </row>
    <row r="834" spans="1:8" ht="15" customHeight="1">
      <c r="A834" s="677"/>
      <c r="B834" s="701"/>
      <c r="C834" s="693"/>
      <c r="D834" s="679"/>
      <c r="E834" s="680"/>
      <c r="F834" s="681"/>
      <c r="G834" s="680" t="e">
        <v>#N/A</v>
      </c>
      <c r="H834" s="33"/>
    </row>
    <row r="835" spans="1:8" ht="15" customHeight="1">
      <c r="A835" s="677"/>
      <c r="B835" s="688"/>
      <c r="C835" s="679"/>
      <c r="D835" s="679"/>
      <c r="E835" s="680"/>
      <c r="F835" s="681"/>
      <c r="G835" s="680" t="e">
        <v>#N/A</v>
      </c>
      <c r="H835" s="33"/>
    </row>
    <row r="836" spans="1:8" ht="15" customHeight="1">
      <c r="A836" s="677"/>
      <c r="B836" s="688"/>
      <c r="C836" s="679"/>
      <c r="D836" s="679"/>
      <c r="E836" s="680"/>
      <c r="F836" s="681"/>
      <c r="G836" s="680" t="e">
        <v>#N/A</v>
      </c>
      <c r="H836" s="33"/>
    </row>
    <row r="837" spans="1:8" ht="15" customHeight="1">
      <c r="A837" s="677"/>
      <c r="B837" s="688"/>
      <c r="C837" s="679"/>
      <c r="D837" s="679"/>
      <c r="E837" s="680"/>
      <c r="F837" s="681"/>
      <c r="G837" s="680" t="e">
        <v>#N/A</v>
      </c>
      <c r="H837" s="33"/>
    </row>
    <row r="838" spans="1:8" ht="15" customHeight="1">
      <c r="A838" s="677"/>
      <c r="B838" s="688"/>
      <c r="C838" s="679"/>
      <c r="D838" s="679"/>
      <c r="E838" s="680"/>
      <c r="F838" s="681"/>
      <c r="G838" s="680" t="e">
        <v>#N/A</v>
      </c>
      <c r="H838" s="33"/>
    </row>
    <row r="839" spans="1:8" ht="15" customHeight="1">
      <c r="A839" s="677"/>
      <c r="B839" s="688"/>
      <c r="C839" s="679"/>
      <c r="D839" s="679"/>
      <c r="E839" s="680"/>
      <c r="F839" s="681"/>
      <c r="G839" s="680" t="e">
        <v>#N/A</v>
      </c>
      <c r="H839" s="3"/>
    </row>
    <row r="840" spans="1:8" ht="15" customHeight="1">
      <c r="A840" s="677"/>
      <c r="B840" s="688"/>
      <c r="C840" s="679"/>
      <c r="D840" s="679"/>
      <c r="E840" s="680"/>
      <c r="F840" s="681"/>
      <c r="G840" s="680" t="e">
        <v>#N/A</v>
      </c>
      <c r="H840" s="3"/>
    </row>
    <row r="841" spans="1:8" ht="15" customHeight="1">
      <c r="A841" s="677"/>
      <c r="B841" s="688"/>
      <c r="C841" s="679"/>
      <c r="D841" s="679"/>
      <c r="E841" s="680"/>
      <c r="F841" s="681"/>
      <c r="G841" s="680" t="e">
        <v>#N/A</v>
      </c>
      <c r="H841" s="3"/>
    </row>
    <row r="842" spans="1:8" ht="15" customHeight="1">
      <c r="A842" s="677"/>
      <c r="B842" s="688"/>
      <c r="C842" s="679"/>
      <c r="D842" s="679"/>
      <c r="E842" s="680"/>
      <c r="F842" s="681"/>
      <c r="G842" s="680" t="e">
        <v>#N/A</v>
      </c>
      <c r="H842" s="3"/>
    </row>
    <row r="843" spans="1:8" ht="15" customHeight="1">
      <c r="A843" s="677"/>
      <c r="B843" s="688"/>
      <c r="C843" s="679"/>
      <c r="D843" s="679"/>
      <c r="E843" s="680"/>
      <c r="F843" s="681"/>
      <c r="G843" s="680" t="e">
        <v>#N/A</v>
      </c>
      <c r="H843" s="3"/>
    </row>
    <row r="844" spans="1:8" ht="15" customHeight="1">
      <c r="A844" s="677"/>
      <c r="B844" s="688"/>
      <c r="C844" s="679"/>
      <c r="D844" s="679"/>
      <c r="E844" s="680"/>
      <c r="F844" s="681"/>
      <c r="G844" s="680" t="e">
        <v>#N/A</v>
      </c>
      <c r="H844" s="3"/>
    </row>
    <row r="845" spans="1:8" ht="15" customHeight="1">
      <c r="A845" s="677"/>
      <c r="B845" s="688"/>
      <c r="C845" s="679"/>
      <c r="D845" s="679"/>
      <c r="E845" s="680"/>
      <c r="F845" s="681"/>
      <c r="G845" s="680" t="e">
        <v>#N/A</v>
      </c>
      <c r="H845" s="3"/>
    </row>
    <row r="846" spans="1:8" ht="15" customHeight="1">
      <c r="A846" s="677"/>
      <c r="B846" s="688"/>
      <c r="C846" s="679"/>
      <c r="D846" s="679"/>
      <c r="E846" s="680"/>
      <c r="F846" s="681"/>
      <c r="G846" s="680" t="e">
        <v>#N/A</v>
      </c>
      <c r="H846" s="3"/>
    </row>
    <row r="847" spans="1:8" ht="15" customHeight="1">
      <c r="A847" s="677"/>
      <c r="B847" s="688"/>
      <c r="C847" s="679"/>
      <c r="D847" s="679"/>
      <c r="E847" s="680"/>
      <c r="F847" s="681"/>
      <c r="G847" s="680" t="e">
        <v>#N/A</v>
      </c>
      <c r="H847" s="3"/>
    </row>
    <row r="848" spans="1:8" ht="15" customHeight="1">
      <c r="A848" s="677"/>
      <c r="B848" s="688"/>
      <c r="C848" s="679"/>
      <c r="D848" s="679"/>
      <c r="E848" s="680"/>
      <c r="F848" s="681"/>
      <c r="G848" s="680" t="e">
        <v>#N/A</v>
      </c>
      <c r="H848" s="3"/>
    </row>
    <row r="849" spans="1:8" ht="15" customHeight="1">
      <c r="A849" s="677"/>
      <c r="B849" s="688"/>
      <c r="C849" s="679"/>
      <c r="D849" s="679"/>
      <c r="E849" s="680"/>
      <c r="F849" s="681"/>
      <c r="G849" s="680" t="e">
        <v>#N/A</v>
      </c>
      <c r="H849" s="33"/>
    </row>
    <row r="850" spans="1:8" ht="15" customHeight="1">
      <c r="A850" s="677"/>
      <c r="B850" s="688"/>
      <c r="C850" s="679"/>
      <c r="D850" s="679"/>
      <c r="E850" s="680"/>
      <c r="F850" s="681"/>
      <c r="G850" s="680" t="e">
        <v>#N/A</v>
      </c>
      <c r="H850" s="33"/>
    </row>
    <row r="851" spans="1:8" ht="15" customHeight="1">
      <c r="A851" s="677"/>
      <c r="B851" s="688"/>
      <c r="C851" s="679"/>
      <c r="D851" s="679"/>
      <c r="E851" s="680"/>
      <c r="F851" s="681"/>
      <c r="G851" s="680" t="e">
        <v>#N/A</v>
      </c>
      <c r="H851" s="33"/>
    </row>
    <row r="852" spans="1:8" ht="15" customHeight="1">
      <c r="A852" s="677"/>
      <c r="B852" s="688"/>
      <c r="C852" s="679"/>
      <c r="D852" s="679"/>
      <c r="E852" s="680"/>
      <c r="F852" s="681"/>
      <c r="G852" s="680" t="e">
        <v>#N/A</v>
      </c>
      <c r="H852" s="33"/>
    </row>
    <row r="853" spans="1:8" ht="15" customHeight="1">
      <c r="A853" s="677"/>
      <c r="B853" s="688"/>
      <c r="C853" s="679"/>
      <c r="D853" s="679"/>
      <c r="E853" s="680"/>
      <c r="F853" s="681"/>
      <c r="G853" s="680" t="e">
        <v>#N/A</v>
      </c>
      <c r="H853" s="33"/>
    </row>
    <row r="854" spans="1:8" ht="15" customHeight="1">
      <c r="A854" s="677"/>
      <c r="B854" s="688"/>
      <c r="C854" s="679"/>
      <c r="D854" s="679"/>
      <c r="E854" s="680"/>
      <c r="F854" s="681"/>
      <c r="G854" s="680" t="e">
        <v>#N/A</v>
      </c>
      <c r="H854" s="33"/>
    </row>
    <row r="855" spans="1:8" ht="15" customHeight="1">
      <c r="A855" s="677"/>
      <c r="B855" s="688"/>
      <c r="C855" s="679"/>
      <c r="D855" s="679"/>
      <c r="E855" s="680"/>
      <c r="F855" s="681"/>
      <c r="G855" s="680" t="e">
        <v>#N/A</v>
      </c>
      <c r="H855" s="33"/>
    </row>
    <row r="856" spans="1:8" ht="15" customHeight="1">
      <c r="A856" s="702"/>
      <c r="B856" s="700"/>
      <c r="C856" s="679"/>
      <c r="D856" s="679"/>
      <c r="E856" s="680"/>
      <c r="F856" s="681"/>
      <c r="G856" s="680" t="e">
        <v>#N/A</v>
      </c>
      <c r="H856" s="33"/>
    </row>
    <row r="857" spans="1:8" ht="15" customHeight="1">
      <c r="A857" s="677"/>
      <c r="B857" s="688"/>
      <c r="C857" s="679"/>
      <c r="D857" s="679"/>
      <c r="E857" s="680"/>
      <c r="F857" s="681"/>
      <c r="G857" s="680" t="e">
        <v>#N/A</v>
      </c>
      <c r="H857" s="33"/>
    </row>
    <row r="858" spans="1:8" ht="15" customHeight="1">
      <c r="A858" s="677"/>
      <c r="B858" s="688"/>
      <c r="C858" s="679"/>
      <c r="D858" s="679"/>
      <c r="E858" s="680"/>
      <c r="F858" s="681"/>
      <c r="G858" s="680" t="e">
        <v>#N/A</v>
      </c>
      <c r="H858" s="33"/>
    </row>
    <row r="859" spans="1:8" ht="15" customHeight="1">
      <c r="A859" s="677"/>
      <c r="B859" s="688"/>
      <c r="C859" s="679"/>
      <c r="D859" s="679"/>
      <c r="E859" s="680"/>
      <c r="F859" s="681"/>
      <c r="G859" s="680" t="e">
        <v>#N/A</v>
      </c>
      <c r="H859" s="33"/>
    </row>
    <row r="860" spans="1:8" ht="15" customHeight="1">
      <c r="A860" s="677"/>
      <c r="B860" s="688"/>
      <c r="C860" s="679"/>
      <c r="D860" s="679"/>
      <c r="E860" s="680"/>
      <c r="F860" s="681"/>
      <c r="G860" s="680" t="e">
        <v>#N/A</v>
      </c>
      <c r="H860" s="33"/>
    </row>
    <row r="861" spans="1:8" ht="15" customHeight="1">
      <c r="A861" s="688"/>
      <c r="B861" s="688"/>
      <c r="C861" s="679"/>
      <c r="D861" s="679"/>
      <c r="E861" s="680"/>
      <c r="F861" s="681"/>
      <c r="G861" s="680" t="e">
        <v>#N/A</v>
      </c>
      <c r="H861" s="33"/>
    </row>
    <row r="862" spans="1:8" ht="15" customHeight="1">
      <c r="A862" s="677"/>
      <c r="B862" s="688"/>
      <c r="C862" s="679"/>
      <c r="D862" s="679"/>
      <c r="E862" s="680"/>
      <c r="F862" s="681"/>
      <c r="G862" s="680" t="e">
        <v>#N/A</v>
      </c>
      <c r="H862" s="33"/>
    </row>
    <row r="863" spans="1:8" ht="15" customHeight="1">
      <c r="A863" s="677"/>
      <c r="B863" s="688"/>
      <c r="C863" s="679"/>
      <c r="D863" s="679"/>
      <c r="E863" s="680"/>
      <c r="F863" s="681"/>
      <c r="G863" s="680" t="e">
        <v>#N/A</v>
      </c>
      <c r="H863" s="33"/>
    </row>
    <row r="864" spans="1:8" ht="15" customHeight="1">
      <c r="A864" s="677"/>
      <c r="B864" s="688"/>
      <c r="C864" s="679"/>
      <c r="D864" s="679"/>
      <c r="E864" s="680"/>
      <c r="F864" s="681"/>
      <c r="G864" s="680" t="e">
        <v>#N/A</v>
      </c>
      <c r="H864" s="33"/>
    </row>
    <row r="865" spans="1:29" ht="15" customHeight="1">
      <c r="A865" s="677"/>
      <c r="B865" s="688"/>
      <c r="C865" s="679"/>
      <c r="D865" s="679"/>
      <c r="E865" s="680"/>
      <c r="F865" s="681"/>
      <c r="G865" s="680" t="e">
        <v>#N/A</v>
      </c>
      <c r="H865" s="33"/>
    </row>
    <row r="866" spans="1:29" ht="15" customHeight="1">
      <c r="A866" s="677"/>
      <c r="B866" s="688"/>
      <c r="C866" s="679"/>
      <c r="D866" s="679"/>
      <c r="E866" s="680"/>
      <c r="F866" s="681"/>
      <c r="G866" s="680" t="e">
        <v>#N/A</v>
      </c>
      <c r="H866" s="33"/>
    </row>
    <row r="867" spans="1:29" ht="15" customHeight="1">
      <c r="A867" s="677"/>
      <c r="B867" s="688"/>
      <c r="C867" s="679"/>
      <c r="D867" s="679"/>
      <c r="E867" s="680"/>
      <c r="F867" s="681"/>
      <c r="G867" s="680" t="e">
        <v>#N/A</v>
      </c>
      <c r="H867" s="33"/>
    </row>
    <row r="868" spans="1:29" ht="15" customHeight="1">
      <c r="A868" s="677"/>
      <c r="B868" s="688"/>
      <c r="C868" s="679"/>
      <c r="D868" s="679"/>
      <c r="E868" s="680"/>
      <c r="F868" s="681"/>
      <c r="G868" s="680" t="e">
        <v>#N/A</v>
      </c>
      <c r="H868" s="33"/>
    </row>
    <row r="869" spans="1:29" ht="15" customHeight="1">
      <c r="A869" s="677"/>
      <c r="B869" s="688"/>
      <c r="C869" s="679"/>
      <c r="D869" s="679"/>
      <c r="E869" s="680"/>
      <c r="F869" s="681"/>
      <c r="G869" s="680" t="e">
        <v>#N/A</v>
      </c>
      <c r="H869" s="33"/>
    </row>
    <row r="870" spans="1:29" ht="15" customHeight="1">
      <c r="A870" s="677"/>
      <c r="B870" s="688"/>
      <c r="C870" s="679"/>
      <c r="D870" s="679"/>
      <c r="E870" s="680"/>
      <c r="F870" s="681"/>
      <c r="G870" s="680" t="e">
        <v>#N/A</v>
      </c>
      <c r="H870" s="33"/>
    </row>
    <row r="871" spans="1:29" ht="15" customHeight="1">
      <c r="A871" s="677"/>
      <c r="B871" s="688"/>
      <c r="C871" s="679"/>
      <c r="D871" s="679"/>
      <c r="E871" s="680"/>
      <c r="F871" s="681"/>
      <c r="G871" s="680" t="e">
        <v>#N/A</v>
      </c>
      <c r="H871" s="33"/>
      <c r="K871" s="3"/>
    </row>
    <row r="872" spans="1:29" ht="15" customHeight="1">
      <c r="A872" s="677"/>
      <c r="B872" s="688"/>
      <c r="C872" s="679"/>
      <c r="D872" s="679"/>
      <c r="E872" s="680"/>
      <c r="F872" s="681"/>
      <c r="G872" s="680" t="e">
        <v>#N/A</v>
      </c>
      <c r="H872" s="33"/>
      <c r="K872" s="3"/>
    </row>
    <row r="873" spans="1:29" ht="15" customHeight="1">
      <c r="A873" s="677"/>
      <c r="B873" s="688"/>
      <c r="C873" s="679"/>
      <c r="D873" s="679"/>
      <c r="E873" s="680"/>
      <c r="F873" s="681"/>
      <c r="G873" s="680" t="e">
        <v>#N/A</v>
      </c>
      <c r="H873" s="33"/>
    </row>
    <row r="874" spans="1:29" ht="15" customHeight="1">
      <c r="A874" s="677"/>
      <c r="B874" s="688"/>
      <c r="C874" s="679"/>
      <c r="D874" s="679"/>
      <c r="E874" s="680"/>
      <c r="F874" s="681"/>
      <c r="G874" s="680" t="e">
        <v>#N/A</v>
      </c>
      <c r="H874" s="33"/>
    </row>
    <row r="875" spans="1:29" ht="15" customHeight="1">
      <c r="A875" s="677"/>
      <c r="B875" s="688"/>
      <c r="C875" s="679"/>
      <c r="D875" s="679"/>
      <c r="E875" s="680"/>
      <c r="F875" s="681"/>
      <c r="G875" s="680" t="e">
        <v>#N/A</v>
      </c>
      <c r="H875" s="33"/>
    </row>
    <row r="876" spans="1:29" ht="15" customHeight="1">
      <c r="A876" s="677"/>
      <c r="B876" s="688"/>
      <c r="C876" s="679"/>
      <c r="D876" s="679"/>
      <c r="E876" s="680"/>
      <c r="F876" s="681"/>
      <c r="G876" s="680" t="e">
        <v>#N/A</v>
      </c>
      <c r="H876" s="33"/>
      <c r="I876" s="3"/>
      <c r="J876" s="3"/>
      <c r="L876" s="3"/>
      <c r="M876" s="3"/>
      <c r="N876" s="3"/>
      <c r="O876" s="3"/>
      <c r="P876" s="3"/>
      <c r="Q876" s="3"/>
      <c r="R876" s="3"/>
      <c r="S876" s="3"/>
      <c r="T876" s="3"/>
      <c r="U876" s="3"/>
      <c r="V876" s="3"/>
      <c r="W876" s="3"/>
      <c r="X876" s="3"/>
      <c r="Y876" s="3"/>
      <c r="Z876" s="3"/>
      <c r="AA876" s="3"/>
      <c r="AB876" s="3"/>
      <c r="AC876" s="3"/>
    </row>
    <row r="877" spans="1:29" ht="15" customHeight="1">
      <c r="A877" s="677"/>
      <c r="B877" s="688"/>
      <c r="C877" s="679"/>
      <c r="D877" s="679"/>
      <c r="E877" s="680"/>
      <c r="F877" s="681"/>
      <c r="G877" s="680" t="e">
        <v>#N/A</v>
      </c>
      <c r="H877" s="33"/>
    </row>
    <row r="878" spans="1:29" ht="15" customHeight="1">
      <c r="A878" s="677"/>
      <c r="B878" s="688"/>
      <c r="C878" s="679"/>
      <c r="D878" s="679"/>
      <c r="E878" s="680"/>
      <c r="F878" s="681"/>
      <c r="G878" s="680" t="e">
        <v>#N/A</v>
      </c>
      <c r="H878" s="33"/>
      <c r="K878" s="3"/>
    </row>
    <row r="879" spans="1:29" ht="15" customHeight="1">
      <c r="A879" s="677"/>
      <c r="B879" s="688"/>
      <c r="C879" s="679"/>
      <c r="D879" s="679"/>
      <c r="E879" s="680"/>
      <c r="F879" s="681"/>
      <c r="G879" s="680" t="e">
        <v>#N/A</v>
      </c>
      <c r="H879" s="33"/>
    </row>
    <row r="880" spans="1:29" ht="15" customHeight="1">
      <c r="A880" s="677"/>
      <c r="B880" s="688"/>
      <c r="C880" s="679"/>
      <c r="D880" s="679"/>
      <c r="E880" s="680"/>
      <c r="F880" s="681"/>
      <c r="G880" s="680" t="e">
        <v>#N/A</v>
      </c>
      <c r="H880" s="33"/>
    </row>
    <row r="881" spans="1:11" ht="15" customHeight="1">
      <c r="A881" s="677"/>
      <c r="B881" s="688"/>
      <c r="C881" s="679"/>
      <c r="D881" s="679"/>
      <c r="E881" s="680"/>
      <c r="F881" s="681"/>
      <c r="G881" s="680" t="e">
        <v>#N/A</v>
      </c>
      <c r="H881" s="33"/>
    </row>
    <row r="882" spans="1:11" ht="15" customHeight="1">
      <c r="A882" s="688"/>
      <c r="B882" s="688"/>
      <c r="C882" s="679"/>
      <c r="D882" s="679"/>
      <c r="E882" s="680"/>
      <c r="F882" s="681"/>
      <c r="G882" s="680" t="e">
        <v>#N/A</v>
      </c>
      <c r="H882" s="33"/>
    </row>
    <row r="883" spans="1:11" ht="15" customHeight="1">
      <c r="A883" s="677"/>
      <c r="B883" s="688"/>
      <c r="C883" s="679"/>
      <c r="D883" s="679"/>
      <c r="E883" s="680"/>
      <c r="F883" s="681"/>
      <c r="G883" s="680" t="e">
        <v>#N/A</v>
      </c>
      <c r="H883" s="33"/>
      <c r="K883" s="3"/>
    </row>
    <row r="884" spans="1:11" ht="15" customHeight="1">
      <c r="A884" s="677"/>
      <c r="B884" s="688"/>
      <c r="C884" s="679"/>
      <c r="D884" s="679"/>
      <c r="E884" s="680"/>
      <c r="F884" s="681"/>
      <c r="G884" s="680" t="e">
        <v>#N/A</v>
      </c>
      <c r="H884" s="33"/>
    </row>
    <row r="885" spans="1:11" ht="15" customHeight="1">
      <c r="A885" s="677"/>
      <c r="B885" s="688"/>
      <c r="C885" s="679"/>
      <c r="D885" s="679"/>
      <c r="E885" s="680"/>
      <c r="F885" s="681"/>
      <c r="G885" s="680" t="e">
        <v>#N/A</v>
      </c>
      <c r="H885" s="33"/>
    </row>
    <row r="886" spans="1:11" ht="15" customHeight="1">
      <c r="A886" s="677"/>
      <c r="B886" s="688"/>
      <c r="C886" s="679"/>
      <c r="D886" s="679"/>
      <c r="E886" s="680"/>
      <c r="F886" s="681"/>
      <c r="G886" s="680" t="e">
        <v>#N/A</v>
      </c>
      <c r="H886" s="33"/>
    </row>
    <row r="887" spans="1:11" ht="15" customHeight="1">
      <c r="A887" s="677"/>
      <c r="B887" s="688"/>
      <c r="C887" s="679"/>
      <c r="D887" s="679"/>
      <c r="E887" s="680"/>
      <c r="F887" s="681"/>
      <c r="G887" s="680" t="e">
        <v>#N/A</v>
      </c>
      <c r="H887" s="33"/>
    </row>
    <row r="888" spans="1:11" ht="15" customHeight="1">
      <c r="A888" s="677"/>
      <c r="B888" s="688"/>
      <c r="C888" s="679"/>
      <c r="D888" s="679"/>
      <c r="E888" s="680"/>
      <c r="F888" s="681"/>
      <c r="G888" s="680" t="e">
        <v>#N/A</v>
      </c>
      <c r="H888" s="33"/>
    </row>
    <row r="889" spans="1:11" ht="15" customHeight="1">
      <c r="A889" s="677"/>
      <c r="B889" s="688"/>
      <c r="C889" s="679"/>
      <c r="D889" s="679"/>
      <c r="E889" s="680"/>
      <c r="F889" s="681"/>
      <c r="G889" s="680" t="e">
        <v>#N/A</v>
      </c>
      <c r="H889" s="33"/>
    </row>
    <row r="890" spans="1:11" ht="15" customHeight="1">
      <c r="A890" s="677"/>
      <c r="B890" s="688"/>
      <c r="C890" s="679"/>
      <c r="D890" s="679"/>
      <c r="E890" s="680"/>
      <c r="F890" s="681"/>
      <c r="G890" s="680" t="e">
        <v>#N/A</v>
      </c>
      <c r="H890" s="33"/>
    </row>
    <row r="891" spans="1:11" ht="15" customHeight="1">
      <c r="A891" s="677"/>
      <c r="B891" s="688"/>
      <c r="C891" s="679"/>
      <c r="D891" s="679"/>
      <c r="E891" s="680"/>
      <c r="F891" s="681"/>
      <c r="G891" s="680" t="e">
        <v>#N/A</v>
      </c>
      <c r="H891" s="33"/>
    </row>
    <row r="892" spans="1:11" ht="15" customHeight="1">
      <c r="A892" s="677"/>
      <c r="B892" s="688"/>
      <c r="C892" s="679"/>
      <c r="D892" s="679"/>
      <c r="E892" s="680"/>
      <c r="F892" s="681"/>
      <c r="G892" s="680" t="e">
        <v>#N/A</v>
      </c>
      <c r="H892" s="33"/>
    </row>
    <row r="893" spans="1:11" ht="15" customHeight="1">
      <c r="A893" s="688"/>
      <c r="B893" s="688"/>
      <c r="C893" s="679"/>
      <c r="D893" s="679"/>
      <c r="E893" s="680"/>
      <c r="F893" s="681"/>
      <c r="G893" s="680" t="e">
        <v>#N/A</v>
      </c>
      <c r="H893" s="33"/>
    </row>
    <row r="894" spans="1:11" ht="15" customHeight="1">
      <c r="A894" s="688"/>
      <c r="B894" s="688"/>
      <c r="C894" s="679"/>
      <c r="D894" s="679"/>
      <c r="E894" s="680"/>
      <c r="F894" s="681"/>
      <c r="G894" s="680" t="e">
        <v>#N/A</v>
      </c>
      <c r="H894" s="33"/>
    </row>
    <row r="895" spans="1:11" ht="15" customHeight="1">
      <c r="A895" s="677"/>
      <c r="B895" s="688"/>
      <c r="C895" s="679"/>
      <c r="D895" s="679"/>
      <c r="E895" s="680"/>
      <c r="F895" s="681"/>
      <c r="G895" s="680" t="e">
        <v>#N/A</v>
      </c>
      <c r="H895" s="33"/>
    </row>
    <row r="896" spans="1:11" ht="15" customHeight="1">
      <c r="A896" s="677"/>
      <c r="B896" s="688"/>
      <c r="C896" s="679"/>
      <c r="D896" s="679"/>
      <c r="E896" s="680"/>
      <c r="F896" s="681"/>
      <c r="G896" s="680" t="e">
        <v>#N/A</v>
      </c>
      <c r="H896" s="33"/>
    </row>
    <row r="897" spans="1:8" ht="15" customHeight="1">
      <c r="A897" s="677"/>
      <c r="B897" s="688"/>
      <c r="C897" s="679"/>
      <c r="D897" s="679"/>
      <c r="E897" s="680"/>
      <c r="F897" s="681"/>
      <c r="G897" s="680" t="e">
        <v>#N/A</v>
      </c>
      <c r="H897" s="33"/>
    </row>
    <row r="898" spans="1:8" ht="15" customHeight="1">
      <c r="A898" s="677"/>
      <c r="B898" s="688"/>
      <c r="C898" s="679"/>
      <c r="D898" s="679"/>
      <c r="E898" s="680"/>
      <c r="F898" s="681"/>
      <c r="G898" s="680" t="e">
        <v>#N/A</v>
      </c>
      <c r="H898" s="33"/>
    </row>
    <row r="899" spans="1:8" ht="15" customHeight="1">
      <c r="A899" s="677"/>
      <c r="B899" s="688"/>
      <c r="C899" s="679"/>
      <c r="D899" s="679"/>
      <c r="E899" s="680"/>
      <c r="F899" s="681"/>
      <c r="G899" s="680" t="e">
        <v>#N/A</v>
      </c>
      <c r="H899" s="33"/>
    </row>
    <row r="900" spans="1:8" ht="15" customHeight="1">
      <c r="A900" s="677"/>
      <c r="B900" s="688"/>
      <c r="C900" s="679"/>
      <c r="D900" s="679"/>
      <c r="E900" s="680"/>
      <c r="F900" s="681"/>
      <c r="G900" s="680" t="e">
        <v>#N/A</v>
      </c>
      <c r="H900" s="33"/>
    </row>
    <row r="901" spans="1:8" ht="15" customHeight="1">
      <c r="A901" s="677"/>
      <c r="B901" s="688"/>
      <c r="C901" s="679"/>
      <c r="D901" s="679"/>
      <c r="E901" s="680"/>
      <c r="F901" s="681"/>
      <c r="G901" s="680" t="e">
        <v>#N/A</v>
      </c>
      <c r="H901" s="33"/>
    </row>
    <row r="902" spans="1:8" ht="15" customHeight="1">
      <c r="A902" s="677"/>
      <c r="B902" s="688"/>
      <c r="C902" s="679"/>
      <c r="D902" s="679"/>
      <c r="E902" s="680"/>
      <c r="F902" s="681"/>
      <c r="G902" s="680" t="e">
        <v>#N/A</v>
      </c>
      <c r="H902" s="33"/>
    </row>
    <row r="903" spans="1:8" ht="15" customHeight="1">
      <c r="A903" s="677"/>
      <c r="B903" s="688"/>
      <c r="C903" s="679"/>
      <c r="D903" s="679"/>
      <c r="E903" s="680"/>
      <c r="F903" s="681"/>
      <c r="G903" s="680" t="e">
        <v>#N/A</v>
      </c>
      <c r="H903" s="33"/>
    </row>
    <row r="904" spans="1:8" ht="15" customHeight="1">
      <c r="A904" s="677"/>
      <c r="B904" s="688"/>
      <c r="C904" s="679"/>
      <c r="D904" s="679"/>
      <c r="E904" s="680"/>
      <c r="F904" s="681"/>
      <c r="G904" s="680" t="e">
        <v>#N/A</v>
      </c>
      <c r="H904" s="33"/>
    </row>
    <row r="905" spans="1:8" ht="15" customHeight="1">
      <c r="A905" s="677"/>
      <c r="B905" s="688"/>
      <c r="C905" s="679"/>
      <c r="D905" s="679"/>
      <c r="E905" s="680"/>
      <c r="F905" s="681"/>
      <c r="G905" s="680" t="e">
        <v>#N/A</v>
      </c>
      <c r="H905" s="33"/>
    </row>
    <row r="906" spans="1:8" ht="15" customHeight="1">
      <c r="A906" s="677"/>
      <c r="B906" s="688"/>
      <c r="C906" s="679"/>
      <c r="D906" s="679"/>
      <c r="E906" s="680"/>
      <c r="F906" s="681"/>
      <c r="G906" s="680" t="e">
        <v>#N/A</v>
      </c>
      <c r="H906" s="33"/>
    </row>
    <row r="907" spans="1:8" ht="15" customHeight="1">
      <c r="A907" s="677"/>
      <c r="B907" s="688"/>
      <c r="C907" s="679"/>
      <c r="D907" s="679"/>
      <c r="E907" s="680"/>
      <c r="F907" s="681"/>
      <c r="G907" s="680" t="e">
        <v>#N/A</v>
      </c>
      <c r="H907" s="33"/>
    </row>
    <row r="908" spans="1:8" ht="15" customHeight="1">
      <c r="A908" s="677"/>
      <c r="B908" s="688"/>
      <c r="C908" s="679"/>
      <c r="D908" s="679"/>
      <c r="E908" s="680"/>
      <c r="F908" s="681"/>
      <c r="G908" s="680" t="e">
        <f>+VLOOKUP(Data_Validation!$A908,BV_Data_An_Cour!$L:$Q,6,0)</f>
        <v>#N/A</v>
      </c>
      <c r="H908" s="33"/>
    </row>
    <row r="909" spans="1:8" ht="15" customHeight="1">
      <c r="A909" s="677"/>
      <c r="B909" s="688"/>
      <c r="C909" s="679"/>
      <c r="D909" s="679"/>
      <c r="E909" s="680"/>
      <c r="F909" s="681"/>
      <c r="G909" s="680" t="e">
        <f>+VLOOKUP(Data_Validation!$A909,BV_Data_An_Cour!$L:$Q,6,0)</f>
        <v>#N/A</v>
      </c>
      <c r="H909" s="33"/>
    </row>
    <row r="910" spans="1:8" ht="15" customHeight="1">
      <c r="A910" s="677"/>
      <c r="B910" s="688"/>
      <c r="C910" s="679"/>
      <c r="D910" s="679"/>
      <c r="E910" s="680"/>
      <c r="F910" s="681"/>
      <c r="G910" s="680" t="e">
        <f>+VLOOKUP(Data_Validation!$A910,BV_Data_An_Cour!$L:$Q,6,0)</f>
        <v>#N/A</v>
      </c>
      <c r="H910" s="33"/>
    </row>
    <row r="911" spans="1:8" ht="15" customHeight="1">
      <c r="A911" s="677"/>
      <c r="B911" s="688"/>
      <c r="C911" s="679"/>
      <c r="D911" s="679"/>
      <c r="E911" s="680"/>
      <c r="F911" s="681"/>
      <c r="G911" s="680" t="e">
        <f>+VLOOKUP(Data_Validation!$A911,BV_Data_An_Cour!$L:$Q,6,0)</f>
        <v>#N/A</v>
      </c>
      <c r="H911" s="33"/>
    </row>
    <row r="912" spans="1:8" ht="15" customHeight="1">
      <c r="A912" s="677"/>
      <c r="B912" s="688"/>
      <c r="C912" s="679"/>
      <c r="D912" s="679"/>
      <c r="E912" s="680"/>
      <c r="F912" s="681"/>
      <c r="G912" s="680" t="e">
        <f>+VLOOKUP(Data_Validation!$A912,BV_Data_An_Cour!$L:$Q,6,0)</f>
        <v>#N/A</v>
      </c>
      <c r="H912" s="33"/>
    </row>
    <row r="913" spans="1:29" ht="15" customHeight="1">
      <c r="A913" s="677"/>
      <c r="B913" s="688"/>
      <c r="C913" s="679"/>
      <c r="D913" s="679"/>
      <c r="E913" s="680"/>
      <c r="F913" s="681"/>
      <c r="G913" s="680" t="e">
        <f>+VLOOKUP(Data_Validation!$A913,BV_Data_An_Cour!$L:$Q,6,0)</f>
        <v>#N/A</v>
      </c>
      <c r="H913" s="33"/>
    </row>
    <row r="914" spans="1:29" ht="15" customHeight="1">
      <c r="A914" s="677"/>
      <c r="B914" s="688"/>
      <c r="C914" s="679"/>
      <c r="D914" s="679"/>
      <c r="E914" s="680"/>
      <c r="F914" s="681"/>
      <c r="G914" s="680" t="e">
        <f>+VLOOKUP(Data_Validation!$A914,BV_Data_An_Cour!$L:$Q,6,0)</f>
        <v>#N/A</v>
      </c>
      <c r="H914" s="33"/>
    </row>
    <row r="915" spans="1:29" ht="15" customHeight="1">
      <c r="A915" s="677"/>
      <c r="B915" s="688"/>
      <c r="C915" s="679"/>
      <c r="D915" s="679"/>
      <c r="E915" s="680"/>
      <c r="F915" s="681"/>
      <c r="G915" s="680" t="e">
        <f>+VLOOKUP(Data_Validation!$A915,BV_Data_An_Cour!$L:$Q,6,0)</f>
        <v>#N/A</v>
      </c>
      <c r="H915" s="33"/>
    </row>
    <row r="916" spans="1:29" ht="15" customHeight="1">
      <c r="A916" s="677"/>
      <c r="B916" s="688"/>
      <c r="C916" s="679"/>
      <c r="D916" s="679"/>
      <c r="E916" s="680"/>
      <c r="F916" s="681"/>
      <c r="G916" s="680" t="e">
        <f>+VLOOKUP(Data_Validation!$A916,BV_Data_An_Cour!$L:$Q,6,0)</f>
        <v>#N/A</v>
      </c>
      <c r="H916" s="4"/>
    </row>
    <row r="917" spans="1:29" ht="15" customHeight="1">
      <c r="A917" s="689"/>
      <c r="B917" s="678"/>
      <c r="C917" s="679"/>
      <c r="D917" s="679"/>
      <c r="E917" s="680"/>
      <c r="F917" s="681"/>
      <c r="G917" s="680" t="e">
        <f>+VLOOKUP(Data_Validation!$A917,BV_Data_An_Cour!$L:$Q,6,0)</f>
        <v>#N/A</v>
      </c>
      <c r="H917" s="4"/>
    </row>
    <row r="918" spans="1:29" ht="15" customHeight="1">
      <c r="A918" s="688"/>
      <c r="B918" s="688"/>
      <c r="C918" s="679"/>
      <c r="D918" s="679"/>
      <c r="E918" s="680"/>
      <c r="F918" s="681"/>
      <c r="G918" s="680" t="e">
        <f>+VLOOKUP(Data_Validation!$A918,BV_Data_An_Cour!$L:$Q,6,0)</f>
        <v>#N/A</v>
      </c>
      <c r="H918" s="4"/>
    </row>
    <row r="919" spans="1:29" ht="15" customHeight="1">
      <c r="A919" s="688"/>
      <c r="B919" s="688"/>
      <c r="C919" s="679"/>
      <c r="D919" s="679"/>
      <c r="E919" s="680"/>
      <c r="F919" s="681"/>
      <c r="G919" s="680" t="e">
        <f>+VLOOKUP(Data_Validation!$A919,BV_Data_An_Cour!$L:$Q,6,0)</f>
        <v>#N/A</v>
      </c>
      <c r="H919" s="4"/>
    </row>
    <row r="920" spans="1:29" ht="15" customHeight="1">
      <c r="A920" s="677"/>
      <c r="B920" s="688"/>
      <c r="C920" s="679"/>
      <c r="D920" s="679"/>
      <c r="E920" s="680"/>
      <c r="F920" s="681"/>
      <c r="G920" s="680" t="e">
        <f>+VLOOKUP(Data_Validation!$A920,BV_Data_An_Cour!$L:$Q,6,0)</f>
        <v>#N/A</v>
      </c>
      <c r="H920" s="4"/>
    </row>
    <row r="921" spans="1:29" ht="15" customHeight="1">
      <c r="A921" s="677"/>
      <c r="B921" s="688"/>
      <c r="C921" s="679"/>
      <c r="D921" s="679"/>
      <c r="E921" s="680"/>
      <c r="F921" s="681"/>
      <c r="G921" s="680" t="e">
        <f>+VLOOKUP(Data_Validation!$A921,BV_Data_An_Cour!$L:$Q,6,0)</f>
        <v>#N/A</v>
      </c>
      <c r="H921" s="4"/>
    </row>
    <row r="922" spans="1:29" ht="15" customHeight="1">
      <c r="A922" s="677"/>
      <c r="B922" s="688"/>
      <c r="C922" s="679"/>
      <c r="D922" s="679"/>
      <c r="E922" s="680"/>
      <c r="F922" s="681"/>
      <c r="G922" s="680" t="e">
        <f>+VLOOKUP(Data_Validation!$A922,BV_Data_An_Cour!$L:$Q,6,0)</f>
        <v>#N/A</v>
      </c>
      <c r="H922" s="4"/>
    </row>
    <row r="923" spans="1:29" ht="15" customHeight="1">
      <c r="A923" s="677"/>
      <c r="B923" s="688"/>
      <c r="C923" s="679"/>
      <c r="D923" s="679"/>
      <c r="E923" s="680"/>
      <c r="F923" s="681"/>
      <c r="G923" s="680" t="e">
        <f>+VLOOKUP(Data_Validation!$A923,BV_Data_An_Cour!$L:$Q,6,0)</f>
        <v>#N/A</v>
      </c>
      <c r="H923" s="4"/>
    </row>
    <row r="924" spans="1:29" ht="15" customHeight="1">
      <c r="A924" s="677"/>
      <c r="B924" s="688"/>
      <c r="C924" s="679"/>
      <c r="D924" s="679"/>
      <c r="E924" s="680"/>
      <c r="F924" s="681"/>
      <c r="G924" s="680" t="e">
        <f>+VLOOKUP(Data_Validation!$A924,BV_Data_An_Cour!$L:$Q,6,0)</f>
        <v>#N/A</v>
      </c>
      <c r="H924" s="4"/>
      <c r="I924" s="3"/>
      <c r="J924" s="3"/>
      <c r="L924" s="3"/>
      <c r="M924" s="3"/>
      <c r="N924" s="3"/>
      <c r="O924" s="3"/>
      <c r="P924" s="3"/>
      <c r="Q924" s="3"/>
      <c r="R924" s="3"/>
      <c r="S924" s="3"/>
      <c r="T924" s="3"/>
      <c r="U924" s="3"/>
      <c r="V924" s="3"/>
      <c r="W924" s="3"/>
      <c r="X924" s="3"/>
      <c r="Y924" s="3"/>
      <c r="Z924" s="3"/>
      <c r="AA924" s="3"/>
      <c r="AB924" s="3"/>
      <c r="AC924" s="3"/>
    </row>
    <row r="925" spans="1:29" ht="15" customHeight="1">
      <c r="A925" s="689"/>
      <c r="B925" s="678"/>
      <c r="C925" s="679"/>
      <c r="D925" s="679"/>
      <c r="E925" s="686"/>
      <c r="F925" s="686"/>
      <c r="G925" s="680" t="e">
        <f>+VLOOKUP(Data_Validation!$A925,BV_Data_An_Cour!$L:$Q,6,0)</f>
        <v>#N/A</v>
      </c>
      <c r="H925" s="4"/>
    </row>
    <row r="926" spans="1:29" ht="15" customHeight="1">
      <c r="A926" s="677"/>
      <c r="B926" s="688"/>
      <c r="C926" s="679"/>
      <c r="D926" s="679"/>
      <c r="E926" s="680"/>
      <c r="F926" s="681"/>
      <c r="G926" s="680" t="e">
        <f>+VLOOKUP(Data_Validation!$A926,BV_Data_An_Cour!$L:$Q,6,0)</f>
        <v>#N/A</v>
      </c>
      <c r="H926" s="4"/>
    </row>
    <row r="927" spans="1:29" ht="15" customHeight="1">
      <c r="A927" s="689"/>
      <c r="B927" s="678"/>
      <c r="C927" s="679"/>
      <c r="D927" s="679"/>
      <c r="E927" s="686"/>
      <c r="F927" s="686"/>
      <c r="G927" s="680" t="e">
        <f>+VLOOKUP(Data_Validation!$A927,BV_Data_An_Cour!$L:$Q,6,0)</f>
        <v>#N/A</v>
      </c>
      <c r="H927" s="4"/>
    </row>
    <row r="928" spans="1:29" ht="15" customHeight="1">
      <c r="A928" s="677"/>
      <c r="B928" s="688"/>
      <c r="C928" s="679"/>
      <c r="D928" s="679"/>
      <c r="E928" s="680"/>
      <c r="F928" s="681"/>
      <c r="G928" s="680" t="e">
        <f>+VLOOKUP(Data_Validation!$A928,BV_Data_An_Cour!$L:$Q,6,0)</f>
        <v>#N/A</v>
      </c>
      <c r="H928" s="4"/>
    </row>
    <row r="929" spans="1:29" ht="15" customHeight="1">
      <c r="A929" s="677"/>
      <c r="B929" s="688"/>
      <c r="C929" s="679"/>
      <c r="D929" s="679"/>
      <c r="E929" s="680"/>
      <c r="F929" s="681"/>
      <c r="G929" s="680" t="e">
        <f>+VLOOKUP(Data_Validation!$A929,BV_Data_An_Cour!$L:$Q,6,0)</f>
        <v>#N/A</v>
      </c>
      <c r="H929" s="4"/>
    </row>
    <row r="930" spans="1:29" ht="15" customHeight="1">
      <c r="A930" s="689"/>
      <c r="B930" s="678"/>
      <c r="C930" s="679"/>
      <c r="D930" s="679"/>
      <c r="E930" s="686"/>
      <c r="F930" s="686"/>
      <c r="G930" s="680" t="e">
        <f>+VLOOKUP(Data_Validation!$A930,BV_Data_An_Cour!$L:$Q,6,0)</f>
        <v>#N/A</v>
      </c>
      <c r="H930" s="3"/>
    </row>
    <row r="931" spans="1:29" ht="15" customHeight="1">
      <c r="A931" s="688"/>
      <c r="B931" s="688"/>
      <c r="C931" s="679"/>
      <c r="D931" s="679"/>
      <c r="E931" s="680"/>
      <c r="F931" s="681"/>
      <c r="G931" s="680" t="e">
        <f>+VLOOKUP(Data_Validation!$A931,BV_Data_An_Cour!$L:$Q,6,0)</f>
        <v>#N/A</v>
      </c>
      <c r="H931" s="3"/>
    </row>
    <row r="932" spans="1:29" ht="15" customHeight="1">
      <c r="A932" s="689"/>
      <c r="B932" s="678"/>
      <c r="C932" s="679"/>
      <c r="D932" s="679"/>
      <c r="E932" s="686"/>
      <c r="F932" s="686"/>
      <c r="G932" s="680" t="e">
        <f>+VLOOKUP(Data_Validation!$A932,BV_Data_An_Cour!$L:$Q,6,0)</f>
        <v>#N/A</v>
      </c>
      <c r="H932" s="3"/>
    </row>
    <row r="933" spans="1:29" ht="15" customHeight="1">
      <c r="A933" s="677"/>
      <c r="B933" s="688"/>
      <c r="C933" s="679"/>
      <c r="D933" s="679"/>
      <c r="E933" s="680"/>
      <c r="F933" s="681"/>
      <c r="G933" s="680" t="e">
        <f>+VLOOKUP(Data_Validation!$A933,BV_Data_An_Cour!$L:$Q,6,0)</f>
        <v>#N/A</v>
      </c>
      <c r="H933" s="3"/>
    </row>
    <row r="934" spans="1:29" ht="15" customHeight="1">
      <c r="A934" s="689"/>
      <c r="B934" s="678"/>
      <c r="C934" s="679"/>
      <c r="D934" s="679"/>
      <c r="E934" s="686"/>
      <c r="F934" s="686"/>
      <c r="G934" s="680" t="e">
        <f>+VLOOKUP(Data_Validation!$A934,BV_Data_An_Cour!$L:$Q,6,0)</f>
        <v>#N/A</v>
      </c>
      <c r="H934" s="3"/>
    </row>
    <row r="935" spans="1:29" ht="15" customHeight="1">
      <c r="A935" s="677"/>
      <c r="B935" s="688"/>
      <c r="C935" s="679"/>
      <c r="D935" s="679"/>
      <c r="E935" s="680"/>
      <c r="F935" s="681"/>
      <c r="G935" s="680" t="e">
        <f>+VLOOKUP(Data_Validation!$A935,BV_Data_An_Cour!$L:$Q,6,0)</f>
        <v>#N/A</v>
      </c>
      <c r="H935" s="3"/>
      <c r="I935" s="3"/>
      <c r="J935" s="3"/>
      <c r="L935" s="3"/>
      <c r="M935" s="3"/>
      <c r="N935" s="3"/>
      <c r="O935" s="3"/>
      <c r="P935" s="3"/>
      <c r="Q935" s="3"/>
      <c r="R935" s="3"/>
      <c r="S935" s="3"/>
      <c r="T935" s="3"/>
      <c r="U935" s="3"/>
      <c r="V935" s="3"/>
      <c r="W935" s="3"/>
      <c r="X935" s="3"/>
      <c r="Y935" s="3"/>
      <c r="Z935" s="3"/>
      <c r="AA935" s="3"/>
      <c r="AB935" s="3"/>
      <c r="AC935" s="3"/>
    </row>
    <row r="936" spans="1:29" ht="15" customHeight="1">
      <c r="A936" s="689"/>
      <c r="B936" s="678"/>
      <c r="C936" s="679"/>
      <c r="D936" s="679"/>
      <c r="E936" s="686"/>
      <c r="F936" s="686"/>
      <c r="G936" s="680" t="e">
        <f>+VLOOKUP(Data_Validation!$A936,BV_Data_An_Cour!$L:$Q,6,0)</f>
        <v>#N/A</v>
      </c>
      <c r="H936" s="3"/>
    </row>
    <row r="937" spans="1:29" ht="15" customHeight="1">
      <c r="A937" s="677"/>
      <c r="B937" s="688"/>
      <c r="C937" s="679"/>
      <c r="D937" s="679"/>
      <c r="E937" s="680"/>
      <c r="F937" s="681"/>
      <c r="G937" s="680" t="e">
        <f>+VLOOKUP(Data_Validation!$A937,BV_Data_An_Cour!$L:$Q,6,0)</f>
        <v>#N/A</v>
      </c>
      <c r="H937" s="3"/>
    </row>
    <row r="938" spans="1:29" ht="15" customHeight="1">
      <c r="A938" s="689"/>
      <c r="B938" s="678"/>
      <c r="C938" s="679"/>
      <c r="D938" s="679"/>
      <c r="E938" s="686"/>
      <c r="F938" s="686"/>
      <c r="G938" s="680" t="e">
        <f>+VLOOKUP(Data_Validation!$A938,BV_Data_An_Cour!$L:$Q,6,0)</f>
        <v>#N/A</v>
      </c>
      <c r="H938" s="3"/>
    </row>
    <row r="939" spans="1:29" ht="15" customHeight="1">
      <c r="A939" s="677"/>
      <c r="B939" s="688"/>
      <c r="C939" s="679"/>
      <c r="D939" s="679"/>
      <c r="E939" s="680"/>
      <c r="F939" s="681"/>
      <c r="G939" s="680" t="e">
        <f>+VLOOKUP(Data_Validation!$A939,BV_Data_An_Cour!$L:$Q,6,0)</f>
        <v>#N/A</v>
      </c>
      <c r="H939" s="3"/>
    </row>
    <row r="940" spans="1:29" ht="15" customHeight="1">
      <c r="A940" s="689"/>
      <c r="B940" s="678"/>
      <c r="C940" s="679"/>
      <c r="D940" s="679"/>
      <c r="E940" s="686"/>
      <c r="F940" s="686"/>
      <c r="G940" s="680" t="e">
        <f>+VLOOKUP(Data_Validation!$A940,BV_Data_An_Cour!$L:$Q,6,0)</f>
        <v>#N/A</v>
      </c>
      <c r="H940" s="3"/>
    </row>
    <row r="941" spans="1:29" ht="15" customHeight="1">
      <c r="A941" s="688"/>
      <c r="B941" s="688"/>
      <c r="C941" s="679"/>
      <c r="D941" s="679"/>
      <c r="E941" s="680"/>
      <c r="F941" s="681"/>
      <c r="G941" s="680" t="e">
        <f>+VLOOKUP(Data_Validation!$A941,BV_Data_An_Cour!$L:$Q,6,0)</f>
        <v>#N/A</v>
      </c>
      <c r="H941" s="3"/>
      <c r="I941" s="3"/>
      <c r="J941" s="3"/>
      <c r="L941" s="3"/>
      <c r="M941" s="3"/>
      <c r="N941" s="3"/>
      <c r="O941" s="3"/>
      <c r="P941" s="3"/>
      <c r="Q941" s="3"/>
      <c r="R941" s="3"/>
      <c r="S941" s="3"/>
      <c r="T941" s="3"/>
      <c r="U941" s="3"/>
      <c r="V941" s="3"/>
      <c r="W941" s="3"/>
      <c r="X941" s="3"/>
      <c r="Y941" s="3"/>
      <c r="Z941" s="3"/>
      <c r="AA941" s="3"/>
      <c r="AB941" s="3"/>
      <c r="AC941" s="3"/>
    </row>
    <row r="942" spans="1:29" ht="15" customHeight="1">
      <c r="A942" s="688"/>
      <c r="B942" s="688"/>
      <c r="C942" s="679"/>
      <c r="D942" s="679"/>
      <c r="E942" s="680"/>
      <c r="F942" s="681"/>
      <c r="G942" s="680" t="e">
        <f>+VLOOKUP(Data_Validation!$A942,BV_Data_An_Cour!$L:$Q,6,0)</f>
        <v>#N/A</v>
      </c>
      <c r="H942" s="3"/>
    </row>
    <row r="943" spans="1:29" ht="15" customHeight="1">
      <c r="A943" s="688"/>
      <c r="B943" s="688"/>
      <c r="C943" s="679"/>
      <c r="D943" s="679"/>
      <c r="E943" s="680"/>
      <c r="F943" s="681"/>
      <c r="G943" s="680" t="e">
        <f>+VLOOKUP(Data_Validation!$A943,BV_Data_An_Cour!$L:$Q,6,0)</f>
        <v>#N/A</v>
      </c>
      <c r="H943" s="3"/>
    </row>
    <row r="944" spans="1:29" ht="15" customHeight="1">
      <c r="A944" s="688"/>
      <c r="B944" s="688"/>
      <c r="C944" s="679"/>
      <c r="D944" s="679"/>
      <c r="E944" s="680"/>
      <c r="F944" s="681"/>
      <c r="G944" s="680" t="e">
        <f>+VLOOKUP(Data_Validation!$A944,BV_Data_An_Cour!$L:$Q,6,0)</f>
        <v>#N/A</v>
      </c>
      <c r="H944" s="3"/>
      <c r="I944" s="3"/>
      <c r="J944" s="3"/>
      <c r="L944" s="3"/>
      <c r="M944" s="3"/>
      <c r="N944" s="3"/>
      <c r="O944" s="3"/>
      <c r="P944" s="3"/>
      <c r="Q944" s="3"/>
      <c r="R944" s="3"/>
      <c r="S944" s="3"/>
      <c r="T944" s="3"/>
      <c r="U944" s="3"/>
      <c r="V944" s="3"/>
      <c r="W944" s="3"/>
      <c r="X944" s="3"/>
      <c r="Y944" s="3"/>
      <c r="Z944" s="3"/>
      <c r="AA944" s="3"/>
      <c r="AB944" s="3"/>
      <c r="AC944" s="3"/>
    </row>
    <row r="945" spans="1:8" ht="15" customHeight="1">
      <c r="A945" s="688"/>
      <c r="B945" s="688"/>
      <c r="C945" s="679"/>
      <c r="D945" s="679"/>
      <c r="E945" s="680"/>
      <c r="F945" s="681"/>
      <c r="G945" s="680" t="e">
        <f>+VLOOKUP(Data_Validation!$A945,BV_Data_An_Cour!$L:$Q,6,0)</f>
        <v>#N/A</v>
      </c>
      <c r="H945" s="3"/>
    </row>
    <row r="946" spans="1:8" ht="15" customHeight="1">
      <c r="A946" s="688"/>
      <c r="B946" s="688"/>
      <c r="C946" s="679"/>
      <c r="D946" s="679"/>
      <c r="E946" s="680"/>
      <c r="F946" s="681"/>
      <c r="G946" s="680" t="e">
        <f>+VLOOKUP(Data_Validation!$A946,BV_Data_An_Cour!$L:$Q,6,0)</f>
        <v>#N/A</v>
      </c>
      <c r="H946" s="3"/>
    </row>
    <row r="947" spans="1:8" ht="15" customHeight="1">
      <c r="A947" s="677"/>
      <c r="B947" s="685"/>
      <c r="C947" s="679"/>
      <c r="D947" s="679"/>
      <c r="E947" s="680"/>
      <c r="F947" s="681"/>
      <c r="G947" s="680"/>
      <c r="H947" s="3"/>
    </row>
    <row r="948" spans="1:8" ht="15" customHeight="1">
      <c r="A948" s="677"/>
      <c r="B948" s="685"/>
      <c r="C948" s="679"/>
      <c r="D948" s="679"/>
      <c r="E948" s="680"/>
      <c r="F948" s="681"/>
      <c r="G948" s="680"/>
      <c r="H948" s="3"/>
    </row>
    <row r="949" spans="1:8" ht="15" customHeight="1">
      <c r="A949" s="677"/>
      <c r="B949" s="685"/>
      <c r="C949" s="679"/>
      <c r="D949" s="679"/>
      <c r="E949" s="680"/>
      <c r="F949" s="681"/>
      <c r="G949" s="680"/>
      <c r="H949" s="3"/>
    </row>
    <row r="950" spans="1:8" ht="15" customHeight="1">
      <c r="A950" s="677"/>
      <c r="B950" s="685"/>
      <c r="C950" s="679"/>
      <c r="D950" s="679"/>
      <c r="E950" s="680"/>
      <c r="F950" s="681"/>
      <c r="G950" s="680"/>
      <c r="H950" s="3"/>
    </row>
    <row r="951" spans="1:8" ht="15" customHeight="1">
      <c r="A951" s="677"/>
      <c r="B951" s="685"/>
      <c r="C951" s="679"/>
      <c r="D951" s="679"/>
      <c r="E951" s="680"/>
      <c r="F951" s="681"/>
      <c r="G951" s="680"/>
      <c r="H951" s="3"/>
    </row>
    <row r="952" spans="1:8" ht="15" customHeight="1">
      <c r="A952" s="677"/>
      <c r="B952" s="685"/>
      <c r="C952" s="679"/>
      <c r="D952" s="679"/>
      <c r="E952" s="680"/>
      <c r="F952" s="681"/>
      <c r="G952" s="680"/>
      <c r="H952" s="3"/>
    </row>
    <row r="953" spans="1:8" ht="15" customHeight="1">
      <c r="A953" s="677"/>
      <c r="B953" s="685"/>
      <c r="C953" s="679"/>
      <c r="D953" s="679"/>
      <c r="E953" s="680"/>
      <c r="F953" s="681"/>
      <c r="G953" s="680"/>
      <c r="H953" s="3"/>
    </row>
    <row r="954" spans="1:8" ht="15" customHeight="1">
      <c r="A954" s="691"/>
      <c r="B954" s="695"/>
      <c r="C954" s="693"/>
      <c r="D954" s="679"/>
      <c r="E954" s="680"/>
      <c r="F954" s="681"/>
      <c r="G954" s="680"/>
      <c r="H954" s="3"/>
    </row>
    <row r="955" spans="1:8" ht="15" customHeight="1">
      <c r="A955" s="677"/>
      <c r="B955" s="685"/>
      <c r="C955" s="679"/>
      <c r="D955" s="679"/>
      <c r="E955" s="680"/>
      <c r="F955" s="681"/>
      <c r="G955" s="680"/>
      <c r="H955" s="3"/>
    </row>
    <row r="956" spans="1:8" ht="15" customHeight="1">
      <c r="A956" s="677"/>
      <c r="B956" s="685"/>
      <c r="C956" s="679"/>
      <c r="D956" s="679"/>
      <c r="E956" s="680"/>
      <c r="F956" s="681"/>
      <c r="G956" s="680"/>
      <c r="H956" s="3"/>
    </row>
    <row r="957" spans="1:8" ht="15" customHeight="1">
      <c r="A957" s="677"/>
      <c r="B957" s="685"/>
      <c r="C957" s="679"/>
      <c r="D957" s="679"/>
      <c r="E957" s="680"/>
      <c r="F957" s="681"/>
      <c r="G957" s="680"/>
      <c r="H957" s="3"/>
    </row>
    <row r="958" spans="1:8" ht="15" customHeight="1">
      <c r="A958" s="677"/>
      <c r="B958" s="685"/>
      <c r="C958" s="679"/>
      <c r="D958" s="679"/>
      <c r="E958" s="680"/>
      <c r="F958" s="681"/>
      <c r="G958" s="680"/>
      <c r="H958" s="3"/>
    </row>
    <row r="959" spans="1:8" ht="15" customHeight="1">
      <c r="A959" s="677"/>
      <c r="B959" s="685"/>
      <c r="C959" s="679"/>
      <c r="D959" s="679"/>
      <c r="E959" s="680"/>
      <c r="F959" s="681"/>
      <c r="G959" s="680"/>
      <c r="H959" s="3"/>
    </row>
    <row r="960" spans="1:8" ht="15" customHeight="1">
      <c r="A960" s="677"/>
      <c r="B960" s="685"/>
      <c r="C960" s="679"/>
      <c r="D960" s="679"/>
      <c r="E960" s="680"/>
      <c r="F960" s="681"/>
      <c r="G960" s="680"/>
      <c r="H960" s="3"/>
    </row>
    <row r="961" spans="1:11" ht="15" customHeight="1">
      <c r="A961" s="677"/>
      <c r="B961" s="685"/>
      <c r="C961" s="679"/>
      <c r="D961" s="679"/>
      <c r="E961" s="680"/>
      <c r="F961" s="681"/>
      <c r="G961" s="680"/>
      <c r="H961" s="3"/>
    </row>
    <row r="962" spans="1:11" ht="15" customHeight="1">
      <c r="A962" s="677"/>
      <c r="B962" s="685"/>
      <c r="C962" s="679"/>
      <c r="D962" s="679"/>
      <c r="E962" s="680"/>
      <c r="F962" s="681"/>
      <c r="G962" s="680"/>
      <c r="H962" s="3"/>
    </row>
    <row r="963" spans="1:11" ht="15" customHeight="1">
      <c r="A963" s="677"/>
      <c r="B963" s="685"/>
      <c r="C963" s="679"/>
      <c r="D963" s="679"/>
      <c r="E963" s="680"/>
      <c r="F963" s="681"/>
      <c r="G963" s="680"/>
      <c r="H963" s="3"/>
    </row>
    <row r="964" spans="1:11" ht="15" customHeight="1">
      <c r="A964" s="677"/>
      <c r="B964" s="685"/>
      <c r="C964" s="679"/>
      <c r="D964" s="679"/>
      <c r="E964" s="680"/>
      <c r="F964" s="681"/>
      <c r="G964" s="680"/>
      <c r="H964" s="3"/>
    </row>
    <row r="965" spans="1:11" ht="15" customHeight="1">
      <c r="A965" s="677"/>
      <c r="B965" s="685"/>
      <c r="C965" s="679"/>
      <c r="D965" s="679"/>
      <c r="E965" s="680"/>
      <c r="F965" s="681"/>
      <c r="G965" s="680"/>
      <c r="H965" s="3"/>
    </row>
    <row r="966" spans="1:11" ht="15" customHeight="1">
      <c r="A966" s="704"/>
      <c r="B966" s="685"/>
      <c r="C966" s="679"/>
      <c r="D966" s="679"/>
      <c r="E966" s="680"/>
      <c r="F966" s="681"/>
      <c r="G966" s="680"/>
      <c r="H966" s="3"/>
    </row>
    <row r="967" spans="1:11" ht="15" customHeight="1">
      <c r="A967" s="704"/>
      <c r="B967" s="685"/>
      <c r="C967" s="679"/>
      <c r="D967" s="679"/>
      <c r="E967" s="680"/>
      <c r="F967" s="681"/>
      <c r="G967" s="680"/>
      <c r="H967" s="3"/>
    </row>
    <row r="968" spans="1:11" ht="15" customHeight="1">
      <c r="A968" s="677"/>
      <c r="B968" s="685"/>
      <c r="C968" s="679"/>
      <c r="D968" s="679"/>
      <c r="E968" s="680"/>
      <c r="F968" s="681"/>
      <c r="G968" s="680"/>
      <c r="H968" s="3"/>
    </row>
    <row r="969" spans="1:11" ht="15" customHeight="1">
      <c r="A969" s="677"/>
      <c r="B969" s="685"/>
      <c r="C969" s="679"/>
      <c r="D969" s="679"/>
      <c r="E969" s="680"/>
      <c r="F969" s="681"/>
      <c r="G969" s="680"/>
      <c r="H969" s="3"/>
    </row>
    <row r="970" spans="1:11" ht="15" customHeight="1">
      <c r="A970" s="677"/>
      <c r="B970" s="685"/>
      <c r="C970" s="679"/>
      <c r="D970" s="679"/>
      <c r="E970" s="680"/>
      <c r="F970" s="681"/>
      <c r="G970" s="680"/>
      <c r="H970" s="3"/>
    </row>
    <row r="971" spans="1:11" ht="15" customHeight="1">
      <c r="A971" s="702"/>
      <c r="B971" s="705"/>
      <c r="C971" s="679"/>
      <c r="D971" s="679"/>
      <c r="E971" s="680"/>
      <c r="F971" s="681"/>
      <c r="G971" s="680"/>
      <c r="H971" s="3"/>
    </row>
    <row r="972" spans="1:11" ht="15" customHeight="1">
      <c r="A972" s="677"/>
      <c r="B972" s="685"/>
      <c r="C972" s="679"/>
      <c r="D972" s="679"/>
      <c r="E972" s="680"/>
      <c r="F972" s="681"/>
      <c r="G972" s="680"/>
      <c r="H972" s="3"/>
    </row>
    <row r="973" spans="1:11" ht="15" customHeight="1">
      <c r="A973" s="677"/>
      <c r="B973" s="685"/>
      <c r="C973" s="679"/>
      <c r="D973" s="679"/>
      <c r="E973" s="680"/>
      <c r="F973" s="681"/>
      <c r="G973" s="680"/>
      <c r="H973" s="3"/>
    </row>
    <row r="974" spans="1:11" ht="15" customHeight="1">
      <c r="A974" s="677"/>
      <c r="B974" s="685"/>
      <c r="C974" s="679"/>
      <c r="D974" s="679"/>
      <c r="E974" s="680"/>
      <c r="F974" s="681"/>
      <c r="G974" s="680"/>
      <c r="H974" s="3"/>
    </row>
    <row r="975" spans="1:11" ht="15" customHeight="1">
      <c r="A975" s="677"/>
      <c r="B975" s="685"/>
      <c r="C975" s="679"/>
      <c r="D975" s="679"/>
      <c r="E975" s="680"/>
      <c r="F975" s="681"/>
      <c r="G975" s="680"/>
      <c r="H975" s="3"/>
      <c r="K975" s="3"/>
    </row>
    <row r="976" spans="1:11" ht="15" customHeight="1">
      <c r="A976" s="677"/>
      <c r="B976" s="685"/>
      <c r="C976" s="679"/>
      <c r="D976" s="679"/>
      <c r="E976" s="680"/>
      <c r="F976" s="681"/>
      <c r="G976" s="680"/>
      <c r="H976" s="3"/>
    </row>
    <row r="977" spans="1:11" ht="15" customHeight="1">
      <c r="A977" s="677"/>
      <c r="B977" s="685"/>
      <c r="C977" s="679"/>
      <c r="D977" s="679"/>
      <c r="E977" s="680"/>
      <c r="F977" s="681"/>
      <c r="G977" s="680"/>
      <c r="H977" s="3"/>
    </row>
    <row r="978" spans="1:11" ht="15" customHeight="1">
      <c r="A978" s="677"/>
      <c r="B978" s="685"/>
      <c r="C978" s="679"/>
      <c r="D978" s="679"/>
      <c r="E978" s="680"/>
      <c r="F978" s="681"/>
      <c r="G978" s="680"/>
      <c r="H978" s="3"/>
    </row>
    <row r="979" spans="1:11" ht="15" customHeight="1">
      <c r="A979" s="677"/>
      <c r="B979" s="685"/>
      <c r="C979" s="679"/>
      <c r="D979" s="679"/>
      <c r="E979" s="680"/>
      <c r="F979" s="681"/>
      <c r="G979" s="680"/>
      <c r="H979" s="3"/>
    </row>
    <row r="980" spans="1:11" ht="15" customHeight="1">
      <c r="A980" s="677"/>
      <c r="B980" s="685"/>
      <c r="C980" s="679"/>
      <c r="D980" s="679"/>
      <c r="E980" s="680"/>
      <c r="F980" s="681"/>
      <c r="G980" s="680"/>
      <c r="H980" s="3"/>
    </row>
    <row r="981" spans="1:11" ht="15" customHeight="1">
      <c r="A981" s="677"/>
      <c r="B981" s="679"/>
      <c r="C981" s="679"/>
      <c r="D981" s="679"/>
      <c r="E981" s="680"/>
      <c r="F981" s="681"/>
      <c r="G981" s="680"/>
      <c r="H981" s="3"/>
    </row>
    <row r="982" spans="1:11" ht="15" customHeight="1">
      <c r="A982" s="677"/>
      <c r="B982" s="685"/>
      <c r="C982" s="679"/>
      <c r="D982" s="679"/>
      <c r="E982" s="680"/>
      <c r="F982" s="681"/>
      <c r="G982" s="680"/>
      <c r="H982" s="3"/>
    </row>
    <row r="983" spans="1:11" ht="15" customHeight="1">
      <c r="A983" s="677"/>
      <c r="B983" s="685"/>
      <c r="C983" s="679"/>
      <c r="D983" s="679"/>
      <c r="E983" s="680"/>
      <c r="F983" s="681"/>
      <c r="G983" s="680"/>
      <c r="H983" s="3"/>
    </row>
    <row r="984" spans="1:11" ht="15" customHeight="1">
      <c r="A984" s="677"/>
      <c r="B984" s="685"/>
      <c r="C984" s="679"/>
      <c r="D984" s="679"/>
      <c r="E984" s="680"/>
      <c r="F984" s="681"/>
      <c r="G984" s="680"/>
      <c r="H984" s="3"/>
    </row>
    <row r="985" spans="1:11" ht="15" customHeight="1">
      <c r="A985" s="677"/>
      <c r="B985" s="685"/>
      <c r="C985" s="679"/>
      <c r="D985" s="679"/>
      <c r="E985" s="680"/>
      <c r="F985" s="681"/>
      <c r="G985" s="680"/>
      <c r="H985" s="3"/>
    </row>
    <row r="986" spans="1:11" ht="15" customHeight="1">
      <c r="A986" s="677"/>
      <c r="B986" s="685"/>
      <c r="C986" s="679"/>
      <c r="D986" s="679"/>
      <c r="E986" s="680"/>
      <c r="F986" s="681"/>
      <c r="G986" s="680"/>
      <c r="H986" s="3"/>
      <c r="K986" s="3"/>
    </row>
    <row r="987" spans="1:11" ht="15" customHeight="1">
      <c r="A987" s="677"/>
      <c r="B987" s="685"/>
      <c r="C987" s="679"/>
      <c r="D987" s="679"/>
      <c r="E987" s="680"/>
      <c r="F987" s="681"/>
      <c r="G987" s="680"/>
      <c r="H987" s="3"/>
    </row>
    <row r="988" spans="1:11" ht="15" customHeight="1">
      <c r="A988" s="677"/>
      <c r="B988" s="685"/>
      <c r="C988" s="679"/>
      <c r="D988" s="679"/>
      <c r="E988" s="680"/>
      <c r="F988" s="681"/>
      <c r="G988" s="680"/>
      <c r="H988" s="3"/>
    </row>
    <row r="989" spans="1:11" ht="15" customHeight="1">
      <c r="A989" s="677"/>
      <c r="B989" s="685"/>
      <c r="C989" s="679"/>
      <c r="D989" s="679"/>
      <c r="E989" s="680"/>
      <c r="F989" s="681"/>
      <c r="G989" s="680"/>
      <c r="H989" s="3"/>
    </row>
    <row r="990" spans="1:11" ht="15" customHeight="1">
      <c r="A990" s="677"/>
      <c r="B990" s="685"/>
      <c r="C990" s="679"/>
      <c r="D990" s="679"/>
      <c r="E990" s="680"/>
      <c r="F990" s="681"/>
      <c r="G990" s="680"/>
      <c r="H990" s="3"/>
    </row>
    <row r="991" spans="1:11" ht="15" customHeight="1">
      <c r="A991" s="677"/>
      <c r="B991" s="685"/>
      <c r="C991" s="679"/>
      <c r="D991" s="679"/>
      <c r="E991" s="680"/>
      <c r="F991" s="681"/>
      <c r="G991" s="680"/>
      <c r="H991" s="3"/>
    </row>
    <row r="992" spans="1:11" ht="15" customHeight="1">
      <c r="A992" s="677"/>
      <c r="B992" s="685"/>
      <c r="C992" s="679"/>
      <c r="D992" s="679"/>
      <c r="E992" s="680"/>
      <c r="F992" s="681"/>
      <c r="G992" s="680"/>
      <c r="H992" s="3"/>
      <c r="K992" s="3"/>
    </row>
    <row r="993" spans="1:29" ht="15" customHeight="1">
      <c r="A993" s="677"/>
      <c r="B993" s="685"/>
      <c r="C993" s="679"/>
      <c r="D993" s="679"/>
      <c r="E993" s="680"/>
      <c r="F993" s="681"/>
      <c r="G993" s="680"/>
      <c r="H993" s="3"/>
    </row>
    <row r="994" spans="1:29" ht="15" customHeight="1">
      <c r="A994" s="677"/>
      <c r="B994" s="685"/>
      <c r="C994" s="679"/>
      <c r="D994" s="679"/>
      <c r="E994" s="680"/>
      <c r="F994" s="681"/>
      <c r="G994" s="680"/>
      <c r="H994" s="3"/>
    </row>
    <row r="995" spans="1:29" ht="15" customHeight="1">
      <c r="A995" s="677"/>
      <c r="B995" s="685"/>
      <c r="C995" s="679"/>
      <c r="D995" s="679"/>
      <c r="E995" s="680"/>
      <c r="F995" s="681"/>
      <c r="G995" s="680"/>
      <c r="H995" s="3"/>
      <c r="K995" s="3"/>
    </row>
    <row r="996" spans="1:29" ht="15" customHeight="1">
      <c r="A996" s="677"/>
      <c r="B996" s="685"/>
      <c r="C996" s="679"/>
      <c r="D996" s="679"/>
      <c r="E996" s="680"/>
      <c r="F996" s="681"/>
      <c r="G996" s="680"/>
      <c r="H996" s="3"/>
    </row>
    <row r="997" spans="1:29" ht="15" customHeight="1">
      <c r="A997" s="677"/>
      <c r="B997" s="685"/>
      <c r="C997" s="679"/>
      <c r="D997" s="679"/>
      <c r="E997" s="680"/>
      <c r="F997" s="681"/>
      <c r="G997" s="680"/>
      <c r="H997" s="3"/>
    </row>
    <row r="998" spans="1:29" ht="15" customHeight="1">
      <c r="A998" s="677"/>
      <c r="B998" s="685"/>
      <c r="C998" s="679"/>
      <c r="D998" s="679"/>
      <c r="E998" s="680"/>
      <c r="F998" s="681"/>
      <c r="G998" s="680"/>
      <c r="H998" s="3"/>
    </row>
    <row r="999" spans="1:29" ht="15" customHeight="1">
      <c r="A999" s="677"/>
      <c r="B999" s="685"/>
      <c r="C999" s="679"/>
      <c r="D999" s="679"/>
      <c r="E999" s="680"/>
      <c r="F999" s="681"/>
      <c r="G999" s="680"/>
      <c r="H999" s="3"/>
    </row>
    <row r="1000" spans="1:29" ht="15" customHeight="1">
      <c r="A1000" s="677"/>
      <c r="B1000" s="685"/>
      <c r="C1000" s="679"/>
      <c r="D1000" s="679"/>
      <c r="E1000" s="680"/>
      <c r="F1000" s="681"/>
      <c r="G1000" s="680"/>
      <c r="H1000" s="3"/>
    </row>
    <row r="1001" spans="1:29" ht="15" customHeight="1">
      <c r="A1001" s="677"/>
      <c r="B1001" s="685"/>
      <c r="C1001" s="679"/>
      <c r="D1001" s="679"/>
      <c r="E1001" s="680"/>
      <c r="F1001" s="681"/>
      <c r="G1001" s="680"/>
      <c r="H1001" s="3"/>
    </row>
    <row r="1002" spans="1:29" ht="15" customHeight="1">
      <c r="A1002" s="677"/>
      <c r="B1002" s="685"/>
      <c r="C1002" s="679"/>
      <c r="D1002" s="679"/>
      <c r="E1002" s="680"/>
      <c r="F1002" s="681"/>
      <c r="G1002" s="680"/>
      <c r="H1002" s="3"/>
    </row>
    <row r="1003" spans="1:29" ht="15" customHeight="1">
      <c r="A1003" s="677"/>
      <c r="B1003" s="685"/>
      <c r="C1003" s="679"/>
      <c r="D1003" s="679"/>
      <c r="E1003" s="680"/>
      <c r="F1003" s="681"/>
      <c r="G1003" s="680"/>
      <c r="H1003" s="3"/>
    </row>
    <row r="1004" spans="1:29" ht="15" customHeight="1">
      <c r="A1004" s="677"/>
      <c r="B1004" s="685"/>
      <c r="C1004" s="679"/>
      <c r="D1004" s="679"/>
      <c r="E1004" s="680"/>
      <c r="F1004" s="681"/>
      <c r="G1004" s="680"/>
      <c r="H1004" s="3"/>
    </row>
    <row r="1005" spans="1:29" ht="15" customHeight="1">
      <c r="A1005" s="677"/>
      <c r="B1005" s="685"/>
      <c r="C1005" s="679"/>
      <c r="D1005" s="679"/>
      <c r="E1005" s="680"/>
      <c r="F1005" s="681"/>
      <c r="G1005" s="680"/>
      <c r="H1005" s="3"/>
      <c r="I1005" s="3"/>
      <c r="J1005" s="3"/>
      <c r="L1005" s="3"/>
      <c r="M1005" s="3"/>
      <c r="N1005" s="3"/>
      <c r="O1005" s="3"/>
      <c r="P1005" s="3"/>
      <c r="Q1005" s="3"/>
      <c r="R1005" s="3"/>
      <c r="S1005" s="3"/>
      <c r="T1005" s="3"/>
      <c r="U1005" s="3"/>
      <c r="V1005" s="3"/>
      <c r="W1005" s="3"/>
      <c r="X1005" s="3"/>
      <c r="Y1005" s="3"/>
      <c r="Z1005" s="3"/>
      <c r="AA1005" s="3"/>
      <c r="AB1005" s="3"/>
      <c r="AC1005" s="3"/>
    </row>
    <row r="1006" spans="1:29" ht="15" customHeight="1">
      <c r="A1006" s="677"/>
      <c r="B1006" s="685"/>
      <c r="C1006" s="679"/>
      <c r="D1006" s="679"/>
      <c r="E1006" s="680"/>
      <c r="F1006" s="681"/>
      <c r="G1006" s="680"/>
      <c r="H1006" s="3"/>
    </row>
    <row r="1007" spans="1:29" ht="15" customHeight="1">
      <c r="A1007" s="677"/>
      <c r="B1007" s="685"/>
      <c r="C1007" s="679"/>
      <c r="D1007" s="679"/>
      <c r="E1007" s="680"/>
      <c r="F1007" s="681"/>
      <c r="G1007" s="680"/>
      <c r="H1007" s="3"/>
    </row>
    <row r="1008" spans="1:29" ht="15" customHeight="1">
      <c r="A1008" s="706"/>
      <c r="B1008" s="707"/>
      <c r="C1008" s="679"/>
      <c r="D1008" s="679"/>
      <c r="E1008" s="680"/>
      <c r="F1008" s="681"/>
      <c r="G1008" s="680"/>
      <c r="H1008" s="3"/>
    </row>
    <row r="1009" spans="1:15" ht="15" customHeight="1">
      <c r="A1009" s="677"/>
      <c r="B1009" s="685"/>
      <c r="C1009" s="679"/>
      <c r="D1009" s="679"/>
      <c r="E1009" s="680"/>
      <c r="F1009" s="681"/>
      <c r="G1009" s="680"/>
      <c r="H1009" s="3"/>
    </row>
    <row r="1010" spans="1:15" ht="15" customHeight="1">
      <c r="A1010" s="677"/>
      <c r="B1010" s="685"/>
      <c r="C1010" s="679"/>
      <c r="D1010" s="679"/>
      <c r="E1010" s="680"/>
      <c r="F1010" s="681"/>
      <c r="G1010" s="680"/>
      <c r="H1010" s="3"/>
    </row>
    <row r="1011" spans="1:15" ht="15" customHeight="1">
      <c r="A1011" s="677"/>
      <c r="B1011" s="685"/>
      <c r="C1011" s="679"/>
      <c r="D1011" s="679"/>
      <c r="E1011" s="680"/>
      <c r="F1011" s="681"/>
      <c r="G1011" s="680"/>
      <c r="H1011" s="3"/>
    </row>
    <row r="1012" spans="1:15" ht="15" customHeight="1">
      <c r="A1012" s="677"/>
      <c r="B1012" s="685"/>
      <c r="C1012" s="679"/>
      <c r="D1012" s="679"/>
      <c r="E1012" s="680"/>
      <c r="F1012" s="681"/>
      <c r="G1012" s="680"/>
      <c r="H1012" s="3"/>
    </row>
    <row r="1013" spans="1:15" ht="15" customHeight="1">
      <c r="A1013" s="677"/>
      <c r="B1013" s="685"/>
      <c r="C1013" s="679"/>
      <c r="D1013" s="679"/>
      <c r="E1013" s="680"/>
      <c r="F1013" s="681"/>
      <c r="G1013" s="680"/>
      <c r="H1013" s="3"/>
    </row>
    <row r="1014" spans="1:15" ht="15" customHeight="1">
      <c r="A1014" s="677"/>
      <c r="B1014" s="685"/>
      <c r="C1014" s="679"/>
      <c r="D1014" s="679"/>
      <c r="E1014" s="680"/>
      <c r="F1014" s="681"/>
      <c r="G1014" s="680"/>
      <c r="H1014" s="3"/>
    </row>
    <row r="1015" spans="1:15" ht="15" customHeight="1">
      <c r="A1015" s="677"/>
      <c r="B1015" s="685"/>
      <c r="C1015" s="679"/>
      <c r="D1015" s="679"/>
      <c r="E1015" s="680"/>
      <c r="F1015" s="681"/>
      <c r="G1015" s="680"/>
      <c r="H1015" s="3"/>
    </row>
    <row r="1016" spans="1:15" ht="15" customHeight="1">
      <c r="A1016" s="677"/>
      <c r="B1016" s="685"/>
      <c r="C1016" s="679"/>
      <c r="D1016" s="679"/>
      <c r="E1016" s="680"/>
      <c r="F1016" s="681"/>
      <c r="G1016" s="680"/>
      <c r="H1016" s="3"/>
      <c r="M1016" s="3"/>
      <c r="N1016" s="3"/>
      <c r="O1016" s="3"/>
    </row>
    <row r="1017" spans="1:15" ht="15" customHeight="1">
      <c r="A1017" s="677"/>
      <c r="B1017" s="685"/>
      <c r="C1017" s="679"/>
      <c r="D1017" s="679"/>
      <c r="E1017" s="680"/>
      <c r="F1017" s="681"/>
      <c r="G1017" s="680"/>
      <c r="H1017" s="3"/>
    </row>
    <row r="1018" spans="1:15" ht="15" customHeight="1">
      <c r="A1018" s="677"/>
      <c r="B1018" s="685"/>
      <c r="C1018" s="679"/>
      <c r="D1018" s="679"/>
      <c r="E1018" s="680"/>
      <c r="F1018" s="681"/>
      <c r="G1018" s="680"/>
      <c r="H1018" s="3"/>
    </row>
    <row r="1019" spans="1:15" ht="15" customHeight="1">
      <c r="A1019" s="677"/>
      <c r="B1019" s="685"/>
      <c r="C1019" s="679"/>
      <c r="D1019" s="679"/>
      <c r="E1019" s="680"/>
      <c r="F1019" s="681"/>
      <c r="G1019" s="680"/>
      <c r="H1019" s="3"/>
    </row>
    <row r="1020" spans="1:15" ht="15" customHeight="1">
      <c r="A1020" s="677"/>
      <c r="B1020" s="685"/>
      <c r="C1020" s="679"/>
      <c r="D1020" s="679"/>
      <c r="E1020" s="680"/>
      <c r="F1020" s="681"/>
      <c r="G1020" s="680"/>
      <c r="H1020" s="3"/>
    </row>
    <row r="1021" spans="1:15" ht="15" customHeight="1">
      <c r="A1021" s="677"/>
      <c r="B1021" s="685"/>
      <c r="C1021" s="679"/>
      <c r="D1021" s="679"/>
      <c r="E1021" s="680"/>
      <c r="F1021" s="681"/>
      <c r="G1021" s="680"/>
      <c r="H1021" s="3"/>
    </row>
    <row r="1022" spans="1:15" ht="15" customHeight="1">
      <c r="A1022" s="677"/>
      <c r="B1022" s="685"/>
      <c r="C1022" s="679"/>
      <c r="D1022" s="679"/>
      <c r="E1022" s="680"/>
      <c r="F1022" s="681"/>
      <c r="G1022" s="680"/>
      <c r="H1022" s="3"/>
    </row>
    <row r="1023" spans="1:15" ht="15" customHeight="1">
      <c r="A1023" s="677"/>
      <c r="B1023" s="685"/>
      <c r="C1023" s="679"/>
      <c r="D1023" s="679"/>
      <c r="E1023" s="680"/>
      <c r="F1023" s="681"/>
      <c r="G1023" s="680"/>
      <c r="H1023" s="3"/>
    </row>
    <row r="1024" spans="1:15" ht="15" customHeight="1">
      <c r="A1024" s="677"/>
      <c r="B1024" s="685"/>
      <c r="C1024" s="679"/>
      <c r="D1024" s="679"/>
      <c r="E1024" s="680"/>
      <c r="F1024" s="681"/>
      <c r="G1024" s="680"/>
      <c r="H1024" s="3"/>
    </row>
    <row r="1025" spans="1:8" ht="15" customHeight="1">
      <c r="A1025" s="706"/>
      <c r="B1025" s="707"/>
      <c r="C1025" s="679"/>
      <c r="D1025" s="679"/>
      <c r="E1025" s="680"/>
      <c r="F1025" s="681"/>
      <c r="G1025" s="680"/>
      <c r="H1025" s="3"/>
    </row>
    <row r="1026" spans="1:8" ht="15" customHeight="1">
      <c r="A1026" s="677"/>
      <c r="B1026" s="685"/>
      <c r="C1026" s="679"/>
      <c r="D1026" s="679"/>
      <c r="E1026" s="680"/>
      <c r="F1026" s="681"/>
      <c r="G1026" s="680"/>
      <c r="H1026" s="3"/>
    </row>
    <row r="1027" spans="1:8" ht="15" customHeight="1">
      <c r="A1027" s="677"/>
      <c r="B1027" s="685"/>
      <c r="C1027" s="679"/>
      <c r="D1027" s="679"/>
      <c r="E1027" s="680"/>
      <c r="F1027" s="681"/>
      <c r="G1027" s="680"/>
      <c r="H1027" s="3"/>
    </row>
    <row r="1028" spans="1:8" ht="15" customHeight="1">
      <c r="A1028" s="677"/>
      <c r="B1028" s="685"/>
      <c r="C1028" s="679"/>
      <c r="D1028" s="679"/>
      <c r="E1028" s="680"/>
      <c r="F1028" s="681"/>
      <c r="G1028" s="680"/>
      <c r="H1028" s="3"/>
    </row>
    <row r="1029" spans="1:8" ht="15" customHeight="1">
      <c r="A1029" s="677"/>
      <c r="B1029" s="685"/>
      <c r="C1029" s="679"/>
      <c r="D1029" s="679"/>
      <c r="E1029" s="680"/>
      <c r="F1029" s="681"/>
      <c r="G1029" s="680"/>
      <c r="H1029" s="3"/>
    </row>
    <row r="1030" spans="1:8" ht="15" customHeight="1">
      <c r="A1030" s="677"/>
      <c r="B1030" s="685"/>
      <c r="C1030" s="679"/>
      <c r="D1030" s="679"/>
      <c r="E1030" s="680"/>
      <c r="F1030" s="681"/>
      <c r="G1030" s="680"/>
      <c r="H1030" s="3"/>
    </row>
    <row r="1031" spans="1:8" ht="15" customHeight="1">
      <c r="A1031" s="677"/>
      <c r="B1031" s="685"/>
      <c r="C1031" s="679"/>
      <c r="D1031" s="679"/>
      <c r="E1031" s="680"/>
      <c r="F1031" s="681"/>
      <c r="G1031" s="680"/>
      <c r="H1031" s="3"/>
    </row>
    <row r="1032" spans="1:8" ht="15" customHeight="1">
      <c r="A1032" s="677"/>
      <c r="B1032" s="685"/>
      <c r="C1032" s="679"/>
      <c r="D1032" s="679"/>
      <c r="E1032" s="680"/>
      <c r="F1032" s="681"/>
      <c r="G1032" s="680"/>
      <c r="H1032" s="3"/>
    </row>
    <row r="1033" spans="1:8" ht="15" customHeight="1">
      <c r="A1033" s="677"/>
      <c r="B1033" s="685"/>
      <c r="C1033" s="679"/>
      <c r="D1033" s="679"/>
      <c r="E1033" s="680"/>
      <c r="F1033" s="681"/>
      <c r="G1033" s="680"/>
      <c r="H1033" s="3"/>
    </row>
    <row r="1034" spans="1:8" ht="15" customHeight="1">
      <c r="A1034" s="677"/>
      <c r="B1034" s="685"/>
      <c r="C1034" s="679"/>
      <c r="D1034" s="679"/>
      <c r="E1034" s="680"/>
      <c r="F1034" s="681"/>
      <c r="G1034" s="680"/>
      <c r="H1034" s="3"/>
    </row>
    <row r="1035" spans="1:8" ht="15" customHeight="1">
      <c r="A1035" s="677"/>
      <c r="B1035" s="685"/>
      <c r="C1035" s="679"/>
      <c r="D1035" s="679"/>
      <c r="E1035" s="680"/>
      <c r="F1035" s="681"/>
      <c r="G1035" s="680"/>
      <c r="H1035" s="3"/>
    </row>
    <row r="1036" spans="1:8" ht="15" customHeight="1">
      <c r="A1036" s="677"/>
      <c r="B1036" s="685"/>
      <c r="C1036" s="679"/>
      <c r="D1036" s="679"/>
      <c r="E1036" s="680"/>
      <c r="F1036" s="681"/>
      <c r="G1036" s="680"/>
      <c r="H1036" s="3"/>
    </row>
    <row r="1037" spans="1:8" ht="15" customHeight="1">
      <c r="A1037" s="677"/>
      <c r="B1037" s="685"/>
      <c r="C1037" s="679"/>
      <c r="D1037" s="679"/>
      <c r="E1037" s="680"/>
      <c r="F1037" s="681"/>
      <c r="G1037" s="680"/>
      <c r="H1037" s="3"/>
    </row>
    <row r="1038" spans="1:8" ht="15" customHeight="1">
      <c r="A1038" s="677"/>
      <c r="B1038" s="685"/>
      <c r="C1038" s="679"/>
      <c r="D1038" s="679"/>
      <c r="E1038" s="680"/>
      <c r="F1038" s="681"/>
      <c r="G1038" s="680"/>
      <c r="H1038" s="3"/>
    </row>
    <row r="1039" spans="1:8" ht="15" customHeight="1">
      <c r="A1039" s="677"/>
      <c r="B1039" s="685"/>
      <c r="C1039" s="679"/>
      <c r="D1039" s="679"/>
      <c r="E1039" s="680"/>
      <c r="F1039" s="681"/>
      <c r="G1039" s="680"/>
      <c r="H1039" s="3"/>
    </row>
    <row r="1040" spans="1:8" ht="15" customHeight="1">
      <c r="A1040" s="677"/>
      <c r="B1040" s="685"/>
      <c r="C1040" s="679"/>
      <c r="D1040" s="679"/>
      <c r="E1040" s="680"/>
      <c r="F1040" s="681"/>
      <c r="G1040" s="680"/>
      <c r="H1040" s="3"/>
    </row>
    <row r="1041" spans="1:29" ht="15" customHeight="1">
      <c r="A1041" s="677"/>
      <c r="B1041" s="685"/>
      <c r="C1041" s="679"/>
      <c r="D1041" s="679"/>
      <c r="E1041" s="680"/>
      <c r="F1041" s="681"/>
      <c r="G1041" s="680"/>
      <c r="H1041" s="3"/>
      <c r="I1041" s="3"/>
      <c r="J1041" s="3"/>
      <c r="L1041" s="3"/>
      <c r="M1041" s="3"/>
      <c r="N1041" s="3"/>
      <c r="O1041" s="3"/>
      <c r="P1041" s="3"/>
      <c r="Q1041" s="3"/>
      <c r="R1041" s="3"/>
      <c r="S1041" s="3"/>
      <c r="T1041" s="3"/>
      <c r="U1041" s="3"/>
      <c r="V1041" s="3"/>
      <c r="W1041" s="3"/>
      <c r="X1041" s="3"/>
      <c r="Y1041" s="3"/>
      <c r="Z1041" s="3"/>
      <c r="AA1041" s="3"/>
      <c r="AB1041" s="3"/>
      <c r="AC1041" s="3"/>
    </row>
    <row r="1042" spans="1:29" ht="15" customHeight="1">
      <c r="A1042" s="677"/>
      <c r="B1042" s="685"/>
      <c r="C1042" s="679"/>
      <c r="D1042" s="679"/>
      <c r="E1042" s="680"/>
      <c r="F1042" s="681"/>
      <c r="G1042" s="680"/>
      <c r="H1042" s="3"/>
    </row>
    <row r="1043" spans="1:29" ht="15" customHeight="1">
      <c r="A1043" s="677"/>
      <c r="B1043" s="679"/>
      <c r="C1043" s="679"/>
      <c r="D1043" s="679"/>
      <c r="E1043" s="680"/>
      <c r="F1043" s="681"/>
      <c r="G1043" s="680"/>
      <c r="H1043" s="3"/>
    </row>
    <row r="1044" spans="1:29" ht="15" customHeight="1">
      <c r="A1044" s="677"/>
      <c r="B1044" s="685"/>
      <c r="C1044" s="679"/>
      <c r="D1044" s="679"/>
      <c r="E1044" s="680"/>
      <c r="F1044" s="681"/>
      <c r="G1044" s="680"/>
      <c r="H1044" s="3"/>
      <c r="I1044" s="3"/>
      <c r="J1044" s="3"/>
      <c r="L1044" s="3"/>
      <c r="M1044" s="3"/>
      <c r="N1044" s="3"/>
      <c r="O1044" s="3"/>
      <c r="P1044" s="3"/>
      <c r="Q1044" s="3"/>
      <c r="R1044" s="3"/>
      <c r="S1044" s="3"/>
      <c r="T1044" s="3"/>
      <c r="U1044" s="3"/>
      <c r="V1044" s="3"/>
      <c r="W1044" s="3"/>
      <c r="X1044" s="3"/>
      <c r="Y1044" s="3"/>
      <c r="Z1044" s="3"/>
      <c r="AA1044" s="3"/>
      <c r="AB1044" s="3"/>
      <c r="AC1044" s="3"/>
    </row>
    <row r="1045" spans="1:29" ht="15" customHeight="1">
      <c r="A1045" s="677"/>
      <c r="B1045" s="685"/>
      <c r="C1045" s="679"/>
      <c r="D1045" s="679"/>
      <c r="E1045" s="680"/>
      <c r="F1045" s="681"/>
      <c r="G1045" s="680"/>
      <c r="H1045" s="3"/>
      <c r="I1045" s="3"/>
      <c r="J1045" s="3"/>
      <c r="L1045" s="3"/>
      <c r="M1045" s="3"/>
      <c r="N1045" s="3"/>
      <c r="O1045" s="3"/>
      <c r="P1045" s="3"/>
      <c r="Q1045" s="3"/>
      <c r="R1045" s="3"/>
      <c r="S1045" s="3"/>
      <c r="T1045" s="3"/>
      <c r="U1045" s="3"/>
      <c r="V1045" s="3"/>
      <c r="W1045" s="3"/>
      <c r="X1045" s="3"/>
      <c r="Y1045" s="3"/>
      <c r="Z1045" s="3"/>
      <c r="AA1045" s="3"/>
      <c r="AB1045" s="3"/>
      <c r="AC1045" s="3"/>
    </row>
    <row r="1046" spans="1:29" ht="15" customHeight="1">
      <c r="A1046" s="708"/>
      <c r="B1046" s="709"/>
      <c r="C1046" s="710"/>
      <c r="D1046" s="710"/>
      <c r="E1046" s="680"/>
      <c r="F1046" s="681"/>
      <c r="G1046" s="680"/>
      <c r="H1046" s="3"/>
    </row>
    <row r="1047" spans="1:29" ht="15" customHeight="1">
      <c r="A1047" s="677"/>
      <c r="B1047" s="685"/>
      <c r="C1047" s="679"/>
      <c r="D1047" s="679"/>
      <c r="E1047" s="680"/>
      <c r="F1047" s="681"/>
      <c r="G1047" s="680"/>
      <c r="H1047" s="3"/>
    </row>
    <row r="1048" spans="1:29" ht="15" customHeight="1">
      <c r="A1048" s="677"/>
      <c r="B1048" s="685"/>
      <c r="C1048" s="679"/>
      <c r="D1048" s="679"/>
      <c r="E1048" s="680"/>
      <c r="F1048" s="681"/>
      <c r="G1048" s="680"/>
      <c r="H1048" s="3"/>
      <c r="K1048" s="3"/>
    </row>
    <row r="1049" spans="1:29" ht="15" customHeight="1">
      <c r="A1049" s="677"/>
      <c r="B1049" s="685"/>
      <c r="C1049" s="679"/>
      <c r="D1049" s="679"/>
      <c r="E1049" s="680"/>
      <c r="F1049" s="681"/>
      <c r="G1049" s="680"/>
      <c r="H1049" s="3"/>
    </row>
    <row r="1050" spans="1:29" ht="15" customHeight="1">
      <c r="A1050" s="677"/>
      <c r="B1050" s="685"/>
      <c r="C1050" s="679"/>
      <c r="D1050" s="679"/>
      <c r="E1050" s="680"/>
      <c r="F1050" s="681"/>
      <c r="G1050" s="680"/>
      <c r="H1050" s="3"/>
    </row>
    <row r="1051" spans="1:29" ht="15" customHeight="1">
      <c r="A1051" s="677"/>
      <c r="B1051" s="685"/>
      <c r="C1051" s="679"/>
      <c r="D1051" s="679"/>
      <c r="E1051" s="680"/>
      <c r="F1051" s="681"/>
      <c r="G1051" s="680"/>
      <c r="H1051" s="3"/>
      <c r="I1051" s="3"/>
      <c r="J1051" s="3"/>
      <c r="L1051" s="3"/>
      <c r="M1051" s="3"/>
      <c r="N1051" s="3"/>
      <c r="O1051" s="3"/>
      <c r="P1051" s="3"/>
      <c r="Q1051" s="3"/>
      <c r="R1051" s="3"/>
      <c r="S1051" s="3"/>
      <c r="T1051" s="3"/>
      <c r="U1051" s="3"/>
      <c r="V1051" s="3"/>
      <c r="W1051" s="3"/>
      <c r="X1051" s="3"/>
      <c r="Y1051" s="3"/>
      <c r="Z1051" s="3"/>
      <c r="AA1051" s="3"/>
      <c r="AB1051" s="3"/>
      <c r="AC1051" s="3"/>
    </row>
    <row r="1052" spans="1:29" ht="15" customHeight="1">
      <c r="A1052" s="677"/>
      <c r="B1052" s="685"/>
      <c r="C1052" s="679"/>
      <c r="D1052" s="679"/>
      <c r="E1052" s="680"/>
      <c r="F1052" s="681"/>
      <c r="G1052" s="680"/>
      <c r="H1052" s="3"/>
    </row>
    <row r="1053" spans="1:29" ht="15" customHeight="1">
      <c r="A1053" s="677"/>
      <c r="B1053" s="685"/>
      <c r="C1053" s="679"/>
      <c r="D1053" s="679"/>
      <c r="E1053" s="680"/>
      <c r="F1053" s="681"/>
      <c r="G1053" s="680"/>
      <c r="H1053" s="3"/>
    </row>
    <row r="1054" spans="1:29" ht="15" customHeight="1">
      <c r="A1054" s="677"/>
      <c r="B1054" s="685"/>
      <c r="C1054" s="679"/>
      <c r="D1054" s="679"/>
      <c r="E1054" s="680"/>
      <c r="F1054" s="681"/>
      <c r="G1054" s="680"/>
      <c r="H1054" s="3"/>
    </row>
    <row r="1055" spans="1:29" ht="15" customHeight="1">
      <c r="A1055" s="677"/>
      <c r="B1055" s="685"/>
      <c r="C1055" s="679"/>
      <c r="D1055" s="679"/>
      <c r="E1055" s="680"/>
      <c r="F1055" s="681"/>
      <c r="G1055" s="680"/>
      <c r="H1055" s="3"/>
    </row>
    <row r="1056" spans="1:29" ht="15" customHeight="1">
      <c r="A1056" s="677"/>
      <c r="B1056" s="685"/>
      <c r="C1056" s="679"/>
      <c r="D1056" s="679"/>
      <c r="E1056" s="680"/>
      <c r="F1056" s="681"/>
      <c r="G1056" s="680"/>
      <c r="H1056" s="3"/>
      <c r="K1056" s="3"/>
    </row>
    <row r="1057" spans="1:8" ht="15" customHeight="1">
      <c r="A1057" s="677"/>
      <c r="B1057" s="685"/>
      <c r="C1057" s="679"/>
      <c r="D1057" s="679"/>
      <c r="E1057" s="680"/>
      <c r="F1057" s="681"/>
      <c r="G1057" s="680"/>
      <c r="H1057" s="3"/>
    </row>
    <row r="1058" spans="1:8" ht="15" customHeight="1">
      <c r="A1058" s="677"/>
      <c r="B1058" s="685"/>
      <c r="C1058" s="679"/>
      <c r="D1058" s="679"/>
      <c r="E1058" s="680"/>
      <c r="F1058" s="681"/>
      <c r="G1058" s="680"/>
      <c r="H1058" s="3"/>
    </row>
    <row r="1059" spans="1:8" ht="15" customHeight="1">
      <c r="A1059" s="677"/>
      <c r="B1059" s="685"/>
      <c r="C1059" s="679"/>
      <c r="D1059" s="679"/>
      <c r="E1059" s="680"/>
      <c r="F1059" s="681"/>
      <c r="G1059" s="680"/>
      <c r="H1059" s="3"/>
    </row>
    <row r="1060" spans="1:8" ht="15" customHeight="1">
      <c r="A1060" s="677"/>
      <c r="B1060" s="685"/>
      <c r="C1060" s="679"/>
      <c r="D1060" s="679"/>
      <c r="E1060" s="680"/>
      <c r="F1060" s="681"/>
      <c r="G1060" s="680"/>
      <c r="H1060" s="3"/>
    </row>
    <row r="1061" spans="1:8" ht="15" customHeight="1">
      <c r="A1061" s="677"/>
      <c r="B1061" s="685"/>
      <c r="C1061" s="679"/>
      <c r="D1061" s="679"/>
      <c r="E1061" s="680"/>
      <c r="F1061" s="681"/>
      <c r="G1061" s="680"/>
      <c r="H1061" s="3"/>
    </row>
    <row r="1062" spans="1:8" ht="15" customHeight="1">
      <c r="A1062" s="677"/>
      <c r="B1062" s="685"/>
      <c r="C1062" s="679"/>
      <c r="D1062" s="679"/>
      <c r="E1062" s="680"/>
      <c r="F1062" s="681"/>
      <c r="G1062" s="680"/>
      <c r="H1062" s="3"/>
    </row>
    <row r="1063" spans="1:8" ht="15" customHeight="1">
      <c r="A1063" s="677"/>
      <c r="B1063" s="685"/>
      <c r="C1063" s="679"/>
      <c r="D1063" s="679"/>
      <c r="E1063" s="680"/>
      <c r="F1063" s="681"/>
      <c r="G1063" s="680"/>
      <c r="H1063" s="3"/>
    </row>
    <row r="1064" spans="1:8" ht="15" customHeight="1">
      <c r="A1064" s="677"/>
      <c r="B1064" s="685"/>
      <c r="C1064" s="679"/>
      <c r="D1064" s="679"/>
      <c r="E1064" s="680"/>
      <c r="F1064" s="681"/>
      <c r="G1064" s="680"/>
      <c r="H1064" s="3"/>
    </row>
    <row r="1065" spans="1:8" ht="15" customHeight="1">
      <c r="A1065" s="677"/>
      <c r="B1065" s="685"/>
      <c r="C1065" s="679"/>
      <c r="D1065" s="679"/>
      <c r="E1065" s="680"/>
      <c r="F1065" s="681"/>
      <c r="G1065" s="680"/>
      <c r="H1065" s="3"/>
    </row>
    <row r="1066" spans="1:8" ht="15" customHeight="1">
      <c r="A1066" s="677"/>
      <c r="B1066" s="685"/>
      <c r="C1066" s="679"/>
      <c r="D1066" s="679"/>
      <c r="E1066" s="680"/>
      <c r="F1066" s="681"/>
      <c r="G1066" s="680"/>
      <c r="H1066" s="3"/>
    </row>
    <row r="1067" spans="1:8" ht="15" customHeight="1">
      <c r="A1067" s="677"/>
      <c r="B1067" s="685"/>
      <c r="C1067" s="679"/>
      <c r="D1067" s="679"/>
      <c r="E1067" s="680"/>
      <c r="F1067" s="681"/>
      <c r="G1067" s="680"/>
      <c r="H1067" s="3"/>
    </row>
    <row r="1068" spans="1:8" ht="15" customHeight="1">
      <c r="A1068" s="677"/>
      <c r="B1068" s="685"/>
      <c r="C1068" s="679"/>
      <c r="D1068" s="679"/>
      <c r="E1068" s="680"/>
      <c r="F1068" s="681"/>
      <c r="G1068" s="680"/>
      <c r="H1068" s="3"/>
    </row>
    <row r="1069" spans="1:8" ht="15" customHeight="1">
      <c r="A1069" s="677"/>
      <c r="B1069" s="685"/>
      <c r="C1069" s="679"/>
      <c r="D1069" s="679"/>
      <c r="E1069" s="680"/>
      <c r="F1069" s="681"/>
      <c r="G1069" s="680"/>
      <c r="H1069" s="3"/>
    </row>
    <row r="1070" spans="1:8" ht="15" customHeight="1">
      <c r="A1070" s="677"/>
      <c r="B1070" s="685"/>
      <c r="C1070" s="679"/>
      <c r="D1070" s="679"/>
      <c r="E1070" s="680"/>
      <c r="F1070" s="681"/>
      <c r="G1070" s="680"/>
      <c r="H1070" s="3"/>
    </row>
    <row r="1071" spans="1:8" ht="15" customHeight="1">
      <c r="A1071" s="677"/>
      <c r="B1071" s="685"/>
      <c r="C1071" s="679"/>
      <c r="D1071" s="679"/>
      <c r="E1071" s="680"/>
      <c r="F1071" s="681"/>
      <c r="G1071" s="680"/>
      <c r="H1071" s="3"/>
    </row>
    <row r="1072" spans="1:8" ht="15" customHeight="1">
      <c r="A1072" s="677"/>
      <c r="B1072" s="685"/>
      <c r="C1072" s="679"/>
      <c r="D1072" s="679"/>
      <c r="E1072" s="680"/>
      <c r="F1072" s="681"/>
      <c r="G1072" s="680"/>
      <c r="H1072" s="3"/>
    </row>
    <row r="1073" spans="1:8" ht="15" customHeight="1">
      <c r="A1073" s="677"/>
      <c r="B1073" s="685"/>
      <c r="C1073" s="679"/>
      <c r="D1073" s="679"/>
      <c r="E1073" s="680"/>
      <c r="F1073" s="681"/>
      <c r="G1073" s="680"/>
      <c r="H1073" s="3"/>
    </row>
    <row r="1074" spans="1:8" ht="15" customHeight="1">
      <c r="A1074" s="677"/>
      <c r="B1074" s="685"/>
      <c r="C1074" s="679"/>
      <c r="D1074" s="679"/>
      <c r="E1074" s="680"/>
      <c r="F1074" s="681"/>
      <c r="G1074" s="680"/>
      <c r="H1074" s="3"/>
    </row>
    <row r="1075" spans="1:8" ht="15" customHeight="1">
      <c r="A1075" s="677"/>
      <c r="B1075" s="685"/>
      <c r="C1075" s="679"/>
      <c r="D1075" s="679"/>
      <c r="E1075" s="680"/>
      <c r="F1075" s="681"/>
      <c r="G1075" s="680"/>
      <c r="H1075" s="3"/>
    </row>
    <row r="1076" spans="1:8" ht="15" customHeight="1">
      <c r="A1076" s="677"/>
      <c r="B1076" s="685"/>
      <c r="C1076" s="679"/>
      <c r="D1076" s="679"/>
      <c r="E1076" s="680"/>
      <c r="F1076" s="681"/>
      <c r="G1076" s="680"/>
      <c r="H1076" s="3"/>
    </row>
    <row r="1077" spans="1:8" ht="15" customHeight="1">
      <c r="A1077" s="677"/>
      <c r="B1077" s="685"/>
      <c r="C1077" s="679"/>
      <c r="D1077" s="679"/>
      <c r="E1077" s="680"/>
      <c r="F1077" s="681"/>
      <c r="G1077" s="680"/>
      <c r="H1077" s="3"/>
    </row>
    <row r="1078" spans="1:8" ht="15" customHeight="1">
      <c r="A1078" s="677"/>
      <c r="B1078" s="685"/>
      <c r="C1078" s="679"/>
      <c r="D1078" s="679"/>
      <c r="E1078" s="680"/>
      <c r="F1078" s="681"/>
      <c r="G1078" s="680"/>
      <c r="H1078" s="3"/>
    </row>
    <row r="1079" spans="1:8" ht="15" customHeight="1">
      <c r="A1079" s="702"/>
      <c r="B1079" s="695"/>
      <c r="C1079" s="693"/>
      <c r="D1079" s="679"/>
      <c r="E1079" s="680"/>
      <c r="F1079" s="681"/>
      <c r="G1079" s="680"/>
      <c r="H1079" s="3"/>
    </row>
    <row r="1080" spans="1:8" ht="15" customHeight="1">
      <c r="A1080" s="677"/>
      <c r="B1080" s="685"/>
      <c r="C1080" s="679"/>
      <c r="D1080" s="679"/>
      <c r="E1080" s="680"/>
      <c r="F1080" s="681"/>
      <c r="G1080" s="680"/>
      <c r="H1080" s="3"/>
    </row>
    <row r="1081" spans="1:8" ht="15" customHeight="1">
      <c r="A1081" s="677"/>
      <c r="B1081" s="685"/>
      <c r="C1081" s="679"/>
      <c r="D1081" s="679"/>
      <c r="E1081" s="680"/>
      <c r="F1081" s="681"/>
      <c r="G1081" s="680"/>
      <c r="H1081" s="3"/>
    </row>
    <row r="1082" spans="1:8" ht="15" customHeight="1">
      <c r="A1082" s="677"/>
      <c r="B1082" s="685"/>
      <c r="C1082" s="679"/>
      <c r="D1082" s="679"/>
      <c r="E1082" s="680"/>
      <c r="F1082" s="681"/>
      <c r="G1082" s="680"/>
      <c r="H1082" s="3"/>
    </row>
    <row r="1083" spans="1:8" ht="15" customHeight="1">
      <c r="A1083" s="677"/>
      <c r="B1083" s="685"/>
      <c r="C1083" s="679"/>
      <c r="D1083" s="679"/>
      <c r="E1083" s="680"/>
      <c r="F1083" s="681"/>
      <c r="G1083" s="680"/>
      <c r="H1083" s="3"/>
    </row>
    <row r="1084" spans="1:8" ht="15" customHeight="1">
      <c r="A1084" s="677"/>
      <c r="B1084" s="685"/>
      <c r="C1084" s="679"/>
      <c r="D1084" s="679"/>
      <c r="E1084" s="680"/>
      <c r="F1084" s="681"/>
      <c r="G1084" s="680"/>
      <c r="H1084" s="3"/>
    </row>
    <row r="1085" spans="1:8" ht="15" customHeight="1">
      <c r="A1085" s="677"/>
      <c r="B1085" s="685"/>
      <c r="C1085" s="679"/>
      <c r="D1085" s="679"/>
      <c r="E1085" s="680"/>
      <c r="F1085" s="681"/>
      <c r="G1085" s="680"/>
      <c r="H1085" s="3"/>
    </row>
    <row r="1086" spans="1:8" ht="15" customHeight="1">
      <c r="A1086" s="677"/>
      <c r="B1086" s="685"/>
      <c r="C1086" s="679"/>
      <c r="D1086" s="679"/>
      <c r="E1086" s="680"/>
      <c r="F1086" s="681"/>
      <c r="G1086" s="680"/>
      <c r="H1086" s="3"/>
    </row>
    <row r="1087" spans="1:8" ht="15" customHeight="1">
      <c r="A1087" s="677"/>
      <c r="B1087" s="685"/>
      <c r="C1087" s="679"/>
      <c r="D1087" s="679"/>
      <c r="E1087" s="680"/>
      <c r="F1087" s="681"/>
      <c r="G1087" s="680"/>
      <c r="H1087" s="3"/>
    </row>
    <row r="1088" spans="1:8" ht="15" customHeight="1">
      <c r="A1088" s="677"/>
      <c r="B1088" s="685"/>
      <c r="C1088" s="679"/>
      <c r="D1088" s="679"/>
      <c r="E1088" s="680"/>
      <c r="F1088" s="681"/>
      <c r="G1088" s="680"/>
      <c r="H1088" s="3"/>
    </row>
    <row r="1089" spans="1:11" ht="15" customHeight="1">
      <c r="A1089" s="677"/>
      <c r="B1089" s="685"/>
      <c r="C1089" s="679"/>
      <c r="D1089" s="679"/>
      <c r="E1089" s="680"/>
      <c r="F1089" s="681"/>
      <c r="G1089" s="680"/>
      <c r="H1089" s="3"/>
    </row>
    <row r="1090" spans="1:11" ht="15" customHeight="1">
      <c r="A1090" s="677"/>
      <c r="B1090" s="685"/>
      <c r="C1090" s="679"/>
      <c r="D1090" s="679"/>
      <c r="E1090" s="680"/>
      <c r="F1090" s="681"/>
      <c r="G1090" s="680"/>
      <c r="H1090" s="3"/>
    </row>
    <row r="1091" spans="1:11" ht="15" customHeight="1">
      <c r="A1091" s="677"/>
      <c r="B1091" s="685"/>
      <c r="C1091" s="679"/>
      <c r="D1091" s="679"/>
      <c r="E1091" s="680"/>
      <c r="F1091" s="681"/>
      <c r="G1091" s="680"/>
      <c r="H1091" s="3"/>
    </row>
    <row r="1092" spans="1:11" ht="15" customHeight="1">
      <c r="A1092" s="677"/>
      <c r="B1092" s="685"/>
      <c r="C1092" s="679"/>
      <c r="D1092" s="679"/>
      <c r="E1092" s="680"/>
      <c r="F1092" s="681"/>
      <c r="G1092" s="680"/>
      <c r="H1092" s="3"/>
    </row>
    <row r="1093" spans="1:11" ht="15" customHeight="1">
      <c r="A1093" s="677"/>
      <c r="B1093" s="685"/>
      <c r="C1093" s="679"/>
      <c r="D1093" s="679"/>
      <c r="E1093" s="680"/>
      <c r="F1093" s="681"/>
      <c r="G1093" s="680"/>
      <c r="H1093" s="3"/>
    </row>
    <row r="1094" spans="1:11" ht="15" customHeight="1">
      <c r="A1094" s="677"/>
      <c r="B1094" s="685"/>
      <c r="C1094" s="679"/>
      <c r="D1094" s="679"/>
      <c r="E1094" s="680"/>
      <c r="F1094" s="681"/>
      <c r="G1094" s="680"/>
      <c r="H1094" s="3"/>
    </row>
    <row r="1095" spans="1:11" ht="15" customHeight="1">
      <c r="A1095" s="677"/>
      <c r="B1095" s="685"/>
      <c r="C1095" s="679"/>
      <c r="D1095" s="679"/>
      <c r="E1095" s="680"/>
      <c r="F1095" s="681"/>
      <c r="G1095" s="680"/>
      <c r="H1095" s="3"/>
      <c r="K1095" s="3"/>
    </row>
    <row r="1096" spans="1:11" ht="15" customHeight="1">
      <c r="A1096" s="677"/>
      <c r="B1096" s="685"/>
      <c r="C1096" s="679"/>
      <c r="D1096" s="679"/>
      <c r="E1096" s="680"/>
      <c r="F1096" s="681"/>
      <c r="G1096" s="680"/>
      <c r="H1096" s="3"/>
      <c r="K1096" s="3"/>
    </row>
    <row r="1097" spans="1:11" ht="15" customHeight="1">
      <c r="A1097" s="677"/>
      <c r="B1097" s="685"/>
      <c r="C1097" s="679"/>
      <c r="D1097" s="679"/>
      <c r="E1097" s="680"/>
      <c r="F1097" s="681"/>
      <c r="G1097" s="680"/>
      <c r="H1097" s="3"/>
    </row>
    <row r="1098" spans="1:11" ht="15" customHeight="1">
      <c r="A1098" s="677"/>
      <c r="B1098" s="685"/>
      <c r="C1098" s="679"/>
      <c r="D1098" s="679"/>
      <c r="E1098" s="680"/>
      <c r="F1098" s="681"/>
      <c r="G1098" s="680"/>
      <c r="H1098" s="3"/>
    </row>
    <row r="1099" spans="1:11" ht="15" customHeight="1">
      <c r="A1099" s="677"/>
      <c r="B1099" s="685"/>
      <c r="C1099" s="679"/>
      <c r="D1099" s="679"/>
      <c r="E1099" s="680"/>
      <c r="F1099" s="681"/>
      <c r="G1099" s="680"/>
      <c r="H1099" s="3"/>
    </row>
    <row r="1100" spans="1:11" ht="15" customHeight="1">
      <c r="A1100" s="677"/>
      <c r="B1100" s="685"/>
      <c r="C1100" s="679"/>
      <c r="D1100" s="679"/>
      <c r="E1100" s="680"/>
      <c r="F1100" s="681"/>
      <c r="G1100" s="680"/>
      <c r="H1100" s="3"/>
    </row>
    <row r="1101" spans="1:11" ht="15.75" customHeight="1">
      <c r="A1101" s="677"/>
      <c r="B1101" s="685"/>
      <c r="C1101" s="679"/>
      <c r="D1101" s="679"/>
      <c r="E1101" s="680"/>
      <c r="F1101" s="681"/>
      <c r="G1101" s="680"/>
      <c r="H1101" s="3"/>
    </row>
    <row r="1102" spans="1:11" ht="15.75" customHeight="1">
      <c r="A1102" s="677"/>
      <c r="B1102" s="707"/>
      <c r="C1102" s="679"/>
      <c r="D1102" s="679"/>
      <c r="E1102" s="680"/>
      <c r="F1102" s="681"/>
      <c r="G1102" s="680"/>
      <c r="H1102" s="3"/>
      <c r="K1102" s="3"/>
    </row>
    <row r="1103" spans="1:11" ht="15.75" customHeight="1">
      <c r="A1103" s="677"/>
      <c r="B1103" s="685"/>
      <c r="C1103" s="679"/>
      <c r="D1103" s="679"/>
      <c r="E1103" s="680"/>
      <c r="F1103" s="681"/>
      <c r="G1103" s="680"/>
      <c r="H1103" s="3"/>
    </row>
    <row r="1104" spans="1:11" ht="15.75" customHeight="1">
      <c r="A1104" s="677"/>
      <c r="B1104" s="685"/>
      <c r="C1104" s="679"/>
      <c r="D1104" s="679"/>
      <c r="E1104" s="680"/>
      <c r="F1104" s="681"/>
      <c r="G1104" s="680"/>
      <c r="H1104" s="3"/>
    </row>
    <row r="1105" spans="1:29" ht="15.75" customHeight="1">
      <c r="A1105" s="677"/>
      <c r="B1105" s="685"/>
      <c r="C1105" s="679"/>
      <c r="D1105" s="679"/>
      <c r="E1105" s="680"/>
      <c r="F1105" s="681"/>
      <c r="G1105" s="680"/>
      <c r="H1105" s="3"/>
    </row>
    <row r="1106" spans="1:29" ht="15.75" customHeight="1">
      <c r="A1106" s="677"/>
      <c r="B1106" s="685"/>
      <c r="C1106" s="679"/>
      <c r="D1106" s="679"/>
      <c r="E1106" s="680"/>
      <c r="F1106" s="681"/>
      <c r="G1106" s="680"/>
      <c r="H1106" s="3"/>
    </row>
    <row r="1107" spans="1:29" ht="15.75" customHeight="1">
      <c r="A1107" s="677"/>
      <c r="B1107" s="685"/>
      <c r="C1107" s="679"/>
      <c r="D1107" s="679"/>
      <c r="E1107" s="680"/>
      <c r="F1107" s="681"/>
      <c r="G1107" s="680"/>
      <c r="H1107" s="3"/>
    </row>
    <row r="1108" spans="1:29" ht="15.75" customHeight="1">
      <c r="A1108" s="677"/>
      <c r="B1108" s="685"/>
      <c r="C1108" s="679"/>
      <c r="D1108" s="679"/>
      <c r="E1108" s="680"/>
      <c r="F1108" s="681"/>
      <c r="G1108" s="680"/>
      <c r="H1108" s="3"/>
      <c r="I1108" s="3"/>
      <c r="J1108" s="3"/>
      <c r="L1108" s="3"/>
      <c r="M1108" s="3"/>
      <c r="N1108" s="3"/>
      <c r="O1108" s="3"/>
      <c r="P1108" s="3"/>
      <c r="Q1108" s="3"/>
      <c r="R1108" s="3"/>
      <c r="S1108" s="3"/>
      <c r="T1108" s="3"/>
      <c r="U1108" s="3"/>
      <c r="V1108" s="3"/>
      <c r="W1108" s="3"/>
      <c r="X1108" s="3"/>
      <c r="Y1108" s="3"/>
      <c r="Z1108" s="3"/>
      <c r="AA1108" s="3"/>
      <c r="AB1108" s="3"/>
      <c r="AC1108" s="3"/>
    </row>
    <row r="1109" spans="1:29" ht="15.75" customHeight="1">
      <c r="A1109" s="677"/>
      <c r="B1109" s="685"/>
      <c r="C1109" s="679"/>
      <c r="D1109" s="679"/>
      <c r="E1109" s="680"/>
      <c r="F1109" s="681"/>
      <c r="G1109" s="680"/>
      <c r="H1109" s="3"/>
    </row>
    <row r="1110" spans="1:29" ht="15.75" customHeight="1">
      <c r="A1110" s="677"/>
      <c r="B1110" s="685"/>
      <c r="C1110" s="679"/>
      <c r="D1110" s="679"/>
      <c r="E1110" s="680"/>
      <c r="F1110" s="681"/>
      <c r="G1110" s="680"/>
      <c r="H1110" s="3"/>
    </row>
    <row r="1111" spans="1:29" ht="15.75" customHeight="1">
      <c r="A1111" s="677"/>
      <c r="B1111" s="685"/>
      <c r="C1111" s="679"/>
      <c r="D1111" s="679"/>
      <c r="E1111" s="680"/>
      <c r="F1111" s="681"/>
      <c r="G1111" s="680"/>
      <c r="H1111" s="3"/>
    </row>
    <row r="1112" spans="1:29" ht="15.75" customHeight="1">
      <c r="A1112" s="677"/>
      <c r="B1112" s="685"/>
      <c r="C1112" s="679"/>
      <c r="D1112" s="679"/>
      <c r="E1112" s="680"/>
      <c r="F1112" s="681"/>
      <c r="G1112" s="680"/>
      <c r="H1112" s="3"/>
    </row>
    <row r="1113" spans="1:29" ht="15.75" customHeight="1">
      <c r="A1113" s="677"/>
      <c r="B1113" s="685"/>
      <c r="C1113" s="679"/>
      <c r="D1113" s="679"/>
      <c r="E1113" s="680"/>
      <c r="F1113" s="681"/>
      <c r="G1113" s="680"/>
      <c r="H1113" s="3"/>
    </row>
    <row r="1114" spans="1:29" ht="15.75" customHeight="1">
      <c r="A1114" s="677"/>
      <c r="B1114" s="685"/>
      <c r="C1114" s="679"/>
      <c r="D1114" s="679"/>
      <c r="E1114" s="680"/>
      <c r="F1114" s="681"/>
      <c r="G1114" s="680"/>
      <c r="H1114" s="3"/>
    </row>
    <row r="1115" spans="1:29" ht="15.75" customHeight="1">
      <c r="A1115" s="677"/>
      <c r="B1115" s="685"/>
      <c r="C1115" s="679"/>
      <c r="D1115" s="679"/>
      <c r="E1115" s="680"/>
      <c r="F1115" s="681"/>
      <c r="G1115" s="680"/>
      <c r="H1115" s="3"/>
      <c r="K1115" s="3"/>
    </row>
    <row r="1116" spans="1:29" ht="15.75" customHeight="1">
      <c r="A1116" s="677"/>
      <c r="B1116" s="685"/>
      <c r="C1116" s="679"/>
      <c r="D1116" s="679"/>
      <c r="E1116" s="680"/>
      <c r="F1116" s="681"/>
      <c r="G1116" s="680"/>
      <c r="H1116" s="3"/>
    </row>
    <row r="1117" spans="1:29" ht="15.75" customHeight="1">
      <c r="A1117" s="677"/>
      <c r="B1117" s="685"/>
      <c r="C1117" s="679"/>
      <c r="D1117" s="679"/>
      <c r="E1117" s="680"/>
      <c r="F1117" s="681"/>
      <c r="G1117" s="680"/>
      <c r="H1117" s="3"/>
    </row>
    <row r="1118" spans="1:29" ht="15.75" customHeight="1">
      <c r="A1118" s="677"/>
      <c r="B1118" s="685"/>
      <c r="C1118" s="679"/>
      <c r="D1118" s="679"/>
      <c r="E1118" s="680"/>
      <c r="F1118" s="681"/>
      <c r="G1118" s="680"/>
      <c r="H1118" s="3"/>
    </row>
    <row r="1119" spans="1:29" ht="15.75" customHeight="1">
      <c r="A1119" s="677"/>
      <c r="B1119" s="685"/>
      <c r="C1119" s="679"/>
      <c r="D1119" s="679"/>
      <c r="E1119" s="680"/>
      <c r="F1119" s="681"/>
      <c r="G1119" s="680"/>
      <c r="H1119" s="3"/>
    </row>
    <row r="1120" spans="1:29" ht="15.75" customHeight="1">
      <c r="A1120" s="677"/>
      <c r="B1120" s="685"/>
      <c r="C1120" s="679"/>
      <c r="D1120" s="679"/>
      <c r="E1120" s="680"/>
      <c r="F1120" s="681"/>
      <c r="G1120" s="680"/>
      <c r="H1120" s="3"/>
    </row>
    <row r="1121" spans="1:8" ht="15.75" customHeight="1">
      <c r="A1121" s="677"/>
      <c r="B1121" s="685"/>
      <c r="C1121" s="679"/>
      <c r="D1121" s="679"/>
      <c r="E1121" s="680"/>
      <c r="F1121" s="681"/>
      <c r="G1121" s="680"/>
      <c r="H1121" s="3"/>
    </row>
    <row r="1122" spans="1:8" ht="15.75" customHeight="1">
      <c r="A1122" s="677"/>
      <c r="B1122" s="685"/>
      <c r="C1122" s="679"/>
      <c r="D1122" s="679"/>
      <c r="E1122" s="680"/>
      <c r="F1122" s="681"/>
      <c r="G1122" s="680"/>
      <c r="H1122" s="3"/>
    </row>
    <row r="1123" spans="1:8" ht="15.75" customHeight="1">
      <c r="A1123" s="677"/>
      <c r="B1123" s="685"/>
      <c r="C1123" s="679"/>
      <c r="D1123" s="679"/>
      <c r="E1123" s="680"/>
      <c r="F1123" s="681"/>
      <c r="G1123" s="680"/>
      <c r="H1123" s="3"/>
    </row>
    <row r="1124" spans="1:8" ht="15.75" customHeight="1">
      <c r="A1124" s="677"/>
      <c r="B1124" s="685"/>
      <c r="C1124" s="679"/>
      <c r="D1124" s="679"/>
      <c r="E1124" s="680"/>
      <c r="F1124" s="681"/>
      <c r="G1124" s="680"/>
      <c r="H1124" s="3"/>
    </row>
    <row r="1125" spans="1:8" ht="15.75" customHeight="1">
      <c r="A1125" s="677"/>
      <c r="B1125" s="685"/>
      <c r="C1125" s="679"/>
      <c r="D1125" s="679"/>
      <c r="E1125" s="680"/>
      <c r="F1125" s="681"/>
      <c r="G1125" s="680"/>
      <c r="H1125" s="3"/>
    </row>
    <row r="1126" spans="1:8" ht="15.75" customHeight="1">
      <c r="A1126" s="677"/>
      <c r="B1126" s="685"/>
      <c r="C1126" s="679"/>
      <c r="D1126" s="679"/>
      <c r="E1126" s="680"/>
      <c r="F1126" s="681"/>
      <c r="G1126" s="680"/>
      <c r="H1126" s="3"/>
    </row>
    <row r="1127" spans="1:8" ht="15.75" customHeight="1">
      <c r="A1127" s="677"/>
      <c r="B1127" s="685"/>
      <c r="C1127" s="679"/>
      <c r="D1127" s="679"/>
      <c r="E1127" s="680"/>
      <c r="F1127" s="681"/>
      <c r="G1127" s="680"/>
      <c r="H1127" s="3"/>
    </row>
    <row r="1128" spans="1:8" ht="15.75" customHeight="1">
      <c r="A1128" s="677"/>
      <c r="B1128" s="685"/>
      <c r="C1128" s="679"/>
      <c r="D1128" s="679"/>
      <c r="E1128" s="680"/>
      <c r="F1128" s="681"/>
      <c r="G1128" s="680"/>
      <c r="H1128" s="3"/>
    </row>
    <row r="1129" spans="1:8" ht="15" customHeight="1">
      <c r="A1129" s="677"/>
      <c r="B1129" s="685"/>
      <c r="C1129" s="679"/>
      <c r="D1129" s="679"/>
      <c r="E1129" s="680"/>
      <c r="F1129" s="681"/>
      <c r="G1129" s="680"/>
      <c r="H1129" s="4"/>
    </row>
    <row r="1130" spans="1:8" ht="15" customHeight="1">
      <c r="A1130" s="677"/>
      <c r="B1130" s="685"/>
      <c r="C1130" s="679"/>
      <c r="D1130" s="679"/>
      <c r="E1130" s="680"/>
      <c r="F1130" s="681"/>
      <c r="G1130" s="680"/>
      <c r="H1130" s="4"/>
    </row>
    <row r="1131" spans="1:8" ht="15" customHeight="1">
      <c r="A1131" s="677"/>
      <c r="B1131" s="685"/>
      <c r="C1131" s="679"/>
      <c r="D1131" s="679"/>
      <c r="E1131" s="680"/>
      <c r="F1131" s="681"/>
      <c r="G1131" s="680"/>
      <c r="H1131" s="4"/>
    </row>
    <row r="1132" spans="1:8" ht="15" customHeight="1">
      <c r="A1132" s="677"/>
      <c r="B1132" s="685"/>
      <c r="C1132" s="679"/>
      <c r="D1132" s="679"/>
      <c r="E1132" s="680"/>
      <c r="F1132" s="681"/>
      <c r="G1132" s="680"/>
      <c r="H1132" s="4"/>
    </row>
    <row r="1133" spans="1:8" ht="15" customHeight="1">
      <c r="A1133" s="702"/>
      <c r="B1133" s="679"/>
      <c r="C1133" s="679"/>
      <c r="D1133" s="679"/>
      <c r="E1133" s="680"/>
      <c r="F1133" s="681"/>
      <c r="G1133" s="680"/>
      <c r="H1133" s="4"/>
    </row>
    <row r="1134" spans="1:8" ht="15" customHeight="1">
      <c r="A1134" s="677"/>
      <c r="B1134" s="685"/>
      <c r="C1134" s="679"/>
      <c r="D1134" s="679"/>
      <c r="E1134" s="680"/>
      <c r="F1134" s="681"/>
      <c r="G1134" s="680"/>
      <c r="H1134" s="4"/>
    </row>
    <row r="1135" spans="1:8" ht="15" customHeight="1">
      <c r="A1135" s="677"/>
      <c r="B1135" s="685"/>
      <c r="C1135" s="679"/>
      <c r="D1135" s="679"/>
      <c r="E1135" s="680"/>
      <c r="F1135" s="681"/>
      <c r="G1135" s="680"/>
      <c r="H1135" s="4"/>
    </row>
    <row r="1136" spans="1:8" ht="15" customHeight="1">
      <c r="A1136" s="677"/>
      <c r="B1136" s="685"/>
      <c r="C1136" s="679"/>
      <c r="D1136" s="679"/>
      <c r="E1136" s="680"/>
      <c r="F1136" s="681"/>
      <c r="G1136" s="680"/>
      <c r="H1136" s="4"/>
    </row>
    <row r="1137" spans="1:8" ht="15" customHeight="1">
      <c r="A1137" s="677"/>
      <c r="B1137" s="685"/>
      <c r="C1137" s="679"/>
      <c r="D1137" s="679"/>
      <c r="E1137" s="680"/>
      <c r="F1137" s="681"/>
      <c r="G1137" s="680"/>
      <c r="H1137" s="4"/>
    </row>
    <row r="1138" spans="1:8" ht="15" customHeight="1">
      <c r="A1138" s="677"/>
      <c r="B1138" s="685"/>
      <c r="C1138" s="679"/>
      <c r="D1138" s="679"/>
      <c r="E1138" s="680"/>
      <c r="F1138" s="681"/>
      <c r="G1138" s="680"/>
      <c r="H1138" s="4"/>
    </row>
    <row r="1139" spans="1:8" ht="15" customHeight="1">
      <c r="A1139" s="677"/>
      <c r="B1139" s="685"/>
      <c r="C1139" s="679"/>
      <c r="D1139" s="679"/>
      <c r="E1139" s="680"/>
      <c r="F1139" s="681"/>
      <c r="G1139" s="680"/>
      <c r="H1139" s="4"/>
    </row>
    <row r="1140" spans="1:8" ht="15" customHeight="1">
      <c r="A1140" s="677"/>
      <c r="B1140" s="685"/>
      <c r="C1140" s="679"/>
      <c r="D1140" s="679"/>
      <c r="E1140" s="680"/>
      <c r="F1140" s="681"/>
      <c r="G1140" s="680"/>
      <c r="H1140" s="4"/>
    </row>
    <row r="1141" spans="1:8" ht="15" customHeight="1">
      <c r="A1141" s="677"/>
      <c r="B1141" s="685"/>
      <c r="C1141" s="679"/>
      <c r="D1141" s="679"/>
      <c r="E1141" s="680"/>
      <c r="F1141" s="681"/>
      <c r="G1141" s="680"/>
      <c r="H1141" s="4"/>
    </row>
    <row r="1142" spans="1:8" ht="15" customHeight="1">
      <c r="A1142" s="677"/>
      <c r="B1142" s="685"/>
      <c r="C1142" s="679"/>
      <c r="D1142" s="679"/>
      <c r="E1142" s="680"/>
      <c r="F1142" s="681"/>
      <c r="G1142" s="680"/>
      <c r="H1142" s="4"/>
    </row>
    <row r="1143" spans="1:8" ht="15" customHeight="1">
      <c r="A1143" s="704"/>
      <c r="B1143" s="685"/>
      <c r="C1143" s="679"/>
      <c r="D1143" s="679"/>
      <c r="E1143" s="680"/>
      <c r="F1143" s="681"/>
      <c r="G1143" s="680"/>
    </row>
  </sheetData>
  <autoFilter ref="A1:G946">
    <sortState ref="A2:G946">
      <sortCondition ref="A1:A946"/>
    </sortState>
  </autoFilter>
  <dataValidations count="3">
    <dataValidation type="list" allowBlank="1" showErrorMessage="1" sqref="D1">
      <formula1>$K$1:$K$159</formula1>
    </dataValidation>
    <dataValidation type="list" allowBlank="1" showErrorMessage="1" sqref="D334:D1143 D237:D332 D2:D234">
      <formula1>$K$3:$K$159</formula1>
    </dataValidation>
    <dataValidation type="list" allowBlank="1" showErrorMessage="1" sqref="C2:C1143">
      <formula1>$I$1:$I$12</formula1>
    </dataValidation>
  </dataValidations>
  <hyperlinks>
    <hyperlink ref="A40" r:id="rId1"/>
    <hyperlink ref="A202" r:id="rId2"/>
    <hyperlink ref="A207" r:id="rId3"/>
    <hyperlink ref="A263" r:id="rId4"/>
    <hyperlink ref="A284" r:id="rId5"/>
    <hyperlink ref="A265" r:id="rId6"/>
    <hyperlink ref="A219" r:id="rId7"/>
  </hyperlinks>
  <pageMargins left="0.7" right="0.7" top="0.75" bottom="0.75" header="0" footer="0"/>
  <pageSetup orientation="landscape" r:id="rId8"/>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50"/>
    <outlinePr summaryBelow="0"/>
  </sheetPr>
  <dimension ref="A1:X1087"/>
  <sheetViews>
    <sheetView workbookViewId="0"/>
  </sheetViews>
  <sheetFormatPr baseColWidth="10" defaultColWidth="12.58203125" defaultRowHeight="15" customHeight="1"/>
  <cols>
    <col min="1" max="1" width="29.1640625" customWidth="1"/>
    <col min="2" max="2" width="31.1640625" customWidth="1"/>
    <col min="3" max="3" width="14.58203125" customWidth="1"/>
    <col min="4" max="8" width="12.9140625" customWidth="1"/>
    <col min="9" max="9" width="23.08203125" bestFit="1" customWidth="1"/>
    <col min="10" max="10" width="12.9140625" customWidth="1"/>
    <col min="11" max="11" width="20.1640625" bestFit="1" customWidth="1"/>
    <col min="12" max="12" width="12.9140625" customWidth="1"/>
    <col min="13" max="13" width="39.6640625" customWidth="1"/>
    <col min="14" max="14" width="14.9140625" customWidth="1"/>
    <col min="15" max="16" width="12.9140625" customWidth="1"/>
    <col min="17" max="17" width="17.4140625" customWidth="1"/>
    <col min="18" max="19" width="12.9140625" customWidth="1"/>
    <col min="20" max="20" width="13" customWidth="1"/>
    <col min="21" max="21" width="42.6640625" customWidth="1"/>
    <col min="22" max="22" width="25.4140625" customWidth="1"/>
    <col min="23" max="23" width="16.9140625" customWidth="1"/>
    <col min="24" max="24" width="8.9140625" customWidth="1"/>
  </cols>
  <sheetData>
    <row r="1" spans="1:24" ht="30" customHeight="1">
      <c r="A1" s="1050" t="s">
        <v>251</v>
      </c>
      <c r="B1" s="1050" t="s">
        <v>709</v>
      </c>
      <c r="C1" s="1051" t="s">
        <v>713</v>
      </c>
      <c r="D1" s="1051" t="s">
        <v>714</v>
      </c>
      <c r="E1" s="1051" t="s">
        <v>715</v>
      </c>
      <c r="F1" s="1050" t="s">
        <v>710</v>
      </c>
      <c r="G1" s="1050" t="s">
        <v>711</v>
      </c>
      <c r="H1" s="1050" t="s">
        <v>712</v>
      </c>
      <c r="I1" s="1051" t="s">
        <v>3412</v>
      </c>
      <c r="J1" s="1051" t="s">
        <v>3413</v>
      </c>
      <c r="K1" s="1051" t="s">
        <v>3414</v>
      </c>
      <c r="L1" s="647" t="s">
        <v>709</v>
      </c>
      <c r="M1" s="647" t="s">
        <v>251</v>
      </c>
      <c r="N1" s="647" t="s">
        <v>713</v>
      </c>
      <c r="O1" s="648" t="s">
        <v>714</v>
      </c>
      <c r="P1" s="647" t="s">
        <v>715</v>
      </c>
      <c r="Q1" s="647" t="s">
        <v>710</v>
      </c>
      <c r="R1" s="647" t="s">
        <v>711</v>
      </c>
      <c r="S1" s="647" t="s">
        <v>712</v>
      </c>
      <c r="T1" s="649" t="s">
        <v>716</v>
      </c>
      <c r="U1" s="649" t="s">
        <v>717</v>
      </c>
      <c r="V1" s="649" t="s">
        <v>718</v>
      </c>
      <c r="W1" s="649" t="s">
        <v>719</v>
      </c>
      <c r="X1" s="649" t="s">
        <v>654</v>
      </c>
    </row>
    <row r="2" spans="1:24" ht="15" customHeight="1">
      <c r="A2" s="1052" t="s">
        <v>720</v>
      </c>
      <c r="B2" s="1052" t="s">
        <v>1438</v>
      </c>
      <c r="C2" s="1053"/>
      <c r="D2" s="1053"/>
      <c r="E2" s="1053"/>
      <c r="F2" s="1052" t="s">
        <v>2</v>
      </c>
      <c r="G2" s="1052" t="s">
        <v>3322</v>
      </c>
      <c r="H2" s="1053"/>
      <c r="I2" s="1054">
        <v>116061</v>
      </c>
      <c r="J2" s="1054">
        <v>0</v>
      </c>
      <c r="K2" s="1054">
        <v>116061</v>
      </c>
      <c r="L2" s="653" t="str">
        <f>TEXT(B2,0)</f>
        <v>10</v>
      </c>
      <c r="M2" s="654" t="str">
        <f t="shared" ref="M2:M256" si="0">+A2</f>
        <v>PROFIT/PERTES JANVIER</v>
      </c>
      <c r="N2" s="655">
        <f>+IF(OR($Q2=Parametres!$G$2,$Q2=Parametres!$G$3),I2,C2)</f>
        <v>116061</v>
      </c>
      <c r="O2" s="655">
        <f>+IF(OR($Q2=Parametres!$G$2,$Q2=Parametres!$G$3),J2,D2)</f>
        <v>0</v>
      </c>
      <c r="P2" s="655">
        <f>+IF(OR($Q2=Parametres!$G$2,$Q2=Parametres!$G$3),K2,E2)</f>
        <v>116061</v>
      </c>
      <c r="Q2" s="654" t="str">
        <f t="shared" ref="Q2:S2" si="1">+F2</f>
        <v>1-Mémo</v>
      </c>
      <c r="R2" s="653" t="str">
        <f t="shared" si="1"/>
        <v>1</v>
      </c>
      <c r="S2" s="654">
        <f t="shared" si="1"/>
        <v>0</v>
      </c>
      <c r="T2" s="656" t="str">
        <f>+VLOOKUP($L2,Data_Validation!$A:$E,1,0)</f>
        <v>10</v>
      </c>
      <c r="U2" s="656">
        <f>+VLOOKUP($L2,Data_Validation!$A:$E,3,0)</f>
        <v>0</v>
      </c>
      <c r="V2" s="656">
        <f>+VLOOKUP($L2,Data_Validation!$A:$E,4,0)</f>
        <v>0</v>
      </c>
      <c r="W2" s="656">
        <f>VLOOKUP($L2,Data_Validation!$A:$E,5,FALSE)</f>
        <v>0</v>
      </c>
      <c r="X2" s="656">
        <f>+VLOOKUP($L2,Data_Validation!$A:$F,6,0)</f>
        <v>0</v>
      </c>
    </row>
    <row r="3" spans="1:24" ht="15" customHeight="1">
      <c r="A3" s="1052" t="s">
        <v>721</v>
      </c>
      <c r="B3" s="1052" t="s">
        <v>1638</v>
      </c>
      <c r="C3" s="1053"/>
      <c r="D3" s="1053"/>
      <c r="E3" s="1053"/>
      <c r="F3" s="1052" t="s">
        <v>2</v>
      </c>
      <c r="G3" s="1052" t="s">
        <v>3322</v>
      </c>
      <c r="H3" s="1053"/>
      <c r="I3" s="1054">
        <v>81087.95</v>
      </c>
      <c r="J3" s="1054">
        <v>0</v>
      </c>
      <c r="K3" s="1054">
        <v>81087.95</v>
      </c>
      <c r="L3" s="653" t="str">
        <f t="shared" ref="L3:L66" si="2">TEXT(B3,0)</f>
        <v>20</v>
      </c>
      <c r="M3" s="654" t="str">
        <f t="shared" si="0"/>
        <v>PROFIT/PERTES FEVRIER</v>
      </c>
      <c r="N3" s="655">
        <f>+IF(OR($Q3=Parametres!$G$2,$Q3=Parametres!$G$3),I3,C3)</f>
        <v>81087.95</v>
      </c>
      <c r="O3" s="659">
        <f>+IF(OR($Q3=Parametres!$G$2,$Q3=Parametres!$G$3),J3,D3)</f>
        <v>0</v>
      </c>
      <c r="P3" s="655">
        <f>+IF(OR($Q3=Parametres!$G$2,$Q3=Parametres!$G$3),K3,E3)</f>
        <v>81087.95</v>
      </c>
      <c r="Q3" s="654" t="str">
        <f t="shared" ref="Q3:S3" si="3">+F3</f>
        <v>1-Mémo</v>
      </c>
      <c r="R3" s="653" t="str">
        <f t="shared" si="3"/>
        <v>1</v>
      </c>
      <c r="S3" s="654">
        <f t="shared" si="3"/>
        <v>0</v>
      </c>
      <c r="T3" s="656" t="str">
        <f>+VLOOKUP($L3,Data_Validation!$A:$D,1,0)</f>
        <v>20</v>
      </c>
      <c r="U3" s="656">
        <f>+VLOOKUP($L3,Data_Validation!$A:$D,3,0)</f>
        <v>0</v>
      </c>
      <c r="V3" s="656">
        <f>+VLOOKUP($L3,Data_Validation!$A:$D,4,0)</f>
        <v>0</v>
      </c>
      <c r="W3" s="656">
        <f>+VLOOKUP($L3,Data_Validation!$A:$E,5,0)</f>
        <v>0</v>
      </c>
      <c r="X3" s="656">
        <f>+VLOOKUP($L3,Data_Validation!$A:$F,6,0)</f>
        <v>0</v>
      </c>
    </row>
    <row r="4" spans="1:24" ht="15" customHeight="1">
      <c r="A4" s="1052" t="s">
        <v>722</v>
      </c>
      <c r="B4" s="1052" t="s">
        <v>748</v>
      </c>
      <c r="C4" s="1053"/>
      <c r="D4" s="1053"/>
      <c r="E4" s="1053"/>
      <c r="F4" s="1052" t="s">
        <v>2</v>
      </c>
      <c r="G4" s="1052" t="s">
        <v>3322</v>
      </c>
      <c r="H4" s="1053"/>
      <c r="I4" s="1054">
        <v>198702.43</v>
      </c>
      <c r="J4" s="1054">
        <v>0</v>
      </c>
      <c r="K4" s="1054">
        <v>198702.43</v>
      </c>
      <c r="L4" s="653" t="str">
        <f t="shared" si="2"/>
        <v>30</v>
      </c>
      <c r="M4" s="654" t="str">
        <f t="shared" si="0"/>
        <v>PROFIT/PERTES MARS</v>
      </c>
      <c r="N4" s="655">
        <f>+IF(OR($Q4=Parametres!$G$2,$Q4=Parametres!$G$3),I4,C4)</f>
        <v>198702.43</v>
      </c>
      <c r="O4" s="659">
        <f>+IF(OR($Q4=Parametres!$G$2,$Q4=Parametres!$G$3),J4,D4)</f>
        <v>0</v>
      </c>
      <c r="P4" s="655">
        <f>+IF(OR($Q4=Parametres!$G$2,$Q4=Parametres!$G$3),K4,E4)</f>
        <v>198702.43</v>
      </c>
      <c r="Q4" s="654" t="str">
        <f t="shared" ref="Q4:S4" si="4">+F4</f>
        <v>1-Mémo</v>
      </c>
      <c r="R4" s="653" t="str">
        <f t="shared" si="4"/>
        <v>1</v>
      </c>
      <c r="S4" s="654">
        <f t="shared" si="4"/>
        <v>0</v>
      </c>
      <c r="T4" s="656" t="str">
        <f>+VLOOKUP($L4,Data_Validation!$A:$D,1,0)</f>
        <v>30</v>
      </c>
      <c r="U4" s="656">
        <f>+VLOOKUP($L4,Data_Validation!$A:$D,3,0)</f>
        <v>0</v>
      </c>
      <c r="V4" s="656">
        <f>+VLOOKUP($L4,Data_Validation!$A:$D,4,0)</f>
        <v>0</v>
      </c>
      <c r="W4" s="656">
        <f>+VLOOKUP($L4,Data_Validation!$A:$E,5,0)</f>
        <v>0</v>
      </c>
      <c r="X4" s="656">
        <f>+VLOOKUP($L4,Data_Validation!$A:$F,6,0)</f>
        <v>0</v>
      </c>
    </row>
    <row r="5" spans="1:24" ht="15.75" customHeight="1">
      <c r="A5" s="1052" t="s">
        <v>723</v>
      </c>
      <c r="B5" s="1052" t="s">
        <v>761</v>
      </c>
      <c r="C5" s="1053"/>
      <c r="D5" s="1053"/>
      <c r="E5" s="1053"/>
      <c r="F5" s="1052" t="s">
        <v>2</v>
      </c>
      <c r="G5" s="1052" t="s">
        <v>3322</v>
      </c>
      <c r="H5" s="1053"/>
      <c r="I5" s="1054">
        <v>148007</v>
      </c>
      <c r="J5" s="1054">
        <v>0</v>
      </c>
      <c r="K5" s="1054">
        <v>148007</v>
      </c>
      <c r="L5" s="653" t="str">
        <f t="shared" si="2"/>
        <v>40</v>
      </c>
      <c r="M5" s="654" t="str">
        <f t="shared" si="0"/>
        <v>PROFIT/PERTES AVRIL</v>
      </c>
      <c r="N5" s="655">
        <f>+IF(OR($Q5=Parametres!$G$2,$Q5=Parametres!$G$3),I5,C5)</f>
        <v>148007</v>
      </c>
      <c r="O5" s="659">
        <f>+IF(OR($Q5=Parametres!$G$2,$Q5=Parametres!$G$3),J5,D5)</f>
        <v>0</v>
      </c>
      <c r="P5" s="655">
        <f>+IF(OR($Q5=Parametres!$G$2,$Q5=Parametres!$G$3),K5,E5)</f>
        <v>148007</v>
      </c>
      <c r="Q5" s="654" t="str">
        <f t="shared" ref="Q5:S5" si="5">+F5</f>
        <v>1-Mémo</v>
      </c>
      <c r="R5" s="653" t="str">
        <f t="shared" si="5"/>
        <v>1</v>
      </c>
      <c r="S5" s="654">
        <f t="shared" si="5"/>
        <v>0</v>
      </c>
      <c r="T5" s="656" t="str">
        <f>+VLOOKUP($L5,Data_Validation!$A:$D,1,0)</f>
        <v>40</v>
      </c>
      <c r="U5" s="656">
        <f>+VLOOKUP($L5,Data_Validation!$A:$D,3,0)</f>
        <v>0</v>
      </c>
      <c r="V5" s="656">
        <f>+VLOOKUP($L5,Data_Validation!$A:$D,4,0)</f>
        <v>0</v>
      </c>
      <c r="W5" s="656">
        <f>+VLOOKUP($L5,Data_Validation!$A:$E,5,0)</f>
        <v>0</v>
      </c>
      <c r="X5" s="656">
        <f>+VLOOKUP($L5,Data_Validation!$A:$F,6,0)</f>
        <v>0</v>
      </c>
    </row>
    <row r="6" spans="1:24" ht="15.75" customHeight="1">
      <c r="A6" s="1052" t="s">
        <v>724</v>
      </c>
      <c r="B6" s="1052" t="s">
        <v>785</v>
      </c>
      <c r="C6" s="1053"/>
      <c r="D6" s="1053"/>
      <c r="E6" s="1053"/>
      <c r="F6" s="1052" t="s">
        <v>2</v>
      </c>
      <c r="G6" s="1052" t="s">
        <v>3322</v>
      </c>
      <c r="H6" s="1053"/>
      <c r="I6" s="1054">
        <v>213696.9</v>
      </c>
      <c r="J6" s="1054">
        <v>0</v>
      </c>
      <c r="K6" s="1054">
        <v>213696.9</v>
      </c>
      <c r="L6" s="653" t="str">
        <f t="shared" si="2"/>
        <v>50</v>
      </c>
      <c r="M6" s="654" t="str">
        <f t="shared" si="0"/>
        <v>PROFIT/PERTES MAI</v>
      </c>
      <c r="N6" s="655">
        <f>+IF(OR($Q6=Parametres!$G$2,$Q6=Parametres!$G$3),I6,C6)</f>
        <v>213696.9</v>
      </c>
      <c r="O6" s="655">
        <f>+IF(OR($Q6=Parametres!$G$2,$Q6=Parametres!$G$3),J6,D6)</f>
        <v>0</v>
      </c>
      <c r="P6" s="655">
        <f>+IF(OR($Q6=Parametres!$G$2,$Q6=Parametres!$G$3),K6,E6)</f>
        <v>213696.9</v>
      </c>
      <c r="Q6" s="654" t="str">
        <f t="shared" ref="Q6:S6" si="6">+F6</f>
        <v>1-Mémo</v>
      </c>
      <c r="R6" s="653" t="str">
        <f t="shared" si="6"/>
        <v>1</v>
      </c>
      <c r="S6" s="654">
        <f t="shared" si="6"/>
        <v>0</v>
      </c>
      <c r="T6" s="656" t="str">
        <f>+VLOOKUP($L6,Data_Validation!$A:$D,1,0)</f>
        <v>50</v>
      </c>
      <c r="U6" s="656">
        <f>+VLOOKUP($L6,Data_Validation!$A:$D,3,0)</f>
        <v>0</v>
      </c>
      <c r="V6" s="656">
        <f>+VLOOKUP($L6,Data_Validation!$A:$D,4,0)</f>
        <v>0</v>
      </c>
      <c r="W6" s="656">
        <f>+VLOOKUP($L6,Data_Validation!$A:$E,5,0)</f>
        <v>0</v>
      </c>
      <c r="X6" s="656">
        <f>+VLOOKUP($L6,Data_Validation!$A:$F,6,0)</f>
        <v>0</v>
      </c>
    </row>
    <row r="7" spans="1:24" ht="15" customHeight="1">
      <c r="A7" s="1052" t="s">
        <v>725</v>
      </c>
      <c r="B7" s="1052" t="s">
        <v>2240</v>
      </c>
      <c r="C7" s="1053"/>
      <c r="D7" s="1053"/>
      <c r="E7" s="1053"/>
      <c r="F7" s="1052" t="s">
        <v>2</v>
      </c>
      <c r="G7" s="1052" t="s">
        <v>3322</v>
      </c>
      <c r="H7" s="1053"/>
      <c r="I7" s="1054">
        <v>260095.67</v>
      </c>
      <c r="J7" s="1054">
        <v>0</v>
      </c>
      <c r="K7" s="1054">
        <v>260095.67</v>
      </c>
      <c r="L7" s="653" t="str">
        <f t="shared" si="2"/>
        <v>60</v>
      </c>
      <c r="M7" s="654" t="str">
        <f t="shared" si="0"/>
        <v>PROFIT/PERTES JUIN</v>
      </c>
      <c r="N7" s="655">
        <f>+IF(OR($Q7=Parametres!$G$2,$Q7=Parametres!$G$3),I7,C7)</f>
        <v>260095.67</v>
      </c>
      <c r="O7" s="659">
        <f>+IF(OR($Q7=Parametres!$G$2,$Q7=Parametres!$G$3),J7,D7)</f>
        <v>0</v>
      </c>
      <c r="P7" s="655">
        <f>+IF(OR($Q7=Parametres!$G$2,$Q7=Parametres!$G$3),K7,E7)</f>
        <v>260095.67</v>
      </c>
      <c r="Q7" s="654" t="str">
        <f t="shared" ref="Q7:S7" si="7">+F7</f>
        <v>1-Mémo</v>
      </c>
      <c r="R7" s="653" t="str">
        <f t="shared" si="7"/>
        <v>1</v>
      </c>
      <c r="S7" s="654">
        <f t="shared" si="7"/>
        <v>0</v>
      </c>
      <c r="T7" s="656" t="str">
        <f>+VLOOKUP($L7,Data_Validation!$A:$D,1,0)</f>
        <v>60</v>
      </c>
      <c r="U7" s="656">
        <f>+VLOOKUP($L7,Data_Validation!$A:$D,3,0)</f>
        <v>0</v>
      </c>
      <c r="V7" s="656">
        <f>+VLOOKUP($L7,Data_Validation!$A:$D,4,0)</f>
        <v>0</v>
      </c>
      <c r="W7" s="656">
        <f>+VLOOKUP($L7,Data_Validation!$A:$E,5,0)</f>
        <v>0</v>
      </c>
      <c r="X7" s="656">
        <f>+VLOOKUP($L7,Data_Validation!$A:$F,6,0)</f>
        <v>0</v>
      </c>
    </row>
    <row r="8" spans="1:24" ht="15" customHeight="1">
      <c r="A8" s="1052" t="s">
        <v>726</v>
      </c>
      <c r="B8" s="1052" t="s">
        <v>2742</v>
      </c>
      <c r="C8" s="1053"/>
      <c r="D8" s="1053"/>
      <c r="E8" s="1053"/>
      <c r="F8" s="1052" t="s">
        <v>2</v>
      </c>
      <c r="G8" s="1052" t="s">
        <v>3322</v>
      </c>
      <c r="H8" s="1053"/>
      <c r="I8" s="1054">
        <v>247076.44</v>
      </c>
      <c r="J8" s="1054">
        <v>0</v>
      </c>
      <c r="K8" s="1054">
        <v>247076.44</v>
      </c>
      <c r="L8" s="653" t="str">
        <f t="shared" si="2"/>
        <v>70</v>
      </c>
      <c r="M8" s="654" t="str">
        <f t="shared" si="0"/>
        <v>PROFIT/PERTES JUILLET</v>
      </c>
      <c r="N8" s="655">
        <f>+IF(OR($Q8=Parametres!$G$2,$Q8=Parametres!$G$3),I8,C8)</f>
        <v>247076.44</v>
      </c>
      <c r="O8" s="659">
        <f>+IF(OR($Q8=Parametres!$G$2,$Q8=Parametres!$G$3),J8,D8)</f>
        <v>0</v>
      </c>
      <c r="P8" s="655">
        <f>+IF(OR($Q8=Parametres!$G$2,$Q8=Parametres!$G$3),K8,E8)</f>
        <v>247076.44</v>
      </c>
      <c r="Q8" s="654" t="str">
        <f t="shared" ref="Q8:S8" si="8">+F8</f>
        <v>1-Mémo</v>
      </c>
      <c r="R8" s="653" t="str">
        <f t="shared" si="8"/>
        <v>1</v>
      </c>
      <c r="S8" s="654">
        <f t="shared" si="8"/>
        <v>0</v>
      </c>
      <c r="T8" s="656" t="str">
        <f>+VLOOKUP($L8,Data_Validation!$A:$D,1,0)</f>
        <v>70</v>
      </c>
      <c r="U8" s="656">
        <f>+VLOOKUP($L8,Data_Validation!$A:$D,3,0)</f>
        <v>0</v>
      </c>
      <c r="V8" s="656">
        <f>+VLOOKUP($L8,Data_Validation!$A:$D,4,0)</f>
        <v>0</v>
      </c>
      <c r="W8" s="656">
        <f>+VLOOKUP($L8,Data_Validation!$A:$E,5,0)</f>
        <v>0</v>
      </c>
      <c r="X8" s="656">
        <f>+VLOOKUP($L8,Data_Validation!$A:$F,6,0)</f>
        <v>0</v>
      </c>
    </row>
    <row r="9" spans="1:24" ht="15" customHeight="1">
      <c r="A9" s="1052" t="s">
        <v>727</v>
      </c>
      <c r="B9" s="1052" t="s">
        <v>2745</v>
      </c>
      <c r="C9" s="1053"/>
      <c r="D9" s="1053"/>
      <c r="E9" s="1053"/>
      <c r="F9" s="1052" t="s">
        <v>2</v>
      </c>
      <c r="G9" s="1052" t="s">
        <v>3322</v>
      </c>
      <c r="H9" s="1053"/>
      <c r="I9" s="1054">
        <v>342752.56</v>
      </c>
      <c r="J9" s="1054">
        <v>0</v>
      </c>
      <c r="K9" s="1054">
        <v>342752.56</v>
      </c>
      <c r="L9" s="653" t="str">
        <f t="shared" si="2"/>
        <v>80</v>
      </c>
      <c r="M9" s="654" t="str">
        <f t="shared" si="0"/>
        <v>PROFIT/PERTES AOUT</v>
      </c>
      <c r="N9" s="655">
        <f>+IF(OR($Q9=Parametres!$G$2,$Q9=Parametres!$G$3),I9,C9)</f>
        <v>342752.56</v>
      </c>
      <c r="O9" s="659">
        <f>+IF(OR($Q9=Parametres!$G$2,$Q9=Parametres!$G$3),J9,D9)</f>
        <v>0</v>
      </c>
      <c r="P9" s="655">
        <f>+IF(OR($Q9=Parametres!$G$2,$Q9=Parametres!$G$3),K9,E9)</f>
        <v>342752.56</v>
      </c>
      <c r="Q9" s="654" t="str">
        <f t="shared" ref="Q9:S9" si="9">+F9</f>
        <v>1-Mémo</v>
      </c>
      <c r="R9" s="653" t="str">
        <f t="shared" si="9"/>
        <v>1</v>
      </c>
      <c r="S9" s="654">
        <f t="shared" si="9"/>
        <v>0</v>
      </c>
      <c r="T9" s="656" t="str">
        <f>+VLOOKUP($L9,Data_Validation!$A:$D,1,0)</f>
        <v>80</v>
      </c>
      <c r="U9" s="656">
        <f>+VLOOKUP($L9,Data_Validation!$A:$D,3,0)</f>
        <v>0</v>
      </c>
      <c r="V9" s="656">
        <f>+VLOOKUP($L9,Data_Validation!$A:$D,4,0)</f>
        <v>0</v>
      </c>
      <c r="W9" s="656">
        <f>+VLOOKUP($L9,Data_Validation!$A:$E,5,0)</f>
        <v>0</v>
      </c>
      <c r="X9" s="656">
        <f>+VLOOKUP($L9,Data_Validation!$A:$F,6,0)</f>
        <v>0</v>
      </c>
    </row>
    <row r="10" spans="1:24" ht="15" customHeight="1">
      <c r="A10" s="1052" t="s">
        <v>728</v>
      </c>
      <c r="B10" s="1052" t="s">
        <v>2748</v>
      </c>
      <c r="C10" s="1053"/>
      <c r="D10" s="1053"/>
      <c r="E10" s="1053"/>
      <c r="F10" s="1052" t="s">
        <v>2</v>
      </c>
      <c r="G10" s="1052" t="s">
        <v>3322</v>
      </c>
      <c r="H10" s="1053"/>
      <c r="I10" s="1054">
        <v>186502.97</v>
      </c>
      <c r="J10" s="1054">
        <v>0</v>
      </c>
      <c r="K10" s="1054">
        <v>186502.97</v>
      </c>
      <c r="L10" s="653" t="str">
        <f t="shared" si="2"/>
        <v>90</v>
      </c>
      <c r="M10" s="654" t="str">
        <f t="shared" si="0"/>
        <v>PROFIT/PERTES SEPTEMBRE</v>
      </c>
      <c r="N10" s="655">
        <f>+IF(OR($Q10=Parametres!$G$2,$Q10=Parametres!$G$3),I10,C10)</f>
        <v>186502.97</v>
      </c>
      <c r="O10" s="659">
        <f>+IF(OR($Q10=Parametres!$G$2,$Q10=Parametres!$G$3),J10,D10)</f>
        <v>0</v>
      </c>
      <c r="P10" s="655">
        <f>+IF(OR($Q10=Parametres!$G$2,$Q10=Parametres!$G$3),K10,E10)</f>
        <v>186502.97</v>
      </c>
      <c r="Q10" s="654" t="str">
        <f t="shared" ref="Q10:S10" si="10">+F10</f>
        <v>1-Mémo</v>
      </c>
      <c r="R10" s="653" t="str">
        <f t="shared" si="10"/>
        <v>1</v>
      </c>
      <c r="S10" s="654">
        <f t="shared" si="10"/>
        <v>0</v>
      </c>
      <c r="T10" s="656" t="str">
        <f>+VLOOKUP($L10,Data_Validation!$A:$D,1,0)</f>
        <v>90</v>
      </c>
      <c r="U10" s="656">
        <f>+VLOOKUP($L10,Data_Validation!$A:$D,3,0)</f>
        <v>0</v>
      </c>
      <c r="V10" s="656">
        <f>+VLOOKUP($L10,Data_Validation!$A:$D,4,0)</f>
        <v>0</v>
      </c>
      <c r="W10" s="656">
        <f>+VLOOKUP($L10,Data_Validation!$A:$E,5,0)</f>
        <v>0</v>
      </c>
      <c r="X10" s="656">
        <f>+VLOOKUP($L10,Data_Validation!$A:$F,6,0)</f>
        <v>0</v>
      </c>
    </row>
    <row r="11" spans="1:24" ht="15" customHeight="1">
      <c r="A11" s="1052" t="s">
        <v>729</v>
      </c>
      <c r="B11" s="1052" t="s">
        <v>1441</v>
      </c>
      <c r="C11" s="1053"/>
      <c r="D11" s="1053"/>
      <c r="E11" s="1053"/>
      <c r="F11" s="1052" t="s">
        <v>2</v>
      </c>
      <c r="G11" s="1052" t="s">
        <v>3322</v>
      </c>
      <c r="H11" s="1053"/>
      <c r="I11" s="1054">
        <v>202788.53</v>
      </c>
      <c r="J11" s="1054">
        <v>0</v>
      </c>
      <c r="K11" s="1054">
        <v>202788.53</v>
      </c>
      <c r="L11" s="653" t="str">
        <f t="shared" si="2"/>
        <v>100</v>
      </c>
      <c r="M11" s="654" t="str">
        <f t="shared" si="0"/>
        <v>PROFIT/PERTES OCTOBRE</v>
      </c>
      <c r="N11" s="655">
        <f>+IF(OR($Q11=Parametres!$G$2,$Q11=Parametres!$G$3),I11,C11)</f>
        <v>202788.53</v>
      </c>
      <c r="O11" s="655">
        <f>+IF(OR($Q11=Parametres!$G$2,$Q11=Parametres!$G$3),J11,D11)</f>
        <v>0</v>
      </c>
      <c r="P11" s="655">
        <f>+IF(OR($Q11=Parametres!$G$2,$Q11=Parametres!$G$3),K11,E11)</f>
        <v>202788.53</v>
      </c>
      <c r="Q11" s="654" t="str">
        <f t="shared" ref="Q11:S11" si="11">+F11</f>
        <v>1-Mémo</v>
      </c>
      <c r="R11" s="653" t="str">
        <f t="shared" si="11"/>
        <v>1</v>
      </c>
      <c r="S11" s="654">
        <f t="shared" si="11"/>
        <v>0</v>
      </c>
      <c r="T11" s="656" t="str">
        <f>+VLOOKUP($L11,Data_Validation!$A:$D,1,0)</f>
        <v>100</v>
      </c>
      <c r="U11" s="656">
        <f>+VLOOKUP($L11,Data_Validation!$A:$D,3,0)</f>
        <v>0</v>
      </c>
      <c r="V11" s="656">
        <f>+VLOOKUP($L11,Data_Validation!$A:$D,4,0)</f>
        <v>0</v>
      </c>
      <c r="W11" s="656">
        <f>+VLOOKUP($L11,Data_Validation!$A:$E,5,0)</f>
        <v>0</v>
      </c>
      <c r="X11" s="656">
        <f>+VLOOKUP($L11,Data_Validation!$A:$F,6,0)</f>
        <v>0</v>
      </c>
    </row>
    <row r="12" spans="1:24" ht="15" customHeight="1">
      <c r="A12" s="1052" t="s">
        <v>730</v>
      </c>
      <c r="B12" s="1052" t="s">
        <v>1444</v>
      </c>
      <c r="C12" s="1053"/>
      <c r="D12" s="1053"/>
      <c r="E12" s="1053"/>
      <c r="F12" s="1052" t="s">
        <v>2</v>
      </c>
      <c r="G12" s="1052" t="s">
        <v>3322</v>
      </c>
      <c r="H12" s="1053"/>
      <c r="I12" s="1054">
        <v>222887.14</v>
      </c>
      <c r="J12" s="1054">
        <v>0</v>
      </c>
      <c r="K12" s="1054">
        <v>222887.14</v>
      </c>
      <c r="L12" s="653" t="str">
        <f t="shared" si="2"/>
        <v>110</v>
      </c>
      <c r="M12" s="654" t="str">
        <f t="shared" si="0"/>
        <v>PROFIT/PERTES NOVEMBRE</v>
      </c>
      <c r="N12" s="655">
        <f>+IF(OR($Q12=Parametres!$G$2,$Q12=Parametres!$G$3),I12,C12)</f>
        <v>222887.14</v>
      </c>
      <c r="O12" s="655">
        <f>+IF(OR($Q12=Parametres!$G$2,$Q12=Parametres!$G$3),J12,D12)</f>
        <v>0</v>
      </c>
      <c r="P12" s="655">
        <f>+IF(OR($Q12=Parametres!$G$2,$Q12=Parametres!$G$3),K12,E12)</f>
        <v>222887.14</v>
      </c>
      <c r="Q12" s="654" t="str">
        <f t="shared" ref="Q12:S12" si="12">+F12</f>
        <v>1-Mémo</v>
      </c>
      <c r="R12" s="653" t="str">
        <f t="shared" si="12"/>
        <v>1</v>
      </c>
      <c r="S12" s="654">
        <f t="shared" si="12"/>
        <v>0</v>
      </c>
      <c r="T12" s="656" t="str">
        <f>+VLOOKUP($L12,Data_Validation!$A:$D,1,0)</f>
        <v>110</v>
      </c>
      <c r="U12" s="656">
        <f>+VLOOKUP($L12,Data_Validation!$A:$D,3,0)</f>
        <v>0</v>
      </c>
      <c r="V12" s="656">
        <f>+VLOOKUP($L12,Data_Validation!$A:$D,4,0)</f>
        <v>0</v>
      </c>
      <c r="W12" s="656">
        <f>+VLOOKUP($L12,Data_Validation!$A:$E,5,0)</f>
        <v>0</v>
      </c>
      <c r="X12" s="656">
        <f>+VLOOKUP($L12,Data_Validation!$A:$F,6,0)</f>
        <v>0</v>
      </c>
    </row>
    <row r="13" spans="1:24" ht="15" customHeight="1">
      <c r="A13" s="1052" t="s">
        <v>731</v>
      </c>
      <c r="B13" s="1052" t="s">
        <v>3352</v>
      </c>
      <c r="C13" s="1053"/>
      <c r="D13" s="1053"/>
      <c r="E13" s="1053"/>
      <c r="F13" s="1052" t="s">
        <v>2</v>
      </c>
      <c r="G13" s="1052" t="s">
        <v>3322</v>
      </c>
      <c r="H13" s="1053"/>
      <c r="I13" s="1054">
        <v>0</v>
      </c>
      <c r="J13" s="1054">
        <v>-43030.16</v>
      </c>
      <c r="K13" s="1054">
        <v>-43030.16</v>
      </c>
      <c r="L13" s="653" t="str">
        <f t="shared" si="2"/>
        <v>120</v>
      </c>
      <c r="M13" s="654" t="str">
        <f t="shared" si="0"/>
        <v>PROFIT/PERTES DECEMBRE</v>
      </c>
      <c r="N13" s="655">
        <f>+IF(OR($Q13=Parametres!$G$2,$Q13=Parametres!$G$3),I13,C13)</f>
        <v>0</v>
      </c>
      <c r="O13" s="659">
        <f>+IF(OR($Q13=Parametres!$G$2,$Q13=Parametres!$G$3),J13,D13)</f>
        <v>-43030.16</v>
      </c>
      <c r="P13" s="655">
        <f>+IF(OR($Q13=Parametres!$G$2,$Q13=Parametres!$G$3),K13,E13)</f>
        <v>-43030.16</v>
      </c>
      <c r="Q13" s="654" t="str">
        <f t="shared" ref="Q13:S13" si="13">+F13</f>
        <v>1-Mémo</v>
      </c>
      <c r="R13" s="653" t="str">
        <f t="shared" si="13"/>
        <v>1</v>
      </c>
      <c r="S13" s="654">
        <f t="shared" si="13"/>
        <v>0</v>
      </c>
      <c r="T13" s="656" t="str">
        <f>+VLOOKUP($L13,Data_Validation!$A:$D,1,0)</f>
        <v>120</v>
      </c>
      <c r="U13" s="656">
        <f>+VLOOKUP($L13,Data_Validation!$A:$D,3,0)</f>
        <v>0</v>
      </c>
      <c r="V13" s="656">
        <f>+VLOOKUP($L13,Data_Validation!$A:$D,4,0)</f>
        <v>0</v>
      </c>
      <c r="W13" s="656">
        <f>+VLOOKUP($L13,Data_Validation!$A:$E,5,0)</f>
        <v>0</v>
      </c>
      <c r="X13" s="656">
        <f>+VLOOKUP($L13,Data_Validation!$A:$F,6,0)</f>
        <v>0</v>
      </c>
    </row>
    <row r="14" spans="1:24" ht="15" customHeight="1">
      <c r="A14" s="1052" t="s">
        <v>732</v>
      </c>
      <c r="B14" s="1052" t="s">
        <v>1674</v>
      </c>
      <c r="C14" s="1053"/>
      <c r="D14" s="1053"/>
      <c r="E14" s="1053"/>
      <c r="F14" s="1052" t="s">
        <v>2</v>
      </c>
      <c r="G14" s="1052" t="s">
        <v>3323</v>
      </c>
      <c r="H14" s="1053"/>
      <c r="I14" s="1054">
        <v>6.63</v>
      </c>
      <c r="J14" s="1054">
        <v>0.41</v>
      </c>
      <c r="K14" s="1054">
        <v>7.04</v>
      </c>
      <c r="L14" s="653" t="str">
        <f t="shared" si="2"/>
        <v>229</v>
      </c>
      <c r="M14" s="654" t="str">
        <f t="shared" si="0"/>
        <v>CUMUL. VIS. CARR. VW</v>
      </c>
      <c r="N14" s="655">
        <f>+IF(OR($Q14=Parametres!$G$2,$Q14=Parametres!$G$3),I14,C14)</f>
        <v>6.63</v>
      </c>
      <c r="O14" s="659">
        <f>+IF(OR($Q14=Parametres!$G$2,$Q14=Parametres!$G$3),J14,D14)</f>
        <v>0.41</v>
      </c>
      <c r="P14" s="655">
        <f>+IF(OR($Q14=Parametres!$G$2,$Q14=Parametres!$G$3),K14,E14)</f>
        <v>7.04</v>
      </c>
      <c r="Q14" s="654" t="str">
        <f t="shared" ref="Q14:S14" si="14">+F14</f>
        <v>1-Mémo</v>
      </c>
      <c r="R14" s="653" t="str">
        <f t="shared" si="14"/>
        <v>23</v>
      </c>
      <c r="S14" s="654">
        <f t="shared" si="14"/>
        <v>0</v>
      </c>
      <c r="T14" s="656" t="str">
        <f>+VLOOKUP($L14,Data_Validation!$A:$D,1,0)</f>
        <v>229</v>
      </c>
      <c r="U14" s="656">
        <f>+VLOOKUP($L14,Data_Validation!$A:$D,3,0)</f>
        <v>0</v>
      </c>
      <c r="V14" s="656">
        <f>+VLOOKUP($L14,Data_Validation!$A:$D,4,0)</f>
        <v>0</v>
      </c>
      <c r="W14" s="656">
        <f>+VLOOKUP($L14,Data_Validation!$A:$E,5,0)</f>
        <v>0</v>
      </c>
      <c r="X14" s="656">
        <f>+VLOOKUP($L14,Data_Validation!$A:$F,6,0)</f>
        <v>0</v>
      </c>
    </row>
    <row r="15" spans="1:24" ht="15" customHeight="1">
      <c r="A15" s="1052" t="s">
        <v>733</v>
      </c>
      <c r="B15" s="1052" t="s">
        <v>1690</v>
      </c>
      <c r="C15" s="1053"/>
      <c r="D15" s="1053"/>
      <c r="E15" s="1053"/>
      <c r="F15" s="1052" t="s">
        <v>2</v>
      </c>
      <c r="G15" s="1052" t="s">
        <v>3323</v>
      </c>
      <c r="H15" s="1053"/>
      <c r="I15" s="1054">
        <v>100.49</v>
      </c>
      <c r="J15" s="1054">
        <v>7.1</v>
      </c>
      <c r="K15" s="1054">
        <v>107.59</v>
      </c>
      <c r="L15" s="653" t="str">
        <f t="shared" si="2"/>
        <v>230</v>
      </c>
      <c r="M15" s="654" t="str">
        <f t="shared" si="0"/>
        <v>CUMUL. VIS. VEH. SERV. VW</v>
      </c>
      <c r="N15" s="655">
        <f>+IF(OR($Q15=Parametres!$G$2,$Q15=Parametres!$G$3),I15,C15)</f>
        <v>100.49</v>
      </c>
      <c r="O15" s="659">
        <f>+IF(OR($Q15=Parametres!$G$2,$Q15=Parametres!$G$3),J15,D15)</f>
        <v>7.1</v>
      </c>
      <c r="P15" s="655">
        <f>+IF(OR($Q15=Parametres!$G$2,$Q15=Parametres!$G$3),K15,E15)</f>
        <v>107.59</v>
      </c>
      <c r="Q15" s="654" t="str">
        <f t="shared" ref="Q15:S15" si="15">+F15</f>
        <v>1-Mémo</v>
      </c>
      <c r="R15" s="653" t="str">
        <f t="shared" si="15"/>
        <v>23</v>
      </c>
      <c r="S15" s="654">
        <f t="shared" si="15"/>
        <v>0</v>
      </c>
      <c r="T15" s="656" t="str">
        <f>+VLOOKUP($L15,Data_Validation!$A:$D,1,0)</f>
        <v>230</v>
      </c>
      <c r="U15" s="656">
        <f>+VLOOKUP($L15,Data_Validation!$A:$D,3,0)</f>
        <v>0</v>
      </c>
      <c r="V15" s="656">
        <f>+VLOOKUP($L15,Data_Validation!$A:$D,4,0)</f>
        <v>0</v>
      </c>
      <c r="W15" s="656" t="str">
        <f>+VLOOKUP($L15,Data_Validation!$A:$E,5,0)</f>
        <v>$</v>
      </c>
      <c r="X15" s="656">
        <f>+VLOOKUP($L15,Data_Validation!$A:$F,6,0)</f>
        <v>0</v>
      </c>
    </row>
    <row r="16" spans="1:24" ht="15" customHeight="1">
      <c r="A16" s="1052" t="s">
        <v>734</v>
      </c>
      <c r="B16" s="1052" t="s">
        <v>1698</v>
      </c>
      <c r="C16" s="1053"/>
      <c r="D16" s="1053"/>
      <c r="E16" s="1053"/>
      <c r="F16" s="1052" t="s">
        <v>2</v>
      </c>
      <c r="G16" s="1052" t="s">
        <v>3323</v>
      </c>
      <c r="H16" s="1053"/>
      <c r="I16" s="1054">
        <v>195.46</v>
      </c>
      <c r="J16" s="1054">
        <v>15.69</v>
      </c>
      <c r="K16" s="1054">
        <v>211.15</v>
      </c>
      <c r="L16" s="653" t="str">
        <f t="shared" si="2"/>
        <v>234</v>
      </c>
      <c r="M16" s="654" t="str">
        <f t="shared" si="0"/>
        <v>TOTAL HRES PROD. SERVICE</v>
      </c>
      <c r="N16" s="655">
        <f>+IF(OR($Q16=Parametres!$G$2,$Q16=Parametres!$G$3),I16,C16)</f>
        <v>195.46</v>
      </c>
      <c r="O16" s="659">
        <f>+IF(OR($Q16=Parametres!$G$2,$Q16=Parametres!$G$3),J16,D16)</f>
        <v>15.69</v>
      </c>
      <c r="P16" s="655">
        <f>+IF(OR($Q16=Parametres!$G$2,$Q16=Parametres!$G$3),K16,E16)</f>
        <v>211.15</v>
      </c>
      <c r="Q16" s="654" t="str">
        <f t="shared" ref="Q16:S16" si="16">+F16</f>
        <v>1-Mémo</v>
      </c>
      <c r="R16" s="653" t="str">
        <f t="shared" si="16"/>
        <v>23</v>
      </c>
      <c r="S16" s="654">
        <f t="shared" si="16"/>
        <v>0</v>
      </c>
      <c r="T16" s="656" t="str">
        <f>+VLOOKUP($L16,Data_Validation!$A:$D,1,0)</f>
        <v>234</v>
      </c>
      <c r="U16" s="656">
        <f>+VLOOKUP($L16,Data_Validation!$A:$D,3,0)</f>
        <v>0</v>
      </c>
      <c r="V16" s="656">
        <f>+VLOOKUP($L16,Data_Validation!$A:$D,4,0)</f>
        <v>0</v>
      </c>
      <c r="W16" s="656">
        <f>+VLOOKUP($L16,Data_Validation!$A:$E,5,0)</f>
        <v>0</v>
      </c>
      <c r="X16" s="656">
        <f>+VLOOKUP($L16,Data_Validation!$A:$F,6,0)</f>
        <v>0</v>
      </c>
    </row>
    <row r="17" spans="1:24" ht="15" customHeight="1">
      <c r="A17" s="1052" t="s">
        <v>735</v>
      </c>
      <c r="B17" s="1052" t="s">
        <v>1710</v>
      </c>
      <c r="C17" s="1053"/>
      <c r="D17" s="1053"/>
      <c r="E17" s="1053"/>
      <c r="F17" s="1052" t="s">
        <v>2</v>
      </c>
      <c r="G17" s="1052" t="s">
        <v>3323</v>
      </c>
      <c r="H17" s="1053"/>
      <c r="I17" s="1054">
        <v>194.4</v>
      </c>
      <c r="J17" s="1054">
        <v>15.8</v>
      </c>
      <c r="K17" s="1054">
        <v>210.2</v>
      </c>
      <c r="L17" s="653" t="str">
        <f t="shared" si="2"/>
        <v>236</v>
      </c>
      <c r="M17" s="654" t="str">
        <f t="shared" si="0"/>
        <v>HEURES VENDU VW - SERVICE</v>
      </c>
      <c r="N17" s="655">
        <f>+IF(OR($Q17=Parametres!$G$2,$Q17=Parametres!$G$3),I17,C17)</f>
        <v>194.4</v>
      </c>
      <c r="O17" s="659">
        <f>+IF(OR($Q17=Parametres!$G$2,$Q17=Parametres!$G$3),J17,D17)</f>
        <v>15.8</v>
      </c>
      <c r="P17" s="655">
        <f>+IF(OR($Q17=Parametres!$G$2,$Q17=Parametres!$G$3),K17,E17)</f>
        <v>210.2</v>
      </c>
      <c r="Q17" s="654" t="str">
        <f t="shared" ref="Q17:S17" si="17">+F17</f>
        <v>1-Mémo</v>
      </c>
      <c r="R17" s="653" t="str">
        <f t="shared" si="17"/>
        <v>23</v>
      </c>
      <c r="S17" s="654">
        <f t="shared" si="17"/>
        <v>0</v>
      </c>
      <c r="T17" s="656" t="str">
        <f>+VLOOKUP($L17,Data_Validation!$A:$D,1,0)</f>
        <v>236</v>
      </c>
      <c r="U17" s="656">
        <f>+VLOOKUP($L17,Data_Validation!$A:$D,3,0)</f>
        <v>0</v>
      </c>
      <c r="V17" s="656">
        <f>+VLOOKUP($L17,Data_Validation!$A:$D,4,0)</f>
        <v>0</v>
      </c>
      <c r="W17" s="656">
        <f>+VLOOKUP($L17,Data_Validation!$A:$E,5,0)</f>
        <v>0</v>
      </c>
      <c r="X17" s="656">
        <f>+VLOOKUP($L17,Data_Validation!$A:$F,6,0)</f>
        <v>0</v>
      </c>
    </row>
    <row r="18" spans="1:24" ht="15" customHeight="1">
      <c r="A18" s="1052" t="s">
        <v>736</v>
      </c>
      <c r="B18" s="1052" t="s">
        <v>1713</v>
      </c>
      <c r="C18" s="1053"/>
      <c r="D18" s="1053"/>
      <c r="E18" s="1053"/>
      <c r="F18" s="1052" t="s">
        <v>2</v>
      </c>
      <c r="G18" s="1052" t="s">
        <v>3323</v>
      </c>
      <c r="H18" s="1053"/>
      <c r="I18" s="1054">
        <v>221.17</v>
      </c>
      <c r="J18" s="1054">
        <v>16.760000000000002</v>
      </c>
      <c r="K18" s="1054">
        <v>237.93</v>
      </c>
      <c r="L18" s="653" t="str">
        <f t="shared" si="2"/>
        <v>238</v>
      </c>
      <c r="M18" s="654" t="str">
        <f t="shared" si="0"/>
        <v>TOT. HEURES DISP. SERVICE</v>
      </c>
      <c r="N18" s="655">
        <f>+IF(OR($Q18=Parametres!$G$2,$Q18=Parametres!$G$3),I18,C18)</f>
        <v>221.17</v>
      </c>
      <c r="O18" s="655">
        <f>+IF(OR($Q18=Parametres!$G$2,$Q18=Parametres!$G$3),J18,D18)</f>
        <v>16.760000000000002</v>
      </c>
      <c r="P18" s="655">
        <f>+IF(OR($Q18=Parametres!$G$2,$Q18=Parametres!$G$3),K18,E18)</f>
        <v>237.93</v>
      </c>
      <c r="Q18" s="654" t="str">
        <f t="shared" ref="Q18:S18" si="18">+F18</f>
        <v>1-Mémo</v>
      </c>
      <c r="R18" s="653" t="str">
        <f t="shared" si="18"/>
        <v>23</v>
      </c>
      <c r="S18" s="654">
        <f t="shared" si="18"/>
        <v>0</v>
      </c>
      <c r="T18" s="656" t="str">
        <f>+VLOOKUP($L18,Data_Validation!$A:$D,1,0)</f>
        <v>238</v>
      </c>
      <c r="U18" s="656">
        <f>+VLOOKUP($L18,Data_Validation!$A:$D,3,0)</f>
        <v>0</v>
      </c>
      <c r="V18" s="656">
        <f>+VLOOKUP($L18,Data_Validation!$A:$D,4,0)</f>
        <v>0</v>
      </c>
      <c r="W18" s="656">
        <f>+VLOOKUP($L18,Data_Validation!$A:$E,5,0)</f>
        <v>0</v>
      </c>
      <c r="X18" s="656">
        <f>+VLOOKUP($L18,Data_Validation!$A:$F,6,0)</f>
        <v>0</v>
      </c>
    </row>
    <row r="19" spans="1:24" ht="15" customHeight="1">
      <c r="A19" s="1052" t="s">
        <v>3658</v>
      </c>
      <c r="B19" s="1052" t="s">
        <v>1718</v>
      </c>
      <c r="C19" s="1053"/>
      <c r="D19" s="1053"/>
      <c r="E19" s="1053"/>
      <c r="F19" s="1052" t="s">
        <v>2</v>
      </c>
      <c r="G19" s="1052" t="s">
        <v>3324</v>
      </c>
      <c r="H19" s="1053"/>
      <c r="I19" s="1054">
        <v>134.94999999999999</v>
      </c>
      <c r="J19" s="1054">
        <v>0</v>
      </c>
      <c r="K19" s="1054">
        <v>134.94999999999999</v>
      </c>
      <c r="L19" s="653" t="str">
        <f t="shared" si="2"/>
        <v>243</v>
      </c>
      <c r="M19" s="654" t="str">
        <f t="shared" si="0"/>
        <v>TAUX MAIN D'OEUVRE - VW - MCI - CLIENT</v>
      </c>
      <c r="N19" s="655">
        <f>+IF(OR($Q19=Parametres!$G$2,$Q19=Parametres!$G$3),I19,C19)</f>
        <v>134.94999999999999</v>
      </c>
      <c r="O19" s="659">
        <f>+IF(OR($Q19=Parametres!$G$2,$Q19=Parametres!$G$3),J19,D19)</f>
        <v>0</v>
      </c>
      <c r="P19" s="655">
        <f>+IF(OR($Q19=Parametres!$G$2,$Q19=Parametres!$G$3),K19,E19)</f>
        <v>134.94999999999999</v>
      </c>
      <c r="Q19" s="654" t="str">
        <f t="shared" ref="Q19:S19" si="19">+F19</f>
        <v>1-Mémo</v>
      </c>
      <c r="R19" s="653" t="str">
        <f t="shared" si="19"/>
        <v>24</v>
      </c>
      <c r="S19" s="654">
        <f t="shared" si="19"/>
        <v>0</v>
      </c>
      <c r="T19" s="656" t="str">
        <f>+VLOOKUP($L19,Data_Validation!$A:$D,1,0)</f>
        <v>243</v>
      </c>
      <c r="U19" s="656">
        <f>+VLOOKUP($L19,Data_Validation!$A:$D,3,0)</f>
        <v>0</v>
      </c>
      <c r="V19" s="656">
        <f>+VLOOKUP($L19,Data_Validation!$A:$D,4,0)</f>
        <v>0</v>
      </c>
      <c r="W19" s="656">
        <f>+VLOOKUP($L19,Data_Validation!$A:$E,5,0)</f>
        <v>0</v>
      </c>
      <c r="X19" s="656">
        <f>+VLOOKUP($L19,Data_Validation!$A:$F,6,0)</f>
        <v>0</v>
      </c>
    </row>
    <row r="20" spans="1:24" ht="15" customHeight="1">
      <c r="A20" s="1052" t="s">
        <v>3659</v>
      </c>
      <c r="B20" s="1052" t="s">
        <v>1721</v>
      </c>
      <c r="C20" s="1053"/>
      <c r="D20" s="1053"/>
      <c r="E20" s="1053"/>
      <c r="F20" s="1052" t="s">
        <v>2</v>
      </c>
      <c r="G20" s="1052" t="s">
        <v>3324</v>
      </c>
      <c r="H20" s="1053"/>
      <c r="I20" s="1054">
        <v>123.64</v>
      </c>
      <c r="J20" s="1054">
        <v>0</v>
      </c>
      <c r="K20" s="1054">
        <v>123.64</v>
      </c>
      <c r="L20" s="653" t="str">
        <f t="shared" si="2"/>
        <v>244</v>
      </c>
      <c r="M20" s="654" t="str">
        <f t="shared" si="0"/>
        <v>TAUX MAIN D'OEUVRE - VW - MCI - GARANTIE</v>
      </c>
      <c r="N20" s="655">
        <f>+IF(OR($Q20=Parametres!$G$2,$Q20=Parametres!$G$3),I20,C20)</f>
        <v>123.64</v>
      </c>
      <c r="O20" s="659">
        <f>+IF(OR($Q20=Parametres!$G$2,$Q20=Parametres!$G$3),J20,D20)</f>
        <v>0</v>
      </c>
      <c r="P20" s="655">
        <f>+IF(OR($Q20=Parametres!$G$2,$Q20=Parametres!$G$3),K20,E20)</f>
        <v>123.64</v>
      </c>
      <c r="Q20" s="654" t="str">
        <f t="shared" ref="Q20:S20" si="20">+F20</f>
        <v>1-Mémo</v>
      </c>
      <c r="R20" s="653" t="str">
        <f t="shared" si="20"/>
        <v>24</v>
      </c>
      <c r="S20" s="654">
        <f t="shared" si="20"/>
        <v>0</v>
      </c>
      <c r="T20" s="656" t="str">
        <f>+VLOOKUP($L20,Data_Validation!$A:$D,1,0)</f>
        <v>244</v>
      </c>
      <c r="U20" s="656">
        <f>+VLOOKUP($L20,Data_Validation!$A:$D,3,0)</f>
        <v>0</v>
      </c>
      <c r="V20" s="656">
        <f>+VLOOKUP($L20,Data_Validation!$A:$D,4,0)</f>
        <v>0</v>
      </c>
      <c r="W20" s="656">
        <f>+VLOOKUP($L20,Data_Validation!$A:$E,5,0)</f>
        <v>0</v>
      </c>
      <c r="X20" s="656">
        <f>+VLOOKUP($L20,Data_Validation!$A:$F,6,0)</f>
        <v>0</v>
      </c>
    </row>
    <row r="21" spans="1:24" ht="15" customHeight="1">
      <c r="A21" s="1052" t="s">
        <v>3660</v>
      </c>
      <c r="B21" s="1052" t="s">
        <v>1724</v>
      </c>
      <c r="C21" s="1053"/>
      <c r="D21" s="1053"/>
      <c r="E21" s="1053"/>
      <c r="F21" s="1052" t="s">
        <v>2</v>
      </c>
      <c r="G21" s="1052" t="s">
        <v>3324</v>
      </c>
      <c r="H21" s="1053"/>
      <c r="I21" s="1054">
        <v>134.94999999999999</v>
      </c>
      <c r="J21" s="1054">
        <v>0</v>
      </c>
      <c r="K21" s="1054">
        <v>134.94999999999999</v>
      </c>
      <c r="L21" s="653" t="str">
        <f t="shared" si="2"/>
        <v>245</v>
      </c>
      <c r="M21" s="654" t="str">
        <f t="shared" si="0"/>
        <v>TAUX MAIN D'OEUVRE - VW - MCI - INTERNE</v>
      </c>
      <c r="N21" s="655">
        <f>+IF(OR($Q21=Parametres!$G$2,$Q21=Parametres!$G$3),I21,C21)</f>
        <v>134.94999999999999</v>
      </c>
      <c r="O21" s="655">
        <f>+IF(OR($Q21=Parametres!$G$2,$Q21=Parametres!$G$3),J21,D21)</f>
        <v>0</v>
      </c>
      <c r="P21" s="655">
        <f>+IF(OR($Q21=Parametres!$G$2,$Q21=Parametres!$G$3),K21,E21)</f>
        <v>134.94999999999999</v>
      </c>
      <c r="Q21" s="654" t="str">
        <f t="shared" ref="Q21:S21" si="21">+F21</f>
        <v>1-Mémo</v>
      </c>
      <c r="R21" s="653" t="str">
        <f t="shared" si="21"/>
        <v>24</v>
      </c>
      <c r="S21" s="654">
        <f t="shared" si="21"/>
        <v>0</v>
      </c>
      <c r="T21" s="656" t="str">
        <f>+VLOOKUP($L21,Data_Validation!$A:$D,1,0)</f>
        <v>245</v>
      </c>
      <c r="U21" s="656">
        <f>+VLOOKUP($L21,Data_Validation!$A:$D,3,0)</f>
        <v>0</v>
      </c>
      <c r="V21" s="656">
        <f>+VLOOKUP($L21,Data_Validation!$A:$D,4,0)</f>
        <v>0</v>
      </c>
      <c r="W21" s="656">
        <f>+VLOOKUP($L21,Data_Validation!$A:$E,5,0)</f>
        <v>0</v>
      </c>
      <c r="X21" s="656">
        <f>+VLOOKUP($L21,Data_Validation!$A:$F,6,0)</f>
        <v>0</v>
      </c>
    </row>
    <row r="22" spans="1:24" ht="15" customHeight="1">
      <c r="A22" s="1052" t="s">
        <v>3661</v>
      </c>
      <c r="B22" s="1052" t="s">
        <v>1727</v>
      </c>
      <c r="C22" s="1053"/>
      <c r="D22" s="1053"/>
      <c r="E22" s="1053"/>
      <c r="F22" s="1052" t="s">
        <v>2</v>
      </c>
      <c r="G22" s="1052" t="s">
        <v>3324</v>
      </c>
      <c r="H22" s="1053"/>
      <c r="I22" s="1054">
        <v>65</v>
      </c>
      <c r="J22" s="1054">
        <v>0</v>
      </c>
      <c r="K22" s="1054">
        <v>65</v>
      </c>
      <c r="L22" s="653" t="str">
        <f t="shared" si="2"/>
        <v>246</v>
      </c>
      <c r="M22" s="654" t="str">
        <f t="shared" si="0"/>
        <v>TAUX MAIN D'OEUVRE - VW - MCI - CARROSSERIE</v>
      </c>
      <c r="N22" s="655">
        <f>+IF(OR($Q22=Parametres!$G$2,$Q22=Parametres!$G$3),I22,C22)</f>
        <v>65</v>
      </c>
      <c r="O22" s="659">
        <f>+IF(OR($Q22=Parametres!$G$2,$Q22=Parametres!$G$3),J22,D22)</f>
        <v>0</v>
      </c>
      <c r="P22" s="655">
        <f>+IF(OR($Q22=Parametres!$G$2,$Q22=Parametres!$G$3),K22,E22)</f>
        <v>65</v>
      </c>
      <c r="Q22" s="654" t="str">
        <f t="shared" ref="Q22:S22" si="22">+F22</f>
        <v>1-Mémo</v>
      </c>
      <c r="R22" s="653" t="str">
        <f t="shared" si="22"/>
        <v>24</v>
      </c>
      <c r="S22" s="654">
        <f t="shared" si="22"/>
        <v>0</v>
      </c>
      <c r="T22" s="656" t="str">
        <f>+VLOOKUP($L22,Data_Validation!$A:$D,1,0)</f>
        <v>246</v>
      </c>
      <c r="U22" s="656">
        <f>+VLOOKUP($L22,Data_Validation!$A:$D,3,0)</f>
        <v>0</v>
      </c>
      <c r="V22" s="656">
        <f>+VLOOKUP($L22,Data_Validation!$A:$D,4,0)</f>
        <v>0</v>
      </c>
      <c r="W22" s="656">
        <f>+VLOOKUP($L22,Data_Validation!$A:$E,5,0)</f>
        <v>0</v>
      </c>
      <c r="X22" s="656">
        <f>+VLOOKUP($L22,Data_Validation!$A:$F,6,0)</f>
        <v>0</v>
      </c>
    </row>
    <row r="23" spans="1:24" ht="15" customHeight="1">
      <c r="A23" s="1052" t="s">
        <v>741</v>
      </c>
      <c r="B23" s="1052" t="s">
        <v>742</v>
      </c>
      <c r="C23" s="1053"/>
      <c r="D23" s="1053"/>
      <c r="E23" s="1053"/>
      <c r="F23" s="1052" t="s">
        <v>2</v>
      </c>
      <c r="G23" s="1052" t="s">
        <v>742</v>
      </c>
      <c r="H23" s="1053"/>
      <c r="I23" s="1054">
        <v>0.08</v>
      </c>
      <c r="J23" s="1054">
        <v>0</v>
      </c>
      <c r="K23" s="1054">
        <v>0.08</v>
      </c>
      <c r="L23" s="653" t="str">
        <f t="shared" si="2"/>
        <v>255</v>
      </c>
      <c r="M23" s="654" t="str">
        <f t="shared" si="0"/>
        <v>BAIES TRAVAIL PRODUCTIVES - SERVICE VW</v>
      </c>
      <c r="N23" s="655">
        <f>+IF(OR($Q23=Parametres!$G$2,$Q23=Parametres!$G$3),I23,C23)</f>
        <v>0.08</v>
      </c>
      <c r="O23" s="659">
        <f>+IF(OR($Q23=Parametres!$G$2,$Q23=Parametres!$G$3),J23,D23)</f>
        <v>0</v>
      </c>
      <c r="P23" s="655">
        <f>+IF(OR($Q23=Parametres!$G$2,$Q23=Parametres!$G$3),K23,E23)</f>
        <v>0.08</v>
      </c>
      <c r="Q23" s="654" t="str">
        <f t="shared" ref="Q23:S23" si="23">+F23</f>
        <v>1-Mémo</v>
      </c>
      <c r="R23" s="653" t="str">
        <f t="shared" si="23"/>
        <v>255</v>
      </c>
      <c r="S23" s="654">
        <f t="shared" si="23"/>
        <v>0</v>
      </c>
      <c r="T23" s="656" t="str">
        <f>+VLOOKUP($L23,Data_Validation!$A:$D,1,0)</f>
        <v>255</v>
      </c>
      <c r="U23" s="656">
        <f>+VLOOKUP($L23,Data_Validation!$A:$D,3,0)</f>
        <v>0</v>
      </c>
      <c r="V23" s="656">
        <f>+VLOOKUP($L23,Data_Validation!$A:$D,4,0)</f>
        <v>0</v>
      </c>
      <c r="W23" s="656">
        <f>+VLOOKUP($L23,Data_Validation!$A:$E,5,0)</f>
        <v>0</v>
      </c>
      <c r="X23" s="656">
        <f>+VLOOKUP($L23,Data_Validation!$A:$F,6,0)</f>
        <v>0</v>
      </c>
    </row>
    <row r="24" spans="1:24" ht="15" customHeight="1">
      <c r="A24" s="1052" t="s">
        <v>3662</v>
      </c>
      <c r="B24" s="1052" t="s">
        <v>744</v>
      </c>
      <c r="C24" s="1053"/>
      <c r="D24" s="1053"/>
      <c r="E24" s="1053"/>
      <c r="F24" s="1052" t="s">
        <v>2</v>
      </c>
      <c r="G24" s="1052" t="s">
        <v>744</v>
      </c>
      <c r="H24" s="1053"/>
      <c r="I24" s="1054">
        <v>10846.7</v>
      </c>
      <c r="J24" s="1054">
        <v>869.43</v>
      </c>
      <c r="K24" s="1054">
        <v>11716.13</v>
      </c>
      <c r="L24" s="653" t="str">
        <f t="shared" si="2"/>
        <v>257</v>
      </c>
      <c r="M24" s="654" t="str">
        <f t="shared" si="0"/>
        <v>HEURES VENDUES - SVC - VW - MCI - CLIENT</v>
      </c>
      <c r="N24" s="655">
        <f>+IF(OR($Q24=Parametres!$G$2,$Q24=Parametres!$G$3),I24,C24)</f>
        <v>10846.7</v>
      </c>
      <c r="O24" s="659">
        <f>+IF(OR($Q24=Parametres!$G$2,$Q24=Parametres!$G$3),J24,D24)</f>
        <v>869.43</v>
      </c>
      <c r="P24" s="655">
        <f>+IF(OR($Q24=Parametres!$G$2,$Q24=Parametres!$G$3),K24,E24)</f>
        <v>11716.13</v>
      </c>
      <c r="Q24" s="654" t="str">
        <f t="shared" ref="Q24:S24" si="24">+F24</f>
        <v>1-Mémo</v>
      </c>
      <c r="R24" s="653" t="str">
        <f t="shared" si="24"/>
        <v>257</v>
      </c>
      <c r="S24" s="654">
        <f t="shared" si="24"/>
        <v>0</v>
      </c>
      <c r="T24" s="656" t="str">
        <f>+VLOOKUP($L24,Data_Validation!$A:$D,1,0)</f>
        <v>257</v>
      </c>
      <c r="U24" s="656">
        <f>+VLOOKUP($L24,Data_Validation!$A:$D,3,0)</f>
        <v>0</v>
      </c>
      <c r="V24" s="656">
        <f>+VLOOKUP($L24,Data_Validation!$A:$D,4,0)</f>
        <v>0</v>
      </c>
      <c r="W24" s="656">
        <f>+VLOOKUP($L24,Data_Validation!$A:$E,5,0)</f>
        <v>0</v>
      </c>
      <c r="X24" s="656">
        <f>+VLOOKUP($L24,Data_Validation!$A:$F,6,0)</f>
        <v>0</v>
      </c>
    </row>
    <row r="25" spans="1:24" ht="15" customHeight="1">
      <c r="A25" s="1052" t="s">
        <v>3663</v>
      </c>
      <c r="B25" s="1052" t="s">
        <v>1750</v>
      </c>
      <c r="C25" s="1053"/>
      <c r="D25" s="1053"/>
      <c r="E25" s="1053"/>
      <c r="F25" s="1052" t="s">
        <v>2</v>
      </c>
      <c r="G25" s="1052" t="s">
        <v>744</v>
      </c>
      <c r="H25" s="1053"/>
      <c r="I25" s="1054">
        <v>4067.18</v>
      </c>
      <c r="J25" s="1054">
        <v>317.7</v>
      </c>
      <c r="K25" s="1054">
        <v>4384.88</v>
      </c>
      <c r="L25" s="653" t="str">
        <f t="shared" si="2"/>
        <v>258</v>
      </c>
      <c r="M25" s="654" t="str">
        <f t="shared" si="0"/>
        <v>HEURES VENDUES - SVC - VW - MCI - GARANTIE</v>
      </c>
      <c r="N25" s="655">
        <f>+IF(OR($Q25=Parametres!$G$2,$Q25=Parametres!$G$3),I25,C25)</f>
        <v>4067.18</v>
      </c>
      <c r="O25" s="659">
        <f>+IF(OR($Q25=Parametres!$G$2,$Q25=Parametres!$G$3),J25,D25)</f>
        <v>317.7</v>
      </c>
      <c r="P25" s="655">
        <f>+IF(OR($Q25=Parametres!$G$2,$Q25=Parametres!$G$3),K25,E25)</f>
        <v>4384.88</v>
      </c>
      <c r="Q25" s="654" t="str">
        <f t="shared" ref="Q25:S25" si="25">+F25</f>
        <v>1-Mémo</v>
      </c>
      <c r="R25" s="653" t="str">
        <f t="shared" si="25"/>
        <v>257</v>
      </c>
      <c r="S25" s="654">
        <f t="shared" si="25"/>
        <v>0</v>
      </c>
      <c r="T25" s="656" t="str">
        <f>+VLOOKUP($L25,Data_Validation!$A:$D,1,0)</f>
        <v>258</v>
      </c>
      <c r="U25" s="656">
        <f>+VLOOKUP($L25,Data_Validation!$A:$D,3,0)</f>
        <v>0</v>
      </c>
      <c r="V25" s="656">
        <f>+VLOOKUP($L25,Data_Validation!$A:$D,4,0)</f>
        <v>0</v>
      </c>
      <c r="W25" s="656">
        <f>+VLOOKUP($L25,Data_Validation!$A:$E,5,0)</f>
        <v>0</v>
      </c>
      <c r="X25" s="656">
        <f>+VLOOKUP($L25,Data_Validation!$A:$F,6,0)</f>
        <v>0</v>
      </c>
    </row>
    <row r="26" spans="1:24" ht="15.75" customHeight="1">
      <c r="A26" s="1052" t="s">
        <v>3664</v>
      </c>
      <c r="B26" s="1052" t="s">
        <v>1753</v>
      </c>
      <c r="C26" s="1053"/>
      <c r="D26" s="1053"/>
      <c r="E26" s="1053"/>
      <c r="F26" s="1052" t="s">
        <v>2</v>
      </c>
      <c r="G26" s="1052" t="s">
        <v>744</v>
      </c>
      <c r="H26" s="1053"/>
      <c r="I26" s="1054">
        <v>4526.6099999999997</v>
      </c>
      <c r="J26" s="1054">
        <v>393.3</v>
      </c>
      <c r="K26" s="1054">
        <v>4919.91</v>
      </c>
      <c r="L26" s="653" t="str">
        <f t="shared" si="2"/>
        <v>259</v>
      </c>
      <c r="M26" s="654" t="str">
        <f t="shared" si="0"/>
        <v>HEURES VENDUES - SVC - VW - MCI - INTERNE</v>
      </c>
      <c r="N26" s="655">
        <f>+IF(OR($Q26=Parametres!$G$2,$Q26=Parametres!$G$3),I26,C26)</f>
        <v>4526.6099999999997</v>
      </c>
      <c r="O26" s="659">
        <f>+IF(OR($Q26=Parametres!$G$2,$Q26=Parametres!$G$3),J26,D26)</f>
        <v>393.3</v>
      </c>
      <c r="P26" s="655">
        <f>+IF(OR($Q26=Parametres!$G$2,$Q26=Parametres!$G$3),K26,E26)</f>
        <v>4919.91</v>
      </c>
      <c r="Q26" s="654" t="str">
        <f t="shared" ref="Q26:S26" si="26">+F26</f>
        <v>1-Mémo</v>
      </c>
      <c r="R26" s="653" t="str">
        <f t="shared" si="26"/>
        <v>257</v>
      </c>
      <c r="S26" s="654">
        <f t="shared" si="26"/>
        <v>0</v>
      </c>
      <c r="T26" s="656" t="str">
        <f>+VLOOKUP($L26,Data_Validation!$A:$D,1,0)</f>
        <v>259</v>
      </c>
      <c r="U26" s="656">
        <f>+VLOOKUP($L26,Data_Validation!$A:$D,3,0)</f>
        <v>0</v>
      </c>
      <c r="V26" s="656">
        <f>+VLOOKUP($L26,Data_Validation!$A:$D,4,0)</f>
        <v>0</v>
      </c>
      <c r="W26" s="656">
        <f>+VLOOKUP($L26,Data_Validation!$A:$E,5,0)</f>
        <v>0</v>
      </c>
      <c r="X26" s="656">
        <f>+VLOOKUP($L26,Data_Validation!$A:$F,6,0)</f>
        <v>0</v>
      </c>
    </row>
    <row r="27" spans="1:24" ht="15" customHeight="1">
      <c r="A27" s="1052" t="s">
        <v>747</v>
      </c>
      <c r="B27" s="1052" t="s">
        <v>1763</v>
      </c>
      <c r="C27" s="1053"/>
      <c r="D27" s="1053"/>
      <c r="E27" s="1053"/>
      <c r="F27" s="1052" t="s">
        <v>2</v>
      </c>
      <c r="G27" s="1052" t="s">
        <v>748</v>
      </c>
      <c r="H27" s="1053"/>
      <c r="I27" s="1054">
        <v>-59153.9</v>
      </c>
      <c r="J27" s="1054">
        <v>-5635.67</v>
      </c>
      <c r="K27" s="1054">
        <v>-64789.57</v>
      </c>
      <c r="L27" s="653" t="str">
        <f t="shared" si="2"/>
        <v>300</v>
      </c>
      <c r="M27" s="654" t="str">
        <f t="shared" si="0"/>
        <v>REC VEH PASSE DU 30-60</v>
      </c>
      <c r="N27" s="655">
        <f>+IF(OR($Q27=Parametres!$G$2,$Q27=Parametres!$G$3),I27,C27)</f>
        <v>-59153.9</v>
      </c>
      <c r="O27" s="659">
        <f>+IF(OR($Q27=Parametres!$G$2,$Q27=Parametres!$G$3),J27,D27)</f>
        <v>-5635.67</v>
      </c>
      <c r="P27" s="655">
        <f>+IF(OR($Q27=Parametres!$G$2,$Q27=Parametres!$G$3),K27,E27)</f>
        <v>-64789.57</v>
      </c>
      <c r="Q27" s="654" t="str">
        <f t="shared" ref="Q27:S27" si="27">+F27</f>
        <v>1-Mémo</v>
      </c>
      <c r="R27" s="653" t="str">
        <f t="shared" si="27"/>
        <v>30</v>
      </c>
      <c r="S27" s="654">
        <f t="shared" si="27"/>
        <v>0</v>
      </c>
      <c r="T27" s="656" t="str">
        <f>+VLOOKUP($L27,Data_Validation!$A:$D,1,0)</f>
        <v>300</v>
      </c>
      <c r="U27" s="656">
        <f>+VLOOKUP($L27,Data_Validation!$A:$D,3,0)</f>
        <v>0</v>
      </c>
      <c r="V27" s="656">
        <f>+VLOOKUP($L27,Data_Validation!$A:$D,4,0)</f>
        <v>0</v>
      </c>
      <c r="W27" s="656">
        <f>+VLOOKUP($L27,Data_Validation!$A:$E,5,0)</f>
        <v>0</v>
      </c>
      <c r="X27" s="656">
        <f>+VLOOKUP($L27,Data_Validation!$A:$F,6,0)</f>
        <v>0</v>
      </c>
    </row>
    <row r="28" spans="1:24" ht="15" customHeight="1">
      <c r="A28" s="1052" t="s">
        <v>749</v>
      </c>
      <c r="B28" s="1052" t="s">
        <v>1774</v>
      </c>
      <c r="C28" s="1053"/>
      <c r="D28" s="1053"/>
      <c r="E28" s="1053"/>
      <c r="F28" s="1052" t="s">
        <v>2</v>
      </c>
      <c r="G28" s="1052" t="s">
        <v>748</v>
      </c>
      <c r="H28" s="1053"/>
      <c r="I28" s="1054">
        <v>252014.04</v>
      </c>
      <c r="J28" s="1054">
        <v>52287.59</v>
      </c>
      <c r="K28" s="1054">
        <v>304301.63</v>
      </c>
      <c r="L28" s="653" t="str">
        <f t="shared" si="2"/>
        <v>301</v>
      </c>
      <c r="M28" s="654" t="str">
        <f t="shared" si="0"/>
        <v>CLIENT S P ET A PASSE DU 30-60</v>
      </c>
      <c r="N28" s="655">
        <f>+IF(OR($Q28=Parametres!$G$2,$Q28=Parametres!$G$3),I28,C28)</f>
        <v>252014.04</v>
      </c>
      <c r="O28" s="659">
        <f>+IF(OR($Q28=Parametres!$G$2,$Q28=Parametres!$G$3),J28,D28)</f>
        <v>52287.59</v>
      </c>
      <c r="P28" s="655">
        <f>+IF(OR($Q28=Parametres!$G$2,$Q28=Parametres!$G$3),K28,E28)</f>
        <v>304301.63</v>
      </c>
      <c r="Q28" s="654" t="str">
        <f t="shared" ref="Q28:S28" si="28">+F28</f>
        <v>1-Mémo</v>
      </c>
      <c r="R28" s="653" t="str">
        <f t="shared" si="28"/>
        <v>30</v>
      </c>
      <c r="S28" s="654">
        <f t="shared" si="28"/>
        <v>0</v>
      </c>
      <c r="T28" s="656" t="str">
        <f>+VLOOKUP($L28,Data_Validation!$A:$D,1,0)</f>
        <v>301</v>
      </c>
      <c r="U28" s="656">
        <f>+VLOOKUP($L28,Data_Validation!$A:$D,3,0)</f>
        <v>0</v>
      </c>
      <c r="V28" s="656">
        <f>+VLOOKUP($L28,Data_Validation!$A:$D,4,0)</f>
        <v>0</v>
      </c>
      <c r="W28" s="656">
        <f>+VLOOKUP($L28,Data_Validation!$A:$E,5,0)</f>
        <v>0</v>
      </c>
      <c r="X28" s="656">
        <f>+VLOOKUP($L28,Data_Validation!$A:$F,6,0)</f>
        <v>0</v>
      </c>
    </row>
    <row r="29" spans="1:24" ht="15" customHeight="1">
      <c r="A29" s="1052" t="s">
        <v>750</v>
      </c>
      <c r="B29" s="1052" t="s">
        <v>1777</v>
      </c>
      <c r="C29" s="1053"/>
      <c r="D29" s="1053"/>
      <c r="E29" s="1053"/>
      <c r="F29" s="1052" t="s">
        <v>2</v>
      </c>
      <c r="G29" s="1052" t="s">
        <v>748</v>
      </c>
      <c r="H29" s="1053"/>
      <c r="I29" s="1054">
        <v>205860.44</v>
      </c>
      <c r="J29" s="1054">
        <v>0</v>
      </c>
      <c r="K29" s="1054">
        <v>205860.44</v>
      </c>
      <c r="L29" s="653" t="str">
        <f t="shared" si="2"/>
        <v>302</v>
      </c>
      <c r="M29" s="654" t="str">
        <f t="shared" si="0"/>
        <v>RECLAM GARANTIE VW PASSE DU 30-60</v>
      </c>
      <c r="N29" s="655">
        <f>+IF(OR($Q29=Parametres!$G$2,$Q29=Parametres!$G$3),I29,C29)</f>
        <v>205860.44</v>
      </c>
      <c r="O29" s="659">
        <f>+IF(OR($Q29=Parametres!$G$2,$Q29=Parametres!$G$3),J29,D29)</f>
        <v>0</v>
      </c>
      <c r="P29" s="655">
        <f>+IF(OR($Q29=Parametres!$G$2,$Q29=Parametres!$G$3),K29,E29)</f>
        <v>205860.44</v>
      </c>
      <c r="Q29" s="654" t="str">
        <f t="shared" ref="Q29:S29" si="29">+F29</f>
        <v>1-Mémo</v>
      </c>
      <c r="R29" s="653" t="str">
        <f t="shared" si="29"/>
        <v>30</v>
      </c>
      <c r="S29" s="654">
        <f t="shared" si="29"/>
        <v>0</v>
      </c>
      <c r="T29" s="656" t="str">
        <f>+VLOOKUP($L29,Data_Validation!$A:$D,1,0)</f>
        <v>302</v>
      </c>
      <c r="U29" s="656">
        <f>+VLOOKUP($L29,Data_Validation!$A:$D,3,0)</f>
        <v>0</v>
      </c>
      <c r="V29" s="656">
        <f>+VLOOKUP($L29,Data_Validation!$A:$D,4,0)</f>
        <v>0</v>
      </c>
      <c r="W29" s="656">
        <f>+VLOOKUP($L29,Data_Validation!$A:$E,5,0)</f>
        <v>0</v>
      </c>
      <c r="X29" s="656">
        <f>+VLOOKUP($L29,Data_Validation!$A:$F,6,0)</f>
        <v>0</v>
      </c>
    </row>
    <row r="30" spans="1:24" ht="15" customHeight="1">
      <c r="A30" s="1052" t="s">
        <v>751</v>
      </c>
      <c r="B30" s="1052" t="s">
        <v>1780</v>
      </c>
      <c r="C30" s="1053"/>
      <c r="D30" s="1053"/>
      <c r="E30" s="1053"/>
      <c r="F30" s="1052" t="s">
        <v>2</v>
      </c>
      <c r="G30" s="1052" t="s">
        <v>748</v>
      </c>
      <c r="H30" s="1053"/>
      <c r="I30" s="1054">
        <v>-29803.37</v>
      </c>
      <c r="J30" s="1054">
        <v>-19709.400000000001</v>
      </c>
      <c r="K30" s="1054">
        <v>-49512.77</v>
      </c>
      <c r="L30" s="653" t="str">
        <f t="shared" si="2"/>
        <v>307</v>
      </c>
      <c r="M30" s="654" t="str">
        <f t="shared" si="0"/>
        <v>AUTRE REC MANUFACTURIER VW PASSE DU 30-60</v>
      </c>
      <c r="N30" s="655">
        <f>+IF(OR($Q30=Parametres!$G$2,$Q30=Parametres!$G$3),I30,C30)</f>
        <v>-29803.37</v>
      </c>
      <c r="O30" s="659">
        <f>+IF(OR($Q30=Parametres!$G$2,$Q30=Parametres!$G$3),J30,D30)</f>
        <v>-19709.400000000001</v>
      </c>
      <c r="P30" s="655">
        <f>+IF(OR($Q30=Parametres!$G$2,$Q30=Parametres!$G$3),K30,E30)</f>
        <v>-49512.77</v>
      </c>
      <c r="Q30" s="654" t="str">
        <f t="shared" ref="Q30:S30" si="30">+F30</f>
        <v>1-Mémo</v>
      </c>
      <c r="R30" s="653" t="str">
        <f t="shared" si="30"/>
        <v>30</v>
      </c>
      <c r="S30" s="654">
        <f t="shared" si="30"/>
        <v>0</v>
      </c>
      <c r="T30" s="656" t="str">
        <f>+VLOOKUP($L30,Data_Validation!$A:$D,1,0)</f>
        <v>307</v>
      </c>
      <c r="U30" s="656">
        <f>+VLOOKUP($L30,Data_Validation!$A:$D,3,0)</f>
        <v>0</v>
      </c>
      <c r="V30" s="656">
        <f>+VLOOKUP($L30,Data_Validation!$A:$D,4,0)</f>
        <v>0</v>
      </c>
      <c r="W30" s="656">
        <f>+VLOOKUP($L30,Data_Validation!$A:$E,5,0)</f>
        <v>0</v>
      </c>
      <c r="X30" s="656">
        <f>+VLOOKUP($L30,Data_Validation!$A:$F,6,0)</f>
        <v>0</v>
      </c>
    </row>
    <row r="31" spans="1:24" ht="15" customHeight="1">
      <c r="A31" s="1052" t="s">
        <v>752</v>
      </c>
      <c r="B31" s="1052" t="s">
        <v>1783</v>
      </c>
      <c r="C31" s="1053"/>
      <c r="D31" s="1053"/>
      <c r="E31" s="1053"/>
      <c r="F31" s="1052" t="s">
        <v>2</v>
      </c>
      <c r="G31" s="1052" t="s">
        <v>3325</v>
      </c>
      <c r="H31" s="1053"/>
      <c r="I31" s="1054">
        <v>-103418.86</v>
      </c>
      <c r="J31" s="1054">
        <v>-27590.15</v>
      </c>
      <c r="K31" s="1054">
        <v>-131009.01</v>
      </c>
      <c r="L31" s="653" t="str">
        <f t="shared" si="2"/>
        <v>311</v>
      </c>
      <c r="M31" s="654" t="str">
        <f t="shared" si="0"/>
        <v>CLIENT VEH PLUS DE 60</v>
      </c>
      <c r="N31" s="655">
        <f>+IF(OR($Q31=Parametres!$G$2,$Q31=Parametres!$G$3),I31,C31)</f>
        <v>-103418.86</v>
      </c>
      <c r="O31" s="655">
        <f>+IF(OR($Q31=Parametres!$G$2,$Q31=Parametres!$G$3),J31,D31)</f>
        <v>-27590.15</v>
      </c>
      <c r="P31" s="655">
        <f>+IF(OR($Q31=Parametres!$G$2,$Q31=Parametres!$G$3),K31,E31)</f>
        <v>-131009.01</v>
      </c>
      <c r="Q31" s="654" t="str">
        <f t="shared" ref="Q31:S31" si="31">+F31</f>
        <v>1-Mémo</v>
      </c>
      <c r="R31" s="653" t="str">
        <f t="shared" si="31"/>
        <v>31</v>
      </c>
      <c r="S31" s="654">
        <f t="shared" si="31"/>
        <v>0</v>
      </c>
      <c r="T31" s="656" t="str">
        <f>+VLOOKUP($L31,Data_Validation!$A:$D,1,0)</f>
        <v>311</v>
      </c>
      <c r="U31" s="656">
        <f>+VLOOKUP($L31,Data_Validation!$A:$D,3,0)</f>
        <v>0</v>
      </c>
      <c r="V31" s="656">
        <f>+VLOOKUP($L31,Data_Validation!$A:$D,4,0)</f>
        <v>0</v>
      </c>
      <c r="W31" s="656">
        <f>+VLOOKUP($L31,Data_Validation!$A:$E,5,0)</f>
        <v>0</v>
      </c>
      <c r="X31" s="656">
        <f>+VLOOKUP($L31,Data_Validation!$A:$F,6,0)</f>
        <v>0</v>
      </c>
    </row>
    <row r="32" spans="1:24" ht="15" customHeight="1">
      <c r="A32" s="1052" t="s">
        <v>753</v>
      </c>
      <c r="B32" s="1052" t="s">
        <v>1786</v>
      </c>
      <c r="C32" s="1053"/>
      <c r="D32" s="1053"/>
      <c r="E32" s="1053"/>
      <c r="F32" s="1052" t="s">
        <v>2</v>
      </c>
      <c r="G32" s="1052" t="s">
        <v>3325</v>
      </c>
      <c r="H32" s="1053"/>
      <c r="I32" s="1054">
        <v>161196.84</v>
      </c>
      <c r="J32" s="1054">
        <v>32051.62</v>
      </c>
      <c r="K32" s="1054">
        <v>193248.46</v>
      </c>
      <c r="L32" s="653" t="str">
        <f t="shared" si="2"/>
        <v>312</v>
      </c>
      <c r="M32" s="654" t="str">
        <f t="shared" si="0"/>
        <v>CLIENT S P ET A PLUS DE 60</v>
      </c>
      <c r="N32" s="655">
        <f>+IF(OR($Q32=Parametres!$G$2,$Q32=Parametres!$G$3),I32,C32)</f>
        <v>161196.84</v>
      </c>
      <c r="O32" s="659">
        <f>+IF(OR($Q32=Parametres!$G$2,$Q32=Parametres!$G$3),J32,D32)</f>
        <v>32051.62</v>
      </c>
      <c r="P32" s="655">
        <f>+IF(OR($Q32=Parametres!$G$2,$Q32=Parametres!$G$3),K32,E32)</f>
        <v>193248.46</v>
      </c>
      <c r="Q32" s="654" t="str">
        <f t="shared" ref="Q32:S32" si="32">+F32</f>
        <v>1-Mémo</v>
      </c>
      <c r="R32" s="653" t="str">
        <f t="shared" si="32"/>
        <v>31</v>
      </c>
      <c r="S32" s="654">
        <f t="shared" si="32"/>
        <v>0</v>
      </c>
      <c r="T32" s="656" t="str">
        <f>+VLOOKUP($L32,Data_Validation!$A:$D,1,0)</f>
        <v>312</v>
      </c>
      <c r="U32" s="656">
        <f>+VLOOKUP($L32,Data_Validation!$A:$D,3,0)</f>
        <v>0</v>
      </c>
      <c r="V32" s="656">
        <f>+VLOOKUP($L32,Data_Validation!$A:$D,4,0)</f>
        <v>0</v>
      </c>
      <c r="W32" s="656">
        <f>+VLOOKUP($L32,Data_Validation!$A:$E,5,0)</f>
        <v>0</v>
      </c>
      <c r="X32" s="656">
        <f>+VLOOKUP($L32,Data_Validation!$A:$F,6,0)</f>
        <v>0</v>
      </c>
    </row>
    <row r="33" spans="1:24" ht="15" customHeight="1">
      <c r="A33" s="1052" t="s">
        <v>754</v>
      </c>
      <c r="B33" s="1052" t="s">
        <v>1789</v>
      </c>
      <c r="C33" s="1053"/>
      <c r="D33" s="1053"/>
      <c r="E33" s="1053"/>
      <c r="F33" s="1052" t="s">
        <v>2</v>
      </c>
      <c r="G33" s="1052" t="s">
        <v>3325</v>
      </c>
      <c r="H33" s="1053"/>
      <c r="I33" s="1054">
        <v>431440.53</v>
      </c>
      <c r="J33" s="1054">
        <v>4077.44</v>
      </c>
      <c r="K33" s="1054">
        <v>435517.97</v>
      </c>
      <c r="L33" s="653" t="str">
        <f t="shared" si="2"/>
        <v>313</v>
      </c>
      <c r="M33" s="654" t="str">
        <f t="shared" si="0"/>
        <v>RECLAMATIONS DE GARATIE VW PLUS DE 60</v>
      </c>
      <c r="N33" s="655">
        <f>+IF(OR($Q33=Parametres!$G$2,$Q33=Parametres!$G$3),I33,C33)</f>
        <v>431440.53</v>
      </c>
      <c r="O33" s="659">
        <f>+IF(OR($Q33=Parametres!$G$2,$Q33=Parametres!$G$3),J33,D33)</f>
        <v>4077.44</v>
      </c>
      <c r="P33" s="655">
        <f>+IF(OR($Q33=Parametres!$G$2,$Q33=Parametres!$G$3),K33,E33)</f>
        <v>435517.97</v>
      </c>
      <c r="Q33" s="654" t="str">
        <f t="shared" ref="Q33:S33" si="33">+F33</f>
        <v>1-Mémo</v>
      </c>
      <c r="R33" s="653" t="str">
        <f t="shared" si="33"/>
        <v>31</v>
      </c>
      <c r="S33" s="654">
        <f t="shared" si="33"/>
        <v>0</v>
      </c>
      <c r="T33" s="656" t="str">
        <f>+VLOOKUP($L33,Data_Validation!$A:$D,1,0)</f>
        <v>313</v>
      </c>
      <c r="U33" s="656">
        <f>+VLOOKUP($L33,Data_Validation!$A:$D,3,0)</f>
        <v>0</v>
      </c>
      <c r="V33" s="656">
        <f>+VLOOKUP($L33,Data_Validation!$A:$D,4,0)</f>
        <v>0</v>
      </c>
      <c r="W33" s="656">
        <f>+VLOOKUP($L33,Data_Validation!$A:$E,5,0)</f>
        <v>0</v>
      </c>
      <c r="X33" s="656">
        <f>+VLOOKUP($L33,Data_Validation!$A:$F,6,0)</f>
        <v>0</v>
      </c>
    </row>
    <row r="34" spans="1:24" ht="15.75" customHeight="1">
      <c r="A34" s="1052" t="s">
        <v>755</v>
      </c>
      <c r="B34" s="1052" t="s">
        <v>1792</v>
      </c>
      <c r="C34" s="1053"/>
      <c r="D34" s="1053"/>
      <c r="E34" s="1053"/>
      <c r="F34" s="1052" t="s">
        <v>2</v>
      </c>
      <c r="G34" s="1052" t="s">
        <v>3325</v>
      </c>
      <c r="H34" s="1053"/>
      <c r="I34" s="1054">
        <v>-108476.78</v>
      </c>
      <c r="J34" s="1054">
        <v>-34124.26</v>
      </c>
      <c r="K34" s="1054">
        <v>-142601.04</v>
      </c>
      <c r="L34" s="653" t="str">
        <f t="shared" si="2"/>
        <v>316</v>
      </c>
      <c r="M34" s="654" t="str">
        <f t="shared" si="0"/>
        <v>AUTRE REC MANUFACTURIER VW PLUS DE 60</v>
      </c>
      <c r="N34" s="655">
        <f>+IF(OR($Q34=Parametres!$G$2,$Q34=Parametres!$G$3),I34,C34)</f>
        <v>-108476.78</v>
      </c>
      <c r="O34" s="659">
        <f>+IF(OR($Q34=Parametres!$G$2,$Q34=Parametres!$G$3),J34,D34)</f>
        <v>-34124.26</v>
      </c>
      <c r="P34" s="655">
        <f>+IF(OR($Q34=Parametres!$G$2,$Q34=Parametres!$G$3),K34,E34)</f>
        <v>-142601.04</v>
      </c>
      <c r="Q34" s="654" t="str">
        <f t="shared" ref="Q34:S34" si="34">+F34</f>
        <v>1-Mémo</v>
      </c>
      <c r="R34" s="653" t="str">
        <f t="shared" si="34"/>
        <v>31</v>
      </c>
      <c r="S34" s="654">
        <f t="shared" si="34"/>
        <v>0</v>
      </c>
      <c r="T34" s="656" t="str">
        <f>+VLOOKUP($L34,Data_Validation!$A:$D,1,0)</f>
        <v>316</v>
      </c>
      <c r="U34" s="656">
        <f>+VLOOKUP($L34,Data_Validation!$A:$D,3,0)</f>
        <v>0</v>
      </c>
      <c r="V34" s="656">
        <f>+VLOOKUP($L34,Data_Validation!$A:$D,4,0)</f>
        <v>0</v>
      </c>
      <c r="W34" s="656">
        <f>+VLOOKUP($L34,Data_Validation!$A:$E,5,0)</f>
        <v>0</v>
      </c>
      <c r="X34" s="656">
        <f>+VLOOKUP($L34,Data_Validation!$A:$F,6,0)</f>
        <v>0</v>
      </c>
    </row>
    <row r="35" spans="1:24" ht="15" customHeight="1">
      <c r="A35" s="1052" t="s">
        <v>756</v>
      </c>
      <c r="B35" s="1052" t="s">
        <v>1798</v>
      </c>
      <c r="C35" s="1053"/>
      <c r="D35" s="1053"/>
      <c r="E35" s="1053"/>
      <c r="F35" s="1052" t="s">
        <v>2</v>
      </c>
      <c r="G35" s="1052" t="s">
        <v>3326</v>
      </c>
      <c r="H35" s="1053"/>
      <c r="I35" s="1054">
        <v>1.88</v>
      </c>
      <c r="J35" s="1054">
        <v>0.13</v>
      </c>
      <c r="K35" s="1054">
        <v>2.0099999999999998</v>
      </c>
      <c r="L35" s="653" t="str">
        <f t="shared" si="2"/>
        <v>350</v>
      </c>
      <c r="M35" s="654" t="str">
        <f t="shared" si="0"/>
        <v>UNITES USAGES +30JRS</v>
      </c>
      <c r="N35" s="655">
        <f>+IF(OR($Q35=Parametres!$G$2,$Q35=Parametres!$G$3),I35,C35)</f>
        <v>1.88</v>
      </c>
      <c r="O35" s="655">
        <f>+IF(OR($Q35=Parametres!$G$2,$Q35=Parametres!$G$3),J35,D35)</f>
        <v>0.13</v>
      </c>
      <c r="P35" s="655">
        <f>+IF(OR($Q35=Parametres!$G$2,$Q35=Parametres!$G$3),K35,E35)</f>
        <v>2.0099999999999998</v>
      </c>
      <c r="Q35" s="654" t="str">
        <f t="shared" ref="Q35:S35" si="35">+F35</f>
        <v>1-Mémo</v>
      </c>
      <c r="R35" s="653" t="str">
        <f t="shared" si="35"/>
        <v>35</v>
      </c>
      <c r="S35" s="654">
        <f t="shared" si="35"/>
        <v>0</v>
      </c>
      <c r="T35" s="656" t="str">
        <f>+VLOOKUP($L35,Data_Validation!$A:$D,1,0)</f>
        <v>350</v>
      </c>
      <c r="U35" s="656">
        <f>+VLOOKUP($L35,Data_Validation!$A:$D,3,0)</f>
        <v>0</v>
      </c>
      <c r="V35" s="656">
        <f>+VLOOKUP($L35,Data_Validation!$A:$D,4,0)</f>
        <v>0</v>
      </c>
      <c r="W35" s="656">
        <f>+VLOOKUP($L35,Data_Validation!$A:$E,5,0)</f>
        <v>0</v>
      </c>
      <c r="X35" s="656">
        <f>+VLOOKUP($L35,Data_Validation!$A:$F,6,0)</f>
        <v>0</v>
      </c>
    </row>
    <row r="36" spans="1:24" ht="15" customHeight="1">
      <c r="A36" s="1052" t="s">
        <v>757</v>
      </c>
      <c r="B36" s="1052" t="s">
        <v>1801</v>
      </c>
      <c r="C36" s="1053"/>
      <c r="D36" s="1053"/>
      <c r="E36" s="1053"/>
      <c r="F36" s="1052" t="s">
        <v>2</v>
      </c>
      <c r="G36" s="1052" t="s">
        <v>3327</v>
      </c>
      <c r="H36" s="1053"/>
      <c r="I36" s="1054">
        <v>5170572.37</v>
      </c>
      <c r="J36" s="1054">
        <v>348236.13</v>
      </c>
      <c r="K36" s="1054">
        <v>5518808.5</v>
      </c>
      <c r="L36" s="653" t="str">
        <f t="shared" si="2"/>
        <v>360</v>
      </c>
      <c r="M36" s="654" t="str">
        <f t="shared" si="0"/>
        <v>OCCASION VW + 60 JRS</v>
      </c>
      <c r="N36" s="655">
        <f>+IF(OR($Q36=Parametres!$G$2,$Q36=Parametres!$G$3),I36,C36)</f>
        <v>5170572.37</v>
      </c>
      <c r="O36" s="659">
        <f>+IF(OR($Q36=Parametres!$G$2,$Q36=Parametres!$G$3),J36,D36)</f>
        <v>348236.13</v>
      </c>
      <c r="P36" s="655">
        <f>+IF(OR($Q36=Parametres!$G$2,$Q36=Parametres!$G$3),K36,E36)</f>
        <v>5518808.5</v>
      </c>
      <c r="Q36" s="654" t="str">
        <f t="shared" ref="Q36:S36" si="36">+F36</f>
        <v>1-Mémo</v>
      </c>
      <c r="R36" s="653" t="str">
        <f t="shared" si="36"/>
        <v>36</v>
      </c>
      <c r="S36" s="654">
        <f t="shared" si="36"/>
        <v>0</v>
      </c>
      <c r="T36" s="656" t="str">
        <f>+VLOOKUP($L36,Data_Validation!$A:$D,1,0)</f>
        <v>360</v>
      </c>
      <c r="U36" s="656">
        <f>+VLOOKUP($L36,Data_Validation!$A:$D,3,0)</f>
        <v>0</v>
      </c>
      <c r="V36" s="656">
        <f>+VLOOKUP($L36,Data_Validation!$A:$D,4,0)</f>
        <v>0</v>
      </c>
      <c r="W36" s="656">
        <f>+VLOOKUP($L36,Data_Validation!$A:$E,5,0)</f>
        <v>0</v>
      </c>
      <c r="X36" s="656">
        <f>+VLOOKUP($L36,Data_Validation!$A:$F,6,0)</f>
        <v>0</v>
      </c>
    </row>
    <row r="37" spans="1:24" ht="15" customHeight="1">
      <c r="A37" s="1052" t="s">
        <v>758</v>
      </c>
      <c r="B37" s="1052" t="s">
        <v>1804</v>
      </c>
      <c r="C37" s="1053"/>
      <c r="D37" s="1053"/>
      <c r="E37" s="1053"/>
      <c r="F37" s="1052" t="s">
        <v>2</v>
      </c>
      <c r="G37" s="1052" t="s">
        <v>3328</v>
      </c>
      <c r="H37" s="1053"/>
      <c r="I37" s="1054">
        <v>425000</v>
      </c>
      <c r="J37" s="1054">
        <v>0</v>
      </c>
      <c r="K37" s="1054">
        <v>425000</v>
      </c>
      <c r="L37" s="653" t="str">
        <f t="shared" si="2"/>
        <v>370</v>
      </c>
      <c r="M37" s="654" t="str">
        <f t="shared" si="0"/>
        <v>AVOIR DU PROP. MIM. REQUIS</v>
      </c>
      <c r="N37" s="655">
        <f>+IF(OR($Q37=Parametres!$G$2,$Q37=Parametres!$G$3),I37,C37)</f>
        <v>425000</v>
      </c>
      <c r="O37" s="655">
        <f>+IF(OR($Q37=Parametres!$G$2,$Q37=Parametres!$G$3),J37,D37)</f>
        <v>0</v>
      </c>
      <c r="P37" s="655">
        <f>+IF(OR($Q37=Parametres!$G$2,$Q37=Parametres!$G$3),K37,E37)</f>
        <v>425000</v>
      </c>
      <c r="Q37" s="654" t="str">
        <f t="shared" ref="Q37:S37" si="37">+F37</f>
        <v>1-Mémo</v>
      </c>
      <c r="R37" s="653" t="str">
        <f t="shared" si="37"/>
        <v>37</v>
      </c>
      <c r="S37" s="654">
        <f t="shared" si="37"/>
        <v>0</v>
      </c>
      <c r="T37" s="656" t="str">
        <f>+VLOOKUP($L37,Data_Validation!$A:$D,1,0)</f>
        <v>370</v>
      </c>
      <c r="U37" s="656">
        <f>+VLOOKUP($L37,Data_Validation!$A:$D,3,0)</f>
        <v>0</v>
      </c>
      <c r="V37" s="656">
        <f>+VLOOKUP($L37,Data_Validation!$A:$D,4,0)</f>
        <v>0</v>
      </c>
      <c r="W37" s="656">
        <f>+VLOOKUP($L37,Data_Validation!$A:$E,5,0)</f>
        <v>0</v>
      </c>
      <c r="X37" s="656">
        <f>+VLOOKUP($L37,Data_Validation!$A:$F,6,0)</f>
        <v>0</v>
      </c>
    </row>
    <row r="38" spans="1:24" ht="15" customHeight="1">
      <c r="A38" s="1052" t="s">
        <v>759</v>
      </c>
      <c r="B38" s="1052" t="s">
        <v>1807</v>
      </c>
      <c r="C38" s="1053"/>
      <c r="D38" s="1053"/>
      <c r="E38" s="1053"/>
      <c r="F38" s="1052" t="s">
        <v>2</v>
      </c>
      <c r="G38" s="1052" t="s">
        <v>3328</v>
      </c>
      <c r="H38" s="1053"/>
      <c r="I38" s="1054">
        <v>737500</v>
      </c>
      <c r="J38" s="1054">
        <v>0</v>
      </c>
      <c r="K38" s="1054">
        <v>737500</v>
      </c>
      <c r="L38" s="653" t="str">
        <f t="shared" si="2"/>
        <v>372</v>
      </c>
      <c r="M38" s="654" t="str">
        <f t="shared" si="0"/>
        <v>FONDS DE ROULEMENT/MIN. REQUIS</v>
      </c>
      <c r="N38" s="655">
        <f>+IF(OR($Q38=Parametres!$G$2,$Q38=Parametres!$G$3),I38,C38)</f>
        <v>737500</v>
      </c>
      <c r="O38" s="659">
        <f>+IF(OR($Q38=Parametres!$G$2,$Q38=Parametres!$G$3),J38,D38)</f>
        <v>0</v>
      </c>
      <c r="P38" s="655">
        <f>+IF(OR($Q38=Parametres!$G$2,$Q38=Parametres!$G$3),K38,E38)</f>
        <v>737500</v>
      </c>
      <c r="Q38" s="654" t="str">
        <f t="shared" ref="Q38:S38" si="38">+F38</f>
        <v>1-Mémo</v>
      </c>
      <c r="R38" s="653" t="str">
        <f t="shared" si="38"/>
        <v>37</v>
      </c>
      <c r="S38" s="654">
        <f t="shared" si="38"/>
        <v>0</v>
      </c>
      <c r="T38" s="656" t="str">
        <f>+VLOOKUP($L38,Data_Validation!$A:$D,1,0)</f>
        <v>372</v>
      </c>
      <c r="U38" s="656">
        <f>+VLOOKUP($L38,Data_Validation!$A:$D,3,0)</f>
        <v>0</v>
      </c>
      <c r="V38" s="656">
        <f>+VLOOKUP($L38,Data_Validation!$A:$D,4,0)</f>
        <v>0</v>
      </c>
      <c r="W38" s="656">
        <f>+VLOOKUP($L38,Data_Validation!$A:$E,5,0)</f>
        <v>0</v>
      </c>
      <c r="X38" s="656">
        <f>+VLOOKUP($L38,Data_Validation!$A:$F,6,0)</f>
        <v>0</v>
      </c>
    </row>
    <row r="39" spans="1:24" ht="15" customHeight="1">
      <c r="A39" s="1052" t="s">
        <v>760</v>
      </c>
      <c r="B39" s="1052" t="s">
        <v>1812</v>
      </c>
      <c r="C39" s="1053"/>
      <c r="D39" s="1053"/>
      <c r="E39" s="1053"/>
      <c r="F39" s="1052" t="s">
        <v>2</v>
      </c>
      <c r="G39" s="1052" t="s">
        <v>761</v>
      </c>
      <c r="H39" s="1053"/>
      <c r="I39" s="1054">
        <v>0.47</v>
      </c>
      <c r="J39" s="1054">
        <v>0</v>
      </c>
      <c r="K39" s="1054">
        <v>0.47</v>
      </c>
      <c r="L39" s="653" t="str">
        <f t="shared" si="2"/>
        <v>401</v>
      </c>
      <c r="M39" s="654" t="str">
        <f t="shared" si="0"/>
        <v>UNITES NEUVES VENDUES JANVIER</v>
      </c>
      <c r="N39" s="655">
        <f>+IF(OR($Q39=Parametres!$G$2,$Q39=Parametres!$G$3),I39,C39)</f>
        <v>0.47</v>
      </c>
      <c r="O39" s="711">
        <f>+IF(OR($Q39=Parametres!$G$2,$Q39=Parametres!$G$3),J39,D39)</f>
        <v>0</v>
      </c>
      <c r="P39" s="655">
        <f>+IF(OR($Q39=Parametres!$G$2,$Q39=Parametres!$G$3),K39,E39)</f>
        <v>0.47</v>
      </c>
      <c r="Q39" s="654" t="str">
        <f t="shared" ref="Q39:S39" si="39">+F39</f>
        <v>1-Mémo</v>
      </c>
      <c r="R39" s="653" t="str">
        <f t="shared" si="39"/>
        <v>40</v>
      </c>
      <c r="S39" s="654">
        <f t="shared" si="39"/>
        <v>0</v>
      </c>
      <c r="T39" s="656" t="str">
        <f>+VLOOKUP($L39,Data_Validation!$A:$D,1,0)</f>
        <v>401</v>
      </c>
      <c r="U39" s="656">
        <f>+VLOOKUP($L39,Data_Validation!$A:$D,3,0)</f>
        <v>0</v>
      </c>
      <c r="V39" s="656">
        <f>+VLOOKUP($L39,Data_Validation!$A:$D,4,0)</f>
        <v>0</v>
      </c>
      <c r="W39" s="656">
        <f>+VLOOKUP($L39,Data_Validation!$A:$E,5,0)</f>
        <v>0</v>
      </c>
      <c r="X39" s="656">
        <f>+VLOOKUP($L39,Data_Validation!$A:$F,6,0)</f>
        <v>0</v>
      </c>
    </row>
    <row r="40" spans="1:24" ht="15.75" customHeight="1">
      <c r="A40" s="1052" t="s">
        <v>762</v>
      </c>
      <c r="B40" s="1052" t="s">
        <v>1815</v>
      </c>
      <c r="C40" s="1053"/>
      <c r="D40" s="1053"/>
      <c r="E40" s="1053"/>
      <c r="F40" s="1052" t="s">
        <v>2</v>
      </c>
      <c r="G40" s="1052" t="s">
        <v>761</v>
      </c>
      <c r="H40" s="1053"/>
      <c r="I40" s="1054">
        <v>0.26</v>
      </c>
      <c r="J40" s="1054">
        <v>0</v>
      </c>
      <c r="K40" s="1054">
        <v>0.26</v>
      </c>
      <c r="L40" s="653" t="str">
        <f t="shared" si="2"/>
        <v>402</v>
      </c>
      <c r="M40" s="654" t="str">
        <f t="shared" si="0"/>
        <v>UNITES NEUVES VENDUES FEVRIER</v>
      </c>
      <c r="N40" s="655">
        <f>+IF(OR($Q40=Parametres!$G$2,$Q40=Parametres!$G$3),I40,C40)</f>
        <v>0.26</v>
      </c>
      <c r="O40" s="659">
        <f>+IF(OR($Q40=Parametres!$G$2,$Q40=Parametres!$G$3),J40,D40)</f>
        <v>0</v>
      </c>
      <c r="P40" s="655">
        <f>+IF(OR($Q40=Parametres!$G$2,$Q40=Parametres!$G$3),K40,E40)</f>
        <v>0.26</v>
      </c>
      <c r="Q40" s="654" t="str">
        <f t="shared" ref="Q40:S40" si="40">+F40</f>
        <v>1-Mémo</v>
      </c>
      <c r="R40" s="653" t="str">
        <f t="shared" si="40"/>
        <v>40</v>
      </c>
      <c r="S40" s="654">
        <f t="shared" si="40"/>
        <v>0</v>
      </c>
      <c r="T40" s="656" t="str">
        <f>+VLOOKUP($L40,Data_Validation!$A:$D,1,0)</f>
        <v>402</v>
      </c>
      <c r="U40" s="656">
        <f>+VLOOKUP($L40,Data_Validation!$A:$D,3,0)</f>
        <v>0</v>
      </c>
      <c r="V40" s="656">
        <f>+VLOOKUP($L40,Data_Validation!$A:$D,4,0)</f>
        <v>0</v>
      </c>
      <c r="W40" s="656">
        <f>+VLOOKUP($L40,Data_Validation!$A:$E,5,0)</f>
        <v>0</v>
      </c>
      <c r="X40" s="656">
        <f>+VLOOKUP($L40,Data_Validation!$A:$F,6,0)</f>
        <v>0</v>
      </c>
    </row>
    <row r="41" spans="1:24" ht="15" customHeight="1">
      <c r="A41" s="1052" t="s">
        <v>763</v>
      </c>
      <c r="B41" s="1052" t="s">
        <v>1818</v>
      </c>
      <c r="C41" s="1053"/>
      <c r="D41" s="1053"/>
      <c r="E41" s="1053"/>
      <c r="F41" s="1052" t="s">
        <v>2</v>
      </c>
      <c r="G41" s="1052" t="s">
        <v>761</v>
      </c>
      <c r="H41" s="1053"/>
      <c r="I41" s="1054">
        <v>0.28999999999999998</v>
      </c>
      <c r="J41" s="1054">
        <v>0</v>
      </c>
      <c r="K41" s="1054">
        <v>0.28999999999999998</v>
      </c>
      <c r="L41" s="653" t="str">
        <f t="shared" si="2"/>
        <v>403</v>
      </c>
      <c r="M41" s="654" t="str">
        <f t="shared" si="0"/>
        <v>UNITES NEUVES VENDUES MARS</v>
      </c>
      <c r="N41" s="655">
        <f>+IF(OR($Q41=Parametres!$G$2,$Q41=Parametres!$G$3),I41,C41)</f>
        <v>0.28999999999999998</v>
      </c>
      <c r="O41" s="659">
        <f>+IF(OR($Q41=Parametres!$G$2,$Q41=Parametres!$G$3),J41,D41)</f>
        <v>0</v>
      </c>
      <c r="P41" s="655">
        <f>+IF(OR($Q41=Parametres!$G$2,$Q41=Parametres!$G$3),K41,E41)</f>
        <v>0.28999999999999998</v>
      </c>
      <c r="Q41" s="654" t="str">
        <f t="shared" ref="Q41:S41" si="41">+F41</f>
        <v>1-Mémo</v>
      </c>
      <c r="R41" s="653" t="str">
        <f t="shared" si="41"/>
        <v>40</v>
      </c>
      <c r="S41" s="654">
        <f t="shared" si="41"/>
        <v>0</v>
      </c>
      <c r="T41" s="656" t="str">
        <f>+VLOOKUP($L41,Data_Validation!$A:$D,1,0)</f>
        <v>403</v>
      </c>
      <c r="U41" s="656">
        <f>+VLOOKUP($L41,Data_Validation!$A:$D,3,0)</f>
        <v>0</v>
      </c>
      <c r="V41" s="656">
        <f>+VLOOKUP($L41,Data_Validation!$A:$D,4,0)</f>
        <v>0</v>
      </c>
      <c r="W41" s="656">
        <f>+VLOOKUP($L41,Data_Validation!$A:$E,5,0)</f>
        <v>0</v>
      </c>
      <c r="X41" s="656">
        <f>+VLOOKUP($L41,Data_Validation!$A:$F,6,0)</f>
        <v>0</v>
      </c>
    </row>
    <row r="42" spans="1:24" ht="15" customHeight="1">
      <c r="A42" s="1052" t="s">
        <v>764</v>
      </c>
      <c r="B42" s="1052" t="s">
        <v>1821</v>
      </c>
      <c r="C42" s="1053"/>
      <c r="D42" s="1053"/>
      <c r="E42" s="1053"/>
      <c r="F42" s="1052" t="s">
        <v>2</v>
      </c>
      <c r="G42" s="1052" t="s">
        <v>761</v>
      </c>
      <c r="H42" s="1053"/>
      <c r="I42" s="1054">
        <v>0.33</v>
      </c>
      <c r="J42" s="1054">
        <v>0</v>
      </c>
      <c r="K42" s="1054">
        <v>0.33</v>
      </c>
      <c r="L42" s="653" t="str">
        <f t="shared" si="2"/>
        <v>404</v>
      </c>
      <c r="M42" s="654" t="str">
        <f t="shared" si="0"/>
        <v>UNITES NEUVES VENDUES AVRIL</v>
      </c>
      <c r="N42" s="655">
        <f>+IF(OR($Q42=Parametres!$G$2,$Q42=Parametres!$G$3),I42,C42)</f>
        <v>0.33</v>
      </c>
      <c r="O42" s="659">
        <f>+IF(OR($Q42=Parametres!$G$2,$Q42=Parametres!$G$3),J42,D42)</f>
        <v>0</v>
      </c>
      <c r="P42" s="655">
        <f>+IF(OR($Q42=Parametres!$G$2,$Q42=Parametres!$G$3),K42,E42)</f>
        <v>0.33</v>
      </c>
      <c r="Q42" s="654" t="str">
        <f t="shared" ref="Q42:S42" si="42">+F42</f>
        <v>1-Mémo</v>
      </c>
      <c r="R42" s="653" t="str">
        <f t="shared" si="42"/>
        <v>40</v>
      </c>
      <c r="S42" s="654">
        <f t="shared" si="42"/>
        <v>0</v>
      </c>
      <c r="T42" s="656" t="str">
        <f>+VLOOKUP($L42,Data_Validation!$A:$D,1,0)</f>
        <v>404</v>
      </c>
      <c r="U42" s="656">
        <f>+VLOOKUP($L42,Data_Validation!$A:$D,3,0)</f>
        <v>0</v>
      </c>
      <c r="V42" s="656">
        <f>+VLOOKUP($L42,Data_Validation!$A:$D,4,0)</f>
        <v>0</v>
      </c>
      <c r="W42" s="656">
        <f>+VLOOKUP($L42,Data_Validation!$A:$E,5,0)</f>
        <v>0</v>
      </c>
      <c r="X42" s="656">
        <f>+VLOOKUP($L42,Data_Validation!$A:$F,6,0)</f>
        <v>0</v>
      </c>
    </row>
    <row r="43" spans="1:24" ht="15" customHeight="1">
      <c r="A43" s="1052" t="s">
        <v>765</v>
      </c>
      <c r="B43" s="1052" t="s">
        <v>1824</v>
      </c>
      <c r="C43" s="1053"/>
      <c r="D43" s="1053"/>
      <c r="E43" s="1053"/>
      <c r="F43" s="1052" t="s">
        <v>2</v>
      </c>
      <c r="G43" s="1052" t="s">
        <v>761</v>
      </c>
      <c r="H43" s="1053"/>
      <c r="I43" s="1054">
        <v>0.46</v>
      </c>
      <c r="J43" s="1054">
        <v>0</v>
      </c>
      <c r="K43" s="1054">
        <v>0.46</v>
      </c>
      <c r="L43" s="653" t="str">
        <f t="shared" si="2"/>
        <v>405</v>
      </c>
      <c r="M43" s="654" t="str">
        <f t="shared" si="0"/>
        <v>UNITES NEUVES VENDUES MAI</v>
      </c>
      <c r="N43" s="655">
        <f>+IF(OR($Q43=Parametres!$G$2,$Q43=Parametres!$G$3),I43,C43)</f>
        <v>0.46</v>
      </c>
      <c r="O43" s="659">
        <f>+IF(OR($Q43=Parametres!$G$2,$Q43=Parametres!$G$3),J43,D43)</f>
        <v>0</v>
      </c>
      <c r="P43" s="655">
        <f>+IF(OR($Q43=Parametres!$G$2,$Q43=Parametres!$G$3),K43,E43)</f>
        <v>0.46</v>
      </c>
      <c r="Q43" s="654" t="str">
        <f t="shared" ref="Q43:S43" si="43">+F43</f>
        <v>1-Mémo</v>
      </c>
      <c r="R43" s="653" t="str">
        <f t="shared" si="43"/>
        <v>40</v>
      </c>
      <c r="S43" s="654">
        <f t="shared" si="43"/>
        <v>0</v>
      </c>
      <c r="T43" s="656" t="str">
        <f>+VLOOKUP($L43,Data_Validation!$A:$D,1,0)</f>
        <v>405</v>
      </c>
      <c r="U43" s="656">
        <f>+VLOOKUP($L43,Data_Validation!$A:$D,3,0)</f>
        <v>0</v>
      </c>
      <c r="V43" s="656">
        <f>+VLOOKUP($L43,Data_Validation!$A:$D,4,0)</f>
        <v>0</v>
      </c>
      <c r="W43" s="656">
        <f>+VLOOKUP($L43,Data_Validation!$A:$E,5,0)</f>
        <v>0</v>
      </c>
      <c r="X43" s="656">
        <f>+VLOOKUP($L43,Data_Validation!$A:$F,6,0)</f>
        <v>0</v>
      </c>
    </row>
    <row r="44" spans="1:24" ht="15.75" customHeight="1">
      <c r="A44" s="1052" t="s">
        <v>766</v>
      </c>
      <c r="B44" s="1052" t="s">
        <v>1827</v>
      </c>
      <c r="C44" s="1053"/>
      <c r="D44" s="1053"/>
      <c r="E44" s="1053"/>
      <c r="F44" s="1052" t="s">
        <v>2</v>
      </c>
      <c r="G44" s="1052" t="s">
        <v>761</v>
      </c>
      <c r="H44" s="1053"/>
      <c r="I44" s="1054">
        <v>0.56000000000000005</v>
      </c>
      <c r="J44" s="1054">
        <v>0</v>
      </c>
      <c r="K44" s="1054">
        <v>0.56000000000000005</v>
      </c>
      <c r="L44" s="653" t="str">
        <f t="shared" si="2"/>
        <v>406</v>
      </c>
      <c r="M44" s="654" t="str">
        <f t="shared" si="0"/>
        <v>UNITES NEUVES VENDUES JUIN</v>
      </c>
      <c r="N44" s="655">
        <f>+IF(OR($Q44=Parametres!$G$2,$Q44=Parametres!$G$3),I44,C44)</f>
        <v>0.56000000000000005</v>
      </c>
      <c r="O44" s="659">
        <f>+IF(OR($Q44=Parametres!$G$2,$Q44=Parametres!$G$3),J44,D44)</f>
        <v>0</v>
      </c>
      <c r="P44" s="655">
        <f>+IF(OR($Q44=Parametres!$G$2,$Q44=Parametres!$G$3),K44,E44)</f>
        <v>0.56000000000000005</v>
      </c>
      <c r="Q44" s="654" t="str">
        <f t="shared" ref="Q44:S44" si="44">+F44</f>
        <v>1-Mémo</v>
      </c>
      <c r="R44" s="653" t="str">
        <f t="shared" si="44"/>
        <v>40</v>
      </c>
      <c r="S44" s="654">
        <f t="shared" si="44"/>
        <v>0</v>
      </c>
      <c r="T44" s="656" t="str">
        <f>+VLOOKUP($L44,Data_Validation!$A:$D,1,0)</f>
        <v>406</v>
      </c>
      <c r="U44" s="656">
        <f>+VLOOKUP($L44,Data_Validation!$A:$D,3,0)</f>
        <v>0</v>
      </c>
      <c r="V44" s="656">
        <f>+VLOOKUP($L44,Data_Validation!$A:$D,4,0)</f>
        <v>0</v>
      </c>
      <c r="W44" s="656">
        <f>+VLOOKUP($L44,Data_Validation!$A:$E,5,0)</f>
        <v>0</v>
      </c>
      <c r="X44" s="656">
        <f>+VLOOKUP($L44,Data_Validation!$A:$F,6,0)</f>
        <v>0</v>
      </c>
    </row>
    <row r="45" spans="1:24" ht="15" customHeight="1">
      <c r="A45" s="1052" t="s">
        <v>767</v>
      </c>
      <c r="B45" s="1052" t="s">
        <v>1830</v>
      </c>
      <c r="C45" s="1053"/>
      <c r="D45" s="1053"/>
      <c r="E45" s="1053"/>
      <c r="F45" s="1052" t="s">
        <v>2</v>
      </c>
      <c r="G45" s="1052" t="s">
        <v>761</v>
      </c>
      <c r="H45" s="1053"/>
      <c r="I45" s="1054">
        <v>0.55000000000000004</v>
      </c>
      <c r="J45" s="1054">
        <v>0</v>
      </c>
      <c r="K45" s="1054">
        <v>0.55000000000000004</v>
      </c>
      <c r="L45" s="653" t="str">
        <f t="shared" si="2"/>
        <v>407</v>
      </c>
      <c r="M45" s="654" t="str">
        <f t="shared" si="0"/>
        <v>UNITES NEUVES VENDUES JUILLET</v>
      </c>
      <c r="N45" s="655">
        <f>+IF(OR($Q45=Parametres!$G$2,$Q45=Parametres!$G$3),I45,C45)</f>
        <v>0.55000000000000004</v>
      </c>
      <c r="O45" s="659">
        <f>+IF(OR($Q45=Parametres!$G$2,$Q45=Parametres!$G$3),J45,D45)</f>
        <v>0</v>
      </c>
      <c r="P45" s="655">
        <f>+IF(OR($Q45=Parametres!$G$2,$Q45=Parametres!$G$3),K45,E45)</f>
        <v>0.55000000000000004</v>
      </c>
      <c r="Q45" s="654" t="str">
        <f t="shared" ref="Q45:S45" si="45">+F45</f>
        <v>1-Mémo</v>
      </c>
      <c r="R45" s="653" t="str">
        <f t="shared" si="45"/>
        <v>40</v>
      </c>
      <c r="S45" s="654">
        <f t="shared" si="45"/>
        <v>0</v>
      </c>
      <c r="T45" s="656" t="str">
        <f>+VLOOKUP($L45,Data_Validation!$A:$D,1,0)</f>
        <v>407</v>
      </c>
      <c r="U45" s="656">
        <f>+VLOOKUP($L45,Data_Validation!$A:$D,3,0)</f>
        <v>0</v>
      </c>
      <c r="V45" s="656">
        <f>+VLOOKUP($L45,Data_Validation!$A:$D,4,0)</f>
        <v>0</v>
      </c>
      <c r="W45" s="656">
        <f>+VLOOKUP($L45,Data_Validation!$A:$E,5,0)</f>
        <v>0</v>
      </c>
      <c r="X45" s="656">
        <f>+VLOOKUP($L45,Data_Validation!$A:$F,6,0)</f>
        <v>0</v>
      </c>
    </row>
    <row r="46" spans="1:24" ht="15" customHeight="1">
      <c r="A46" s="1052" t="s">
        <v>768</v>
      </c>
      <c r="B46" s="1052" t="s">
        <v>1833</v>
      </c>
      <c r="C46" s="1053"/>
      <c r="D46" s="1053"/>
      <c r="E46" s="1053"/>
      <c r="F46" s="1052" t="s">
        <v>2</v>
      </c>
      <c r="G46" s="1052" t="s">
        <v>761</v>
      </c>
      <c r="H46" s="1053"/>
      <c r="I46" s="1054">
        <v>0.77</v>
      </c>
      <c r="J46" s="1054">
        <v>0</v>
      </c>
      <c r="K46" s="1054">
        <v>0.77</v>
      </c>
      <c r="L46" s="653" t="str">
        <f t="shared" si="2"/>
        <v>408</v>
      </c>
      <c r="M46" s="654" t="str">
        <f t="shared" si="0"/>
        <v>UNITES NEUVES VENDUES AOUT</v>
      </c>
      <c r="N46" s="655">
        <f>+IF(OR($Q46=Parametres!$G$2,$Q46=Parametres!$G$3),I46,C46)</f>
        <v>0.77</v>
      </c>
      <c r="O46" s="659">
        <f>+IF(OR($Q46=Parametres!$G$2,$Q46=Parametres!$G$3),J46,D46)</f>
        <v>0</v>
      </c>
      <c r="P46" s="655">
        <f>+IF(OR($Q46=Parametres!$G$2,$Q46=Parametres!$G$3),K46,E46)</f>
        <v>0.77</v>
      </c>
      <c r="Q46" s="654" t="str">
        <f t="shared" ref="Q46:S46" si="46">+F46</f>
        <v>1-Mémo</v>
      </c>
      <c r="R46" s="653" t="str">
        <f t="shared" si="46"/>
        <v>40</v>
      </c>
      <c r="S46" s="654">
        <f t="shared" si="46"/>
        <v>0</v>
      </c>
      <c r="T46" s="656" t="str">
        <f>+VLOOKUP($L46,Data_Validation!$A:$D,1,0)</f>
        <v>408</v>
      </c>
      <c r="U46" s="656">
        <f>+VLOOKUP($L46,Data_Validation!$A:$D,3,0)</f>
        <v>0</v>
      </c>
      <c r="V46" s="656">
        <f>+VLOOKUP($L46,Data_Validation!$A:$D,4,0)</f>
        <v>0</v>
      </c>
      <c r="W46" s="656">
        <f>+VLOOKUP($L46,Data_Validation!$A:$E,5,0)</f>
        <v>0</v>
      </c>
      <c r="X46" s="656">
        <f>+VLOOKUP($L46,Data_Validation!$A:$F,6,0)</f>
        <v>0</v>
      </c>
    </row>
    <row r="47" spans="1:24" ht="15" customHeight="1">
      <c r="A47" s="1052" t="s">
        <v>769</v>
      </c>
      <c r="B47" s="1052" t="s">
        <v>1836</v>
      </c>
      <c r="C47" s="1053"/>
      <c r="D47" s="1053"/>
      <c r="E47" s="1053"/>
      <c r="F47" s="1052" t="s">
        <v>2</v>
      </c>
      <c r="G47" s="1052" t="s">
        <v>761</v>
      </c>
      <c r="H47" s="1053"/>
      <c r="I47" s="1054">
        <v>0.53</v>
      </c>
      <c r="J47" s="1054">
        <v>0</v>
      </c>
      <c r="K47" s="1054">
        <v>0.53</v>
      </c>
      <c r="L47" s="653" t="str">
        <f t="shared" si="2"/>
        <v>409</v>
      </c>
      <c r="M47" s="654" t="str">
        <f t="shared" si="0"/>
        <v>UNITES NEUVES VENDUES SEPTEMBRE</v>
      </c>
      <c r="N47" s="655">
        <f>+IF(OR($Q47=Parametres!$G$2,$Q47=Parametres!$G$3),I47,C47)</f>
        <v>0.53</v>
      </c>
      <c r="O47" s="655">
        <f>+IF(OR($Q47=Parametres!$G$2,$Q47=Parametres!$G$3),J47,D47)</f>
        <v>0</v>
      </c>
      <c r="P47" s="655">
        <f>+IF(OR($Q47=Parametres!$G$2,$Q47=Parametres!$G$3),K47,E47)</f>
        <v>0.53</v>
      </c>
      <c r="Q47" s="654" t="str">
        <f t="shared" ref="Q47:S47" si="47">+F47</f>
        <v>1-Mémo</v>
      </c>
      <c r="R47" s="653" t="str">
        <f t="shared" si="47"/>
        <v>40</v>
      </c>
      <c r="S47" s="654">
        <f t="shared" si="47"/>
        <v>0</v>
      </c>
      <c r="T47" s="656" t="str">
        <f>+VLOOKUP($L47,Data_Validation!$A:$D,1,0)</f>
        <v>409</v>
      </c>
      <c r="U47" s="656">
        <f>+VLOOKUP($L47,Data_Validation!$A:$D,3,0)</f>
        <v>0</v>
      </c>
      <c r="V47" s="656">
        <f>+VLOOKUP($L47,Data_Validation!$A:$D,4,0)</f>
        <v>0</v>
      </c>
      <c r="W47" s="656">
        <f>+VLOOKUP($L47,Data_Validation!$A:$E,5,0)</f>
        <v>0</v>
      </c>
      <c r="X47" s="656">
        <f>+VLOOKUP($L47,Data_Validation!$A:$F,6,0)</f>
        <v>0</v>
      </c>
    </row>
    <row r="48" spans="1:24" ht="15.75" customHeight="1">
      <c r="A48" s="1052" t="s">
        <v>770</v>
      </c>
      <c r="B48" s="1052" t="s">
        <v>1839</v>
      </c>
      <c r="C48" s="1053"/>
      <c r="D48" s="1053"/>
      <c r="E48" s="1053"/>
      <c r="F48" s="1052" t="s">
        <v>2</v>
      </c>
      <c r="G48" s="1052" t="s">
        <v>761</v>
      </c>
      <c r="H48" s="1053"/>
      <c r="I48" s="1054">
        <v>0.53</v>
      </c>
      <c r="J48" s="1054">
        <v>0</v>
      </c>
      <c r="K48" s="1054">
        <v>0.53</v>
      </c>
      <c r="L48" s="653" t="str">
        <f t="shared" si="2"/>
        <v>410</v>
      </c>
      <c r="M48" s="654" t="str">
        <f t="shared" si="0"/>
        <v>UNITES NEUVES VENDUES OCTOBRE</v>
      </c>
      <c r="N48" s="655">
        <f>+IF(OR($Q48=Parametres!$G$2,$Q48=Parametres!$G$3),I48,C48)</f>
        <v>0.53</v>
      </c>
      <c r="O48" s="655">
        <f>+IF(OR($Q48=Parametres!$G$2,$Q48=Parametres!$G$3),J48,D48)</f>
        <v>0</v>
      </c>
      <c r="P48" s="655">
        <f>+IF(OR($Q48=Parametres!$G$2,$Q48=Parametres!$G$3),K48,E48)</f>
        <v>0.53</v>
      </c>
      <c r="Q48" s="654" t="str">
        <f t="shared" ref="Q48:S48" si="48">+F48</f>
        <v>1-Mémo</v>
      </c>
      <c r="R48" s="653" t="str">
        <f t="shared" si="48"/>
        <v>40</v>
      </c>
      <c r="S48" s="654">
        <f t="shared" si="48"/>
        <v>0</v>
      </c>
      <c r="T48" s="656" t="str">
        <f>+VLOOKUP($L48,Data_Validation!$A:$D,1,0)</f>
        <v>410</v>
      </c>
      <c r="U48" s="656">
        <f>+VLOOKUP($L48,Data_Validation!$A:$D,3,0)</f>
        <v>0</v>
      </c>
      <c r="V48" s="656">
        <f>+VLOOKUP($L48,Data_Validation!$A:$D,4,0)</f>
        <v>0</v>
      </c>
      <c r="W48" s="656">
        <f>+VLOOKUP($L48,Data_Validation!$A:$E,5,0)</f>
        <v>0</v>
      </c>
      <c r="X48" s="656">
        <f>+VLOOKUP($L48,Data_Validation!$A:$F,6,0)</f>
        <v>0</v>
      </c>
    </row>
    <row r="49" spans="1:24" ht="15" customHeight="1">
      <c r="A49" s="1052" t="s">
        <v>771</v>
      </c>
      <c r="B49" s="1052" t="s">
        <v>978</v>
      </c>
      <c r="C49" s="1053"/>
      <c r="D49" s="1053"/>
      <c r="E49" s="1053"/>
      <c r="F49" s="1052" t="s">
        <v>2</v>
      </c>
      <c r="G49" s="1052" t="s">
        <v>761</v>
      </c>
      <c r="H49" s="1053"/>
      <c r="I49" s="1054">
        <v>0.42</v>
      </c>
      <c r="J49" s="1054">
        <v>0</v>
      </c>
      <c r="K49" s="1054">
        <v>0.42</v>
      </c>
      <c r="L49" s="653" t="str">
        <f t="shared" si="2"/>
        <v>411</v>
      </c>
      <c r="M49" s="654" t="str">
        <f t="shared" si="0"/>
        <v>UNITES NEUVES VENDUES NOVEMBRE</v>
      </c>
      <c r="N49" s="655">
        <f>+IF(OR($Q49=Parametres!$G$2,$Q49=Parametres!$G$3),I49,C49)</f>
        <v>0.42</v>
      </c>
      <c r="O49" s="659">
        <f>+IF(OR($Q49=Parametres!$G$2,$Q49=Parametres!$G$3),J49,D49)</f>
        <v>0</v>
      </c>
      <c r="P49" s="655">
        <f>+IF(OR($Q49=Parametres!$G$2,$Q49=Parametres!$G$3),K49,E49)</f>
        <v>0.42</v>
      </c>
      <c r="Q49" s="654" t="str">
        <f t="shared" ref="Q49:S49" si="49">+F49</f>
        <v>1-Mémo</v>
      </c>
      <c r="R49" s="653" t="str">
        <f t="shared" si="49"/>
        <v>40</v>
      </c>
      <c r="S49" s="654">
        <f t="shared" si="49"/>
        <v>0</v>
      </c>
      <c r="T49" s="656" t="str">
        <f>+VLOOKUP($L49,Data_Validation!$A:$D,1,0)</f>
        <v>411</v>
      </c>
      <c r="U49" s="656">
        <f>+VLOOKUP($L49,Data_Validation!$A:$D,3,0)</f>
        <v>0</v>
      </c>
      <c r="V49" s="656">
        <f>+VLOOKUP($L49,Data_Validation!$A:$D,4,0)</f>
        <v>0</v>
      </c>
      <c r="W49" s="656">
        <f>+VLOOKUP($L49,Data_Validation!$A:$E,5,0)</f>
        <v>0</v>
      </c>
      <c r="X49" s="656">
        <f>+VLOOKUP($L49,Data_Validation!$A:$F,6,0)</f>
        <v>0</v>
      </c>
    </row>
    <row r="50" spans="1:24" ht="15" customHeight="1">
      <c r="A50" s="1052" t="s">
        <v>772</v>
      </c>
      <c r="B50" s="1052" t="s">
        <v>3353</v>
      </c>
      <c r="C50" s="1053"/>
      <c r="D50" s="1053"/>
      <c r="E50" s="1053"/>
      <c r="F50" s="1052" t="s">
        <v>2</v>
      </c>
      <c r="G50" s="1052" t="s">
        <v>761</v>
      </c>
      <c r="H50" s="1053"/>
      <c r="I50" s="1054">
        <v>0</v>
      </c>
      <c r="J50" s="1054">
        <v>0.37</v>
      </c>
      <c r="K50" s="1054">
        <v>0.37</v>
      </c>
      <c r="L50" s="653" t="str">
        <f t="shared" si="2"/>
        <v>412</v>
      </c>
      <c r="M50" s="654" t="str">
        <f t="shared" si="0"/>
        <v>UNITES NEUVES VENDUES DECEMBRE</v>
      </c>
      <c r="N50" s="655">
        <f>+IF(OR($Q50=Parametres!$G$2,$Q50=Parametres!$G$3),I50,C50)</f>
        <v>0</v>
      </c>
      <c r="O50" s="659">
        <f>+IF(OR($Q50=Parametres!$G$2,$Q50=Parametres!$G$3),J50,D50)</f>
        <v>0.37</v>
      </c>
      <c r="P50" s="655">
        <f>+IF(OR($Q50=Parametres!$G$2,$Q50=Parametres!$G$3),K50,E50)</f>
        <v>0.37</v>
      </c>
      <c r="Q50" s="654" t="str">
        <f t="shared" ref="Q50:S50" si="50">+F50</f>
        <v>1-Mémo</v>
      </c>
      <c r="R50" s="653" t="str">
        <f t="shared" si="50"/>
        <v>40</v>
      </c>
      <c r="S50" s="654">
        <f t="shared" si="50"/>
        <v>0</v>
      </c>
      <c r="T50" s="656" t="str">
        <f>+VLOOKUP($L50,Data_Validation!$A:$D,1,0)</f>
        <v>412</v>
      </c>
      <c r="U50" s="656">
        <f>+VLOOKUP($L50,Data_Validation!$A:$D,3,0)</f>
        <v>0</v>
      </c>
      <c r="V50" s="656">
        <f>+VLOOKUP($L50,Data_Validation!$A:$D,4,0)</f>
        <v>0</v>
      </c>
      <c r="W50" s="656">
        <f>+VLOOKUP($L50,Data_Validation!$A:$E,5,0)</f>
        <v>0</v>
      </c>
      <c r="X50" s="656">
        <f>+VLOOKUP($L50,Data_Validation!$A:$F,6,0)</f>
        <v>0</v>
      </c>
    </row>
    <row r="51" spans="1:24" ht="15" customHeight="1">
      <c r="A51" s="1052" t="s">
        <v>773</v>
      </c>
      <c r="B51" s="1052" t="s">
        <v>1905</v>
      </c>
      <c r="C51" s="1053"/>
      <c r="D51" s="1053"/>
      <c r="E51" s="1053"/>
      <c r="F51" s="1052" t="s">
        <v>2</v>
      </c>
      <c r="G51" s="1052" t="s">
        <v>3329</v>
      </c>
      <c r="H51" s="1053"/>
      <c r="I51" s="1054">
        <v>0.18</v>
      </c>
      <c r="J51" s="1054">
        <v>0</v>
      </c>
      <c r="K51" s="1054">
        <v>0.18</v>
      </c>
      <c r="L51" s="653" t="str">
        <f t="shared" si="2"/>
        <v>421</v>
      </c>
      <c r="M51" s="654" t="str">
        <f t="shared" si="0"/>
        <v>UNITES USAGES DET./ JANV.</v>
      </c>
      <c r="N51" s="655">
        <f>+IF(OR($Q51=Parametres!$G$2,$Q51=Parametres!$G$3),I51,C51)</f>
        <v>0.18</v>
      </c>
      <c r="O51" s="659">
        <f>+IF(OR($Q51=Parametres!$G$2,$Q51=Parametres!$G$3),J51,D51)</f>
        <v>0</v>
      </c>
      <c r="P51" s="655">
        <f>+IF(OR($Q51=Parametres!$G$2,$Q51=Parametres!$G$3),K51,E51)</f>
        <v>0.18</v>
      </c>
      <c r="Q51" s="654" t="str">
        <f t="shared" ref="Q51:S51" si="51">+F51</f>
        <v>1-Mémo</v>
      </c>
      <c r="R51" s="653" t="str">
        <f t="shared" si="51"/>
        <v>42</v>
      </c>
      <c r="S51" s="654">
        <f t="shared" si="51"/>
        <v>0</v>
      </c>
      <c r="T51" s="656" t="str">
        <f>+VLOOKUP($L51,Data_Validation!$A:$D,1,0)</f>
        <v>421</v>
      </c>
      <c r="U51" s="656">
        <f>+VLOOKUP($L51,Data_Validation!$A:$D,3,0)</f>
        <v>0</v>
      </c>
      <c r="V51" s="656">
        <f>+VLOOKUP($L51,Data_Validation!$A:$D,4,0)</f>
        <v>0</v>
      </c>
      <c r="W51" s="656">
        <f>+VLOOKUP($L51,Data_Validation!$A:$E,5,0)</f>
        <v>0</v>
      </c>
      <c r="X51" s="656">
        <f>+VLOOKUP($L51,Data_Validation!$A:$F,6,0)</f>
        <v>0</v>
      </c>
    </row>
    <row r="52" spans="1:24" ht="15.75" customHeight="1">
      <c r="A52" s="1052" t="s">
        <v>774</v>
      </c>
      <c r="B52" s="1052" t="s">
        <v>1912</v>
      </c>
      <c r="C52" s="1053"/>
      <c r="D52" s="1053"/>
      <c r="E52" s="1053"/>
      <c r="F52" s="1052" t="s">
        <v>2</v>
      </c>
      <c r="G52" s="1052" t="s">
        <v>3329</v>
      </c>
      <c r="H52" s="1053"/>
      <c r="I52" s="1054">
        <v>0.34</v>
      </c>
      <c r="J52" s="1054">
        <v>0</v>
      </c>
      <c r="K52" s="1054">
        <v>0.34</v>
      </c>
      <c r="L52" s="653" t="str">
        <f t="shared" si="2"/>
        <v>422</v>
      </c>
      <c r="M52" s="654" t="str">
        <f t="shared" si="0"/>
        <v>UNITES USAGES DET./ FEVR.</v>
      </c>
      <c r="N52" s="655">
        <f>+IF(OR($Q52=Parametres!$G$2,$Q52=Parametres!$G$3),I52,C52)</f>
        <v>0.34</v>
      </c>
      <c r="O52" s="655">
        <f>+IF(OR($Q52=Parametres!$G$2,$Q52=Parametres!$G$3),J52,D52)</f>
        <v>0</v>
      </c>
      <c r="P52" s="655">
        <f>+IF(OR($Q52=Parametres!$G$2,$Q52=Parametres!$G$3),K52,E52)</f>
        <v>0.34</v>
      </c>
      <c r="Q52" s="654" t="str">
        <f t="shared" ref="Q52:S52" si="52">+F52</f>
        <v>1-Mémo</v>
      </c>
      <c r="R52" s="653" t="str">
        <f t="shared" si="52"/>
        <v>42</v>
      </c>
      <c r="S52" s="654">
        <f t="shared" si="52"/>
        <v>0</v>
      </c>
      <c r="T52" s="656" t="str">
        <f>+VLOOKUP($L52,Data_Validation!$A:$D,1,0)</f>
        <v>422</v>
      </c>
      <c r="U52" s="656">
        <f>+VLOOKUP($L52,Data_Validation!$A:$D,3,0)</f>
        <v>0</v>
      </c>
      <c r="V52" s="656">
        <f>+VLOOKUP($L52,Data_Validation!$A:$D,4,0)</f>
        <v>0</v>
      </c>
      <c r="W52" s="656">
        <f>+VLOOKUP($L52,Data_Validation!$A:$E,5,0)</f>
        <v>0</v>
      </c>
      <c r="X52" s="656">
        <f>+VLOOKUP($L52,Data_Validation!$A:$F,6,0)</f>
        <v>0</v>
      </c>
    </row>
    <row r="53" spans="1:24" ht="15" customHeight="1">
      <c r="A53" s="1052" t="s">
        <v>775</v>
      </c>
      <c r="B53" s="1052" t="s">
        <v>1915</v>
      </c>
      <c r="C53" s="1053"/>
      <c r="D53" s="1053"/>
      <c r="E53" s="1053"/>
      <c r="F53" s="1052" t="s">
        <v>2</v>
      </c>
      <c r="G53" s="1052" t="s">
        <v>3329</v>
      </c>
      <c r="H53" s="1053"/>
      <c r="I53" s="1054">
        <v>0.42</v>
      </c>
      <c r="J53" s="1054">
        <v>0</v>
      </c>
      <c r="K53" s="1054">
        <v>0.42</v>
      </c>
      <c r="L53" s="653" t="str">
        <f t="shared" si="2"/>
        <v>423</v>
      </c>
      <c r="M53" s="654" t="str">
        <f t="shared" si="0"/>
        <v>UNITES USAGES DET./ MARS</v>
      </c>
      <c r="N53" s="655">
        <f>+IF(OR($Q53=Parametres!$G$2,$Q53=Parametres!$G$3),I53,C53)</f>
        <v>0.42</v>
      </c>
      <c r="O53" s="659">
        <f>+IF(OR($Q53=Parametres!$G$2,$Q53=Parametres!$G$3),J53,D53)</f>
        <v>0</v>
      </c>
      <c r="P53" s="655">
        <f>+IF(OR($Q53=Parametres!$G$2,$Q53=Parametres!$G$3),K53,E53)</f>
        <v>0.42</v>
      </c>
      <c r="Q53" s="654" t="str">
        <f t="shared" ref="Q53:S53" si="53">+F53</f>
        <v>1-Mémo</v>
      </c>
      <c r="R53" s="653" t="str">
        <f t="shared" si="53"/>
        <v>42</v>
      </c>
      <c r="S53" s="654">
        <f t="shared" si="53"/>
        <v>0</v>
      </c>
      <c r="T53" s="656" t="str">
        <f>+VLOOKUP($L53,Data_Validation!$A:$D,1,0)</f>
        <v>423</v>
      </c>
      <c r="U53" s="656">
        <f>+VLOOKUP($L53,Data_Validation!$A:$D,3,0)</f>
        <v>0</v>
      </c>
      <c r="V53" s="656">
        <f>+VLOOKUP($L53,Data_Validation!$A:$D,4,0)</f>
        <v>0</v>
      </c>
      <c r="W53" s="656">
        <f>+VLOOKUP($L53,Data_Validation!$A:$E,5,0)</f>
        <v>0</v>
      </c>
      <c r="X53" s="656">
        <f>+VLOOKUP($L53,Data_Validation!$A:$F,6,0)</f>
        <v>0</v>
      </c>
    </row>
    <row r="54" spans="1:24" ht="15" customHeight="1">
      <c r="A54" s="1052" t="s">
        <v>776</v>
      </c>
      <c r="B54" s="1052" t="s">
        <v>1918</v>
      </c>
      <c r="C54" s="1053"/>
      <c r="D54" s="1053"/>
      <c r="E54" s="1053"/>
      <c r="F54" s="1052" t="s">
        <v>2</v>
      </c>
      <c r="G54" s="1052" t="s">
        <v>3329</v>
      </c>
      <c r="H54" s="1053"/>
      <c r="I54" s="1054">
        <v>0.31</v>
      </c>
      <c r="J54" s="1054">
        <v>0</v>
      </c>
      <c r="K54" s="1054">
        <v>0.31</v>
      </c>
      <c r="L54" s="653" t="str">
        <f t="shared" si="2"/>
        <v>424</v>
      </c>
      <c r="M54" s="654" t="str">
        <f t="shared" si="0"/>
        <v>UNITES USAGES DET./ AVRIL</v>
      </c>
      <c r="N54" s="655">
        <f>+IF(OR($Q54=Parametres!$G$2,$Q54=Parametres!$G$3),I54,C54)</f>
        <v>0.31</v>
      </c>
      <c r="O54" s="655">
        <f>+IF(OR($Q54=Parametres!$G$2,$Q54=Parametres!$G$3),J54,D54)</f>
        <v>0</v>
      </c>
      <c r="P54" s="655">
        <f>+IF(OR($Q54=Parametres!$G$2,$Q54=Parametres!$G$3),K54,E54)</f>
        <v>0.31</v>
      </c>
      <c r="Q54" s="654" t="str">
        <f t="shared" ref="Q54:S54" si="54">+F54</f>
        <v>1-Mémo</v>
      </c>
      <c r="R54" s="653" t="str">
        <f t="shared" si="54"/>
        <v>42</v>
      </c>
      <c r="S54" s="654">
        <f t="shared" si="54"/>
        <v>0</v>
      </c>
      <c r="T54" s="656" t="str">
        <f>+VLOOKUP($L54,Data_Validation!$A:$D,1,0)</f>
        <v>424</v>
      </c>
      <c r="U54" s="656">
        <f>+VLOOKUP($L54,Data_Validation!$A:$D,3,0)</f>
        <v>0</v>
      </c>
      <c r="V54" s="656">
        <f>+VLOOKUP($L54,Data_Validation!$A:$D,4,0)</f>
        <v>0</v>
      </c>
      <c r="W54" s="656">
        <f>+VLOOKUP($L54,Data_Validation!$A:$E,5,0)</f>
        <v>0</v>
      </c>
      <c r="X54" s="656">
        <f>+VLOOKUP($L54,Data_Validation!$A:$F,6,0)</f>
        <v>0</v>
      </c>
    </row>
    <row r="55" spans="1:24" ht="15" customHeight="1">
      <c r="A55" s="1052" t="s">
        <v>777</v>
      </c>
      <c r="B55" s="1052" t="s">
        <v>1921</v>
      </c>
      <c r="C55" s="1053"/>
      <c r="D55" s="1053"/>
      <c r="E55" s="1053"/>
      <c r="F55" s="1052" t="s">
        <v>2</v>
      </c>
      <c r="G55" s="1052" t="s">
        <v>3329</v>
      </c>
      <c r="H55" s="1053"/>
      <c r="I55" s="1054">
        <v>0.32</v>
      </c>
      <c r="J55" s="1054">
        <v>0</v>
      </c>
      <c r="K55" s="1054">
        <v>0.32</v>
      </c>
      <c r="L55" s="653" t="str">
        <f t="shared" si="2"/>
        <v>425</v>
      </c>
      <c r="M55" s="654" t="str">
        <f t="shared" si="0"/>
        <v>UNITES USAGES DET./ MAI</v>
      </c>
      <c r="N55" s="655">
        <f>+IF(OR($Q55=Parametres!$G$2,$Q55=Parametres!$G$3),I55,C55)</f>
        <v>0.32</v>
      </c>
      <c r="O55" s="655">
        <f>+IF(OR($Q55=Parametres!$G$2,$Q55=Parametres!$G$3),J55,D55)</f>
        <v>0</v>
      </c>
      <c r="P55" s="655">
        <f>+IF(OR($Q55=Parametres!$G$2,$Q55=Parametres!$G$3),K55,E55)</f>
        <v>0.32</v>
      </c>
      <c r="Q55" s="654" t="str">
        <f t="shared" ref="Q55:S55" si="55">+F55</f>
        <v>1-Mémo</v>
      </c>
      <c r="R55" s="653" t="str">
        <f t="shared" si="55"/>
        <v>42</v>
      </c>
      <c r="S55" s="654">
        <f t="shared" si="55"/>
        <v>0</v>
      </c>
      <c r="T55" s="656" t="str">
        <f>+VLOOKUP($L55,Data_Validation!$A:$D,1,0)</f>
        <v>425</v>
      </c>
      <c r="U55" s="656">
        <f>+VLOOKUP($L55,Data_Validation!$A:$D,3,0)</f>
        <v>0</v>
      </c>
      <c r="V55" s="656">
        <f>+VLOOKUP($L55,Data_Validation!$A:$D,4,0)</f>
        <v>0</v>
      </c>
      <c r="W55" s="656">
        <f>+VLOOKUP($L55,Data_Validation!$A:$E,5,0)</f>
        <v>0</v>
      </c>
      <c r="X55" s="656">
        <f>+VLOOKUP($L55,Data_Validation!$A:$F,6,0)</f>
        <v>0</v>
      </c>
    </row>
    <row r="56" spans="1:24" ht="15.75" customHeight="1">
      <c r="A56" s="1052" t="s">
        <v>778</v>
      </c>
      <c r="B56" s="1052" t="s">
        <v>1924</v>
      </c>
      <c r="C56" s="1053"/>
      <c r="D56" s="1053"/>
      <c r="E56" s="1053"/>
      <c r="F56" s="1052" t="s">
        <v>2</v>
      </c>
      <c r="G56" s="1052" t="s">
        <v>3329</v>
      </c>
      <c r="H56" s="1053"/>
      <c r="I56" s="1054">
        <v>0.36</v>
      </c>
      <c r="J56" s="1054">
        <v>0</v>
      </c>
      <c r="K56" s="1054">
        <v>0.36</v>
      </c>
      <c r="L56" s="653" t="str">
        <f t="shared" si="2"/>
        <v>426</v>
      </c>
      <c r="M56" s="654" t="str">
        <f t="shared" si="0"/>
        <v>UNITES USAGES DET./ JUIN</v>
      </c>
      <c r="N56" s="655">
        <f>+IF(OR($Q56=Parametres!$G$2,$Q56=Parametres!$G$3),I56,C56)</f>
        <v>0.36</v>
      </c>
      <c r="O56" s="659">
        <f>+IF(OR($Q56=Parametres!$G$2,$Q56=Parametres!$G$3),J56,D56)</f>
        <v>0</v>
      </c>
      <c r="P56" s="655">
        <f>+IF(OR($Q56=Parametres!$G$2,$Q56=Parametres!$G$3),K56,E56)</f>
        <v>0.36</v>
      </c>
      <c r="Q56" s="654" t="str">
        <f t="shared" ref="Q56:S56" si="56">+F56</f>
        <v>1-Mémo</v>
      </c>
      <c r="R56" s="653" t="str">
        <f t="shared" si="56"/>
        <v>42</v>
      </c>
      <c r="S56" s="654">
        <f t="shared" si="56"/>
        <v>0</v>
      </c>
      <c r="T56" s="656" t="str">
        <f>+VLOOKUP($L56,Data_Validation!$A:$D,1,0)</f>
        <v>426</v>
      </c>
      <c r="U56" s="656">
        <f>+VLOOKUP($L56,Data_Validation!$A:$D,3,0)</f>
        <v>0</v>
      </c>
      <c r="V56" s="656">
        <f>+VLOOKUP($L56,Data_Validation!$A:$D,4,0)</f>
        <v>0</v>
      </c>
      <c r="W56" s="656">
        <f>+VLOOKUP($L56,Data_Validation!$A:$E,5,0)</f>
        <v>0</v>
      </c>
      <c r="X56" s="656">
        <f>+VLOOKUP($L56,Data_Validation!$A:$F,6,0)</f>
        <v>0</v>
      </c>
    </row>
    <row r="57" spans="1:24" ht="15" customHeight="1">
      <c r="A57" s="1052" t="s">
        <v>779</v>
      </c>
      <c r="B57" s="1052" t="s">
        <v>1927</v>
      </c>
      <c r="C57" s="1053"/>
      <c r="D57" s="1053"/>
      <c r="E57" s="1053"/>
      <c r="F57" s="1052" t="s">
        <v>2</v>
      </c>
      <c r="G57" s="1052" t="s">
        <v>3329</v>
      </c>
      <c r="H57" s="1053"/>
      <c r="I57" s="1054">
        <v>0.39</v>
      </c>
      <c r="J57" s="1054">
        <v>0</v>
      </c>
      <c r="K57" s="1054">
        <v>0.39</v>
      </c>
      <c r="L57" s="653" t="str">
        <f t="shared" si="2"/>
        <v>427</v>
      </c>
      <c r="M57" s="654" t="str">
        <f t="shared" si="0"/>
        <v>UNITES USAGES DET./ JUILLET</v>
      </c>
      <c r="N57" s="655">
        <f>+IF(OR($Q57=Parametres!$G$2,$Q57=Parametres!$G$3),I57,C57)</f>
        <v>0.39</v>
      </c>
      <c r="O57" s="655">
        <f>+IF(OR($Q57=Parametres!$G$2,$Q57=Parametres!$G$3),J57,D57)</f>
        <v>0</v>
      </c>
      <c r="P57" s="655">
        <f>+IF(OR($Q57=Parametres!$G$2,$Q57=Parametres!$G$3),K57,E57)</f>
        <v>0.39</v>
      </c>
      <c r="Q57" s="654" t="str">
        <f t="shared" ref="Q57:S57" si="57">+F57</f>
        <v>1-Mémo</v>
      </c>
      <c r="R57" s="653" t="str">
        <f t="shared" si="57"/>
        <v>42</v>
      </c>
      <c r="S57" s="654">
        <f t="shared" si="57"/>
        <v>0</v>
      </c>
      <c r="T57" s="656" t="str">
        <f>+VLOOKUP($L57,Data_Validation!$A:$D,1,0)</f>
        <v>427</v>
      </c>
      <c r="U57" s="656">
        <f>+VLOOKUP($L57,Data_Validation!$A:$D,3,0)</f>
        <v>0</v>
      </c>
      <c r="V57" s="656">
        <f>+VLOOKUP($L57,Data_Validation!$A:$D,4,0)</f>
        <v>0</v>
      </c>
      <c r="W57" s="656">
        <f>+VLOOKUP($L57,Data_Validation!$A:$E,5,0)</f>
        <v>0</v>
      </c>
      <c r="X57" s="656">
        <f>+VLOOKUP($L57,Data_Validation!$A:$F,6,0)</f>
        <v>0</v>
      </c>
    </row>
    <row r="58" spans="1:24" ht="15" customHeight="1">
      <c r="A58" s="1052" t="s">
        <v>780</v>
      </c>
      <c r="B58" s="1052" t="s">
        <v>1930</v>
      </c>
      <c r="C58" s="1053"/>
      <c r="D58" s="1053"/>
      <c r="E58" s="1053"/>
      <c r="F58" s="1052" t="s">
        <v>2</v>
      </c>
      <c r="G58" s="1052" t="s">
        <v>3329</v>
      </c>
      <c r="H58" s="1053"/>
      <c r="I58" s="1054">
        <v>0.37</v>
      </c>
      <c r="J58" s="1054">
        <v>0</v>
      </c>
      <c r="K58" s="1054">
        <v>0.37</v>
      </c>
      <c r="L58" s="653" t="str">
        <f t="shared" si="2"/>
        <v>428</v>
      </c>
      <c r="M58" s="654" t="str">
        <f t="shared" si="0"/>
        <v>UNITES USAGES DET./ AOUT</v>
      </c>
      <c r="N58" s="655">
        <f>+IF(OR($Q58=Parametres!$G$2,$Q58=Parametres!$G$3),I58,C58)</f>
        <v>0.37</v>
      </c>
      <c r="O58" s="655">
        <f>+IF(OR($Q58=Parametres!$G$2,$Q58=Parametres!$G$3),J58,D58)</f>
        <v>0</v>
      </c>
      <c r="P58" s="655">
        <f>+IF(OR($Q58=Parametres!$G$2,$Q58=Parametres!$G$3),K58,E58)</f>
        <v>0.37</v>
      </c>
      <c r="Q58" s="654" t="str">
        <f t="shared" ref="Q58:S58" si="58">+F58</f>
        <v>1-Mémo</v>
      </c>
      <c r="R58" s="653" t="str">
        <f t="shared" si="58"/>
        <v>42</v>
      </c>
      <c r="S58" s="654">
        <f t="shared" si="58"/>
        <v>0</v>
      </c>
      <c r="T58" s="656" t="str">
        <f>+VLOOKUP($L58,Data_Validation!$A:$D,1,0)</f>
        <v>428</v>
      </c>
      <c r="U58" s="656">
        <f>+VLOOKUP($L58,Data_Validation!$A:$D,3,0)</f>
        <v>0</v>
      </c>
      <c r="V58" s="656">
        <f>+VLOOKUP($L58,Data_Validation!$A:$D,4,0)</f>
        <v>0</v>
      </c>
      <c r="W58" s="656">
        <f>+VLOOKUP($L58,Data_Validation!$A:$E,5,0)</f>
        <v>0</v>
      </c>
      <c r="X58" s="656">
        <f>+VLOOKUP($L58,Data_Validation!$A:$F,6,0)</f>
        <v>0</v>
      </c>
    </row>
    <row r="59" spans="1:24" ht="15" customHeight="1">
      <c r="A59" s="1052" t="s">
        <v>781</v>
      </c>
      <c r="B59" s="1052" t="s">
        <v>1939</v>
      </c>
      <c r="C59" s="1053"/>
      <c r="D59" s="1053"/>
      <c r="E59" s="1053"/>
      <c r="F59" s="1052" t="s">
        <v>2</v>
      </c>
      <c r="G59" s="1052" t="s">
        <v>3329</v>
      </c>
      <c r="H59" s="1053"/>
      <c r="I59" s="1054">
        <v>0.34</v>
      </c>
      <c r="J59" s="1054">
        <v>0</v>
      </c>
      <c r="K59" s="1054">
        <v>0.34</v>
      </c>
      <c r="L59" s="653" t="str">
        <f t="shared" si="2"/>
        <v>429</v>
      </c>
      <c r="M59" s="654" t="str">
        <f t="shared" si="0"/>
        <v>UNITES USAGES DET./ SEPT.</v>
      </c>
      <c r="N59" s="655">
        <f>+IF(OR($Q59=Parametres!$G$2,$Q59=Parametres!$G$3),I59,C59)</f>
        <v>0.34</v>
      </c>
      <c r="O59" s="655">
        <f>+IF(OR($Q59=Parametres!$G$2,$Q59=Parametres!$G$3),J59,D59)</f>
        <v>0</v>
      </c>
      <c r="P59" s="655">
        <f>+IF(OR($Q59=Parametres!$G$2,$Q59=Parametres!$G$3),K59,E59)</f>
        <v>0.34</v>
      </c>
      <c r="Q59" s="654" t="str">
        <f t="shared" ref="Q59:S59" si="59">+F59</f>
        <v>1-Mémo</v>
      </c>
      <c r="R59" s="653" t="str">
        <f t="shared" si="59"/>
        <v>42</v>
      </c>
      <c r="S59" s="654">
        <f t="shared" si="59"/>
        <v>0</v>
      </c>
      <c r="T59" s="656" t="str">
        <f>+VLOOKUP($L59,Data_Validation!$A:$D,1,0)</f>
        <v>429</v>
      </c>
      <c r="U59" s="656">
        <f>+VLOOKUP($L59,Data_Validation!$A:$D,3,0)</f>
        <v>0</v>
      </c>
      <c r="V59" s="656">
        <f>+VLOOKUP($L59,Data_Validation!$A:$D,4,0)</f>
        <v>0</v>
      </c>
      <c r="W59" s="656">
        <f>+VLOOKUP($L59,Data_Validation!$A:$E,5,0)</f>
        <v>0</v>
      </c>
      <c r="X59" s="656">
        <f>+VLOOKUP($L59,Data_Validation!$A:$F,6,0)</f>
        <v>0</v>
      </c>
    </row>
    <row r="60" spans="1:24" ht="15" customHeight="1">
      <c r="A60" s="1052" t="s">
        <v>782</v>
      </c>
      <c r="B60" s="1052" t="s">
        <v>1947</v>
      </c>
      <c r="C60" s="1053"/>
      <c r="D60" s="1053"/>
      <c r="E60" s="1053"/>
      <c r="F60" s="1052" t="s">
        <v>2</v>
      </c>
      <c r="G60" s="1052" t="s">
        <v>3329</v>
      </c>
      <c r="H60" s="1053"/>
      <c r="I60" s="1054">
        <v>0.26</v>
      </c>
      <c r="J60" s="1054">
        <v>0</v>
      </c>
      <c r="K60" s="1054">
        <v>0.26</v>
      </c>
      <c r="L60" s="653" t="str">
        <f t="shared" si="2"/>
        <v>430</v>
      </c>
      <c r="M60" s="654" t="str">
        <f t="shared" si="0"/>
        <v>UNITES USAGES DET./ OCT.</v>
      </c>
      <c r="N60" s="655">
        <f>+IF(OR($Q60=Parametres!$G$2,$Q60=Parametres!$G$3),I60,C60)</f>
        <v>0.26</v>
      </c>
      <c r="O60" s="659">
        <f>+IF(OR($Q60=Parametres!$G$2,$Q60=Parametres!$G$3),J60,D60)</f>
        <v>0</v>
      </c>
      <c r="P60" s="655">
        <f>+IF(OR($Q60=Parametres!$G$2,$Q60=Parametres!$G$3),K60,E60)</f>
        <v>0.26</v>
      </c>
      <c r="Q60" s="654" t="str">
        <f t="shared" ref="Q60:S60" si="60">+F60</f>
        <v>1-Mémo</v>
      </c>
      <c r="R60" s="653" t="str">
        <f t="shared" si="60"/>
        <v>42</v>
      </c>
      <c r="S60" s="654">
        <f t="shared" si="60"/>
        <v>0</v>
      </c>
      <c r="T60" s="656" t="str">
        <f>+VLOOKUP($L60,Data_Validation!$A:$D,1,0)</f>
        <v>430</v>
      </c>
      <c r="U60" s="656">
        <f>+VLOOKUP($L60,Data_Validation!$A:$D,3,0)</f>
        <v>0</v>
      </c>
      <c r="V60" s="656">
        <f>+VLOOKUP($L60,Data_Validation!$A:$D,4,0)</f>
        <v>0</v>
      </c>
      <c r="W60" s="656">
        <f>+VLOOKUP($L60,Data_Validation!$A:$E,5,0)</f>
        <v>0</v>
      </c>
      <c r="X60" s="656">
        <f>+VLOOKUP($L60,Data_Validation!$A:$F,6,0)</f>
        <v>0</v>
      </c>
    </row>
    <row r="61" spans="1:24" ht="15" customHeight="1">
      <c r="A61" s="1052" t="s">
        <v>783</v>
      </c>
      <c r="B61" s="1052" t="s">
        <v>1950</v>
      </c>
      <c r="C61" s="1053"/>
      <c r="D61" s="1053"/>
      <c r="E61" s="1053"/>
      <c r="F61" s="1052" t="s">
        <v>2</v>
      </c>
      <c r="G61" s="1052" t="s">
        <v>3329</v>
      </c>
      <c r="H61" s="1053"/>
      <c r="I61" s="1054">
        <v>0.27</v>
      </c>
      <c r="J61" s="1054">
        <v>0</v>
      </c>
      <c r="K61" s="1054">
        <v>0.27</v>
      </c>
      <c r="L61" s="653" t="str">
        <f t="shared" si="2"/>
        <v>431</v>
      </c>
      <c r="M61" s="654" t="str">
        <f t="shared" si="0"/>
        <v>UNITES USAGES DET./ NOV.</v>
      </c>
      <c r="N61" s="655">
        <f>+IF(OR($Q61=Parametres!$G$2,$Q61=Parametres!$G$3),I61,C61)</f>
        <v>0.27</v>
      </c>
      <c r="O61" s="659">
        <f>+IF(OR($Q61=Parametres!$G$2,$Q61=Parametres!$G$3),J61,D61)</f>
        <v>0</v>
      </c>
      <c r="P61" s="655">
        <f>+IF(OR($Q61=Parametres!$G$2,$Q61=Parametres!$G$3),K61,E61)</f>
        <v>0.27</v>
      </c>
      <c r="Q61" s="654" t="str">
        <f t="shared" ref="Q61:S61" si="61">+F61</f>
        <v>1-Mémo</v>
      </c>
      <c r="R61" s="653" t="str">
        <f t="shared" si="61"/>
        <v>42</v>
      </c>
      <c r="S61" s="654">
        <f t="shared" si="61"/>
        <v>0</v>
      </c>
      <c r="T61" s="656" t="str">
        <f>+VLOOKUP($L61,Data_Validation!$A:$D,1,0)</f>
        <v>431</v>
      </c>
      <c r="U61" s="656">
        <f>+VLOOKUP($L61,Data_Validation!$A:$D,3,0)</f>
        <v>0</v>
      </c>
      <c r="V61" s="656">
        <f>+VLOOKUP($L61,Data_Validation!$A:$D,4,0)</f>
        <v>0</v>
      </c>
      <c r="W61" s="656">
        <f>+VLOOKUP($L61,Data_Validation!$A:$E,5,0)</f>
        <v>0</v>
      </c>
      <c r="X61" s="656">
        <f>+VLOOKUP($L61,Data_Validation!$A:$F,6,0)</f>
        <v>0</v>
      </c>
    </row>
    <row r="62" spans="1:24" ht="15" customHeight="1">
      <c r="A62" s="1052" t="s">
        <v>3665</v>
      </c>
      <c r="B62" s="1052" t="s">
        <v>3354</v>
      </c>
      <c r="C62" s="1053"/>
      <c r="D62" s="1053"/>
      <c r="E62" s="1053"/>
      <c r="F62" s="1052" t="s">
        <v>2</v>
      </c>
      <c r="G62" s="1052" t="s">
        <v>3329</v>
      </c>
      <c r="H62" s="1053"/>
      <c r="I62" s="1054">
        <v>0</v>
      </c>
      <c r="J62" s="1054">
        <v>0.25</v>
      </c>
      <c r="K62" s="1054">
        <v>0.25</v>
      </c>
      <c r="L62" s="653" t="str">
        <f t="shared" si="2"/>
        <v>432</v>
      </c>
      <c r="M62" s="654" t="str">
        <f t="shared" si="0"/>
        <v>UNITES USAGES DET./ DEC</v>
      </c>
      <c r="N62" s="655">
        <f>+IF(OR($Q62=Parametres!$G$2,$Q62=Parametres!$G$3),I62,C62)</f>
        <v>0</v>
      </c>
      <c r="O62" s="655">
        <f>+IF(OR($Q62=Parametres!$G$2,$Q62=Parametres!$G$3),J62,D62)</f>
        <v>0.25</v>
      </c>
      <c r="P62" s="655">
        <f>+IF(OR($Q62=Parametres!$G$2,$Q62=Parametres!$G$3),K62,E62)</f>
        <v>0.25</v>
      </c>
      <c r="Q62" s="654" t="str">
        <f t="shared" ref="Q62:S62" si="62">+F62</f>
        <v>1-Mémo</v>
      </c>
      <c r="R62" s="653" t="str">
        <f t="shared" si="62"/>
        <v>42</v>
      </c>
      <c r="S62" s="654">
        <f t="shared" si="62"/>
        <v>0</v>
      </c>
      <c r="T62" s="656" t="str">
        <f>+VLOOKUP($L62,Data_Validation!$A:$D,1,0)</f>
        <v>432</v>
      </c>
      <c r="U62" s="656">
        <f>+VLOOKUP($L62,Data_Validation!$A:$D,3,0)</f>
        <v>0</v>
      </c>
      <c r="V62" s="656">
        <f>+VLOOKUP($L62,Data_Validation!$A:$D,4,0)</f>
        <v>0</v>
      </c>
      <c r="W62" s="656">
        <f>+VLOOKUP($L62,Data_Validation!$A:$E,5,0)</f>
        <v>0</v>
      </c>
      <c r="X62" s="656">
        <f>+VLOOKUP($L62,Data_Validation!$A:$F,6,0)</f>
        <v>0</v>
      </c>
    </row>
    <row r="63" spans="1:24" ht="15" customHeight="1">
      <c r="A63" s="1052" t="s">
        <v>784</v>
      </c>
      <c r="B63" s="1052" t="s">
        <v>2055</v>
      </c>
      <c r="C63" s="1053"/>
      <c r="D63" s="1053"/>
      <c r="E63" s="1053"/>
      <c r="F63" s="1052" t="s">
        <v>2</v>
      </c>
      <c r="G63" s="1052" t="s">
        <v>785</v>
      </c>
      <c r="H63" s="1053"/>
      <c r="I63" s="1054">
        <v>1</v>
      </c>
      <c r="J63" s="1054">
        <v>0</v>
      </c>
      <c r="K63" s="1054">
        <v>1</v>
      </c>
      <c r="L63" s="653" t="str">
        <f t="shared" si="2"/>
        <v>500</v>
      </c>
      <c r="M63" s="654" t="str">
        <f t="shared" si="0"/>
        <v>PROPRIETAIRES</v>
      </c>
      <c r="N63" s="655">
        <f>+IF(OR($Q63=Parametres!$G$2,$Q63=Parametres!$G$3),I63,C63)</f>
        <v>1</v>
      </c>
      <c r="O63" s="655">
        <f>+IF(OR($Q63=Parametres!$G$2,$Q63=Parametres!$G$3),J63,D63)</f>
        <v>0</v>
      </c>
      <c r="P63" s="655">
        <f>+IF(OR($Q63=Parametres!$G$2,$Q63=Parametres!$G$3),K63,E63)</f>
        <v>1</v>
      </c>
      <c r="Q63" s="654" t="str">
        <f t="shared" ref="Q63:S63" si="63">+F63</f>
        <v>1-Mémo</v>
      </c>
      <c r="R63" s="653" t="str">
        <f t="shared" si="63"/>
        <v>50</v>
      </c>
      <c r="S63" s="654">
        <f t="shared" si="63"/>
        <v>0</v>
      </c>
      <c r="T63" s="656" t="str">
        <f>+VLOOKUP($L63,Data_Validation!$A:$D,1,0)</f>
        <v>500</v>
      </c>
      <c r="U63" s="656">
        <f>+VLOOKUP($L63,Data_Validation!$A:$D,3,0)</f>
        <v>0</v>
      </c>
      <c r="V63" s="656">
        <f>+VLOOKUP($L63,Data_Validation!$A:$D,4,0)</f>
        <v>0</v>
      </c>
      <c r="W63" s="656" t="str">
        <f>+VLOOKUP($L63,Data_Validation!$A:$E,5,0)</f>
        <v>$</v>
      </c>
      <c r="X63" s="656">
        <f>+VLOOKUP($L63,Data_Validation!$A:$F,6,0)</f>
        <v>0</v>
      </c>
    </row>
    <row r="64" spans="1:24" ht="15" customHeight="1">
      <c r="A64" s="1052" t="s">
        <v>786</v>
      </c>
      <c r="B64" s="1052" t="s">
        <v>1113</v>
      </c>
      <c r="C64" s="1053"/>
      <c r="D64" s="1053"/>
      <c r="E64" s="1053"/>
      <c r="F64" s="1052" t="s">
        <v>2</v>
      </c>
      <c r="G64" s="1052" t="s">
        <v>785</v>
      </c>
      <c r="H64" s="1053"/>
      <c r="I64" s="1054">
        <v>0.5</v>
      </c>
      <c r="J64" s="1054">
        <v>0</v>
      </c>
      <c r="K64" s="1054">
        <v>0.5</v>
      </c>
      <c r="L64" s="653" t="str">
        <f t="shared" si="2"/>
        <v>511</v>
      </c>
      <c r="M64" s="654" t="str">
        <f t="shared" si="0"/>
        <v>DIR. GENERAL NEUFS</v>
      </c>
      <c r="N64" s="655">
        <f>+IF(OR($Q64=Parametres!$G$2,$Q64=Parametres!$G$3),I64,C64)</f>
        <v>0.5</v>
      </c>
      <c r="O64" s="655">
        <f>+IF(OR($Q64=Parametres!$G$2,$Q64=Parametres!$G$3),J64,D64)</f>
        <v>0</v>
      </c>
      <c r="P64" s="655">
        <f>+IF(OR($Q64=Parametres!$G$2,$Q64=Parametres!$G$3),K64,E64)</f>
        <v>0.5</v>
      </c>
      <c r="Q64" s="654" t="str">
        <f t="shared" ref="Q64:S64" si="64">+F64</f>
        <v>1-Mémo</v>
      </c>
      <c r="R64" s="653" t="str">
        <f t="shared" si="64"/>
        <v>50</v>
      </c>
      <c r="S64" s="654">
        <f t="shared" si="64"/>
        <v>0</v>
      </c>
      <c r="T64" s="656" t="str">
        <f>+VLOOKUP($L64,Data_Validation!$A:$D,1,0)</f>
        <v>511</v>
      </c>
      <c r="U64" s="656">
        <f>+VLOOKUP($L64,Data_Validation!$A:$D,3,0)</f>
        <v>0</v>
      </c>
      <c r="V64" s="656">
        <f>+VLOOKUP($L64,Data_Validation!$A:$D,4,0)</f>
        <v>0</v>
      </c>
      <c r="W64" s="656" t="str">
        <f>+VLOOKUP($L64,Data_Validation!$A:$E,5,0)</f>
        <v>$</v>
      </c>
      <c r="X64" s="656">
        <f>+VLOOKUP($L64,Data_Validation!$A:$F,6,0)</f>
        <v>0</v>
      </c>
    </row>
    <row r="65" spans="1:24" ht="15" customHeight="1">
      <c r="A65" s="1052" t="s">
        <v>787</v>
      </c>
      <c r="B65" s="1052" t="s">
        <v>2087</v>
      </c>
      <c r="C65" s="1053"/>
      <c r="D65" s="1053"/>
      <c r="E65" s="1053"/>
      <c r="F65" s="1052" t="s">
        <v>2</v>
      </c>
      <c r="G65" s="1052" t="s">
        <v>785</v>
      </c>
      <c r="H65" s="1053"/>
      <c r="I65" s="1054">
        <v>0.5</v>
      </c>
      <c r="J65" s="1054">
        <v>0</v>
      </c>
      <c r="K65" s="1054">
        <v>0.5</v>
      </c>
      <c r="L65" s="653" t="str">
        <f t="shared" si="2"/>
        <v>512</v>
      </c>
      <c r="M65" s="654" t="str">
        <f t="shared" si="0"/>
        <v>DIR. GENERAL USAGES</v>
      </c>
      <c r="N65" s="655">
        <f>+IF(OR($Q65=Parametres!$G$2,$Q65=Parametres!$G$3),I65,C65)</f>
        <v>0.5</v>
      </c>
      <c r="O65" s="711">
        <f>+IF(OR($Q65=Parametres!$G$2,$Q65=Parametres!$G$3),J65,D65)</f>
        <v>0</v>
      </c>
      <c r="P65" s="655">
        <f>+IF(OR($Q65=Parametres!$G$2,$Q65=Parametres!$G$3),K65,E65)</f>
        <v>0.5</v>
      </c>
      <c r="Q65" s="654" t="str">
        <f t="shared" ref="Q65:S65" si="65">+F65</f>
        <v>1-Mémo</v>
      </c>
      <c r="R65" s="653" t="str">
        <f t="shared" si="65"/>
        <v>50</v>
      </c>
      <c r="S65" s="654">
        <f t="shared" si="65"/>
        <v>0</v>
      </c>
      <c r="T65" s="656" t="str">
        <f>+VLOOKUP($L65,Data_Validation!$A:$D,1,0)</f>
        <v>512</v>
      </c>
      <c r="U65" s="656">
        <f>+VLOOKUP($L65,Data_Validation!$A:$D,3,0)</f>
        <v>0</v>
      </c>
      <c r="V65" s="656">
        <f>+VLOOKUP($L65,Data_Validation!$A:$D,4,0)</f>
        <v>0</v>
      </c>
      <c r="W65" s="656" t="str">
        <f>+VLOOKUP($L65,Data_Validation!$A:$E,5,0)</f>
        <v>$</v>
      </c>
      <c r="X65" s="656">
        <f>+VLOOKUP($L65,Data_Validation!$A:$F,6,0)</f>
        <v>0</v>
      </c>
    </row>
    <row r="66" spans="1:24" ht="15" customHeight="1">
      <c r="A66" s="1052" t="s">
        <v>788</v>
      </c>
      <c r="B66" s="1052" t="s">
        <v>1120</v>
      </c>
      <c r="C66" s="1053"/>
      <c r="D66" s="1053"/>
      <c r="E66" s="1053"/>
      <c r="F66" s="1052" t="s">
        <v>2</v>
      </c>
      <c r="G66" s="1052" t="s">
        <v>785</v>
      </c>
      <c r="H66" s="1053"/>
      <c r="I66" s="1054">
        <v>0.5</v>
      </c>
      <c r="J66" s="1054">
        <v>0</v>
      </c>
      <c r="K66" s="1054">
        <v>0.5</v>
      </c>
      <c r="L66" s="653" t="str">
        <f t="shared" si="2"/>
        <v>514</v>
      </c>
      <c r="M66" s="654" t="str">
        <f t="shared" si="0"/>
        <v>DIR. GENERAL SERVICE</v>
      </c>
      <c r="N66" s="655">
        <f>+IF(OR($Q66=Parametres!$G$2,$Q66=Parametres!$G$3),I66,C66)</f>
        <v>0.5</v>
      </c>
      <c r="O66" s="655">
        <f>+IF(OR($Q66=Parametres!$G$2,$Q66=Parametres!$G$3),J66,D66)</f>
        <v>0</v>
      </c>
      <c r="P66" s="655">
        <f>+IF(OR($Q66=Parametres!$G$2,$Q66=Parametres!$G$3),K66,E66)</f>
        <v>0.5</v>
      </c>
      <c r="Q66" s="654" t="str">
        <f t="shared" ref="Q66:S66" si="66">+F66</f>
        <v>1-Mémo</v>
      </c>
      <c r="R66" s="653" t="str">
        <f t="shared" si="66"/>
        <v>50</v>
      </c>
      <c r="S66" s="654">
        <f t="shared" si="66"/>
        <v>0</v>
      </c>
      <c r="T66" s="656" t="str">
        <f>+VLOOKUP($L66,Data_Validation!$A:$D,1,0)</f>
        <v>514</v>
      </c>
      <c r="U66" s="656">
        <f>+VLOOKUP($L66,Data_Validation!$A:$D,3,0)</f>
        <v>0</v>
      </c>
      <c r="V66" s="656">
        <f>+VLOOKUP($L66,Data_Validation!$A:$D,4,0)</f>
        <v>0</v>
      </c>
      <c r="W66" s="656" t="str">
        <f>+VLOOKUP($L66,Data_Validation!$A:$E,5,0)</f>
        <v>$</v>
      </c>
      <c r="X66" s="656">
        <f>+VLOOKUP($L66,Data_Validation!$A:$F,6,0)</f>
        <v>0</v>
      </c>
    </row>
    <row r="67" spans="1:24" ht="15" customHeight="1">
      <c r="A67" s="1052" t="s">
        <v>789</v>
      </c>
      <c r="B67" s="1052" t="s">
        <v>2110</v>
      </c>
      <c r="C67" s="1053"/>
      <c r="D67" s="1053"/>
      <c r="E67" s="1053"/>
      <c r="F67" s="1052" t="s">
        <v>2</v>
      </c>
      <c r="G67" s="1052" t="s">
        <v>785</v>
      </c>
      <c r="H67" s="1053"/>
      <c r="I67" s="1054">
        <v>0.5</v>
      </c>
      <c r="J67" s="1054">
        <v>0</v>
      </c>
      <c r="K67" s="1054">
        <v>0.5</v>
      </c>
      <c r="L67" s="653" t="str">
        <f t="shared" ref="L67:L130" si="67">TEXT(B67,0)</f>
        <v>517</v>
      </c>
      <c r="M67" s="654" t="str">
        <f t="shared" si="0"/>
        <v>DIR. GENERAL PIECES</v>
      </c>
      <c r="N67" s="655">
        <f>+IF(OR($Q67=Parametres!$G$2,$Q67=Parametres!$G$3),I67,C67)</f>
        <v>0.5</v>
      </c>
      <c r="O67" s="659">
        <f>+IF(OR($Q67=Parametres!$G$2,$Q67=Parametres!$G$3),J67,D67)</f>
        <v>0</v>
      </c>
      <c r="P67" s="655">
        <f>+IF(OR($Q67=Parametres!$G$2,$Q67=Parametres!$G$3),K67,E67)</f>
        <v>0.5</v>
      </c>
      <c r="Q67" s="654" t="str">
        <f t="shared" ref="Q67:S67" si="68">+F67</f>
        <v>1-Mémo</v>
      </c>
      <c r="R67" s="653" t="str">
        <f t="shared" si="68"/>
        <v>50</v>
      </c>
      <c r="S67" s="654">
        <f t="shared" si="68"/>
        <v>0</v>
      </c>
      <c r="T67" s="656" t="str">
        <f>+VLOOKUP($L67,Data_Validation!$A:$D,1,0)</f>
        <v>517</v>
      </c>
      <c r="U67" s="656">
        <f>+VLOOKUP($L67,Data_Validation!$A:$D,3,0)</f>
        <v>0</v>
      </c>
      <c r="V67" s="656">
        <f>+VLOOKUP($L67,Data_Validation!$A:$D,4,0)</f>
        <v>0</v>
      </c>
      <c r="W67" s="656" t="str">
        <f>+VLOOKUP($L67,Data_Validation!$A:$E,5,0)</f>
        <v>$</v>
      </c>
      <c r="X67" s="656">
        <f>+VLOOKUP($L67,Data_Validation!$A:$F,6,0)</f>
        <v>0</v>
      </c>
    </row>
    <row r="68" spans="1:24" ht="15" customHeight="1">
      <c r="A68" s="1052" t="s">
        <v>790</v>
      </c>
      <c r="B68" s="1052" t="s">
        <v>2119</v>
      </c>
      <c r="C68" s="1053"/>
      <c r="D68" s="1053"/>
      <c r="E68" s="1053"/>
      <c r="F68" s="1052" t="s">
        <v>2</v>
      </c>
      <c r="G68" s="1052" t="s">
        <v>785</v>
      </c>
      <c r="H68" s="1053"/>
      <c r="I68" s="1054">
        <v>0.5</v>
      </c>
      <c r="J68" s="1054">
        <v>0</v>
      </c>
      <c r="K68" s="1054">
        <v>0.5</v>
      </c>
      <c r="L68" s="653" t="str">
        <f t="shared" si="67"/>
        <v>521</v>
      </c>
      <c r="M68" s="654" t="str">
        <f t="shared" si="0"/>
        <v>DIR. SERVICE NEUFS</v>
      </c>
      <c r="N68" s="655">
        <f>+IF(OR($Q68=Parametres!$G$2,$Q68=Parametres!$G$3),I68,C68)</f>
        <v>0.5</v>
      </c>
      <c r="O68" s="655">
        <f>+IF(OR($Q68=Parametres!$G$2,$Q68=Parametres!$G$3),J68,D68)</f>
        <v>0</v>
      </c>
      <c r="P68" s="655">
        <f>+IF(OR($Q68=Parametres!$G$2,$Q68=Parametres!$G$3),K68,E68)</f>
        <v>0.5</v>
      </c>
      <c r="Q68" s="654" t="str">
        <f t="shared" ref="Q68:S68" si="69">+F68</f>
        <v>1-Mémo</v>
      </c>
      <c r="R68" s="653" t="str">
        <f t="shared" si="69"/>
        <v>50</v>
      </c>
      <c r="S68" s="654">
        <f t="shared" si="69"/>
        <v>0</v>
      </c>
      <c r="T68" s="656" t="str">
        <f>+VLOOKUP($L68,Data_Validation!$A:$D,1,0)</f>
        <v>521</v>
      </c>
      <c r="U68" s="656">
        <f>+VLOOKUP($L68,Data_Validation!$A:$D,3,0)</f>
        <v>0</v>
      </c>
      <c r="V68" s="656">
        <f>+VLOOKUP($L68,Data_Validation!$A:$D,4,0)</f>
        <v>0</v>
      </c>
      <c r="W68" s="656" t="str">
        <f>+VLOOKUP($L68,Data_Validation!$A:$E,5,0)</f>
        <v>$</v>
      </c>
      <c r="X68" s="656">
        <f>+VLOOKUP($L68,Data_Validation!$A:$F,6,0)</f>
        <v>0</v>
      </c>
    </row>
    <row r="69" spans="1:24" ht="15" customHeight="1">
      <c r="A69" s="1052" t="s">
        <v>791</v>
      </c>
      <c r="B69" s="1052" t="s">
        <v>2128</v>
      </c>
      <c r="C69" s="1053"/>
      <c r="D69" s="1053"/>
      <c r="E69" s="1053"/>
      <c r="F69" s="1052" t="s">
        <v>2</v>
      </c>
      <c r="G69" s="1052" t="s">
        <v>785</v>
      </c>
      <c r="H69" s="1053"/>
      <c r="I69" s="1054">
        <v>0.5</v>
      </c>
      <c r="J69" s="1054">
        <v>0</v>
      </c>
      <c r="K69" s="1054">
        <v>0.5</v>
      </c>
      <c r="L69" s="653" t="str">
        <f t="shared" si="67"/>
        <v>522</v>
      </c>
      <c r="M69" s="654" t="str">
        <f t="shared" si="0"/>
        <v>DIR. SERVICE USAGES</v>
      </c>
      <c r="N69" s="655">
        <f>+IF(OR($Q69=Parametres!$G$2,$Q69=Parametres!$G$3),I69,C69)</f>
        <v>0.5</v>
      </c>
      <c r="O69" s="655">
        <f>+IF(OR($Q69=Parametres!$G$2,$Q69=Parametres!$G$3),J69,D69)</f>
        <v>0</v>
      </c>
      <c r="P69" s="655">
        <f>+IF(OR($Q69=Parametres!$G$2,$Q69=Parametres!$G$3),K69,E69)</f>
        <v>0.5</v>
      </c>
      <c r="Q69" s="654" t="str">
        <f t="shared" ref="Q69:S69" si="70">+F69</f>
        <v>1-Mémo</v>
      </c>
      <c r="R69" s="653" t="str">
        <f t="shared" si="70"/>
        <v>50</v>
      </c>
      <c r="S69" s="654">
        <f t="shared" si="70"/>
        <v>0</v>
      </c>
      <c r="T69" s="656" t="str">
        <f>+VLOOKUP($L69,Data_Validation!$A:$D,1,0)</f>
        <v>522</v>
      </c>
      <c r="U69" s="656">
        <f>+VLOOKUP($L69,Data_Validation!$A:$D,3,0)</f>
        <v>0</v>
      </c>
      <c r="V69" s="656">
        <f>+VLOOKUP($L69,Data_Validation!$A:$D,4,0)</f>
        <v>0</v>
      </c>
      <c r="W69" s="656" t="str">
        <f>+VLOOKUP($L69,Data_Validation!$A:$E,5,0)</f>
        <v>$</v>
      </c>
      <c r="X69" s="656">
        <f>+VLOOKUP($L69,Data_Validation!$A:$F,6,0)</f>
        <v>0</v>
      </c>
    </row>
    <row r="70" spans="1:24" ht="15" customHeight="1">
      <c r="A70" s="1052" t="s">
        <v>792</v>
      </c>
      <c r="B70" s="1052" t="s">
        <v>2131</v>
      </c>
      <c r="C70" s="1053"/>
      <c r="D70" s="1053"/>
      <c r="E70" s="1053"/>
      <c r="F70" s="1052" t="s">
        <v>2</v>
      </c>
      <c r="G70" s="1052" t="s">
        <v>785</v>
      </c>
      <c r="H70" s="1053"/>
      <c r="I70" s="1054">
        <v>1</v>
      </c>
      <c r="J70" s="1054">
        <v>0</v>
      </c>
      <c r="K70" s="1054">
        <v>1</v>
      </c>
      <c r="L70" s="653" t="str">
        <f t="shared" si="67"/>
        <v>524</v>
      </c>
      <c r="M70" s="654" t="str">
        <f t="shared" si="0"/>
        <v>DIR. SERVICE SERVICE</v>
      </c>
      <c r="N70" s="655">
        <f>+IF(OR($Q70=Parametres!$G$2,$Q70=Parametres!$G$3),I70,C70)</f>
        <v>1</v>
      </c>
      <c r="O70" s="655">
        <f>+IF(OR($Q70=Parametres!$G$2,$Q70=Parametres!$G$3),J70,D70)</f>
        <v>0</v>
      </c>
      <c r="P70" s="655">
        <f>+IF(OR($Q70=Parametres!$G$2,$Q70=Parametres!$G$3),K70,E70)</f>
        <v>1</v>
      </c>
      <c r="Q70" s="654" t="str">
        <f t="shared" ref="Q70:S70" si="71">+F70</f>
        <v>1-Mémo</v>
      </c>
      <c r="R70" s="653" t="str">
        <f t="shared" si="71"/>
        <v>50</v>
      </c>
      <c r="S70" s="654">
        <f t="shared" si="71"/>
        <v>0</v>
      </c>
      <c r="T70" s="656" t="str">
        <f>+VLOOKUP($L70,Data_Validation!$A:$D,1,0)</f>
        <v>524</v>
      </c>
      <c r="U70" s="656">
        <f>+VLOOKUP($L70,Data_Validation!$A:$D,3,0)</f>
        <v>0</v>
      </c>
      <c r="V70" s="656">
        <f>+VLOOKUP($L70,Data_Validation!$A:$D,4,0)</f>
        <v>0</v>
      </c>
      <c r="W70" s="656" t="str">
        <f>+VLOOKUP($L70,Data_Validation!$A:$E,5,0)</f>
        <v>$</v>
      </c>
      <c r="X70" s="656">
        <f>+VLOOKUP($L70,Data_Validation!$A:$F,6,0)</f>
        <v>0</v>
      </c>
    </row>
    <row r="71" spans="1:24" ht="15" customHeight="1">
      <c r="A71" s="1052" t="s">
        <v>793</v>
      </c>
      <c r="B71" s="1052" t="s">
        <v>2133</v>
      </c>
      <c r="C71" s="1053"/>
      <c r="D71" s="1053"/>
      <c r="E71" s="1053"/>
      <c r="F71" s="1052" t="s">
        <v>2</v>
      </c>
      <c r="G71" s="1052" t="s">
        <v>785</v>
      </c>
      <c r="H71" s="1053"/>
      <c r="I71" s="1054">
        <v>1</v>
      </c>
      <c r="J71" s="1054">
        <v>0</v>
      </c>
      <c r="K71" s="1054">
        <v>1</v>
      </c>
      <c r="L71" s="653" t="str">
        <f t="shared" si="67"/>
        <v>527</v>
      </c>
      <c r="M71" s="654" t="str">
        <f t="shared" si="0"/>
        <v>DIR. SERVICE PIECES</v>
      </c>
      <c r="N71" s="655">
        <f>+IF(OR($Q71=Parametres!$G$2,$Q71=Parametres!$G$3),I71,C71)</f>
        <v>1</v>
      </c>
      <c r="O71" s="659">
        <f>+IF(OR($Q71=Parametres!$G$2,$Q71=Parametres!$G$3),J71,D71)</f>
        <v>0</v>
      </c>
      <c r="P71" s="655">
        <f>+IF(OR($Q71=Parametres!$G$2,$Q71=Parametres!$G$3),K71,E71)</f>
        <v>1</v>
      </c>
      <c r="Q71" s="654" t="str">
        <f t="shared" ref="Q71:S71" si="72">+F71</f>
        <v>1-Mémo</v>
      </c>
      <c r="R71" s="653" t="str">
        <f t="shared" si="72"/>
        <v>50</v>
      </c>
      <c r="S71" s="654">
        <f t="shared" si="72"/>
        <v>0</v>
      </c>
      <c r="T71" s="656" t="str">
        <f>+VLOOKUP($L71,Data_Validation!$A:$D,1,0)</f>
        <v>527</v>
      </c>
      <c r="U71" s="656">
        <f>+VLOOKUP($L71,Data_Validation!$A:$D,3,0)</f>
        <v>0</v>
      </c>
      <c r="V71" s="656">
        <f>+VLOOKUP($L71,Data_Validation!$A:$D,4,0)</f>
        <v>0</v>
      </c>
      <c r="W71" s="656" t="str">
        <f>+VLOOKUP($L71,Data_Validation!$A:$E,5,0)</f>
        <v>$</v>
      </c>
      <c r="X71" s="656">
        <f>+VLOOKUP($L71,Data_Validation!$A:$F,6,0)</f>
        <v>0</v>
      </c>
    </row>
    <row r="72" spans="1:24" ht="15" customHeight="1">
      <c r="A72" s="1052" t="s">
        <v>794</v>
      </c>
      <c r="B72" s="1052" t="s">
        <v>2157</v>
      </c>
      <c r="C72" s="1053"/>
      <c r="D72" s="1053"/>
      <c r="E72" s="1053"/>
      <c r="F72" s="1052" t="s">
        <v>2</v>
      </c>
      <c r="G72" s="1052" t="s">
        <v>3330</v>
      </c>
      <c r="H72" s="1053"/>
      <c r="I72" s="1054">
        <v>6</v>
      </c>
      <c r="J72" s="1054">
        <v>0</v>
      </c>
      <c r="K72" s="1054">
        <v>6</v>
      </c>
      <c r="L72" s="653" t="str">
        <f t="shared" si="67"/>
        <v>541</v>
      </c>
      <c r="M72" s="654" t="str">
        <f t="shared" si="0"/>
        <v>VW REP. DES VENTES - NEUF</v>
      </c>
      <c r="N72" s="655">
        <f>+IF(OR($Q72=Parametres!$G$2,$Q72=Parametres!$G$3),I72,C72)</f>
        <v>6</v>
      </c>
      <c r="O72" s="655">
        <f>+IF(OR($Q72=Parametres!$G$2,$Q72=Parametres!$G$3),J72,D72)</f>
        <v>0</v>
      </c>
      <c r="P72" s="655">
        <f>+IF(OR($Q72=Parametres!$G$2,$Q72=Parametres!$G$3),K72,E72)</f>
        <v>6</v>
      </c>
      <c r="Q72" s="654" t="str">
        <f t="shared" ref="Q72:S72" si="73">+F72</f>
        <v>1-Mémo</v>
      </c>
      <c r="R72" s="653" t="str">
        <f t="shared" si="73"/>
        <v>54</v>
      </c>
      <c r="S72" s="654">
        <f t="shared" si="73"/>
        <v>0</v>
      </c>
      <c r="T72" s="656" t="str">
        <f>+VLOOKUP($L72,Data_Validation!$A:$D,1,0)</f>
        <v>541</v>
      </c>
      <c r="U72" s="656">
        <f>+VLOOKUP($L72,Data_Validation!$A:$D,3,0)</f>
        <v>0</v>
      </c>
      <c r="V72" s="656">
        <f>+VLOOKUP($L72,Data_Validation!$A:$D,4,0)</f>
        <v>0</v>
      </c>
      <c r="W72" s="656" t="str">
        <f>+VLOOKUP($L72,Data_Validation!$A:$E,5,0)</f>
        <v>$</v>
      </c>
      <c r="X72" s="656">
        <f>+VLOOKUP($L72,Data_Validation!$A:$F,6,0)</f>
        <v>0</v>
      </c>
    </row>
    <row r="73" spans="1:24" ht="15" customHeight="1">
      <c r="A73" s="1052" t="s">
        <v>795</v>
      </c>
      <c r="B73" s="1052" t="s">
        <v>2163</v>
      </c>
      <c r="C73" s="1053"/>
      <c r="D73" s="1053"/>
      <c r="E73" s="1053"/>
      <c r="F73" s="1052" t="s">
        <v>2</v>
      </c>
      <c r="G73" s="1052" t="s">
        <v>785</v>
      </c>
      <c r="H73" s="1053"/>
      <c r="I73" s="1054">
        <v>3</v>
      </c>
      <c r="J73" s="1054">
        <v>0</v>
      </c>
      <c r="K73" s="1054">
        <v>3</v>
      </c>
      <c r="L73" s="653" t="str">
        <f t="shared" si="67"/>
        <v>542</v>
      </c>
      <c r="M73" s="654" t="str">
        <f t="shared" si="0"/>
        <v>VW REP. DES VENTES - OCC.</v>
      </c>
      <c r="N73" s="655">
        <f>+IF(OR($Q73=Parametres!$G$2,$Q73=Parametres!$G$3),I73,C73)</f>
        <v>3</v>
      </c>
      <c r="O73" s="655">
        <f>+IF(OR($Q73=Parametres!$G$2,$Q73=Parametres!$G$3),J73,D73)</f>
        <v>0</v>
      </c>
      <c r="P73" s="655">
        <f>+IF(OR($Q73=Parametres!$G$2,$Q73=Parametres!$G$3),K73,E73)</f>
        <v>3</v>
      </c>
      <c r="Q73" s="654" t="str">
        <f t="shared" ref="Q73:S73" si="74">+F73</f>
        <v>1-Mémo</v>
      </c>
      <c r="R73" s="653" t="str">
        <f t="shared" si="74"/>
        <v>50</v>
      </c>
      <c r="S73" s="654">
        <f t="shared" si="74"/>
        <v>0</v>
      </c>
      <c r="T73" s="656" t="str">
        <f>+VLOOKUP($L73,Data_Validation!$A:$D,1,0)</f>
        <v>542</v>
      </c>
      <c r="U73" s="656">
        <f>+VLOOKUP($L73,Data_Validation!$A:$D,3,0)</f>
        <v>0</v>
      </c>
      <c r="V73" s="656">
        <f>+VLOOKUP($L73,Data_Validation!$A:$D,4,0)</f>
        <v>0</v>
      </c>
      <c r="W73" s="656" t="str">
        <f>+VLOOKUP($L73,Data_Validation!$A:$E,5,0)</f>
        <v>$</v>
      </c>
      <c r="X73" s="656">
        <f>+VLOOKUP($L73,Data_Validation!$A:$F,6,0)</f>
        <v>0</v>
      </c>
    </row>
    <row r="74" spans="1:24" ht="15" customHeight="1">
      <c r="A74" s="1052" t="s">
        <v>796</v>
      </c>
      <c r="B74" s="1052" t="s">
        <v>2178</v>
      </c>
      <c r="C74" s="1053"/>
      <c r="D74" s="1053"/>
      <c r="E74" s="1053"/>
      <c r="F74" s="1052" t="s">
        <v>2</v>
      </c>
      <c r="G74" s="1052" t="s">
        <v>785</v>
      </c>
      <c r="H74" s="1053"/>
      <c r="I74" s="1054">
        <v>1.5</v>
      </c>
      <c r="J74" s="1054">
        <v>0</v>
      </c>
      <c r="K74" s="1054">
        <v>1.5</v>
      </c>
      <c r="L74" s="653" t="str">
        <f t="shared" si="67"/>
        <v>551</v>
      </c>
      <c r="M74" s="654" t="str">
        <f t="shared" si="0"/>
        <v>DIR. COMMERCIAL NEUFS</v>
      </c>
      <c r="N74" s="655">
        <f>+IF(OR($Q74=Parametres!$G$2,$Q74=Parametres!$G$3),I74,C74)</f>
        <v>1.5</v>
      </c>
      <c r="O74" s="655">
        <f>+IF(OR($Q74=Parametres!$G$2,$Q74=Parametres!$G$3),J74,D74)</f>
        <v>0</v>
      </c>
      <c r="P74" s="655">
        <f>+IF(OR($Q74=Parametres!$G$2,$Q74=Parametres!$G$3),K74,E74)</f>
        <v>1.5</v>
      </c>
      <c r="Q74" s="654" t="str">
        <f t="shared" ref="Q74:S74" si="75">+F74</f>
        <v>1-Mémo</v>
      </c>
      <c r="R74" s="653" t="str">
        <f t="shared" si="75"/>
        <v>50</v>
      </c>
      <c r="S74" s="654">
        <f t="shared" si="75"/>
        <v>0</v>
      </c>
      <c r="T74" s="656" t="str">
        <f>+VLOOKUP($L74,Data_Validation!$A:$D,1,0)</f>
        <v>551</v>
      </c>
      <c r="U74" s="656">
        <f>+VLOOKUP($L74,Data_Validation!$A:$D,3,0)</f>
        <v>0</v>
      </c>
      <c r="V74" s="656">
        <f>+VLOOKUP($L74,Data_Validation!$A:$D,4,0)</f>
        <v>0</v>
      </c>
      <c r="W74" s="656" t="str">
        <f>+VLOOKUP($L74,Data_Validation!$A:$E,5,0)</f>
        <v>$</v>
      </c>
      <c r="X74" s="656">
        <f>+VLOOKUP($L74,Data_Validation!$A:$F,6,0)</f>
        <v>0</v>
      </c>
    </row>
    <row r="75" spans="1:24" ht="15" customHeight="1">
      <c r="A75" s="1052" t="s">
        <v>797</v>
      </c>
      <c r="B75" s="1052" t="s">
        <v>2181</v>
      </c>
      <c r="C75" s="1053"/>
      <c r="D75" s="1053"/>
      <c r="E75" s="1053"/>
      <c r="F75" s="1052" t="s">
        <v>2</v>
      </c>
      <c r="G75" s="1052" t="s">
        <v>785</v>
      </c>
      <c r="H75" s="1053"/>
      <c r="I75" s="1054">
        <v>1.5</v>
      </c>
      <c r="J75" s="1054">
        <v>0</v>
      </c>
      <c r="K75" s="1054">
        <v>1.5</v>
      </c>
      <c r="L75" s="653" t="str">
        <f t="shared" si="67"/>
        <v>552</v>
      </c>
      <c r="M75" s="654" t="str">
        <f t="shared" si="0"/>
        <v>DIR. COMMERCIAL USAGES</v>
      </c>
      <c r="N75" s="655">
        <f>+IF(OR($Q75=Parametres!$G$2,$Q75=Parametres!$G$3),I75,C75)</f>
        <v>1.5</v>
      </c>
      <c r="O75" s="655">
        <f>+IF(OR($Q75=Parametres!$G$2,$Q75=Parametres!$G$3),J75,D75)</f>
        <v>0</v>
      </c>
      <c r="P75" s="655">
        <f>+IF(OR($Q75=Parametres!$G$2,$Q75=Parametres!$G$3),K75,E75)</f>
        <v>1.5</v>
      </c>
      <c r="Q75" s="654" t="str">
        <f t="shared" ref="Q75:S75" si="76">+F75</f>
        <v>1-Mémo</v>
      </c>
      <c r="R75" s="653" t="str">
        <f t="shared" si="76"/>
        <v>50</v>
      </c>
      <c r="S75" s="654">
        <f t="shared" si="76"/>
        <v>0</v>
      </c>
      <c r="T75" s="656" t="str">
        <f>+VLOOKUP($L75,Data_Validation!$A:$D,1,0)</f>
        <v>552</v>
      </c>
      <c r="U75" s="656">
        <f>+VLOOKUP($L75,Data_Validation!$A:$D,3,0)</f>
        <v>0</v>
      </c>
      <c r="V75" s="656">
        <f>+VLOOKUP($L75,Data_Validation!$A:$D,4,0)</f>
        <v>0</v>
      </c>
      <c r="W75" s="656" t="str">
        <f>+VLOOKUP($L75,Data_Validation!$A:$E,5,0)</f>
        <v>$</v>
      </c>
      <c r="X75" s="656">
        <f>+VLOOKUP($L75,Data_Validation!$A:$F,6,0)</f>
        <v>0</v>
      </c>
    </row>
    <row r="76" spans="1:24" ht="15" customHeight="1">
      <c r="A76" s="1052" t="s">
        <v>798</v>
      </c>
      <c r="B76" s="1052" t="s">
        <v>3355</v>
      </c>
      <c r="C76" s="1053"/>
      <c r="D76" s="1053"/>
      <c r="E76" s="1053"/>
      <c r="F76" s="1052" t="s">
        <v>2</v>
      </c>
      <c r="G76" s="1052" t="s">
        <v>785</v>
      </c>
      <c r="H76" s="1053"/>
      <c r="I76" s="1054">
        <v>1</v>
      </c>
      <c r="J76" s="1054">
        <v>0</v>
      </c>
      <c r="K76" s="1054">
        <v>1</v>
      </c>
      <c r="L76" s="653" t="str">
        <f t="shared" si="67"/>
        <v>564</v>
      </c>
      <c r="M76" s="654" t="str">
        <f t="shared" si="0"/>
        <v>CONTREMAITRE SERVICE</v>
      </c>
      <c r="N76" s="655">
        <f>+IF(OR($Q76=Parametres!$G$2,$Q76=Parametres!$G$3),I76,C76)</f>
        <v>1</v>
      </c>
      <c r="O76" s="655">
        <f>+IF(OR($Q76=Parametres!$G$2,$Q76=Parametres!$G$3),J76,D76)</f>
        <v>0</v>
      </c>
      <c r="P76" s="655">
        <f>+IF(OR($Q76=Parametres!$G$2,$Q76=Parametres!$G$3),K76,E76)</f>
        <v>1</v>
      </c>
      <c r="Q76" s="654" t="str">
        <f t="shared" ref="Q76:S76" si="77">+F76</f>
        <v>1-Mémo</v>
      </c>
      <c r="R76" s="653" t="str">
        <f t="shared" si="77"/>
        <v>50</v>
      </c>
      <c r="S76" s="654">
        <f t="shared" si="77"/>
        <v>0</v>
      </c>
      <c r="T76" s="656" t="str">
        <f>+VLOOKUP($L76,Data_Validation!$A:$D,1,0)</f>
        <v>564</v>
      </c>
      <c r="U76" s="656">
        <f>+VLOOKUP($L76,Data_Validation!$A:$D,3,0)</f>
        <v>0</v>
      </c>
      <c r="V76" s="656">
        <f>+VLOOKUP($L76,Data_Validation!$A:$D,4,0)</f>
        <v>0</v>
      </c>
      <c r="W76" s="656" t="str">
        <f>+VLOOKUP($L76,Data_Validation!$A:$E,5,0)</f>
        <v>$</v>
      </c>
      <c r="X76" s="656">
        <f>+VLOOKUP($L76,Data_Validation!$A:$F,6,0)</f>
        <v>0</v>
      </c>
    </row>
    <row r="77" spans="1:24" ht="15" customHeight="1">
      <c r="A77" s="1052" t="s">
        <v>799</v>
      </c>
      <c r="B77" s="1052" t="s">
        <v>2276</v>
      </c>
      <c r="C77" s="1053"/>
      <c r="D77" s="1053"/>
      <c r="E77" s="1053"/>
      <c r="F77" s="1052" t="s">
        <v>2</v>
      </c>
      <c r="G77" s="1052" t="s">
        <v>3331</v>
      </c>
      <c r="H77" s="1053"/>
      <c r="I77" s="1054">
        <v>5</v>
      </c>
      <c r="J77" s="1054">
        <v>0</v>
      </c>
      <c r="K77" s="1054">
        <v>5</v>
      </c>
      <c r="L77" s="653" t="str">
        <f t="shared" si="67"/>
        <v>614</v>
      </c>
      <c r="M77" s="654" t="str">
        <f t="shared" si="0"/>
        <v>VW CONSEILLERS SERVICE -SERVICE</v>
      </c>
      <c r="N77" s="655">
        <f>+IF(OR($Q77=Parametres!$G$2,$Q77=Parametres!$G$3),I77,C77)</f>
        <v>5</v>
      </c>
      <c r="O77" s="655">
        <f>+IF(OR($Q77=Parametres!$G$2,$Q77=Parametres!$G$3),J77,D77)</f>
        <v>0</v>
      </c>
      <c r="P77" s="655">
        <f>+IF(OR($Q77=Parametres!$G$2,$Q77=Parametres!$G$3),K77,E77)</f>
        <v>5</v>
      </c>
      <c r="Q77" s="654" t="str">
        <f t="shared" ref="Q77:S77" si="78">+F77</f>
        <v>1-Mémo</v>
      </c>
      <c r="R77" s="653" t="str">
        <f t="shared" si="78"/>
        <v>61</v>
      </c>
      <c r="S77" s="654">
        <f t="shared" si="78"/>
        <v>0</v>
      </c>
      <c r="T77" s="656" t="str">
        <f>+VLOOKUP($L77,Data_Validation!$A:$D,1,0)</f>
        <v>614</v>
      </c>
      <c r="U77" s="656">
        <f>+VLOOKUP($L77,Data_Validation!$A:$D,3,0)</f>
        <v>0</v>
      </c>
      <c r="V77" s="656">
        <f>+VLOOKUP($L77,Data_Validation!$A:$D,4,0)</f>
        <v>0</v>
      </c>
      <c r="W77" s="656" t="str">
        <f>+VLOOKUP($L77,Data_Validation!$A:$E,5,0)</f>
        <v>$</v>
      </c>
      <c r="X77" s="656">
        <f>+VLOOKUP($L77,Data_Validation!$A:$F,6,0)</f>
        <v>0</v>
      </c>
    </row>
    <row r="78" spans="1:24" ht="15" customHeight="1">
      <c r="A78" s="1052" t="s">
        <v>800</v>
      </c>
      <c r="B78" s="1052" t="s">
        <v>1208</v>
      </c>
      <c r="C78" s="1053"/>
      <c r="D78" s="1053"/>
      <c r="E78" s="1053"/>
      <c r="F78" s="1052" t="s">
        <v>2</v>
      </c>
      <c r="G78" s="1052" t="s">
        <v>3331</v>
      </c>
      <c r="H78" s="1053"/>
      <c r="I78" s="1054">
        <v>1</v>
      </c>
      <c r="J78" s="1054">
        <v>0</v>
      </c>
      <c r="K78" s="1054">
        <v>1</v>
      </c>
      <c r="L78" s="653" t="str">
        <f t="shared" si="67"/>
        <v>615</v>
      </c>
      <c r="M78" s="654" t="str">
        <f t="shared" si="0"/>
        <v>VW CONSEILLERS SERVICE - PIEC. &amp; CARR.&lt;</v>
      </c>
      <c r="N78" s="655">
        <f>+IF(OR($Q78=Parametres!$G$2,$Q78=Parametres!$G$3),I78,C78)</f>
        <v>1</v>
      </c>
      <c r="O78" s="659">
        <f>+IF(OR($Q78=Parametres!$G$2,$Q78=Parametres!$G$3),J78,D78)</f>
        <v>0</v>
      </c>
      <c r="P78" s="655">
        <f>+IF(OR($Q78=Parametres!$G$2,$Q78=Parametres!$G$3),K78,E78)</f>
        <v>1</v>
      </c>
      <c r="Q78" s="654" t="str">
        <f t="shared" ref="Q78:S78" si="79">+F78</f>
        <v>1-Mémo</v>
      </c>
      <c r="R78" s="653" t="str">
        <f t="shared" si="79"/>
        <v>61</v>
      </c>
      <c r="S78" s="654">
        <f t="shared" si="79"/>
        <v>0</v>
      </c>
      <c r="T78" s="656" t="str">
        <f>+VLOOKUP($L78,Data_Validation!$A:$D,1,0)</f>
        <v>615</v>
      </c>
      <c r="U78" s="656">
        <f>+VLOOKUP($L78,Data_Validation!$A:$D,3,0)</f>
        <v>0</v>
      </c>
      <c r="V78" s="656">
        <f>+VLOOKUP($L78,Data_Validation!$A:$D,4,0)</f>
        <v>0</v>
      </c>
      <c r="W78" s="656" t="str">
        <f>+VLOOKUP($L78,Data_Validation!$A:$E,5,0)</f>
        <v>$</v>
      </c>
      <c r="X78" s="656">
        <f>+VLOOKUP($L78,Data_Validation!$A:$F,6,0)</f>
        <v>0</v>
      </c>
    </row>
    <row r="79" spans="1:24" ht="15" customHeight="1">
      <c r="A79" s="1052" t="s">
        <v>801</v>
      </c>
      <c r="B79" s="1052" t="s">
        <v>2337</v>
      </c>
      <c r="C79" s="1053"/>
      <c r="D79" s="1053"/>
      <c r="E79" s="1053"/>
      <c r="F79" s="1052" t="s">
        <v>2</v>
      </c>
      <c r="G79" s="1052" t="s">
        <v>785</v>
      </c>
      <c r="H79" s="1053"/>
      <c r="I79" s="1054">
        <v>1</v>
      </c>
      <c r="J79" s="1054">
        <v>0</v>
      </c>
      <c r="K79" s="1054">
        <v>1</v>
      </c>
      <c r="L79" s="653" t="str">
        <f t="shared" si="67"/>
        <v>621</v>
      </c>
      <c r="M79" s="654" t="str">
        <f t="shared" si="0"/>
        <v>LAVEURS NEUFS</v>
      </c>
      <c r="N79" s="655">
        <f>+IF(OR($Q79=Parametres!$G$2,$Q79=Parametres!$G$3),I79,C79)</f>
        <v>1</v>
      </c>
      <c r="O79" s="655">
        <f>+IF(OR($Q79=Parametres!$G$2,$Q79=Parametres!$G$3),J79,D79)</f>
        <v>0</v>
      </c>
      <c r="P79" s="655">
        <f>+IF(OR($Q79=Parametres!$G$2,$Q79=Parametres!$G$3),K79,E79)</f>
        <v>1</v>
      </c>
      <c r="Q79" s="654" t="str">
        <f t="shared" ref="Q79:S79" si="80">+F79</f>
        <v>1-Mémo</v>
      </c>
      <c r="R79" s="653" t="str">
        <f t="shared" si="80"/>
        <v>50</v>
      </c>
      <c r="S79" s="654">
        <f t="shared" si="80"/>
        <v>0</v>
      </c>
      <c r="T79" s="656" t="str">
        <f>+VLOOKUP($L79,Data_Validation!$A:$D,1,0)</f>
        <v>621</v>
      </c>
      <c r="U79" s="656">
        <f>+VLOOKUP($L79,Data_Validation!$A:$D,3,0)</f>
        <v>0</v>
      </c>
      <c r="V79" s="656">
        <f>+VLOOKUP($L79,Data_Validation!$A:$D,4,0)</f>
        <v>0</v>
      </c>
      <c r="W79" s="656" t="str">
        <f>+VLOOKUP($L79,Data_Validation!$A:$E,5,0)</f>
        <v>$</v>
      </c>
      <c r="X79" s="656">
        <f>+VLOOKUP($L79,Data_Validation!$A:$F,6,0)</f>
        <v>0</v>
      </c>
    </row>
    <row r="80" spans="1:24" ht="15.75" customHeight="1">
      <c r="A80" s="1052" t="s">
        <v>802</v>
      </c>
      <c r="B80" s="1052" t="s">
        <v>2346</v>
      </c>
      <c r="C80" s="1053"/>
      <c r="D80" s="1053"/>
      <c r="E80" s="1053"/>
      <c r="F80" s="1052" t="s">
        <v>2</v>
      </c>
      <c r="G80" s="1052" t="s">
        <v>785</v>
      </c>
      <c r="H80" s="1053"/>
      <c r="I80" s="1054">
        <v>1</v>
      </c>
      <c r="J80" s="1054">
        <v>0</v>
      </c>
      <c r="K80" s="1054">
        <v>1</v>
      </c>
      <c r="L80" s="653" t="str">
        <f t="shared" si="67"/>
        <v>622</v>
      </c>
      <c r="M80" s="654" t="str">
        <f t="shared" si="0"/>
        <v>LAVEURS USAGES</v>
      </c>
      <c r="N80" s="655">
        <f>+IF(OR($Q80=Parametres!$G$2,$Q80=Parametres!$G$3),I80,C80)</f>
        <v>1</v>
      </c>
      <c r="O80" s="655">
        <f>+IF(OR($Q80=Parametres!$G$2,$Q80=Parametres!$G$3),J80,D80)</f>
        <v>0</v>
      </c>
      <c r="P80" s="655">
        <f>+IF(OR($Q80=Parametres!$G$2,$Q80=Parametres!$G$3),K80,E80)</f>
        <v>1</v>
      </c>
      <c r="Q80" s="654" t="str">
        <f t="shared" ref="Q80:S80" si="81">+F80</f>
        <v>1-Mémo</v>
      </c>
      <c r="R80" s="653" t="str">
        <f t="shared" si="81"/>
        <v>50</v>
      </c>
      <c r="S80" s="654">
        <f t="shared" si="81"/>
        <v>0</v>
      </c>
      <c r="T80" s="656" t="str">
        <f>+VLOOKUP($L80,Data_Validation!$A:$D,1,0)</f>
        <v>622</v>
      </c>
      <c r="U80" s="656">
        <f>+VLOOKUP($L80,Data_Validation!$A:$D,3,0)</f>
        <v>0</v>
      </c>
      <c r="V80" s="656">
        <f>+VLOOKUP($L80,Data_Validation!$A:$D,4,0)</f>
        <v>0</v>
      </c>
      <c r="W80" s="656" t="str">
        <f>+VLOOKUP($L80,Data_Validation!$A:$E,5,0)</f>
        <v>$</v>
      </c>
      <c r="X80" s="656">
        <f>+VLOOKUP($L80,Data_Validation!$A:$F,6,0)</f>
        <v>0</v>
      </c>
    </row>
    <row r="81" spans="1:24" ht="15" customHeight="1">
      <c r="A81" s="1052" t="s">
        <v>803</v>
      </c>
      <c r="B81" s="1052" t="s">
        <v>2371</v>
      </c>
      <c r="C81" s="1053"/>
      <c r="D81" s="1053"/>
      <c r="E81" s="1053"/>
      <c r="F81" s="1052" t="s">
        <v>2</v>
      </c>
      <c r="G81" s="1052" t="s">
        <v>785</v>
      </c>
      <c r="H81" s="1053"/>
      <c r="I81" s="1054">
        <v>7</v>
      </c>
      <c r="J81" s="1054">
        <v>0</v>
      </c>
      <c r="K81" s="1054">
        <v>7</v>
      </c>
      <c r="L81" s="653" t="str">
        <f t="shared" si="67"/>
        <v>624</v>
      </c>
      <c r="M81" s="654" t="str">
        <f t="shared" si="0"/>
        <v>LAVEURS SERVICE</v>
      </c>
      <c r="N81" s="655">
        <f>+IF(OR($Q81=Parametres!$G$2,$Q81=Parametres!$G$3),I81,C81)</f>
        <v>7</v>
      </c>
      <c r="O81" s="655">
        <f>+IF(OR($Q81=Parametres!$G$2,$Q81=Parametres!$G$3),J81,D81)</f>
        <v>0</v>
      </c>
      <c r="P81" s="655">
        <f>+IF(OR($Q81=Parametres!$G$2,$Q81=Parametres!$G$3),K81,E81)</f>
        <v>7</v>
      </c>
      <c r="Q81" s="654" t="str">
        <f t="shared" ref="Q81:S81" si="82">+F81</f>
        <v>1-Mémo</v>
      </c>
      <c r="R81" s="653" t="str">
        <f t="shared" si="82"/>
        <v>50</v>
      </c>
      <c r="S81" s="654">
        <f t="shared" si="82"/>
        <v>0</v>
      </c>
      <c r="T81" s="656" t="str">
        <f>+VLOOKUP($L81,Data_Validation!$A:$D,1,0)</f>
        <v>624</v>
      </c>
      <c r="U81" s="656">
        <f>+VLOOKUP($L81,Data_Validation!$A:$D,3,0)</f>
        <v>0</v>
      </c>
      <c r="V81" s="656">
        <f>+VLOOKUP($L81,Data_Validation!$A:$D,4,0)</f>
        <v>0</v>
      </c>
      <c r="W81" s="656" t="str">
        <f>+VLOOKUP($L81,Data_Validation!$A:$E,5,0)</f>
        <v>$</v>
      </c>
      <c r="X81" s="656">
        <f>+VLOOKUP($L81,Data_Validation!$A:$F,6,0)</f>
        <v>0</v>
      </c>
    </row>
    <row r="82" spans="1:24" ht="15" customHeight="1">
      <c r="A82" s="1052" t="s">
        <v>804</v>
      </c>
      <c r="B82" s="1052" t="s">
        <v>2469</v>
      </c>
      <c r="C82" s="1053"/>
      <c r="D82" s="1053"/>
      <c r="E82" s="1053"/>
      <c r="F82" s="1052" t="s">
        <v>2</v>
      </c>
      <c r="G82" s="1052" t="s">
        <v>3332</v>
      </c>
      <c r="H82" s="1053"/>
      <c r="I82" s="1054">
        <v>12</v>
      </c>
      <c r="J82" s="1054">
        <v>0</v>
      </c>
      <c r="K82" s="1054">
        <v>12</v>
      </c>
      <c r="L82" s="653" t="str">
        <f t="shared" si="67"/>
        <v>644</v>
      </c>
      <c r="M82" s="654" t="str">
        <f t="shared" si="0"/>
        <v>VW TECHNICIENS - SERVICE</v>
      </c>
      <c r="N82" s="655">
        <f>+IF(OR($Q82=Parametres!$G$2,$Q82=Parametres!$G$3),I82,C82)</f>
        <v>12</v>
      </c>
      <c r="O82" s="655">
        <f>+IF(OR($Q82=Parametres!$G$2,$Q82=Parametres!$G$3),J82,D82)</f>
        <v>0</v>
      </c>
      <c r="P82" s="655">
        <f>+IF(OR($Q82=Parametres!$G$2,$Q82=Parametres!$G$3),K82,E82)</f>
        <v>12</v>
      </c>
      <c r="Q82" s="654" t="str">
        <f t="shared" ref="Q82:S82" si="83">+F82</f>
        <v>1-Mémo</v>
      </c>
      <c r="R82" s="653" t="str">
        <f t="shared" si="83"/>
        <v>64</v>
      </c>
      <c r="S82" s="654">
        <f t="shared" si="83"/>
        <v>0</v>
      </c>
      <c r="T82" s="656" t="str">
        <f>+VLOOKUP($L82,Data_Validation!$A:$D,1,0)</f>
        <v>644</v>
      </c>
      <c r="U82" s="656">
        <f>+VLOOKUP($L82,Data_Validation!$A:$D,3,0)</f>
        <v>0</v>
      </c>
      <c r="V82" s="656">
        <f>+VLOOKUP($L82,Data_Validation!$A:$D,4,0)</f>
        <v>0</v>
      </c>
      <c r="W82" s="656" t="str">
        <f>+VLOOKUP($L82,Data_Validation!$A:$E,5,0)</f>
        <v>$</v>
      </c>
      <c r="X82" s="656">
        <f>+VLOOKUP($L82,Data_Validation!$A:$F,6,0)</f>
        <v>0</v>
      </c>
    </row>
    <row r="83" spans="1:24" ht="15" customHeight="1">
      <c r="A83" s="1052" t="s">
        <v>805</v>
      </c>
      <c r="B83" s="1052" t="s">
        <v>2538</v>
      </c>
      <c r="C83" s="1053"/>
      <c r="D83" s="1053"/>
      <c r="E83" s="1053"/>
      <c r="F83" s="1052" t="s">
        <v>2</v>
      </c>
      <c r="G83" s="1052" t="s">
        <v>785</v>
      </c>
      <c r="H83" s="1053"/>
      <c r="I83" s="1054">
        <v>0.2</v>
      </c>
      <c r="J83" s="1054">
        <v>0</v>
      </c>
      <c r="K83" s="1054">
        <v>0.2</v>
      </c>
      <c r="L83" s="653" t="str">
        <f t="shared" si="67"/>
        <v>651</v>
      </c>
      <c r="M83" s="654" t="str">
        <f t="shared" si="0"/>
        <v>DIR. ADMINIS. NEUFS</v>
      </c>
      <c r="N83" s="655">
        <f>+IF(OR($Q83=Parametres!$G$2,$Q83=Parametres!$G$3),I83,C83)</f>
        <v>0.2</v>
      </c>
      <c r="O83" s="655">
        <f>+IF(OR($Q83=Parametres!$G$2,$Q83=Parametres!$G$3),J83,D83)</f>
        <v>0</v>
      </c>
      <c r="P83" s="655">
        <f>+IF(OR($Q83=Parametres!$G$2,$Q83=Parametres!$G$3),K83,E83)</f>
        <v>0.2</v>
      </c>
      <c r="Q83" s="654" t="str">
        <f t="shared" ref="Q83:S83" si="84">+F83</f>
        <v>1-Mémo</v>
      </c>
      <c r="R83" s="653" t="str">
        <f t="shared" si="84"/>
        <v>50</v>
      </c>
      <c r="S83" s="654">
        <f t="shared" si="84"/>
        <v>0</v>
      </c>
      <c r="T83" s="656" t="str">
        <f>+VLOOKUP($L83,Data_Validation!$A:$D,1,0)</f>
        <v>651</v>
      </c>
      <c r="U83" s="656">
        <f>+VLOOKUP($L83,Data_Validation!$A:$D,3,0)</f>
        <v>0</v>
      </c>
      <c r="V83" s="656">
        <f>+VLOOKUP($L83,Data_Validation!$A:$D,4,0)</f>
        <v>0</v>
      </c>
      <c r="W83" s="656" t="str">
        <f>+VLOOKUP($L83,Data_Validation!$A:$E,5,0)</f>
        <v>$</v>
      </c>
      <c r="X83" s="656">
        <f>+VLOOKUP($L83,Data_Validation!$A:$F,6,0)</f>
        <v>0</v>
      </c>
    </row>
    <row r="84" spans="1:24" ht="15.75" customHeight="1">
      <c r="A84" s="1052" t="s">
        <v>806</v>
      </c>
      <c r="B84" s="1052" t="s">
        <v>2544</v>
      </c>
      <c r="C84" s="1053"/>
      <c r="D84" s="1053"/>
      <c r="E84" s="1053"/>
      <c r="F84" s="1052" t="s">
        <v>2</v>
      </c>
      <c r="G84" s="1052" t="s">
        <v>785</v>
      </c>
      <c r="H84" s="1053"/>
      <c r="I84" s="1054">
        <v>0.2</v>
      </c>
      <c r="J84" s="1054">
        <v>0</v>
      </c>
      <c r="K84" s="1054">
        <v>0.2</v>
      </c>
      <c r="L84" s="653" t="str">
        <f t="shared" si="67"/>
        <v>652</v>
      </c>
      <c r="M84" s="654" t="str">
        <f t="shared" si="0"/>
        <v>DIR. ADMINIS. USAGES</v>
      </c>
      <c r="N84" s="655">
        <f>+IF(OR($Q84=Parametres!$G$2,$Q84=Parametres!$G$3),I84,C84)</f>
        <v>0.2</v>
      </c>
      <c r="O84" s="659">
        <f>+IF(OR($Q84=Parametres!$G$2,$Q84=Parametres!$G$3),J84,D84)</f>
        <v>0</v>
      </c>
      <c r="P84" s="655">
        <f>+IF(OR($Q84=Parametres!$G$2,$Q84=Parametres!$G$3),K84,E84)</f>
        <v>0.2</v>
      </c>
      <c r="Q84" s="654" t="str">
        <f t="shared" ref="Q84:S84" si="85">+F84</f>
        <v>1-Mémo</v>
      </c>
      <c r="R84" s="653" t="str">
        <f t="shared" si="85"/>
        <v>50</v>
      </c>
      <c r="S84" s="654">
        <f t="shared" si="85"/>
        <v>0</v>
      </c>
      <c r="T84" s="656" t="str">
        <f>+VLOOKUP($L84,Data_Validation!$A:$D,1,0)</f>
        <v>652</v>
      </c>
      <c r="U84" s="656">
        <f>+VLOOKUP($L84,Data_Validation!$A:$D,3,0)</f>
        <v>0</v>
      </c>
      <c r="V84" s="656">
        <f>+VLOOKUP($L84,Data_Validation!$A:$D,4,0)</f>
        <v>0</v>
      </c>
      <c r="W84" s="656" t="str">
        <f>+VLOOKUP($L84,Data_Validation!$A:$E,5,0)</f>
        <v>$</v>
      </c>
      <c r="X84" s="656">
        <f>+VLOOKUP($L84,Data_Validation!$A:$F,6,0)</f>
        <v>0</v>
      </c>
    </row>
    <row r="85" spans="1:24" ht="15" customHeight="1">
      <c r="A85" s="1052" t="s">
        <v>807</v>
      </c>
      <c r="B85" s="1052" t="s">
        <v>2574</v>
      </c>
      <c r="C85" s="1053"/>
      <c r="D85" s="1053"/>
      <c r="E85" s="1053"/>
      <c r="F85" s="1052" t="s">
        <v>2</v>
      </c>
      <c r="G85" s="1052" t="s">
        <v>785</v>
      </c>
      <c r="H85" s="1053"/>
      <c r="I85" s="1054">
        <v>0.2</v>
      </c>
      <c r="J85" s="1054">
        <v>0</v>
      </c>
      <c r="K85" s="1054">
        <v>0.2</v>
      </c>
      <c r="L85" s="653" t="str">
        <f t="shared" si="67"/>
        <v>654</v>
      </c>
      <c r="M85" s="654" t="str">
        <f t="shared" si="0"/>
        <v>DIR. ADMINIS. SERVICE</v>
      </c>
      <c r="N85" s="655">
        <f>+IF(OR($Q85=Parametres!$G$2,$Q85=Parametres!$G$3),I85,C85)</f>
        <v>0.2</v>
      </c>
      <c r="O85" s="659">
        <f>+IF(OR($Q85=Parametres!$G$2,$Q85=Parametres!$G$3),J85,D85)</f>
        <v>0</v>
      </c>
      <c r="P85" s="655">
        <f>+IF(OR($Q85=Parametres!$G$2,$Q85=Parametres!$G$3),K85,E85)</f>
        <v>0.2</v>
      </c>
      <c r="Q85" s="654" t="str">
        <f t="shared" ref="Q85:S85" si="86">+F85</f>
        <v>1-Mémo</v>
      </c>
      <c r="R85" s="653" t="str">
        <f t="shared" si="86"/>
        <v>50</v>
      </c>
      <c r="S85" s="654">
        <f t="shared" si="86"/>
        <v>0</v>
      </c>
      <c r="T85" s="656" t="str">
        <f>+VLOOKUP($L85,Data_Validation!$A:$D,1,0)</f>
        <v>654</v>
      </c>
      <c r="U85" s="656">
        <f>+VLOOKUP($L85,Data_Validation!$A:$D,3,0)</f>
        <v>0</v>
      </c>
      <c r="V85" s="656">
        <f>+VLOOKUP($L85,Data_Validation!$A:$D,4,0)</f>
        <v>0</v>
      </c>
      <c r="W85" s="656" t="str">
        <f>+VLOOKUP($L85,Data_Validation!$A:$E,5,0)</f>
        <v>$</v>
      </c>
      <c r="X85" s="656">
        <f>+VLOOKUP($L85,Data_Validation!$A:$F,6,0)</f>
        <v>0</v>
      </c>
    </row>
    <row r="86" spans="1:24" ht="15" customHeight="1">
      <c r="A86" s="1052" t="s">
        <v>808</v>
      </c>
      <c r="B86" s="1052" t="s">
        <v>1267</v>
      </c>
      <c r="C86" s="1053"/>
      <c r="D86" s="1053"/>
      <c r="E86" s="1053"/>
      <c r="F86" s="1052" t="s">
        <v>2</v>
      </c>
      <c r="G86" s="1052" t="s">
        <v>785</v>
      </c>
      <c r="H86" s="1053"/>
      <c r="I86" s="1054">
        <v>0.2</v>
      </c>
      <c r="J86" s="1054">
        <v>0</v>
      </c>
      <c r="K86" s="1054">
        <v>0.2</v>
      </c>
      <c r="L86" s="653" t="str">
        <f t="shared" si="67"/>
        <v>655</v>
      </c>
      <c r="M86" s="654" t="str">
        <f t="shared" si="0"/>
        <v>DIR. ADMINIS. CARROSS.</v>
      </c>
      <c r="N86" s="655">
        <f>+IF(OR($Q86=Parametres!$G$2,$Q86=Parametres!$G$3),I86,C86)</f>
        <v>0.2</v>
      </c>
      <c r="O86" s="655">
        <f>+IF(OR($Q86=Parametres!$G$2,$Q86=Parametres!$G$3),J86,D86)</f>
        <v>0</v>
      </c>
      <c r="P86" s="655">
        <f>+IF(OR($Q86=Parametres!$G$2,$Q86=Parametres!$G$3),K86,E86)</f>
        <v>0.2</v>
      </c>
      <c r="Q86" s="654" t="str">
        <f t="shared" ref="Q86:S86" si="87">+F86</f>
        <v>1-Mémo</v>
      </c>
      <c r="R86" s="653" t="str">
        <f t="shared" si="87"/>
        <v>50</v>
      </c>
      <c r="S86" s="654">
        <f t="shared" si="87"/>
        <v>0</v>
      </c>
      <c r="T86" s="656" t="str">
        <f>+VLOOKUP($L86,Data_Validation!$A:$D,1,0)</f>
        <v>655</v>
      </c>
      <c r="U86" s="656">
        <f>+VLOOKUP($L86,Data_Validation!$A:$D,3,0)</f>
        <v>0</v>
      </c>
      <c r="V86" s="656">
        <f>+VLOOKUP($L86,Data_Validation!$A:$D,4,0)</f>
        <v>0</v>
      </c>
      <c r="W86" s="656" t="str">
        <f>+VLOOKUP($L86,Data_Validation!$A:$E,5,0)</f>
        <v>$</v>
      </c>
      <c r="X86" s="656">
        <f>+VLOOKUP($L86,Data_Validation!$A:$F,6,0)</f>
        <v>0</v>
      </c>
    </row>
    <row r="87" spans="1:24" ht="15" customHeight="1">
      <c r="A87" s="1052" t="s">
        <v>809</v>
      </c>
      <c r="B87" s="1052" t="s">
        <v>2617</v>
      </c>
      <c r="C87" s="1053"/>
      <c r="D87" s="1053"/>
      <c r="E87" s="1053"/>
      <c r="F87" s="1052" t="s">
        <v>2</v>
      </c>
      <c r="G87" s="1052" t="s">
        <v>785</v>
      </c>
      <c r="H87" s="1053"/>
      <c r="I87" s="1054">
        <v>0.2</v>
      </c>
      <c r="J87" s="1054">
        <v>0</v>
      </c>
      <c r="K87" s="1054">
        <v>0.2</v>
      </c>
      <c r="L87" s="653" t="str">
        <f t="shared" si="67"/>
        <v>657</v>
      </c>
      <c r="M87" s="654" t="str">
        <f t="shared" si="0"/>
        <v>DIR. ADMINIS. PIECES</v>
      </c>
      <c r="N87" s="655">
        <f>+IF(OR($Q87=Parametres!$G$2,$Q87=Parametres!$G$3),I87,C87)</f>
        <v>0.2</v>
      </c>
      <c r="O87" s="655">
        <f>+IF(OR($Q87=Parametres!$G$2,$Q87=Parametres!$G$3),J87,D87)</f>
        <v>0</v>
      </c>
      <c r="P87" s="655">
        <f>+IF(OR($Q87=Parametres!$G$2,$Q87=Parametres!$G$3),K87,E87)</f>
        <v>0.2</v>
      </c>
      <c r="Q87" s="654" t="str">
        <f t="shared" ref="Q87:S87" si="88">+F87</f>
        <v>1-Mémo</v>
      </c>
      <c r="R87" s="653" t="str">
        <f t="shared" si="88"/>
        <v>50</v>
      </c>
      <c r="S87" s="654">
        <f t="shared" si="88"/>
        <v>0</v>
      </c>
      <c r="T87" s="656" t="str">
        <f>+VLOOKUP($L87,Data_Validation!$A:$D,1,0)</f>
        <v>657</v>
      </c>
      <c r="U87" s="656">
        <f>+VLOOKUP($L87,Data_Validation!$A:$D,3,0)</f>
        <v>0</v>
      </c>
      <c r="V87" s="656">
        <f>+VLOOKUP($L87,Data_Validation!$A:$D,4,0)</f>
        <v>0</v>
      </c>
      <c r="W87" s="656" t="str">
        <f>+VLOOKUP($L87,Data_Validation!$A:$E,5,0)</f>
        <v>$</v>
      </c>
      <c r="X87" s="656">
        <f>+VLOOKUP($L87,Data_Validation!$A:$F,6,0)</f>
        <v>0</v>
      </c>
    </row>
    <row r="88" spans="1:24" ht="15" customHeight="1">
      <c r="A88" s="1052" t="s">
        <v>810</v>
      </c>
      <c r="B88" s="1052" t="s">
        <v>2635</v>
      </c>
      <c r="C88" s="1053"/>
      <c r="D88" s="1053"/>
      <c r="E88" s="1053"/>
      <c r="F88" s="1052" t="s">
        <v>2</v>
      </c>
      <c r="G88" s="1052" t="s">
        <v>785</v>
      </c>
      <c r="H88" s="1053"/>
      <c r="I88" s="1054">
        <v>1</v>
      </c>
      <c r="J88" s="1054">
        <v>0</v>
      </c>
      <c r="K88" s="1054">
        <v>1</v>
      </c>
      <c r="L88" s="653" t="str">
        <f t="shared" si="67"/>
        <v>661</v>
      </c>
      <c r="M88" s="654" t="str">
        <f t="shared" si="0"/>
        <v>PERSONELS CLER. NEUFS</v>
      </c>
      <c r="N88" s="655">
        <f>+IF(OR($Q88=Parametres!$G$2,$Q88=Parametres!$G$3),I88,C88)</f>
        <v>1</v>
      </c>
      <c r="O88" s="659">
        <f>+IF(OR($Q88=Parametres!$G$2,$Q88=Parametres!$G$3),J88,D88)</f>
        <v>0</v>
      </c>
      <c r="P88" s="655">
        <f>+IF(OR($Q88=Parametres!$G$2,$Q88=Parametres!$G$3),K88,E88)</f>
        <v>1</v>
      </c>
      <c r="Q88" s="654" t="str">
        <f t="shared" ref="Q88:S88" si="89">+F88</f>
        <v>1-Mémo</v>
      </c>
      <c r="R88" s="653" t="str">
        <f t="shared" si="89"/>
        <v>50</v>
      </c>
      <c r="S88" s="654">
        <f t="shared" si="89"/>
        <v>0</v>
      </c>
      <c r="T88" s="656" t="str">
        <f>+VLOOKUP($L88,Data_Validation!$A:$D,1,0)</f>
        <v>661</v>
      </c>
      <c r="U88" s="656">
        <f>+VLOOKUP($L88,Data_Validation!$A:$D,3,0)</f>
        <v>0</v>
      </c>
      <c r="V88" s="656">
        <f>+VLOOKUP($L88,Data_Validation!$A:$D,4,0)</f>
        <v>0</v>
      </c>
      <c r="W88" s="656" t="str">
        <f>+VLOOKUP($L88,Data_Validation!$A:$E,5,0)</f>
        <v>$</v>
      </c>
      <c r="X88" s="656">
        <f>+VLOOKUP($L88,Data_Validation!$A:$F,6,0)</f>
        <v>0</v>
      </c>
    </row>
    <row r="89" spans="1:24" ht="15" customHeight="1">
      <c r="A89" s="1052" t="s">
        <v>811</v>
      </c>
      <c r="B89" s="1052" t="s">
        <v>2638</v>
      </c>
      <c r="C89" s="1053"/>
      <c r="D89" s="1053"/>
      <c r="E89" s="1053"/>
      <c r="F89" s="1052" t="s">
        <v>2</v>
      </c>
      <c r="G89" s="1052" t="s">
        <v>785</v>
      </c>
      <c r="H89" s="1053"/>
      <c r="I89" s="1054">
        <v>1</v>
      </c>
      <c r="J89" s="1054">
        <v>0</v>
      </c>
      <c r="K89" s="1054">
        <v>1</v>
      </c>
      <c r="L89" s="653" t="str">
        <f t="shared" si="67"/>
        <v>662</v>
      </c>
      <c r="M89" s="654" t="str">
        <f t="shared" si="0"/>
        <v>PERSONELS CLER. USAGES</v>
      </c>
      <c r="N89" s="655">
        <f>+IF(OR($Q89=Parametres!$G$2,$Q89=Parametres!$G$3),I89,C89)</f>
        <v>1</v>
      </c>
      <c r="O89" s="655">
        <f>+IF(OR($Q89=Parametres!$G$2,$Q89=Parametres!$G$3),J89,D89)</f>
        <v>0</v>
      </c>
      <c r="P89" s="655">
        <f>+IF(OR($Q89=Parametres!$G$2,$Q89=Parametres!$G$3),K89,E89)</f>
        <v>1</v>
      </c>
      <c r="Q89" s="654" t="str">
        <f t="shared" ref="Q89:S89" si="90">+F89</f>
        <v>1-Mémo</v>
      </c>
      <c r="R89" s="653" t="str">
        <f t="shared" si="90"/>
        <v>50</v>
      </c>
      <c r="S89" s="654">
        <f t="shared" si="90"/>
        <v>0</v>
      </c>
      <c r="T89" s="656" t="str">
        <f>+VLOOKUP($L89,Data_Validation!$A:$D,1,0)</f>
        <v>662</v>
      </c>
      <c r="U89" s="656">
        <f>+VLOOKUP($L89,Data_Validation!$A:$D,3,0)</f>
        <v>0</v>
      </c>
      <c r="V89" s="656">
        <f>+VLOOKUP($L89,Data_Validation!$A:$D,4,0)</f>
        <v>0</v>
      </c>
      <c r="W89" s="656" t="str">
        <f>+VLOOKUP($L89,Data_Validation!$A:$E,5,0)</f>
        <v>$</v>
      </c>
      <c r="X89" s="656">
        <f>+VLOOKUP($L89,Data_Validation!$A:$F,6,0)</f>
        <v>0</v>
      </c>
    </row>
    <row r="90" spans="1:24" ht="15" customHeight="1">
      <c r="A90" s="1052" t="s">
        <v>812</v>
      </c>
      <c r="B90" s="1052" t="s">
        <v>2641</v>
      </c>
      <c r="C90" s="1053"/>
      <c r="D90" s="1053"/>
      <c r="E90" s="1053"/>
      <c r="F90" s="1052" t="s">
        <v>2</v>
      </c>
      <c r="G90" s="1052" t="s">
        <v>785</v>
      </c>
      <c r="H90" s="1053"/>
      <c r="I90" s="1054">
        <v>1</v>
      </c>
      <c r="J90" s="1054">
        <v>0</v>
      </c>
      <c r="K90" s="1054">
        <v>1</v>
      </c>
      <c r="L90" s="653" t="str">
        <f t="shared" si="67"/>
        <v>664</v>
      </c>
      <c r="M90" s="654" t="str">
        <f t="shared" si="0"/>
        <v>PERSONELS CLER. SERVICE</v>
      </c>
      <c r="N90" s="655">
        <f>+IF(OR($Q90=Parametres!$G$2,$Q90=Parametres!$G$3),I90,C90)</f>
        <v>1</v>
      </c>
      <c r="O90" s="655">
        <f>+IF(OR($Q90=Parametres!$G$2,$Q90=Parametres!$G$3),J90,D90)</f>
        <v>0</v>
      </c>
      <c r="P90" s="655">
        <f>+IF(OR($Q90=Parametres!$G$2,$Q90=Parametres!$G$3),K90,E90)</f>
        <v>1</v>
      </c>
      <c r="Q90" s="654" t="str">
        <f t="shared" ref="Q90:S90" si="91">+F90</f>
        <v>1-Mémo</v>
      </c>
      <c r="R90" s="653" t="str">
        <f t="shared" si="91"/>
        <v>50</v>
      </c>
      <c r="S90" s="654">
        <f t="shared" si="91"/>
        <v>0</v>
      </c>
      <c r="T90" s="656" t="str">
        <f>+VLOOKUP($L90,Data_Validation!$A:$D,1,0)</f>
        <v>664</v>
      </c>
      <c r="U90" s="656">
        <f>+VLOOKUP($L90,Data_Validation!$A:$D,3,0)</f>
        <v>0</v>
      </c>
      <c r="V90" s="656">
        <f>+VLOOKUP($L90,Data_Validation!$A:$D,4,0)</f>
        <v>0</v>
      </c>
      <c r="W90" s="656" t="str">
        <f>+VLOOKUP($L90,Data_Validation!$A:$E,5,0)</f>
        <v>$</v>
      </c>
      <c r="X90" s="656">
        <f>+VLOOKUP($L90,Data_Validation!$A:$F,6,0)</f>
        <v>0</v>
      </c>
    </row>
    <row r="91" spans="1:24" ht="15" customHeight="1">
      <c r="A91" s="1052" t="s">
        <v>813</v>
      </c>
      <c r="B91" s="1052" t="s">
        <v>2644</v>
      </c>
      <c r="C91" s="1053"/>
      <c r="D91" s="1053"/>
      <c r="E91" s="1053"/>
      <c r="F91" s="1052" t="s">
        <v>2</v>
      </c>
      <c r="G91" s="1052" t="s">
        <v>785</v>
      </c>
      <c r="H91" s="1053"/>
      <c r="I91" s="1054">
        <v>1</v>
      </c>
      <c r="J91" s="1054">
        <v>0</v>
      </c>
      <c r="K91" s="1054">
        <v>1</v>
      </c>
      <c r="L91" s="653" t="str">
        <f t="shared" si="67"/>
        <v>667</v>
      </c>
      <c r="M91" s="654" t="str">
        <f t="shared" si="0"/>
        <v>PERSONELS CLER. PIECES</v>
      </c>
      <c r="N91" s="655">
        <f>+IF(OR($Q91=Parametres!$G$2,$Q91=Parametres!$G$3),I91,C91)</f>
        <v>1</v>
      </c>
      <c r="O91" s="655">
        <f>+IF(OR($Q91=Parametres!$G$2,$Q91=Parametres!$G$3),J91,D91)</f>
        <v>0</v>
      </c>
      <c r="P91" s="655">
        <f>+IF(OR($Q91=Parametres!$G$2,$Q91=Parametres!$G$3),K91,E91)</f>
        <v>1</v>
      </c>
      <c r="Q91" s="654" t="str">
        <f t="shared" ref="Q91:S91" si="92">+F91</f>
        <v>1-Mémo</v>
      </c>
      <c r="R91" s="653" t="str">
        <f t="shared" si="92"/>
        <v>50</v>
      </c>
      <c r="S91" s="654">
        <f t="shared" si="92"/>
        <v>0</v>
      </c>
      <c r="T91" s="656" t="str">
        <f>+VLOOKUP($L91,Data_Validation!$A:$D,1,0)</f>
        <v>667</v>
      </c>
      <c r="U91" s="656">
        <f>+VLOOKUP($L91,Data_Validation!$A:$D,3,0)</f>
        <v>0</v>
      </c>
      <c r="V91" s="656">
        <f>+VLOOKUP($L91,Data_Validation!$A:$D,4,0)</f>
        <v>0</v>
      </c>
      <c r="W91" s="656" t="str">
        <f>+VLOOKUP($L91,Data_Validation!$A:$E,5,0)</f>
        <v>$</v>
      </c>
      <c r="X91" s="656">
        <f>+VLOOKUP($L91,Data_Validation!$A:$F,6,0)</f>
        <v>0</v>
      </c>
    </row>
    <row r="92" spans="1:24" ht="15" customHeight="1">
      <c r="A92" s="1052" t="s">
        <v>814</v>
      </c>
      <c r="B92" s="1052" t="s">
        <v>2722</v>
      </c>
      <c r="C92" s="1053"/>
      <c r="D92" s="1053"/>
      <c r="E92" s="1053"/>
      <c r="F92" s="1052" t="s">
        <v>2</v>
      </c>
      <c r="G92" s="1052" t="s">
        <v>3333</v>
      </c>
      <c r="H92" s="1053"/>
      <c r="I92" s="1054">
        <v>3</v>
      </c>
      <c r="J92" s="1054">
        <v>0</v>
      </c>
      <c r="K92" s="1054">
        <v>3</v>
      </c>
      <c r="L92" s="653" t="str">
        <f t="shared" si="67"/>
        <v>677</v>
      </c>
      <c r="M92" s="654" t="str">
        <f t="shared" si="0"/>
        <v>VW PIECES</v>
      </c>
      <c r="N92" s="655">
        <f>+IF(OR($Q92=Parametres!$G$2,$Q92=Parametres!$G$3),I92,C92)</f>
        <v>3</v>
      </c>
      <c r="O92" s="655">
        <f>+IF(OR($Q92=Parametres!$G$2,$Q92=Parametres!$G$3),J92,D92)</f>
        <v>0</v>
      </c>
      <c r="P92" s="655">
        <f>+IF(OR($Q92=Parametres!$G$2,$Q92=Parametres!$G$3),K92,E92)</f>
        <v>3</v>
      </c>
      <c r="Q92" s="654" t="str">
        <f t="shared" ref="Q92:S92" si="93">+F92</f>
        <v>1-Mémo</v>
      </c>
      <c r="R92" s="653" t="str">
        <f t="shared" si="93"/>
        <v>67</v>
      </c>
      <c r="S92" s="654">
        <f t="shared" si="93"/>
        <v>0</v>
      </c>
      <c r="T92" s="656" t="str">
        <f>+VLOOKUP($L92,Data_Validation!$A:$D,1,0)</f>
        <v>677</v>
      </c>
      <c r="U92" s="656">
        <f>+VLOOKUP($L92,Data_Validation!$A:$D,3,0)</f>
        <v>0</v>
      </c>
      <c r="V92" s="656">
        <f>+VLOOKUP($L92,Data_Validation!$A:$D,4,0)</f>
        <v>0</v>
      </c>
      <c r="W92" s="656" t="str">
        <f>+VLOOKUP($L92,Data_Validation!$A:$E,5,0)</f>
        <v>$</v>
      </c>
      <c r="X92" s="656">
        <f>+VLOOKUP($L92,Data_Validation!$A:$F,6,0)</f>
        <v>0</v>
      </c>
    </row>
    <row r="93" spans="1:24" ht="15" customHeight="1">
      <c r="A93" s="1052" t="s">
        <v>815</v>
      </c>
      <c r="B93" s="1052" t="s">
        <v>817</v>
      </c>
      <c r="C93" s="1054">
        <v>966471.7</v>
      </c>
      <c r="D93" s="1054">
        <v>35273.9</v>
      </c>
      <c r="E93" s="1054">
        <v>1001745.6</v>
      </c>
      <c r="F93" s="1052" t="s">
        <v>816</v>
      </c>
      <c r="G93" s="1052" t="s">
        <v>817</v>
      </c>
      <c r="H93" s="1053"/>
      <c r="I93" s="1053"/>
      <c r="J93" s="1053"/>
      <c r="K93" s="1053"/>
      <c r="L93" s="653" t="str">
        <f t="shared" si="67"/>
        <v>1102</v>
      </c>
      <c r="M93" s="654" t="str">
        <f t="shared" si="0"/>
        <v>BANQUE DE COMMERCE C/C</v>
      </c>
      <c r="N93" s="655">
        <f>+IF(OR($Q93=Parametres!$G$2,$Q93=Parametres!$G$3),I93,C93)</f>
        <v>966471.7</v>
      </c>
      <c r="O93" s="659">
        <f>+IF(OR($Q93=Parametres!$G$2,$Q93=Parametres!$G$3),J93,D93)</f>
        <v>35273.9</v>
      </c>
      <c r="P93" s="655">
        <f>+IF(OR($Q93=Parametres!$G$2,$Q93=Parametres!$G$3),K93,E93)</f>
        <v>1001745.6</v>
      </c>
      <c r="Q93" s="654" t="str">
        <f t="shared" ref="Q93:S93" si="94">+F93</f>
        <v>2-Actifs</v>
      </c>
      <c r="R93" s="653" t="str">
        <f t="shared" si="94"/>
        <v>1102</v>
      </c>
      <c r="S93" s="654">
        <f t="shared" si="94"/>
        <v>0</v>
      </c>
      <c r="T93" s="656" t="str">
        <f>+VLOOKUP($L93,Data_Validation!$A:$D,1,0)</f>
        <v>1102</v>
      </c>
      <c r="U93" s="656" t="str">
        <f>+VLOOKUP($L93,Data_Validation!$A:$D,3,0)</f>
        <v>Bilan</v>
      </c>
      <c r="V93" s="656" t="str">
        <f>+VLOOKUP($L93,Data_Validation!$A:$D,4,0)</f>
        <v>Encaisse</v>
      </c>
      <c r="W93" s="656" t="str">
        <f>+VLOOKUP($L93,Data_Validation!$A:$E,5,0)</f>
        <v>$</v>
      </c>
      <c r="X93" s="656">
        <f>+VLOOKUP($L93,Data_Validation!$A:$F,6,0)</f>
        <v>0</v>
      </c>
    </row>
    <row r="94" spans="1:24" ht="15.75" customHeight="1">
      <c r="A94" s="1052" t="s">
        <v>818</v>
      </c>
      <c r="B94" s="1052" t="s">
        <v>3357</v>
      </c>
      <c r="C94" s="1054">
        <v>0</v>
      </c>
      <c r="D94" s="1054">
        <v>0.01</v>
      </c>
      <c r="E94" s="1054">
        <v>0.01</v>
      </c>
      <c r="F94" s="1052" t="s">
        <v>816</v>
      </c>
      <c r="G94" s="1052" t="s">
        <v>817</v>
      </c>
      <c r="H94" s="1053"/>
      <c r="I94" s="1053"/>
      <c r="J94" s="1053"/>
      <c r="K94" s="1053"/>
      <c r="L94" s="653" t="str">
        <f t="shared" si="67"/>
        <v>1104</v>
      </c>
      <c r="M94" s="654" t="str">
        <f t="shared" si="0"/>
        <v>MASTER CARD (CANADA TRUST)</v>
      </c>
      <c r="N94" s="655">
        <f>+IF(OR($Q94=Parametres!$G$2,$Q94=Parametres!$G$3),I94,C94)</f>
        <v>0</v>
      </c>
      <c r="O94" s="655">
        <f>+IF(OR($Q94=Parametres!$G$2,$Q94=Parametres!$G$3),J94,D94)</f>
        <v>0.01</v>
      </c>
      <c r="P94" s="655">
        <f>+IF(OR($Q94=Parametres!$G$2,$Q94=Parametres!$G$3),K94,E94)</f>
        <v>0.01</v>
      </c>
      <c r="Q94" s="654" t="str">
        <f t="shared" ref="Q94:S94" si="95">+F94</f>
        <v>2-Actifs</v>
      </c>
      <c r="R94" s="653" t="str">
        <f t="shared" si="95"/>
        <v>1102</v>
      </c>
      <c r="S94" s="654">
        <f t="shared" si="95"/>
        <v>0</v>
      </c>
      <c r="T94" s="656" t="str">
        <f>+VLOOKUP($L94,Data_Validation!$A:$D,1,0)</f>
        <v>1104</v>
      </c>
      <c r="U94" s="656" t="str">
        <f>+VLOOKUP($L94,Data_Validation!$A:$D,3,0)</f>
        <v>Bilan</v>
      </c>
      <c r="V94" s="656" t="str">
        <f>+VLOOKUP($L94,Data_Validation!$A:$D,4,0)</f>
        <v>Encaisse</v>
      </c>
      <c r="W94" s="656" t="str">
        <f>+VLOOKUP($L94,Data_Validation!$A:$E,5,0)</f>
        <v>$</v>
      </c>
      <c r="X94" s="656">
        <f>+VLOOKUP($L94,Data_Validation!$A:$F,6,0)</f>
        <v>0</v>
      </c>
    </row>
    <row r="95" spans="1:24" ht="15" customHeight="1">
      <c r="A95" s="1052" t="s">
        <v>819</v>
      </c>
      <c r="B95" s="1052" t="s">
        <v>3360</v>
      </c>
      <c r="C95" s="1054">
        <v>850000</v>
      </c>
      <c r="D95" s="1054">
        <v>0</v>
      </c>
      <c r="E95" s="1054">
        <v>850000</v>
      </c>
      <c r="F95" s="1052" t="s">
        <v>816</v>
      </c>
      <c r="G95" s="1052" t="s">
        <v>817</v>
      </c>
      <c r="H95" s="1053"/>
      <c r="I95" s="1053"/>
      <c r="J95" s="1053"/>
      <c r="K95" s="1053"/>
      <c r="L95" s="653" t="str">
        <f t="shared" si="67"/>
        <v>1111</v>
      </c>
      <c r="M95" s="654" t="str">
        <f t="shared" si="0"/>
        <v>REMBOURSEMENTS FLOORPLAN</v>
      </c>
      <c r="N95" s="655">
        <f>+IF(OR($Q95=Parametres!$G$2,$Q95=Parametres!$G$3),I95,C95)</f>
        <v>850000</v>
      </c>
      <c r="O95" s="655">
        <f>+IF(OR($Q95=Parametres!$G$2,$Q95=Parametres!$G$3),J95,D95)</f>
        <v>0</v>
      </c>
      <c r="P95" s="655">
        <f>+IF(OR($Q95=Parametres!$G$2,$Q95=Parametres!$G$3),K95,E95)</f>
        <v>850000</v>
      </c>
      <c r="Q95" s="654" t="str">
        <f t="shared" ref="Q95:S95" si="96">+F95</f>
        <v>2-Actifs</v>
      </c>
      <c r="R95" s="653" t="str">
        <f t="shared" si="96"/>
        <v>1102</v>
      </c>
      <c r="S95" s="654">
        <f t="shared" si="96"/>
        <v>0</v>
      </c>
      <c r="T95" s="656" t="str">
        <f>+VLOOKUP($L95,Data_Validation!$A:$D,1,0)</f>
        <v>1111</v>
      </c>
      <c r="U95" s="656" t="str">
        <f>+VLOOKUP($L95,Data_Validation!$A:$D,3,0)</f>
        <v>Bilan</v>
      </c>
      <c r="V95" s="656" t="str">
        <f>+VLOOKUP($L95,Data_Validation!$A:$D,4,0)</f>
        <v>Encaisse</v>
      </c>
      <c r="W95" s="656" t="str">
        <f>+VLOOKUP($L95,Data_Validation!$A:$E,5,0)</f>
        <v>$</v>
      </c>
      <c r="X95" s="656">
        <f>+VLOOKUP($L95,Data_Validation!$A:$F,6,0)</f>
        <v>0</v>
      </c>
    </row>
    <row r="96" spans="1:24" ht="15" customHeight="1">
      <c r="A96" s="1052" t="s">
        <v>820</v>
      </c>
      <c r="B96" s="1052" t="s">
        <v>1452</v>
      </c>
      <c r="C96" s="1054">
        <v>220.85</v>
      </c>
      <c r="D96" s="1054">
        <v>0</v>
      </c>
      <c r="E96" s="1054">
        <v>220.85</v>
      </c>
      <c r="F96" s="1052" t="s">
        <v>816</v>
      </c>
      <c r="G96" s="1052" t="s">
        <v>817</v>
      </c>
      <c r="H96" s="1053"/>
      <c r="I96" s="1053"/>
      <c r="J96" s="1053"/>
      <c r="K96" s="1053"/>
      <c r="L96" s="653" t="str">
        <f t="shared" si="67"/>
        <v>1182</v>
      </c>
      <c r="M96" s="654" t="str">
        <f t="shared" si="0"/>
        <v>PETITE CAISSE</v>
      </c>
      <c r="N96" s="655">
        <f>+IF(OR($Q96=Parametres!$G$2,$Q96=Parametres!$G$3),I96,C96)</f>
        <v>220.85</v>
      </c>
      <c r="O96" s="655">
        <f>+IF(OR($Q96=Parametres!$G$2,$Q96=Parametres!$G$3),J96,D96)</f>
        <v>0</v>
      </c>
      <c r="P96" s="655">
        <f>+IF(OR($Q96=Parametres!$G$2,$Q96=Parametres!$G$3),K96,E96)</f>
        <v>220.85</v>
      </c>
      <c r="Q96" s="654" t="str">
        <f t="shared" ref="Q96:S96" si="97">+F96</f>
        <v>2-Actifs</v>
      </c>
      <c r="R96" s="653" t="str">
        <f t="shared" si="97"/>
        <v>1102</v>
      </c>
      <c r="S96" s="654">
        <f t="shared" si="97"/>
        <v>0</v>
      </c>
      <c r="T96" s="656" t="str">
        <f>+VLOOKUP($L96,Data_Validation!$A:$D,1,0)</f>
        <v>1182</v>
      </c>
      <c r="U96" s="656" t="str">
        <f>+VLOOKUP($L96,Data_Validation!$A:$D,3,0)</f>
        <v>Bilan</v>
      </c>
      <c r="V96" s="656" t="str">
        <f>+VLOOKUP($L96,Data_Validation!$A:$D,4,0)</f>
        <v>Encaisse</v>
      </c>
      <c r="W96" s="656" t="str">
        <f>+VLOOKUP($L96,Data_Validation!$A:$E,5,0)</f>
        <v>$</v>
      </c>
      <c r="X96" s="656">
        <f>+VLOOKUP($L96,Data_Validation!$A:$F,6,0)</f>
        <v>0</v>
      </c>
    </row>
    <row r="97" spans="1:24" ht="15" customHeight="1">
      <c r="A97" s="1052" t="s">
        <v>3666</v>
      </c>
      <c r="B97" s="1052" t="s">
        <v>3362</v>
      </c>
      <c r="C97" s="1054">
        <v>0</v>
      </c>
      <c r="D97" s="1054">
        <v>69.33</v>
      </c>
      <c r="E97" s="1054">
        <v>69.33</v>
      </c>
      <c r="F97" s="1052" t="s">
        <v>816</v>
      </c>
      <c r="G97" s="1052" t="s">
        <v>821</v>
      </c>
      <c r="H97" s="1031"/>
      <c r="I97" s="1031"/>
      <c r="J97" s="1031"/>
      <c r="K97" s="1031"/>
      <c r="L97" s="653" t="str">
        <f t="shared" si="67"/>
        <v>1189</v>
      </c>
      <c r="M97" s="654" t="str">
        <f t="shared" si="0"/>
        <v>VENTE AU COMPTANT (PIECES)</v>
      </c>
      <c r="N97" s="655">
        <f>+IF(OR($Q97=Parametres!$G$2,$Q97=Parametres!$G$3),I97,C97)</f>
        <v>0</v>
      </c>
      <c r="O97" s="655">
        <f>+IF(OR($Q97=Parametres!$G$2,$Q97=Parametres!$G$3),J97,D97)</f>
        <v>69.33</v>
      </c>
      <c r="P97" s="655">
        <f>+IF(OR($Q97=Parametres!$G$2,$Q97=Parametres!$G$3),K97,E97)</f>
        <v>69.33</v>
      </c>
      <c r="Q97" s="654" t="str">
        <f t="shared" ref="Q97:S97" si="98">+F97</f>
        <v>2-Actifs</v>
      </c>
      <c r="R97" s="653" t="str">
        <f t="shared" si="98"/>
        <v>1382</v>
      </c>
      <c r="S97" s="654">
        <f t="shared" si="98"/>
        <v>0</v>
      </c>
      <c r="T97" s="656" t="str">
        <f>+VLOOKUP($L97,Data_Validation!$A:$D,1,0)</f>
        <v>1189</v>
      </c>
      <c r="U97" s="656" t="str">
        <f>+VLOOKUP($L97,Data_Validation!$A:$D,3,0)</f>
        <v>Bilan</v>
      </c>
      <c r="V97" s="656" t="str">
        <f>+VLOOKUP($L97,Data_Validation!$A:$D,4,0)</f>
        <v>Encaisse</v>
      </c>
      <c r="W97" s="656" t="str">
        <f>+VLOOKUP($L97,Data_Validation!$A:$E,5,0)</f>
        <v>$</v>
      </c>
      <c r="X97" s="656">
        <f>+VLOOKUP($L97,Data_Validation!$A:$F,6,0)</f>
        <v>0</v>
      </c>
    </row>
    <row r="98" spans="1:24" ht="15" customHeight="1">
      <c r="A98" s="1052" t="s">
        <v>822</v>
      </c>
      <c r="B98" s="1052" t="s">
        <v>823</v>
      </c>
      <c r="C98" s="1054">
        <v>924558.89</v>
      </c>
      <c r="D98" s="1054">
        <v>-342698.95</v>
      </c>
      <c r="E98" s="1054">
        <v>581859.93999999994</v>
      </c>
      <c r="F98" s="1052" t="s">
        <v>816</v>
      </c>
      <c r="G98" s="1052" t="s">
        <v>823</v>
      </c>
      <c r="H98" s="1031"/>
      <c r="I98" s="1031"/>
      <c r="J98" s="1031"/>
      <c r="K98" s="1031"/>
      <c r="L98" s="653" t="str">
        <f t="shared" si="67"/>
        <v>1202</v>
      </c>
      <c r="M98" s="654" t="str">
        <f t="shared" si="0"/>
        <v>CONTRATS EN TRANSIT</v>
      </c>
      <c r="N98" s="655">
        <f>+IF(OR($Q98=Parametres!$G$2,$Q98=Parametres!$G$3),I98,C98)</f>
        <v>924558.89</v>
      </c>
      <c r="O98" s="655">
        <f>+IF(OR($Q98=Parametres!$G$2,$Q98=Parametres!$G$3),J98,D98)</f>
        <v>-342698.95</v>
      </c>
      <c r="P98" s="655">
        <f>+IF(OR($Q98=Parametres!$G$2,$Q98=Parametres!$G$3),K98,E98)</f>
        <v>581859.93999999994</v>
      </c>
      <c r="Q98" s="654" t="str">
        <f t="shared" ref="Q98:S98" si="99">+F98</f>
        <v>2-Actifs</v>
      </c>
      <c r="R98" s="653" t="str">
        <f t="shared" si="99"/>
        <v>1202</v>
      </c>
      <c r="S98" s="654">
        <f t="shared" si="99"/>
        <v>0</v>
      </c>
      <c r="T98" s="656" t="str">
        <f>+VLOOKUP($L98,Data_Validation!$A:$D,1,0)</f>
        <v>1202</v>
      </c>
      <c r="U98" s="656" t="str">
        <f>+VLOOKUP($L98,Data_Validation!$A:$D,3,0)</f>
        <v>Bilan</v>
      </c>
      <c r="V98" s="656" t="str">
        <f>+VLOOKUP($L98,Data_Validation!$A:$D,4,0)</f>
        <v>Recevables Contrats en Transit</v>
      </c>
      <c r="W98" s="656" t="str">
        <f>+VLOOKUP($L98,Data_Validation!$A:$E,5,0)</f>
        <v>$</v>
      </c>
      <c r="X98" s="656">
        <f>+VLOOKUP($L98,Data_Validation!$A:$F,6,0)</f>
        <v>0</v>
      </c>
    </row>
    <row r="99" spans="1:24" ht="15.75" customHeight="1">
      <c r="A99" s="1052" t="s">
        <v>824</v>
      </c>
      <c r="B99" s="1052" t="s">
        <v>825</v>
      </c>
      <c r="C99" s="1054">
        <v>-10369.950000000001</v>
      </c>
      <c r="D99" s="1054">
        <v>18688.14</v>
      </c>
      <c r="E99" s="1054">
        <v>8318.19</v>
      </c>
      <c r="F99" s="1052" t="s">
        <v>816</v>
      </c>
      <c r="G99" s="1052" t="s">
        <v>825</v>
      </c>
      <c r="H99" s="1031"/>
      <c r="I99" s="1031"/>
      <c r="J99" s="1031"/>
      <c r="K99" s="1031"/>
      <c r="L99" s="653" t="str">
        <f t="shared" si="67"/>
        <v>1302</v>
      </c>
      <c r="M99" s="654" t="str">
        <f t="shared" si="0"/>
        <v>RECEVABLE-CLIENT-VEHICULE</v>
      </c>
      <c r="N99" s="655">
        <f>+IF(OR($Q99=Parametres!$G$2,$Q99=Parametres!$G$3),I99,C99)</f>
        <v>-10369.950000000001</v>
      </c>
      <c r="O99" s="655">
        <f>+IF(OR($Q99=Parametres!$G$2,$Q99=Parametres!$G$3),J99,D99)</f>
        <v>18688.14</v>
      </c>
      <c r="P99" s="655">
        <f>+IF(OR($Q99=Parametres!$G$2,$Q99=Parametres!$G$3),K99,E99)</f>
        <v>8318.19</v>
      </c>
      <c r="Q99" s="654" t="str">
        <f t="shared" ref="Q99:S99" si="100">+F99</f>
        <v>2-Actifs</v>
      </c>
      <c r="R99" s="653" t="str">
        <f t="shared" si="100"/>
        <v>1302</v>
      </c>
      <c r="S99" s="654">
        <f t="shared" si="100"/>
        <v>0</v>
      </c>
      <c r="T99" s="656" t="str">
        <f>+VLOOKUP($L99,Data_Validation!$A:$D,1,0)</f>
        <v>1302</v>
      </c>
      <c r="U99" s="656" t="str">
        <f>+VLOOKUP($L99,Data_Validation!$A:$D,3,0)</f>
        <v>Bilan</v>
      </c>
      <c r="V99" s="656" t="str">
        <f>+VLOOKUP($L99,Data_Validation!$A:$D,4,0)</f>
        <v>Recevables Véhicules</v>
      </c>
      <c r="W99" s="656" t="str">
        <f>+VLOOKUP($L99,Data_Validation!$A:$E,5,0)</f>
        <v>$</v>
      </c>
      <c r="X99" s="656">
        <f>+VLOOKUP($L99,Data_Validation!$A:$F,6,0)</f>
        <v>0</v>
      </c>
    </row>
    <row r="100" spans="1:24" ht="15" customHeight="1">
      <c r="A100" s="1052" t="s">
        <v>826</v>
      </c>
      <c r="B100" s="1052" t="s">
        <v>1459</v>
      </c>
      <c r="C100" s="1054">
        <v>714333.52</v>
      </c>
      <c r="D100" s="1054">
        <v>-562398.52</v>
      </c>
      <c r="E100" s="1054">
        <v>151935</v>
      </c>
      <c r="F100" s="1052" t="s">
        <v>816</v>
      </c>
      <c r="G100" s="1052" t="s">
        <v>825</v>
      </c>
      <c r="H100" s="1031"/>
      <c r="I100" s="1031"/>
      <c r="J100" s="1031"/>
      <c r="K100" s="1031"/>
      <c r="L100" s="653" t="str">
        <f t="shared" si="67"/>
        <v>1303</v>
      </c>
      <c r="M100" s="654" t="str">
        <f t="shared" si="0"/>
        <v>RECEVABLES LPA ET AU GROS</v>
      </c>
      <c r="N100" s="655">
        <f>+IF(OR($Q100=Parametres!$G$2,$Q100=Parametres!$G$3),I100,C100)</f>
        <v>714333.52</v>
      </c>
      <c r="O100" s="655">
        <f>+IF(OR($Q100=Parametres!$G$2,$Q100=Parametres!$G$3),J100,D100)</f>
        <v>-562398.52</v>
      </c>
      <c r="P100" s="655">
        <f>+IF(OR($Q100=Parametres!$G$2,$Q100=Parametres!$G$3),K100,E100)</f>
        <v>151935</v>
      </c>
      <c r="Q100" s="654" t="str">
        <f t="shared" ref="Q100:S100" si="101">+F100</f>
        <v>2-Actifs</v>
      </c>
      <c r="R100" s="653" t="str">
        <f t="shared" si="101"/>
        <v>1302</v>
      </c>
      <c r="S100" s="654">
        <f t="shared" si="101"/>
        <v>0</v>
      </c>
      <c r="T100" s="656" t="str">
        <f>+VLOOKUP($L100,Data_Validation!$A:$D,1,0)</f>
        <v>1303</v>
      </c>
      <c r="U100" s="656" t="str">
        <f>+VLOOKUP($L100,Data_Validation!$A:$D,3,0)</f>
        <v>Bilan</v>
      </c>
      <c r="V100" s="656" t="str">
        <f>+VLOOKUP($L100,Data_Validation!$A:$D,4,0)</f>
        <v>Recevables Véhicules</v>
      </c>
      <c r="W100" s="656" t="str">
        <f>+VLOOKUP($L100,Data_Validation!$A:$E,5,0)</f>
        <v>$</v>
      </c>
      <c r="X100" s="656">
        <f>+VLOOKUP($L100,Data_Validation!$A:$F,6,0)</f>
        <v>0</v>
      </c>
    </row>
    <row r="101" spans="1:24" ht="15" customHeight="1">
      <c r="A101" s="1052" t="s">
        <v>827</v>
      </c>
      <c r="B101" s="1052" t="s">
        <v>828</v>
      </c>
      <c r="C101" s="1054">
        <v>167891.3</v>
      </c>
      <c r="D101" s="1054">
        <v>-38032.120000000003</v>
      </c>
      <c r="E101" s="1054">
        <v>129859.18</v>
      </c>
      <c r="F101" s="1052" t="s">
        <v>816</v>
      </c>
      <c r="G101" s="1052" t="s">
        <v>828</v>
      </c>
      <c r="H101" s="1031"/>
      <c r="I101" s="1031"/>
      <c r="J101" s="1031"/>
      <c r="K101" s="1031"/>
      <c r="L101" s="653" t="str">
        <f t="shared" si="67"/>
        <v>1304</v>
      </c>
      <c r="M101" s="654" t="str">
        <f t="shared" si="0"/>
        <v>RECEVABLES PIECES &amp; SERVICE</v>
      </c>
      <c r="N101" s="655">
        <f>+IF(OR($Q101=Parametres!$G$2,$Q101=Parametres!$G$3),I101,C101)</f>
        <v>167891.3</v>
      </c>
      <c r="O101" s="655">
        <f>+IF(OR($Q101=Parametres!$G$2,$Q101=Parametres!$G$3),J101,D101)</f>
        <v>-38032.120000000003</v>
      </c>
      <c r="P101" s="655">
        <f>+IF(OR($Q101=Parametres!$G$2,$Q101=Parametres!$G$3),K101,E101)</f>
        <v>129859.18</v>
      </c>
      <c r="Q101" s="654" t="str">
        <f t="shared" ref="Q101:S101" si="102">+F101</f>
        <v>2-Actifs</v>
      </c>
      <c r="R101" s="653" t="str">
        <f t="shared" si="102"/>
        <v>1304</v>
      </c>
      <c r="S101" s="654">
        <f t="shared" si="102"/>
        <v>0</v>
      </c>
      <c r="T101" s="656" t="str">
        <f>+VLOOKUP($L101,Data_Validation!$A:$D,1,0)</f>
        <v>1304</v>
      </c>
      <c r="U101" s="656" t="str">
        <f>+VLOOKUP($L101,Data_Validation!$A:$D,3,0)</f>
        <v>Bilan</v>
      </c>
      <c r="V101" s="656" t="str">
        <f>+VLOOKUP($L101,Data_Validation!$A:$D,4,0)</f>
        <v>Recevables Pièces et Service</v>
      </c>
      <c r="W101" s="656" t="str">
        <f>+VLOOKUP($L101,Data_Validation!$A:$E,5,0)</f>
        <v>$</v>
      </c>
      <c r="X101" s="656">
        <f>+VLOOKUP($L101,Data_Validation!$A:$F,6,0)</f>
        <v>0</v>
      </c>
    </row>
    <row r="102" spans="1:24" ht="15" customHeight="1">
      <c r="A102" s="1052" t="s">
        <v>829</v>
      </c>
      <c r="B102" s="1052" t="s">
        <v>1464</v>
      </c>
      <c r="C102" s="1054">
        <v>91192.84</v>
      </c>
      <c r="D102" s="1054">
        <v>-20264.66</v>
      </c>
      <c r="E102" s="1054">
        <v>70928.179999999993</v>
      </c>
      <c r="F102" s="1052" t="s">
        <v>816</v>
      </c>
      <c r="G102" s="1052" t="s">
        <v>828</v>
      </c>
      <c r="H102" s="1031"/>
      <c r="I102" s="1031"/>
      <c r="J102" s="1031"/>
      <c r="K102" s="1031"/>
      <c r="L102" s="653" t="str">
        <f t="shared" si="67"/>
        <v>1305</v>
      </c>
      <c r="M102" s="654" t="str">
        <f t="shared" si="0"/>
        <v>RECEVABLES CARROSSERIE</v>
      </c>
      <c r="N102" s="655">
        <f>+IF(OR($Q102=Parametres!$G$2,$Q102=Parametres!$G$3),I102,C102)</f>
        <v>91192.84</v>
      </c>
      <c r="O102" s="659">
        <f>+IF(OR($Q102=Parametres!$G$2,$Q102=Parametres!$G$3),J102,D102)</f>
        <v>-20264.66</v>
      </c>
      <c r="P102" s="655">
        <f>+IF(OR($Q102=Parametres!$G$2,$Q102=Parametres!$G$3),K102,E102)</f>
        <v>70928.179999999993</v>
      </c>
      <c r="Q102" s="654" t="str">
        <f t="shared" ref="Q102:S102" si="103">+F102</f>
        <v>2-Actifs</v>
      </c>
      <c r="R102" s="653" t="str">
        <f t="shared" si="103"/>
        <v>1304</v>
      </c>
      <c r="S102" s="654">
        <f t="shared" si="103"/>
        <v>0</v>
      </c>
      <c r="T102" s="656" t="str">
        <f>+VLOOKUP($L102,Data_Validation!$A:$D,1,0)</f>
        <v>1305</v>
      </c>
      <c r="U102" s="656" t="str">
        <f>+VLOOKUP($L102,Data_Validation!$A:$D,3,0)</f>
        <v>Bilan</v>
      </c>
      <c r="V102" s="656" t="str">
        <f>+VLOOKUP($L102,Data_Validation!$A:$D,4,0)</f>
        <v>Recevables Carrosserie</v>
      </c>
      <c r="W102" s="656" t="str">
        <f>+VLOOKUP($L102,Data_Validation!$A:$E,5,0)</f>
        <v>$</v>
      </c>
      <c r="X102" s="656">
        <f>+VLOOKUP($L102,Data_Validation!$A:$F,6,0)</f>
        <v>0</v>
      </c>
    </row>
    <row r="103" spans="1:24" ht="15.75" customHeight="1">
      <c r="A103" s="1052" t="s">
        <v>830</v>
      </c>
      <c r="B103" s="1052" t="s">
        <v>3363</v>
      </c>
      <c r="C103" s="1054">
        <v>3928.91</v>
      </c>
      <c r="D103" s="1054">
        <v>5887.87</v>
      </c>
      <c r="E103" s="1054">
        <v>9816.7800000000007</v>
      </c>
      <c r="F103" s="1052" t="s">
        <v>816</v>
      </c>
      <c r="G103" s="1052" t="s">
        <v>828</v>
      </c>
      <c r="H103" s="1031"/>
      <c r="I103" s="1032"/>
      <c r="J103" s="1032"/>
      <c r="K103" s="1032"/>
      <c r="L103" s="653" t="str">
        <f t="shared" si="67"/>
        <v>1306</v>
      </c>
      <c r="M103" s="654" t="str">
        <f t="shared" si="0"/>
        <v>RECEVABLES INTERCO</v>
      </c>
      <c r="N103" s="655">
        <f>+IF(OR($Q103=Parametres!$G$2,$Q103=Parametres!$G$3),I103,C103)</f>
        <v>3928.91</v>
      </c>
      <c r="O103" s="655">
        <f>+IF(OR($Q103=Parametres!$G$2,$Q103=Parametres!$G$3),J103,D103)</f>
        <v>5887.87</v>
      </c>
      <c r="P103" s="655">
        <f>+IF(OR($Q103=Parametres!$G$2,$Q103=Parametres!$G$3),K103,E103)</f>
        <v>9816.7800000000007</v>
      </c>
      <c r="Q103" s="654" t="str">
        <f t="shared" ref="Q103:S103" si="104">+F103</f>
        <v>2-Actifs</v>
      </c>
      <c r="R103" s="653" t="str">
        <f t="shared" si="104"/>
        <v>1304</v>
      </c>
      <c r="S103" s="654">
        <f t="shared" si="104"/>
        <v>0</v>
      </c>
      <c r="T103" s="656" t="str">
        <f>+VLOOKUP($L103,Data_Validation!$A:$D,1,0)</f>
        <v>1306</v>
      </c>
      <c r="U103" s="656" t="str">
        <f>+VLOOKUP($L103,Data_Validation!$A:$D,3,0)</f>
        <v>Bilan</v>
      </c>
      <c r="V103" s="656" t="str">
        <f>+VLOOKUP($L103,Data_Validation!$A:$D,4,0)</f>
        <v>Recevables Intercos</v>
      </c>
      <c r="W103" s="656" t="str">
        <f>+VLOOKUP($L103,Data_Validation!$A:$E,5,0)</f>
        <v>$</v>
      </c>
      <c r="X103" s="656">
        <f>+VLOOKUP($L103,Data_Validation!$A:$F,6,0)</f>
        <v>0</v>
      </c>
    </row>
    <row r="104" spans="1:24" ht="15" customHeight="1">
      <c r="A104" s="1052" t="s">
        <v>831</v>
      </c>
      <c r="B104" s="1052" t="s">
        <v>3364</v>
      </c>
      <c r="C104" s="1054">
        <v>24300</v>
      </c>
      <c r="D104" s="1054">
        <v>14700</v>
      </c>
      <c r="E104" s="1054">
        <v>39000</v>
      </c>
      <c r="F104" s="1052" t="s">
        <v>816</v>
      </c>
      <c r="G104" s="1052" t="s">
        <v>825</v>
      </c>
      <c r="H104" s="1031"/>
      <c r="I104" s="1032"/>
      <c r="J104" s="1032"/>
      <c r="K104" s="1032"/>
      <c r="L104" s="653" t="str">
        <f t="shared" si="67"/>
        <v>1307</v>
      </c>
      <c r="M104" s="654" t="str">
        <f t="shared" si="0"/>
        <v>RECEVABLES INTERCO VEHICULE</v>
      </c>
      <c r="N104" s="655">
        <f>+IF(OR($Q104=Parametres!$G$2,$Q104=Parametres!$G$3),I104,C104)</f>
        <v>24300</v>
      </c>
      <c r="O104" s="655">
        <f>+IF(OR($Q104=Parametres!$G$2,$Q104=Parametres!$G$3),J104,D104)</f>
        <v>14700</v>
      </c>
      <c r="P104" s="655">
        <f>+IF(OR($Q104=Parametres!$G$2,$Q104=Parametres!$G$3),K104,E104)</f>
        <v>39000</v>
      </c>
      <c r="Q104" s="654" t="str">
        <f t="shared" ref="Q104:S104" si="105">+F104</f>
        <v>2-Actifs</v>
      </c>
      <c r="R104" s="653" t="str">
        <f t="shared" si="105"/>
        <v>1302</v>
      </c>
      <c r="S104" s="654">
        <f t="shared" si="105"/>
        <v>0</v>
      </c>
      <c r="T104" s="656" t="str">
        <f>+VLOOKUP($L104,Data_Validation!$A:$D,1,0)</f>
        <v>1307</v>
      </c>
      <c r="U104" s="656" t="str">
        <f>+VLOOKUP($L104,Data_Validation!$A:$D,3,0)</f>
        <v>Bilan</v>
      </c>
      <c r="V104" s="656" t="str">
        <f>+VLOOKUP($L104,Data_Validation!$A:$D,4,0)</f>
        <v>Recevables Intercos</v>
      </c>
      <c r="W104" s="656" t="str">
        <f>+VLOOKUP($L104,Data_Validation!$A:$E,5,0)</f>
        <v>$</v>
      </c>
      <c r="X104" s="656">
        <f>+VLOOKUP($L104,Data_Validation!$A:$F,6,0)</f>
        <v>0</v>
      </c>
    </row>
    <row r="105" spans="1:24" ht="15" customHeight="1">
      <c r="A105" s="1052" t="s">
        <v>832</v>
      </c>
      <c r="B105" s="1052" t="s">
        <v>1467</v>
      </c>
      <c r="C105" s="1054">
        <v>88115</v>
      </c>
      <c r="D105" s="1054">
        <v>-73870</v>
      </c>
      <c r="E105" s="1054">
        <v>14245</v>
      </c>
      <c r="F105" s="1052" t="s">
        <v>816</v>
      </c>
      <c r="G105" s="1052" t="s">
        <v>833</v>
      </c>
      <c r="H105" s="1031"/>
      <c r="I105" s="1032"/>
      <c r="J105" s="1032"/>
      <c r="K105" s="1032"/>
      <c r="L105" s="653" t="str">
        <f t="shared" si="67"/>
        <v>1312</v>
      </c>
      <c r="M105" s="654" t="str">
        <f t="shared" si="0"/>
        <v>RESEVE VOLKS</v>
      </c>
      <c r="N105" s="655">
        <f>+IF(OR($Q105=Parametres!$G$2,$Q105=Parametres!$G$3),I105,C105)</f>
        <v>88115</v>
      </c>
      <c r="O105" s="655">
        <f>+IF(OR($Q105=Parametres!$G$2,$Q105=Parametres!$G$3),J105,D105)</f>
        <v>-73870</v>
      </c>
      <c r="P105" s="655">
        <f>+IF(OR($Q105=Parametres!$G$2,$Q105=Parametres!$G$3),K105,E105)</f>
        <v>14245</v>
      </c>
      <c r="Q105" s="654" t="str">
        <f t="shared" ref="Q105:S105" si="106">+F105</f>
        <v>2-Actifs</v>
      </c>
      <c r="R105" s="653" t="str">
        <f t="shared" si="106"/>
        <v>1314</v>
      </c>
      <c r="S105" s="654">
        <f t="shared" si="106"/>
        <v>0</v>
      </c>
      <c r="T105" s="656" t="str">
        <f>+VLOOKUP($L105,Data_Validation!$A:$D,1,0)</f>
        <v>1312</v>
      </c>
      <c r="U105" s="656" t="str">
        <f>+VLOOKUP($L105,Data_Validation!$A:$D,3,0)</f>
        <v>Bilan</v>
      </c>
      <c r="V105" s="656" t="str">
        <f>+VLOOKUP($L105,Data_Validation!$A:$D,4,0)</f>
        <v>Recevables Manufacturier</v>
      </c>
      <c r="W105" s="656" t="str">
        <f>+VLOOKUP($L105,Data_Validation!$A:$E,5,0)</f>
        <v>$</v>
      </c>
      <c r="X105" s="656">
        <f>+VLOOKUP($L105,Data_Validation!$A:$F,6,0)</f>
        <v>0</v>
      </c>
    </row>
    <row r="106" spans="1:24" ht="15" customHeight="1">
      <c r="A106" s="1052" t="s">
        <v>834</v>
      </c>
      <c r="B106" s="1052" t="s">
        <v>835</v>
      </c>
      <c r="C106" s="1054">
        <v>81514.460000000006</v>
      </c>
      <c r="D106" s="1054">
        <v>-78097.36</v>
      </c>
      <c r="E106" s="1054">
        <v>3417.1</v>
      </c>
      <c r="F106" s="1052" t="s">
        <v>816</v>
      </c>
      <c r="G106" s="1052" t="s">
        <v>835</v>
      </c>
      <c r="H106" s="1031"/>
      <c r="I106" s="1032"/>
      <c r="J106" s="1032"/>
      <c r="K106" s="1032"/>
      <c r="L106" s="653" t="str">
        <f t="shared" si="67"/>
        <v>1332</v>
      </c>
      <c r="M106" s="654" t="str">
        <f t="shared" si="0"/>
        <v>RECLAM. RECEVABLE-GARANTIE</v>
      </c>
      <c r="N106" s="655">
        <f>+IF(OR($Q106=Parametres!$G$2,$Q106=Parametres!$G$3),I106,C106)</f>
        <v>81514.460000000006</v>
      </c>
      <c r="O106" s="659">
        <f>+IF(OR($Q106=Parametres!$G$2,$Q106=Parametres!$G$3),J106,D106)</f>
        <v>-78097.36</v>
      </c>
      <c r="P106" s="655">
        <f>+IF(OR($Q106=Parametres!$G$2,$Q106=Parametres!$G$3),K106,E106)</f>
        <v>3417.1</v>
      </c>
      <c r="Q106" s="654" t="str">
        <f t="shared" ref="Q106:S106" si="107">+F106</f>
        <v>2-Actifs</v>
      </c>
      <c r="R106" s="653" t="str">
        <f t="shared" si="107"/>
        <v>1332</v>
      </c>
      <c r="S106" s="654">
        <f t="shared" si="107"/>
        <v>0</v>
      </c>
      <c r="T106" s="656" t="str">
        <f>+VLOOKUP($L106,Data_Validation!$A:$D,1,0)</f>
        <v>1332</v>
      </c>
      <c r="U106" s="656" t="str">
        <f>+VLOOKUP($L106,Data_Validation!$A:$D,3,0)</f>
        <v>Bilan</v>
      </c>
      <c r="V106" s="656" t="str">
        <f>+VLOOKUP($L106,Data_Validation!$A:$D,4,0)</f>
        <v>Recevables Garantie Manufacturier</v>
      </c>
      <c r="W106" s="656" t="str">
        <f>+VLOOKUP($L106,Data_Validation!$A:$E,5,0)</f>
        <v>$</v>
      </c>
      <c r="X106" s="656">
        <f>+VLOOKUP($L106,Data_Validation!$A:$F,6,0)</f>
        <v>0</v>
      </c>
    </row>
    <row r="107" spans="1:24" ht="15" customHeight="1">
      <c r="A107" s="1052" t="s">
        <v>836</v>
      </c>
      <c r="B107" s="1052" t="s">
        <v>1472</v>
      </c>
      <c r="C107" s="1054">
        <v>9050.6200000000008</v>
      </c>
      <c r="D107" s="1054">
        <v>3198.86</v>
      </c>
      <c r="E107" s="1054">
        <v>12249.48</v>
      </c>
      <c r="F107" s="1052" t="s">
        <v>816</v>
      </c>
      <c r="G107" s="1052" t="s">
        <v>821</v>
      </c>
      <c r="H107" s="1031"/>
      <c r="I107" s="1032"/>
      <c r="J107" s="1032"/>
      <c r="K107" s="1032"/>
      <c r="L107" s="653" t="str">
        <f t="shared" si="67"/>
        <v>1340</v>
      </c>
      <c r="M107" s="654" t="str">
        <f t="shared" si="0"/>
        <v>GARANTIE PPM</v>
      </c>
      <c r="N107" s="655">
        <f>+IF(OR($Q107=Parametres!$G$2,$Q107=Parametres!$G$3),I107,C107)</f>
        <v>9050.6200000000008</v>
      </c>
      <c r="O107" s="655">
        <f>+IF(OR($Q107=Parametres!$G$2,$Q107=Parametres!$G$3),J107,D107)</f>
        <v>3198.86</v>
      </c>
      <c r="P107" s="655">
        <f>+IF(OR($Q107=Parametres!$G$2,$Q107=Parametres!$G$3),K107,E107)</f>
        <v>12249.48</v>
      </c>
      <c r="Q107" s="654" t="str">
        <f t="shared" ref="Q107:S107" si="108">+F107</f>
        <v>2-Actifs</v>
      </c>
      <c r="R107" s="653" t="str">
        <f t="shared" si="108"/>
        <v>1382</v>
      </c>
      <c r="S107" s="654">
        <f t="shared" si="108"/>
        <v>0</v>
      </c>
      <c r="T107" s="656" t="str">
        <f>+VLOOKUP($L107,Data_Validation!$A:$D,1,0)</f>
        <v>1340</v>
      </c>
      <c r="U107" s="656" t="str">
        <f>+VLOOKUP($L107,Data_Validation!$A:$D,3,0)</f>
        <v>Bilan</v>
      </c>
      <c r="V107" s="656" t="str">
        <f>+VLOOKUP($L107,Data_Validation!$A:$D,4,0)</f>
        <v>recevables Autres</v>
      </c>
      <c r="W107" s="656" t="str">
        <f>+VLOOKUP($L107,Data_Validation!$A:$E,5,0)</f>
        <v>$</v>
      </c>
      <c r="X107" s="656">
        <f>+VLOOKUP($L107,Data_Validation!$A:$F,6,0)</f>
        <v>0</v>
      </c>
    </row>
    <row r="108" spans="1:24" ht="15" customHeight="1">
      <c r="A108" s="1052" t="s">
        <v>837</v>
      </c>
      <c r="B108" s="1052" t="s">
        <v>1475</v>
      </c>
      <c r="C108" s="1054">
        <v>-54183.66</v>
      </c>
      <c r="D108" s="1054">
        <v>17044</v>
      </c>
      <c r="E108" s="1054">
        <v>-37139.660000000003</v>
      </c>
      <c r="F108" s="1052" t="s">
        <v>816</v>
      </c>
      <c r="G108" s="1052" t="s">
        <v>833</v>
      </c>
      <c r="H108" s="1031"/>
      <c r="I108" s="1032"/>
      <c r="J108" s="1032"/>
      <c r="K108" s="1032"/>
      <c r="L108" s="653" t="str">
        <f t="shared" si="67"/>
        <v>1352</v>
      </c>
      <c r="M108" s="654" t="str">
        <f t="shared" si="0"/>
        <v>RECEV. MANUFACTURIER VOLKS</v>
      </c>
      <c r="N108" s="655">
        <f>+IF(OR($Q108=Parametres!$G$2,$Q108=Parametres!$G$3),I108,C108)</f>
        <v>-54183.66</v>
      </c>
      <c r="O108" s="655">
        <f>+IF(OR($Q108=Parametres!$G$2,$Q108=Parametres!$G$3),J108,D108)</f>
        <v>17044</v>
      </c>
      <c r="P108" s="655">
        <f>+IF(OR($Q108=Parametres!$G$2,$Q108=Parametres!$G$3),K108,E108)</f>
        <v>-37139.660000000003</v>
      </c>
      <c r="Q108" s="654" t="str">
        <f t="shared" ref="Q108:S108" si="109">+F108</f>
        <v>2-Actifs</v>
      </c>
      <c r="R108" s="653" t="str">
        <f t="shared" si="109"/>
        <v>1314</v>
      </c>
      <c r="S108" s="654">
        <f t="shared" si="109"/>
        <v>0</v>
      </c>
      <c r="T108" s="656" t="str">
        <f>+VLOOKUP($L108,Data_Validation!$A:$D,1,0)</f>
        <v>1352</v>
      </c>
      <c r="U108" s="656" t="str">
        <f>+VLOOKUP($L108,Data_Validation!$A:$D,3,0)</f>
        <v>Bilan</v>
      </c>
      <c r="V108" s="656" t="str">
        <f>+VLOOKUP($L108,Data_Validation!$A:$D,4,0)</f>
        <v>Recevables Manufacturier</v>
      </c>
      <c r="W108" s="656" t="str">
        <f>+VLOOKUP($L108,Data_Validation!$A:$E,5,0)</f>
        <v>$</v>
      </c>
      <c r="X108" s="656">
        <f>+VLOOKUP($L108,Data_Validation!$A:$F,6,0)</f>
        <v>0</v>
      </c>
    </row>
    <row r="109" spans="1:24" ht="15.75" customHeight="1">
      <c r="A109" s="1052" t="s">
        <v>838</v>
      </c>
      <c r="B109" s="1052" t="s">
        <v>839</v>
      </c>
      <c r="C109" s="1054">
        <v>-2655.24</v>
      </c>
      <c r="D109" s="1054">
        <v>0</v>
      </c>
      <c r="E109" s="1054">
        <v>-2655.24</v>
      </c>
      <c r="F109" s="1052" t="s">
        <v>816</v>
      </c>
      <c r="G109" s="1052" t="s">
        <v>839</v>
      </c>
      <c r="H109" s="1031"/>
      <c r="I109" s="1032"/>
      <c r="J109" s="1032"/>
      <c r="K109" s="1032"/>
      <c r="L109" s="653" t="str">
        <f t="shared" si="67"/>
        <v>1399</v>
      </c>
      <c r="M109" s="654" t="str">
        <f t="shared" si="0"/>
        <v>RESERVE CREANCE DOUTEUSES</v>
      </c>
      <c r="N109" s="655">
        <f>+IF(OR($Q109=Parametres!$G$2,$Q109=Parametres!$G$3),I109,C109)</f>
        <v>-2655.24</v>
      </c>
      <c r="O109" s="659">
        <f>+IF(OR($Q109=Parametres!$G$2,$Q109=Parametres!$G$3),J109,D109)</f>
        <v>0</v>
      </c>
      <c r="P109" s="655">
        <f>+IF(OR($Q109=Parametres!$G$2,$Q109=Parametres!$G$3),K109,E109)</f>
        <v>-2655.24</v>
      </c>
      <c r="Q109" s="654" t="str">
        <f t="shared" ref="Q109:S109" si="110">+F109</f>
        <v>2-Actifs</v>
      </c>
      <c r="R109" s="653" t="str">
        <f t="shared" si="110"/>
        <v>1399</v>
      </c>
      <c r="S109" s="654">
        <f t="shared" si="110"/>
        <v>0</v>
      </c>
      <c r="T109" s="656" t="str">
        <f>+VLOOKUP($L109,Data_Validation!$A:$D,1,0)</f>
        <v>1399</v>
      </c>
      <c r="U109" s="656" t="str">
        <f>+VLOOKUP($L109,Data_Validation!$A:$D,3,0)</f>
        <v>Bilan</v>
      </c>
      <c r="V109" s="656" t="str">
        <f>+VLOOKUP($L109,Data_Validation!$A:$D,4,0)</f>
        <v>Recevables Pièces et Service</v>
      </c>
      <c r="W109" s="656" t="str">
        <f>+VLOOKUP($L109,Data_Validation!$A:$E,5,0)</f>
        <v>$</v>
      </c>
      <c r="X109" s="656">
        <f>+VLOOKUP($L109,Data_Validation!$A:$F,6,0)</f>
        <v>0</v>
      </c>
    </row>
    <row r="110" spans="1:24" ht="15" customHeight="1">
      <c r="A110" s="1052" t="s">
        <v>840</v>
      </c>
      <c r="B110" s="1052" t="s">
        <v>841</v>
      </c>
      <c r="C110" s="1054">
        <v>2737483.13</v>
      </c>
      <c r="D110" s="1054">
        <v>-483507.75</v>
      </c>
      <c r="E110" s="1054">
        <v>2253975.38</v>
      </c>
      <c r="F110" s="1052" t="s">
        <v>816</v>
      </c>
      <c r="G110" s="1052" t="s">
        <v>841</v>
      </c>
      <c r="H110" s="1031"/>
      <c r="I110" s="1032"/>
      <c r="J110" s="1032"/>
      <c r="K110" s="1032"/>
      <c r="L110" s="653" t="str">
        <f t="shared" si="67"/>
        <v>1402</v>
      </c>
      <c r="M110" s="654" t="str">
        <f t="shared" si="0"/>
        <v>VEHIC. NEUFS VOLKS</v>
      </c>
      <c r="N110" s="655">
        <f>+IF(OR($Q110=Parametres!$G$2,$Q110=Parametres!$G$3),I110,C110)</f>
        <v>2737483.13</v>
      </c>
      <c r="O110" s="655">
        <f>+IF(OR($Q110=Parametres!$G$2,$Q110=Parametres!$G$3),J110,D110)</f>
        <v>-483507.75</v>
      </c>
      <c r="P110" s="655">
        <f>+IF(OR($Q110=Parametres!$G$2,$Q110=Parametres!$G$3),K110,E110)</f>
        <v>2253975.38</v>
      </c>
      <c r="Q110" s="654" t="str">
        <f t="shared" ref="Q110:S110" si="111">+F110</f>
        <v>2-Actifs</v>
      </c>
      <c r="R110" s="653" t="str">
        <f t="shared" si="111"/>
        <v>1402</v>
      </c>
      <c r="S110" s="654">
        <f t="shared" si="111"/>
        <v>0</v>
      </c>
      <c r="T110" s="656" t="str">
        <f>+VLOOKUP($L110,Data_Validation!$A:$D,1,0)</f>
        <v>1402</v>
      </c>
      <c r="U110" s="656" t="str">
        <f>+VLOOKUP($L110,Data_Validation!$A:$D,3,0)</f>
        <v>Bilan</v>
      </c>
      <c r="V110" s="656" t="str">
        <f>+VLOOKUP($L110,Data_Validation!$A:$D,4,0)</f>
        <v>Inventaire Véhicules Neufs</v>
      </c>
      <c r="W110" s="656" t="str">
        <f>+VLOOKUP($L110,Data_Validation!$A:$E,5,0)</f>
        <v>$</v>
      </c>
      <c r="X110" s="656">
        <f>+VLOOKUP($L110,Data_Validation!$A:$F,6,0)</f>
        <v>0</v>
      </c>
    </row>
    <row r="111" spans="1:24" ht="15" customHeight="1">
      <c r="A111" s="1052" t="s">
        <v>844</v>
      </c>
      <c r="B111" s="1052" t="s">
        <v>1487</v>
      </c>
      <c r="C111" s="1054">
        <v>-57100</v>
      </c>
      <c r="D111" s="1054">
        <v>-1875</v>
      </c>
      <c r="E111" s="1054">
        <v>-58975</v>
      </c>
      <c r="F111" s="1052" t="s">
        <v>816</v>
      </c>
      <c r="G111" s="1052" t="s">
        <v>841</v>
      </c>
      <c r="H111" s="1031"/>
      <c r="I111" s="1032"/>
      <c r="J111" s="1032"/>
      <c r="K111" s="1032"/>
      <c r="L111" s="653" t="str">
        <f t="shared" si="67"/>
        <v>1403</v>
      </c>
      <c r="M111" s="654" t="str">
        <f t="shared" si="0"/>
        <v>BRUISING VOLKS VEH. NEUFS</v>
      </c>
      <c r="N111" s="655">
        <f>+IF(OR($Q111=Parametres!$G$2,$Q111=Parametres!$G$3),I111,C111)</f>
        <v>-57100</v>
      </c>
      <c r="O111" s="655">
        <f>+IF(OR($Q111=Parametres!$G$2,$Q111=Parametres!$G$3),J111,D111)</f>
        <v>-1875</v>
      </c>
      <c r="P111" s="655">
        <f>+IF(OR($Q111=Parametres!$G$2,$Q111=Parametres!$G$3),K111,E111)</f>
        <v>-58975</v>
      </c>
      <c r="Q111" s="654" t="str">
        <f t="shared" ref="Q111:S111" si="112">+F111</f>
        <v>2-Actifs</v>
      </c>
      <c r="R111" s="653" t="str">
        <f t="shared" si="112"/>
        <v>1402</v>
      </c>
      <c r="S111" s="654">
        <f t="shared" si="112"/>
        <v>0</v>
      </c>
      <c r="T111" s="656" t="str">
        <f>+VLOOKUP($L111,Data_Validation!$A:$D,1,0)</f>
        <v>1403</v>
      </c>
      <c r="U111" s="656" t="str">
        <f>+VLOOKUP($L111,Data_Validation!$A:$D,3,0)</f>
        <v>Bilan</v>
      </c>
      <c r="V111" s="656" t="str">
        <f>+VLOOKUP($L111,Data_Validation!$A:$D,4,0)</f>
        <v>Inventaire Véhicules Neufs</v>
      </c>
      <c r="W111" s="656" t="str">
        <f>+VLOOKUP($L111,Data_Validation!$A:$E,5,0)</f>
        <v>$</v>
      </c>
      <c r="X111" s="656">
        <f>+VLOOKUP($L111,Data_Validation!$A:$F,6,0)</f>
        <v>0</v>
      </c>
    </row>
    <row r="112" spans="1:24" ht="15" customHeight="1">
      <c r="A112" s="1052" t="s">
        <v>845</v>
      </c>
      <c r="B112" s="1052" t="s">
        <v>846</v>
      </c>
      <c r="C112" s="1054">
        <v>-5312</v>
      </c>
      <c r="D112" s="1054">
        <v>-2400</v>
      </c>
      <c r="E112" s="1054">
        <v>-7712</v>
      </c>
      <c r="F112" s="1052" t="s">
        <v>816</v>
      </c>
      <c r="G112" s="1052" t="s">
        <v>846</v>
      </c>
      <c r="H112" s="1031"/>
      <c r="I112" s="1032"/>
      <c r="J112" s="1032"/>
      <c r="K112" s="1032"/>
      <c r="L112" s="653" t="str">
        <f t="shared" si="67"/>
        <v>1413</v>
      </c>
      <c r="M112" s="654" t="str">
        <f t="shared" si="0"/>
        <v>BRUISING USED CAR</v>
      </c>
      <c r="N112" s="655">
        <f>+IF(OR($Q112=Parametres!$G$2,$Q112=Parametres!$G$3),I112,C112)</f>
        <v>-5312</v>
      </c>
      <c r="O112" s="655">
        <f>+IF(OR($Q112=Parametres!$G$2,$Q112=Parametres!$G$3),J112,D112)</f>
        <v>-2400</v>
      </c>
      <c r="P112" s="655">
        <f>+IF(OR($Q112=Parametres!$G$2,$Q112=Parametres!$G$3),K112,E112)</f>
        <v>-7712</v>
      </c>
      <c r="Q112" s="654" t="str">
        <f t="shared" ref="Q112:S112" si="113">+F112</f>
        <v>2-Actifs</v>
      </c>
      <c r="R112" s="653" t="str">
        <f t="shared" si="113"/>
        <v>1413</v>
      </c>
      <c r="S112" s="654">
        <f t="shared" si="113"/>
        <v>0</v>
      </c>
      <c r="T112" s="656" t="str">
        <f>+VLOOKUP($L112,Data_Validation!$A:$D,1,0)</f>
        <v>1413</v>
      </c>
      <c r="U112" s="656" t="str">
        <f>+VLOOKUP($L112,Data_Validation!$A:$D,3,0)</f>
        <v>Bilan</v>
      </c>
      <c r="V112" s="656" t="str">
        <f>+VLOOKUP($L112,Data_Validation!$A:$D,4,0)</f>
        <v>Inventaire Véhicules Usagés</v>
      </c>
      <c r="W112" s="656" t="str">
        <f>+VLOOKUP($L112,Data_Validation!$A:$E,5,0)</f>
        <v>$</v>
      </c>
      <c r="X112" s="656">
        <f>+VLOOKUP($L112,Data_Validation!$A:$F,6,0)</f>
        <v>0</v>
      </c>
    </row>
    <row r="113" spans="1:24" ht="15.75" customHeight="1">
      <c r="A113" s="1052" t="s">
        <v>847</v>
      </c>
      <c r="B113" s="1052" t="s">
        <v>848</v>
      </c>
      <c r="C113" s="1054">
        <v>2836520.29</v>
      </c>
      <c r="D113" s="1054">
        <v>-348389.8</v>
      </c>
      <c r="E113" s="1054">
        <v>2488130.4900000002</v>
      </c>
      <c r="F113" s="1052" t="s">
        <v>816</v>
      </c>
      <c r="G113" s="1052" t="s">
        <v>848</v>
      </c>
      <c r="H113" s="1031"/>
      <c r="I113" s="1032"/>
      <c r="J113" s="1032"/>
      <c r="K113" s="1032"/>
      <c r="L113" s="653" t="str">
        <f t="shared" si="67"/>
        <v>1416</v>
      </c>
      <c r="M113" s="654" t="str">
        <f t="shared" si="0"/>
        <v>INV. VEH. USAGE VW</v>
      </c>
      <c r="N113" s="655">
        <f>+IF(OR($Q113=Parametres!$G$2,$Q113=Parametres!$G$3),I113,C113)</f>
        <v>2836520.29</v>
      </c>
      <c r="O113" s="659">
        <f>+IF(OR($Q113=Parametres!$G$2,$Q113=Parametres!$G$3),J113,D113)</f>
        <v>-348389.8</v>
      </c>
      <c r="P113" s="655">
        <f>+IF(OR($Q113=Parametres!$G$2,$Q113=Parametres!$G$3),K113,E113)</f>
        <v>2488130.4900000002</v>
      </c>
      <c r="Q113" s="654" t="str">
        <f t="shared" ref="Q113:S113" si="114">+F113</f>
        <v>2-Actifs</v>
      </c>
      <c r="R113" s="653" t="str">
        <f t="shared" si="114"/>
        <v>1416</v>
      </c>
      <c r="S113" s="654">
        <f t="shared" si="114"/>
        <v>0</v>
      </c>
      <c r="T113" s="656" t="str">
        <f>+VLOOKUP($L113,Data_Validation!$A:$D,1,0)</f>
        <v>1416</v>
      </c>
      <c r="U113" s="656" t="str">
        <f>+VLOOKUP($L113,Data_Validation!$A:$D,3,0)</f>
        <v>Bilan</v>
      </c>
      <c r="V113" s="656" t="str">
        <f>+VLOOKUP($L113,Data_Validation!$A:$D,4,0)</f>
        <v>Inventaire Véhicules Usagés</v>
      </c>
      <c r="W113" s="656" t="str">
        <f>+VLOOKUP($L113,Data_Validation!$A:$E,5,0)</f>
        <v>$</v>
      </c>
      <c r="X113" s="656">
        <f>+VLOOKUP($L113,Data_Validation!$A:$F,6,0)</f>
        <v>0</v>
      </c>
    </row>
    <row r="114" spans="1:24" ht="15" customHeight="1">
      <c r="A114" s="1052" t="s">
        <v>851</v>
      </c>
      <c r="B114" s="1052" t="s">
        <v>852</v>
      </c>
      <c r="C114" s="1054">
        <v>-11095.25</v>
      </c>
      <c r="D114" s="1054">
        <v>-7064.46</v>
      </c>
      <c r="E114" s="1054">
        <v>-18159.71</v>
      </c>
      <c r="F114" s="1052" t="s">
        <v>816</v>
      </c>
      <c r="G114" s="1052" t="s">
        <v>852</v>
      </c>
      <c r="H114" s="1031"/>
      <c r="I114" s="1032"/>
      <c r="J114" s="1032"/>
      <c r="K114" s="1032"/>
      <c r="L114" s="653" t="str">
        <f t="shared" si="67"/>
        <v>1423</v>
      </c>
      <c r="M114" s="668" t="str">
        <f t="shared" si="0"/>
        <v>RESERVE DEMO</v>
      </c>
      <c r="N114" s="655">
        <f>+IF(OR($Q114=Parametres!$G$2,$Q114=Parametres!$G$3),I114,C114)</f>
        <v>-11095.25</v>
      </c>
      <c r="O114" s="712">
        <f>+IF(OR($Q114=Parametres!$G$2,$Q114=Parametres!$G$3),J114,D114)</f>
        <v>-7064.46</v>
      </c>
      <c r="P114" s="669">
        <f>+IF(OR($Q114=Parametres!$G$2,$Q114=Parametres!$G$3),K114,E114)</f>
        <v>-18159.71</v>
      </c>
      <c r="Q114" s="654" t="str">
        <f t="shared" ref="Q114:S114" si="115">+F114</f>
        <v>2-Actifs</v>
      </c>
      <c r="R114" s="653" t="str">
        <f t="shared" si="115"/>
        <v>1423</v>
      </c>
      <c r="S114" s="654">
        <f t="shared" si="115"/>
        <v>0</v>
      </c>
      <c r="T114" s="656" t="str">
        <f>+VLOOKUP($L114,Data_Validation!$A:$D,1,0)</f>
        <v>1423</v>
      </c>
      <c r="U114" s="656" t="str">
        <f>+VLOOKUP($L114,Data_Validation!$A:$D,3,0)</f>
        <v>Bilan</v>
      </c>
      <c r="V114" s="656" t="str">
        <f>+VLOOKUP($L114,Data_Validation!$A:$D,4,0)</f>
        <v>Inventaire Véhicules Neufs</v>
      </c>
      <c r="W114" s="656" t="str">
        <f>+VLOOKUP($L114,Data_Validation!$A:$E,5,0)</f>
        <v>$</v>
      </c>
      <c r="X114" s="656">
        <f>+VLOOKUP($L114,Data_Validation!$A:$F,6,0)</f>
        <v>0</v>
      </c>
    </row>
    <row r="115" spans="1:24" ht="15" customHeight="1">
      <c r="A115" s="1052" t="s">
        <v>853</v>
      </c>
      <c r="B115" s="1052" t="s">
        <v>3366</v>
      </c>
      <c r="C115" s="1054">
        <v>-36318.639999999999</v>
      </c>
      <c r="D115" s="1054">
        <v>6920.62</v>
      </c>
      <c r="E115" s="1054">
        <v>-29398.02</v>
      </c>
      <c r="F115" s="1052" t="s">
        <v>816</v>
      </c>
      <c r="G115" s="1052" t="s">
        <v>854</v>
      </c>
      <c r="H115" s="1031"/>
      <c r="I115" s="1032"/>
      <c r="J115" s="1032"/>
      <c r="K115" s="1032"/>
      <c r="L115" s="653" t="str">
        <f t="shared" si="67"/>
        <v>1433</v>
      </c>
      <c r="M115" s="654" t="str">
        <f t="shared" si="0"/>
        <v>RESERVE COURTOISIE</v>
      </c>
      <c r="N115" s="655">
        <f>+IF(OR($Q115=Parametres!$G$2,$Q115=Parametres!$G$3),I115,C115)</f>
        <v>-36318.639999999999</v>
      </c>
      <c r="O115" s="655">
        <f>+IF(OR($Q115=Parametres!$G$2,$Q115=Parametres!$G$3),J115,D115)</f>
        <v>6920.62</v>
      </c>
      <c r="P115" s="655">
        <f>+IF(OR($Q115=Parametres!$G$2,$Q115=Parametres!$G$3),K115,E115)</f>
        <v>-29398.02</v>
      </c>
      <c r="Q115" s="654" t="str">
        <f t="shared" ref="Q115:S115" si="116">+F115</f>
        <v>2-Actifs</v>
      </c>
      <c r="R115" s="653" t="str">
        <f t="shared" si="116"/>
        <v>143</v>
      </c>
      <c r="S115" s="654">
        <f t="shared" si="116"/>
        <v>0</v>
      </c>
      <c r="T115" s="671" t="str">
        <f>+VLOOKUP($L115,Data_Validation!$A:$D,1,0)</f>
        <v>1433</v>
      </c>
      <c r="U115" s="656" t="str">
        <f>+VLOOKUP($L115,Data_Validation!$A:$D,3,0)</f>
        <v>Bilan</v>
      </c>
      <c r="V115" s="656" t="str">
        <f>+VLOOKUP($L115,Data_Validation!$A:$D,4,0)</f>
        <v>Inventaire Véhicules Neufs</v>
      </c>
      <c r="W115" s="656" t="str">
        <f>+VLOOKUP($L115,Data_Validation!$A:$E,5,0)</f>
        <v>$</v>
      </c>
      <c r="X115" s="656">
        <f>+VLOOKUP($L115,Data_Validation!$A:$F,6,0)</f>
        <v>0</v>
      </c>
    </row>
    <row r="116" spans="1:24" ht="15" customHeight="1">
      <c r="A116" s="1052" t="s">
        <v>855</v>
      </c>
      <c r="B116" s="1052" t="s">
        <v>856</v>
      </c>
      <c r="C116" s="1054">
        <v>65871.789999999994</v>
      </c>
      <c r="D116" s="1054">
        <v>-10711.08</v>
      </c>
      <c r="E116" s="1054">
        <v>55160.71</v>
      </c>
      <c r="F116" s="1052" t="s">
        <v>816</v>
      </c>
      <c r="G116" s="1052" t="s">
        <v>856</v>
      </c>
      <c r="H116" s="1031"/>
      <c r="I116" s="1032"/>
      <c r="J116" s="1032"/>
      <c r="K116" s="1032"/>
      <c r="L116" s="653" t="str">
        <f t="shared" si="67"/>
        <v>1442</v>
      </c>
      <c r="M116" s="654" t="str">
        <f t="shared" si="0"/>
        <v>PIECES &amp; ACCESSOIRES NEUFS</v>
      </c>
      <c r="N116" s="655">
        <f>+IF(OR($Q116=Parametres!$G$2,$Q116=Parametres!$G$3),I116,C116)</f>
        <v>65871.789999999994</v>
      </c>
      <c r="O116" s="655">
        <f>+IF(OR($Q116=Parametres!$G$2,$Q116=Parametres!$G$3),J116,D116)</f>
        <v>-10711.08</v>
      </c>
      <c r="P116" s="655">
        <f>+IF(OR($Q116=Parametres!$G$2,$Q116=Parametres!$G$3),K116,E116)</f>
        <v>55160.71</v>
      </c>
      <c r="Q116" s="654" t="str">
        <f t="shared" ref="Q116:S116" si="117">+F116</f>
        <v>2-Actifs</v>
      </c>
      <c r="R116" s="653" t="str">
        <f t="shared" si="117"/>
        <v>1442</v>
      </c>
      <c r="S116" s="654">
        <f t="shared" si="117"/>
        <v>0</v>
      </c>
      <c r="T116" s="656" t="str">
        <f>+VLOOKUP($L116,Data_Validation!$A:$D,1,0)</f>
        <v>1442</v>
      </c>
      <c r="U116" s="656" t="str">
        <f>+VLOOKUP($L116,Data_Validation!$A:$D,3,0)</f>
        <v>Bilan</v>
      </c>
      <c r="V116" s="656" t="str">
        <f>+VLOOKUP($L116,Data_Validation!$A:$D,4,0)</f>
        <v>Inventaire Pièces, Pneus, Huile</v>
      </c>
      <c r="W116" s="656" t="str">
        <f>+VLOOKUP($L116,Data_Validation!$A:$E,5,0)</f>
        <v>$</v>
      </c>
      <c r="X116" s="656">
        <f>+VLOOKUP($L116,Data_Validation!$A:$F,6,0)</f>
        <v>0</v>
      </c>
    </row>
    <row r="117" spans="1:24" ht="15.75" customHeight="1">
      <c r="A117" s="1052" t="s">
        <v>857</v>
      </c>
      <c r="B117" s="1052" t="s">
        <v>3367</v>
      </c>
      <c r="C117" s="1054">
        <v>346.5</v>
      </c>
      <c r="D117" s="1054">
        <v>-346.5</v>
      </c>
      <c r="E117" s="1054">
        <v>0</v>
      </c>
      <c r="F117" s="1052" t="s">
        <v>816</v>
      </c>
      <c r="G117" s="1052" t="s">
        <v>856</v>
      </c>
      <c r="H117" s="1031"/>
      <c r="I117" s="1032"/>
      <c r="J117" s="1032"/>
      <c r="K117" s="1032"/>
      <c r="L117" s="653" t="str">
        <f t="shared" si="67"/>
        <v>1448</v>
      </c>
      <c r="M117" s="668" t="str">
        <f t="shared" si="0"/>
        <v>AUTRES MARQUES P&amp;A</v>
      </c>
      <c r="N117" s="655">
        <f>+IF(OR($Q117=Parametres!$G$2,$Q117=Parametres!$G$3),I117,C117)</f>
        <v>346.5</v>
      </c>
      <c r="O117" s="712">
        <f>+IF(OR($Q117=Parametres!$G$2,$Q117=Parametres!$G$3),J117,D117)</f>
        <v>-346.5</v>
      </c>
      <c r="P117" s="669">
        <f>+IF(OR($Q117=Parametres!$G$2,$Q117=Parametres!$G$3),K117,E117)</f>
        <v>0</v>
      </c>
      <c r="Q117" s="654" t="str">
        <f t="shared" ref="Q117:S117" si="118">+F117</f>
        <v>2-Actifs</v>
      </c>
      <c r="R117" s="653" t="str">
        <f t="shared" si="118"/>
        <v>1442</v>
      </c>
      <c r="S117" s="654">
        <f t="shared" si="118"/>
        <v>0</v>
      </c>
      <c r="T117" s="656" t="str">
        <f>+VLOOKUP($L117,Data_Validation!$A:$D,1,0)</f>
        <v>1448</v>
      </c>
      <c r="U117" s="656" t="str">
        <f>+VLOOKUP($L117,Data_Validation!$A:$D,3,0)</f>
        <v>Bilan</v>
      </c>
      <c r="V117" s="656" t="str">
        <f>+VLOOKUP($L117,Data_Validation!$A:$D,4,0)</f>
        <v>Inventaire Pièces, Pneus, Huile</v>
      </c>
      <c r="W117" s="656" t="str">
        <f>+VLOOKUP($L117,Data_Validation!$A:$E,5,0)</f>
        <v>$</v>
      </c>
      <c r="X117" s="656">
        <f>+VLOOKUP($L117,Data_Validation!$A:$F,6,0)</f>
        <v>0</v>
      </c>
    </row>
    <row r="118" spans="1:24" ht="15" customHeight="1">
      <c r="A118" s="1052" t="s">
        <v>858</v>
      </c>
      <c r="B118" s="1052" t="s">
        <v>1498</v>
      </c>
      <c r="C118" s="1054">
        <v>184295.38</v>
      </c>
      <c r="D118" s="1054">
        <v>6291.44</v>
      </c>
      <c r="E118" s="1054">
        <v>190586.82</v>
      </c>
      <c r="F118" s="1052" t="s">
        <v>816</v>
      </c>
      <c r="G118" s="1052" t="s">
        <v>856</v>
      </c>
      <c r="H118" s="1031"/>
      <c r="I118" s="1032"/>
      <c r="J118" s="1032"/>
      <c r="K118" s="1032"/>
      <c r="L118" s="653" t="str">
        <f t="shared" si="67"/>
        <v>1452</v>
      </c>
      <c r="M118" s="654" t="str">
        <f t="shared" si="0"/>
        <v>PNEUS</v>
      </c>
      <c r="N118" s="655">
        <f>+IF(OR($Q118=Parametres!$G$2,$Q118=Parametres!$G$3),I118,C118)</f>
        <v>184295.38</v>
      </c>
      <c r="O118" s="659">
        <f>+IF(OR($Q118=Parametres!$G$2,$Q118=Parametres!$G$3),J118,D118)</f>
        <v>6291.44</v>
      </c>
      <c r="P118" s="655">
        <f>+IF(OR($Q118=Parametres!$G$2,$Q118=Parametres!$G$3),K118,E118)</f>
        <v>190586.82</v>
      </c>
      <c r="Q118" s="654" t="str">
        <f t="shared" ref="Q118:S118" si="119">+F118</f>
        <v>2-Actifs</v>
      </c>
      <c r="R118" s="653" t="str">
        <f t="shared" si="119"/>
        <v>1442</v>
      </c>
      <c r="S118" s="654">
        <f t="shared" si="119"/>
        <v>0</v>
      </c>
      <c r="T118" s="656" t="str">
        <f>+VLOOKUP($L118,Data_Validation!$A:$D,1,0)</f>
        <v>1452</v>
      </c>
      <c r="U118" s="656" t="str">
        <f>+VLOOKUP($L118,Data_Validation!$A:$D,3,0)</f>
        <v>Bilan</v>
      </c>
      <c r="V118" s="656" t="str">
        <f>+VLOOKUP($L118,Data_Validation!$A:$D,4,0)</f>
        <v>Inventaire Pièces, Pneus, Huile</v>
      </c>
      <c r="W118" s="656" t="str">
        <f>+VLOOKUP($L118,Data_Validation!$A:$E,5,0)</f>
        <v>$</v>
      </c>
      <c r="X118" s="656">
        <f>+VLOOKUP($L118,Data_Validation!$A:$F,6,0)</f>
        <v>0</v>
      </c>
    </row>
    <row r="119" spans="1:24" ht="15" customHeight="1">
      <c r="A119" s="1052" t="s">
        <v>859</v>
      </c>
      <c r="B119" s="1052" t="s">
        <v>860</v>
      </c>
      <c r="C119" s="1054">
        <v>87436.52</v>
      </c>
      <c r="D119" s="1054">
        <v>4161.88</v>
      </c>
      <c r="E119" s="1054">
        <v>91598.399999999994</v>
      </c>
      <c r="F119" s="1052" t="s">
        <v>816</v>
      </c>
      <c r="G119" s="1052" t="s">
        <v>860</v>
      </c>
      <c r="H119" s="1031"/>
      <c r="I119" s="1032"/>
      <c r="J119" s="1032"/>
      <c r="K119" s="1032"/>
      <c r="L119" s="653" t="str">
        <f t="shared" si="67"/>
        <v>1456</v>
      </c>
      <c r="M119" s="654" t="str">
        <f t="shared" si="0"/>
        <v>PIECES VW NON ORIGINE</v>
      </c>
      <c r="N119" s="655">
        <f>+IF(OR($Q119=Parametres!$G$2,$Q119=Parametres!$G$3),I119,C119)</f>
        <v>87436.52</v>
      </c>
      <c r="O119" s="659">
        <f>+IF(OR($Q119=Parametres!$G$2,$Q119=Parametres!$G$3),J119,D119)</f>
        <v>4161.88</v>
      </c>
      <c r="P119" s="655">
        <f>+IF(OR($Q119=Parametres!$G$2,$Q119=Parametres!$G$3),K119,E119)</f>
        <v>91598.399999999994</v>
      </c>
      <c r="Q119" s="654" t="str">
        <f t="shared" ref="Q119:S119" si="120">+F119</f>
        <v>2-Actifs</v>
      </c>
      <c r="R119" s="653" t="str">
        <f t="shared" si="120"/>
        <v>1456</v>
      </c>
      <c r="S119" s="654">
        <f t="shared" si="120"/>
        <v>0</v>
      </c>
      <c r="T119" s="656" t="str">
        <f>+VLOOKUP($L119,Data_Validation!$A:$D,1,0)</f>
        <v>1456</v>
      </c>
      <c r="U119" s="656" t="str">
        <f>+VLOOKUP($L119,Data_Validation!$A:$D,3,0)</f>
        <v>Bilan</v>
      </c>
      <c r="V119" s="656" t="str">
        <f>+VLOOKUP($L119,Data_Validation!$A:$D,4,0)</f>
        <v>Inventaire Pièces, Pneus, Huile</v>
      </c>
      <c r="W119" s="656" t="str">
        <f>+VLOOKUP($L119,Data_Validation!$A:$E,5,0)</f>
        <v>$</v>
      </c>
      <c r="X119" s="656">
        <f>+VLOOKUP($L119,Data_Validation!$A:$F,6,0)</f>
        <v>0</v>
      </c>
    </row>
    <row r="120" spans="1:24" ht="15" customHeight="1">
      <c r="A120" s="1052" t="s">
        <v>861</v>
      </c>
      <c r="B120" s="1052" t="s">
        <v>862</v>
      </c>
      <c r="C120" s="1054">
        <v>6332.7</v>
      </c>
      <c r="D120" s="1054">
        <v>3466.3</v>
      </c>
      <c r="E120" s="1054">
        <v>9799</v>
      </c>
      <c r="F120" s="1052" t="s">
        <v>816</v>
      </c>
      <c r="G120" s="1052" t="s">
        <v>862</v>
      </c>
      <c r="H120" s="1031"/>
      <c r="I120" s="1032"/>
      <c r="J120" s="1032"/>
      <c r="K120" s="1032"/>
      <c r="L120" s="653" t="str">
        <f t="shared" si="67"/>
        <v>1472</v>
      </c>
      <c r="M120" s="654" t="str">
        <f t="shared" si="0"/>
        <v>WIP M-O VW</v>
      </c>
      <c r="N120" s="655">
        <f>+IF(OR($Q120=Parametres!$G$2,$Q120=Parametres!$G$3),I120,C120)</f>
        <v>6332.7</v>
      </c>
      <c r="O120" s="655">
        <f>+IF(OR($Q120=Parametres!$G$2,$Q120=Parametres!$G$3),J120,D120)</f>
        <v>3466.3</v>
      </c>
      <c r="P120" s="655">
        <f>+IF(OR($Q120=Parametres!$G$2,$Q120=Parametres!$G$3),K120,E120)</f>
        <v>9799</v>
      </c>
      <c r="Q120" s="654" t="str">
        <f t="shared" ref="Q120:S120" si="121">+F120</f>
        <v>2-Actifs</v>
      </c>
      <c r="R120" s="653" t="str">
        <f t="shared" si="121"/>
        <v>1472</v>
      </c>
      <c r="S120" s="654">
        <f t="shared" si="121"/>
        <v>0</v>
      </c>
      <c r="T120" s="656" t="str">
        <f>+VLOOKUP($L120,Data_Validation!$A:$D,1,0)</f>
        <v>1472</v>
      </c>
      <c r="U120" s="656" t="str">
        <f>+VLOOKUP($L120,Data_Validation!$A:$D,3,0)</f>
        <v>Bilan</v>
      </c>
      <c r="V120" s="656" t="str">
        <f>+VLOOKUP($L120,Data_Validation!$A:$D,4,0)</f>
        <v>Travaux en Cours</v>
      </c>
      <c r="W120" s="656" t="str">
        <f>+VLOOKUP($L120,Data_Validation!$A:$E,5,0)</f>
        <v>$</v>
      </c>
      <c r="X120" s="656">
        <f>+VLOOKUP($L120,Data_Validation!$A:$F,6,0)</f>
        <v>0</v>
      </c>
    </row>
    <row r="121" spans="1:24" ht="15" customHeight="1">
      <c r="A121" s="1052" t="s">
        <v>863</v>
      </c>
      <c r="B121" s="1052" t="s">
        <v>1505</v>
      </c>
      <c r="C121" s="1054">
        <v>2533.04</v>
      </c>
      <c r="D121" s="1054">
        <v>4139.5600000000004</v>
      </c>
      <c r="E121" s="1054">
        <v>6672.6</v>
      </c>
      <c r="F121" s="1052" t="s">
        <v>816</v>
      </c>
      <c r="G121" s="1052" t="s">
        <v>862</v>
      </c>
      <c r="H121" s="1031"/>
      <c r="I121" s="1032"/>
      <c r="J121" s="1032"/>
      <c r="K121" s="1032"/>
      <c r="L121" s="653" t="str">
        <f t="shared" si="67"/>
        <v>1474</v>
      </c>
      <c r="M121" s="654" t="str">
        <f t="shared" si="0"/>
        <v>INVENTAIRE SOUS-TRAITANTS</v>
      </c>
      <c r="N121" s="655">
        <f>+IF(OR($Q121=Parametres!$G$2,$Q121=Parametres!$G$3),I121,C121)</f>
        <v>2533.04</v>
      </c>
      <c r="O121" s="655">
        <f>+IF(OR($Q121=Parametres!$G$2,$Q121=Parametres!$G$3),J121,D121)</f>
        <v>4139.5600000000004</v>
      </c>
      <c r="P121" s="655">
        <f>+IF(OR($Q121=Parametres!$G$2,$Q121=Parametres!$G$3),K121,E121)</f>
        <v>6672.6</v>
      </c>
      <c r="Q121" s="654" t="str">
        <f t="shared" ref="Q121:S121" si="122">+F121</f>
        <v>2-Actifs</v>
      </c>
      <c r="R121" s="653" t="str">
        <f t="shared" si="122"/>
        <v>1472</v>
      </c>
      <c r="S121" s="654">
        <f t="shared" si="122"/>
        <v>0</v>
      </c>
      <c r="T121" s="656" t="str">
        <f>+VLOOKUP($L121,Data_Validation!$A:$D,1,0)</f>
        <v>1474</v>
      </c>
      <c r="U121" s="656" t="str">
        <f>+VLOOKUP($L121,Data_Validation!$A:$D,3,0)</f>
        <v>Bilan</v>
      </c>
      <c r="V121" s="656" t="str">
        <f>+VLOOKUP($L121,Data_Validation!$A:$D,4,0)</f>
        <v>Sous-Traitance</v>
      </c>
      <c r="W121" s="656" t="str">
        <f>+VLOOKUP($L121,Data_Validation!$A:$E,5,0)</f>
        <v>$</v>
      </c>
      <c r="X121" s="656">
        <f>+VLOOKUP($L121,Data_Validation!$A:$F,6,0)</f>
        <v>0</v>
      </c>
    </row>
    <row r="122" spans="1:24" ht="15" customHeight="1">
      <c r="A122" s="1052" t="s">
        <v>864</v>
      </c>
      <c r="B122" s="1052" t="s">
        <v>1508</v>
      </c>
      <c r="C122" s="1054">
        <v>1932.59</v>
      </c>
      <c r="D122" s="1054">
        <v>15309.97</v>
      </c>
      <c r="E122" s="1054">
        <v>17242.560000000001</v>
      </c>
      <c r="F122" s="1052" t="s">
        <v>816</v>
      </c>
      <c r="G122" s="1052" t="s">
        <v>856</v>
      </c>
      <c r="H122" s="1031"/>
      <c r="I122" s="1032"/>
      <c r="J122" s="1032"/>
      <c r="K122" s="1032"/>
      <c r="L122" s="653" t="str">
        <f t="shared" si="67"/>
        <v>1492</v>
      </c>
      <c r="M122" s="654" t="str">
        <f t="shared" si="0"/>
        <v>CARBURANT, HUILE, GRAISSE</v>
      </c>
      <c r="N122" s="655">
        <f>+IF(OR($Q122=Parametres!$G$2,$Q122=Parametres!$G$3),I122,C122)</f>
        <v>1932.59</v>
      </c>
      <c r="O122" s="655">
        <f>+IF(OR($Q122=Parametres!$G$2,$Q122=Parametres!$G$3),J122,D122)</f>
        <v>15309.97</v>
      </c>
      <c r="P122" s="655">
        <f>+IF(OR($Q122=Parametres!$G$2,$Q122=Parametres!$G$3),K122,E122)</f>
        <v>17242.560000000001</v>
      </c>
      <c r="Q122" s="654" t="str">
        <f t="shared" ref="Q122:S122" si="123">+F122</f>
        <v>2-Actifs</v>
      </c>
      <c r="R122" s="653" t="str">
        <f t="shared" si="123"/>
        <v>1442</v>
      </c>
      <c r="S122" s="654">
        <f t="shared" si="123"/>
        <v>0</v>
      </c>
      <c r="T122" s="656" t="str">
        <f>+VLOOKUP($L122,Data_Validation!$A:$D,1,0)</f>
        <v>1492</v>
      </c>
      <c r="U122" s="656" t="str">
        <f>+VLOOKUP($L122,Data_Validation!$A:$D,3,0)</f>
        <v>Bilan</v>
      </c>
      <c r="V122" s="656" t="str">
        <f>+VLOOKUP($L122,Data_Validation!$A:$D,4,0)</f>
        <v>Inventaire Pièces, Pneus, Huile</v>
      </c>
      <c r="W122" s="656" t="str">
        <f>+VLOOKUP($L122,Data_Validation!$A:$E,5,0)</f>
        <v>$</v>
      </c>
      <c r="X122" s="656">
        <f>+VLOOKUP($L122,Data_Validation!$A:$F,6,0)</f>
        <v>0</v>
      </c>
    </row>
    <row r="123" spans="1:24" ht="15.75" customHeight="1">
      <c r="A123" s="1052" t="s">
        <v>865</v>
      </c>
      <c r="B123" s="1052" t="s">
        <v>866</v>
      </c>
      <c r="C123" s="1054">
        <v>47.1</v>
      </c>
      <c r="D123" s="1054">
        <v>0</v>
      </c>
      <c r="E123" s="1054">
        <v>47.1</v>
      </c>
      <c r="F123" s="1052" t="s">
        <v>816</v>
      </c>
      <c r="G123" s="1052" t="s">
        <v>866</v>
      </c>
      <c r="H123" s="1031"/>
      <c r="I123" s="1032"/>
      <c r="J123" s="1032"/>
      <c r="K123" s="1032"/>
      <c r="L123" s="653" t="str">
        <f t="shared" si="67"/>
        <v>1498</v>
      </c>
      <c r="M123" s="654" t="str">
        <f t="shared" si="0"/>
        <v>AUTRES INVENTAIRES</v>
      </c>
      <c r="N123" s="655">
        <f>+IF(OR($Q123=Parametres!$G$2,$Q123=Parametres!$G$3),I123,C123)</f>
        <v>47.1</v>
      </c>
      <c r="O123" s="655">
        <f>+IF(OR($Q123=Parametres!$G$2,$Q123=Parametres!$G$3),J123,D123)</f>
        <v>0</v>
      </c>
      <c r="P123" s="655">
        <f>+IF(OR($Q123=Parametres!$G$2,$Q123=Parametres!$G$3),K123,E123)</f>
        <v>47.1</v>
      </c>
      <c r="Q123" s="654" t="str">
        <f t="shared" ref="Q123:S123" si="124">+F123</f>
        <v>2-Actifs</v>
      </c>
      <c r="R123" s="653" t="str">
        <f t="shared" si="124"/>
        <v>1498</v>
      </c>
      <c r="S123" s="654">
        <f t="shared" si="124"/>
        <v>0</v>
      </c>
      <c r="T123" s="656" t="str">
        <f>+VLOOKUP($L123,Data_Validation!$A:$D,1,0)</f>
        <v>1498</v>
      </c>
      <c r="U123" s="656" t="str">
        <f>+VLOOKUP($L123,Data_Validation!$A:$D,3,0)</f>
        <v>Bilan</v>
      </c>
      <c r="V123" s="656" t="str">
        <f>+VLOOKUP($L123,Data_Validation!$A:$D,4,0)</f>
        <v>Inventaire Pièces, Pneus, Huile</v>
      </c>
      <c r="W123" s="656" t="str">
        <f>+VLOOKUP($L123,Data_Validation!$A:$E,5,0)</f>
        <v>$</v>
      </c>
      <c r="X123" s="656">
        <f>+VLOOKUP($L123,Data_Validation!$A:$F,6,0)</f>
        <v>0</v>
      </c>
    </row>
    <row r="124" spans="1:24" ht="15" customHeight="1">
      <c r="A124" s="1052" t="s">
        <v>867</v>
      </c>
      <c r="B124" s="1052" t="s">
        <v>1513</v>
      </c>
      <c r="C124" s="1054">
        <v>2228.83</v>
      </c>
      <c r="D124" s="1054">
        <v>-148.26</v>
      </c>
      <c r="E124" s="1054">
        <v>2080.5700000000002</v>
      </c>
      <c r="F124" s="1052" t="s">
        <v>816</v>
      </c>
      <c r="G124" s="1052" t="s">
        <v>868</v>
      </c>
      <c r="H124" s="1031"/>
      <c r="I124" s="1032"/>
      <c r="J124" s="1032"/>
      <c r="K124" s="1032"/>
      <c r="L124" s="653" t="str">
        <f t="shared" si="67"/>
        <v>1502</v>
      </c>
      <c r="M124" s="654" t="str">
        <f t="shared" si="0"/>
        <v>FPA PUB.VEHICULES NEUFS</v>
      </c>
      <c r="N124" s="655">
        <f>+IF(OR($Q124=Parametres!$G$2,$Q124=Parametres!$G$3),I124,C124)</f>
        <v>2228.83</v>
      </c>
      <c r="O124" s="655">
        <f>+IF(OR($Q124=Parametres!$G$2,$Q124=Parametres!$G$3),J124,D124)</f>
        <v>-148.26</v>
      </c>
      <c r="P124" s="655">
        <f>+IF(OR($Q124=Parametres!$G$2,$Q124=Parametres!$G$3),K124,E124)</f>
        <v>2080.5700000000002</v>
      </c>
      <c r="Q124" s="654" t="str">
        <f t="shared" ref="Q124:S124" si="125">+F124</f>
        <v>2-Actifs</v>
      </c>
      <c r="R124" s="653" t="str">
        <f t="shared" si="125"/>
        <v>1500</v>
      </c>
      <c r="S124" s="654">
        <f t="shared" si="125"/>
        <v>0</v>
      </c>
      <c r="T124" s="656" t="str">
        <f>+VLOOKUP($L124,Data_Validation!$A:$D,1,0)</f>
        <v>1502</v>
      </c>
      <c r="U124" s="656" t="str">
        <f>+VLOOKUP($L124,Data_Validation!$A:$D,3,0)</f>
        <v>Bilan</v>
      </c>
      <c r="V124" s="656" t="str">
        <f>+VLOOKUP($L124,Data_Validation!$A:$D,4,0)</f>
        <v>Frais Payés d'Avance</v>
      </c>
      <c r="W124" s="656" t="str">
        <f>+VLOOKUP($L124,Data_Validation!$A:$E,5,0)</f>
        <v>$</v>
      </c>
      <c r="X124" s="656">
        <f>+VLOOKUP($L124,Data_Validation!$A:$F,6,0)</f>
        <v>0</v>
      </c>
    </row>
    <row r="125" spans="1:24" ht="15" customHeight="1">
      <c r="A125" s="1052" t="s">
        <v>869</v>
      </c>
      <c r="B125" s="1052" t="s">
        <v>1516</v>
      </c>
      <c r="C125" s="1054">
        <v>47.35</v>
      </c>
      <c r="D125" s="1054">
        <v>86.97</v>
      </c>
      <c r="E125" s="1054">
        <v>134.32</v>
      </c>
      <c r="F125" s="1052" t="s">
        <v>816</v>
      </c>
      <c r="G125" s="1052" t="s">
        <v>868</v>
      </c>
      <c r="H125" s="1031"/>
      <c r="I125" s="1032"/>
      <c r="J125" s="1032"/>
      <c r="K125" s="1032"/>
      <c r="L125" s="653" t="str">
        <f t="shared" si="67"/>
        <v>1504</v>
      </c>
      <c r="M125" s="654" t="str">
        <f t="shared" si="0"/>
        <v>PUBLICITE VEH USAGES</v>
      </c>
      <c r="N125" s="655">
        <f>+IF(OR($Q125=Parametres!$G$2,$Q125=Parametres!$G$3),I125,C125)</f>
        <v>47.35</v>
      </c>
      <c r="O125" s="659">
        <f>+IF(OR($Q125=Parametres!$G$2,$Q125=Parametres!$G$3),J125,D125)</f>
        <v>86.97</v>
      </c>
      <c r="P125" s="655">
        <f>+IF(OR($Q125=Parametres!$G$2,$Q125=Parametres!$G$3),K125,E125)</f>
        <v>134.32</v>
      </c>
      <c r="Q125" s="654" t="str">
        <f t="shared" ref="Q125:S125" si="126">+F125</f>
        <v>2-Actifs</v>
      </c>
      <c r="R125" s="653" t="str">
        <f t="shared" si="126"/>
        <v>1500</v>
      </c>
      <c r="S125" s="654">
        <f t="shared" si="126"/>
        <v>0</v>
      </c>
      <c r="T125" s="656" t="str">
        <f>+VLOOKUP($L125,Data_Validation!$A:$D,1,0)</f>
        <v>1504</v>
      </c>
      <c r="U125" s="656" t="str">
        <f>+VLOOKUP($L125,Data_Validation!$A:$D,3,0)</f>
        <v>Bilan</v>
      </c>
      <c r="V125" s="656" t="str">
        <f>+VLOOKUP($L125,Data_Validation!$A:$D,4,0)</f>
        <v>Frais Payés d'Avance</v>
      </c>
      <c r="W125" s="656" t="str">
        <f>+VLOOKUP($L125,Data_Validation!$A:$E,5,0)</f>
        <v>$</v>
      </c>
      <c r="X125" s="656">
        <f>+VLOOKUP($L125,Data_Validation!$A:$F,6,0)</f>
        <v>0</v>
      </c>
    </row>
    <row r="126" spans="1:24" ht="15" customHeight="1">
      <c r="A126" s="1052" t="s">
        <v>870</v>
      </c>
      <c r="B126" s="1052" t="s">
        <v>1519</v>
      </c>
      <c r="C126" s="1054">
        <v>-19641.759999999998</v>
      </c>
      <c r="D126" s="1054">
        <v>3804.65</v>
      </c>
      <c r="E126" s="1054">
        <v>-15837.11</v>
      </c>
      <c r="F126" s="1052" t="s">
        <v>816</v>
      </c>
      <c r="G126" s="1052" t="s">
        <v>868</v>
      </c>
      <c r="H126" s="1031"/>
      <c r="I126" s="1032"/>
      <c r="J126" s="1032"/>
      <c r="K126" s="1032"/>
      <c r="L126" s="653" t="str">
        <f t="shared" si="67"/>
        <v>1506</v>
      </c>
      <c r="M126" s="654" t="str">
        <f t="shared" si="0"/>
        <v>FPA PUBLICITE SERVICE</v>
      </c>
      <c r="N126" s="655">
        <f>+IF(OR($Q126=Parametres!$G$2,$Q126=Parametres!$G$3),I126,C126)</f>
        <v>-19641.759999999998</v>
      </c>
      <c r="O126" s="659">
        <f>+IF(OR($Q126=Parametres!$G$2,$Q126=Parametres!$G$3),J126,D126)</f>
        <v>3804.65</v>
      </c>
      <c r="P126" s="655">
        <f>+IF(OR($Q126=Parametres!$G$2,$Q126=Parametres!$G$3),K126,E126)</f>
        <v>-15837.11</v>
      </c>
      <c r="Q126" s="654" t="str">
        <f t="shared" ref="Q126:S126" si="127">+F126</f>
        <v>2-Actifs</v>
      </c>
      <c r="R126" s="653" t="str">
        <f t="shared" si="127"/>
        <v>1500</v>
      </c>
      <c r="S126" s="654">
        <f t="shared" si="127"/>
        <v>0</v>
      </c>
      <c r="T126" s="656" t="str">
        <f>+VLOOKUP($L126,Data_Validation!$A:$D,1,0)</f>
        <v>1506</v>
      </c>
      <c r="U126" s="656" t="str">
        <f>+VLOOKUP($L126,Data_Validation!$A:$D,3,0)</f>
        <v>Bilan</v>
      </c>
      <c r="V126" s="656" t="str">
        <f>+VLOOKUP($L126,Data_Validation!$A:$D,4,0)</f>
        <v>Frais Payés d'Avance</v>
      </c>
      <c r="W126" s="656" t="str">
        <f>+VLOOKUP($L126,Data_Validation!$A:$E,5,0)</f>
        <v>$</v>
      </c>
      <c r="X126" s="656">
        <f>+VLOOKUP($L126,Data_Validation!$A:$F,6,0)</f>
        <v>0</v>
      </c>
    </row>
    <row r="127" spans="1:24" ht="15" customHeight="1">
      <c r="A127" s="1052" t="s">
        <v>871</v>
      </c>
      <c r="B127" s="1052" t="s">
        <v>1525</v>
      </c>
      <c r="C127" s="1054">
        <v>1380</v>
      </c>
      <c r="D127" s="1054">
        <v>-70</v>
      </c>
      <c r="E127" s="1054">
        <v>1310</v>
      </c>
      <c r="F127" s="1052" t="s">
        <v>816</v>
      </c>
      <c r="G127" s="1052" t="s">
        <v>868</v>
      </c>
      <c r="H127" s="1031"/>
      <c r="I127" s="1032"/>
      <c r="J127" s="1032"/>
      <c r="K127" s="1032"/>
      <c r="L127" s="653" t="str">
        <f t="shared" si="67"/>
        <v>1510</v>
      </c>
      <c r="M127" s="654" t="str">
        <f t="shared" si="0"/>
        <v>DIAMOND KOTE (NANO)</v>
      </c>
      <c r="N127" s="655">
        <f>+IF(OR($Q127=Parametres!$G$2,$Q127=Parametres!$G$3),I127,C127)</f>
        <v>1380</v>
      </c>
      <c r="O127" s="655">
        <f>+IF(OR($Q127=Parametres!$G$2,$Q127=Parametres!$G$3),J127,D127)</f>
        <v>-70</v>
      </c>
      <c r="P127" s="655">
        <f>+IF(OR($Q127=Parametres!$G$2,$Q127=Parametres!$G$3),K127,E127)</f>
        <v>1310</v>
      </c>
      <c r="Q127" s="654" t="str">
        <f t="shared" ref="Q127:S127" si="128">+F127</f>
        <v>2-Actifs</v>
      </c>
      <c r="R127" s="653" t="str">
        <f t="shared" si="128"/>
        <v>1500</v>
      </c>
      <c r="S127" s="654">
        <f t="shared" si="128"/>
        <v>0</v>
      </c>
      <c r="T127" s="656" t="str">
        <f>+VLOOKUP($L127,Data_Validation!$A:$D,1,0)</f>
        <v>1510</v>
      </c>
      <c r="U127" s="656" t="str">
        <f>+VLOOKUP($L127,Data_Validation!$A:$D,3,0)</f>
        <v>Bilan</v>
      </c>
      <c r="V127" s="656" t="str">
        <f>+VLOOKUP($L127,Data_Validation!$A:$D,4,0)</f>
        <v>Frais Payés d'Avance</v>
      </c>
      <c r="W127" s="656" t="str">
        <f>+VLOOKUP($L127,Data_Validation!$A:$E,5,0)</f>
        <v>$</v>
      </c>
      <c r="X127" s="656">
        <f>+VLOOKUP($L127,Data_Validation!$A:$F,6,0)</f>
        <v>0</v>
      </c>
    </row>
    <row r="128" spans="1:24" ht="15" customHeight="1">
      <c r="A128" s="1052" t="s">
        <v>872</v>
      </c>
      <c r="B128" s="1052" t="s">
        <v>1528</v>
      </c>
      <c r="C128" s="1054">
        <v>8034.43</v>
      </c>
      <c r="D128" s="1054">
        <v>0</v>
      </c>
      <c r="E128" s="1054">
        <v>8034.43</v>
      </c>
      <c r="F128" s="1052" t="s">
        <v>816</v>
      </c>
      <c r="G128" s="1052" t="s">
        <v>868</v>
      </c>
      <c r="H128" s="1031"/>
      <c r="I128" s="1032"/>
      <c r="J128" s="1032"/>
      <c r="K128" s="1032"/>
      <c r="L128" s="653" t="str">
        <f t="shared" si="67"/>
        <v>1520</v>
      </c>
      <c r="M128" s="668" t="str">
        <f t="shared" si="0"/>
        <v>FPA IMMATRICULATION</v>
      </c>
      <c r="N128" s="655">
        <f>+IF(OR($Q128=Parametres!$G$2,$Q128=Parametres!$G$3),I128,C128)</f>
        <v>8034.43</v>
      </c>
      <c r="O128" s="712">
        <f>+IF(OR($Q128=Parametres!$G$2,$Q128=Parametres!$G$3),J128,D128)</f>
        <v>0</v>
      </c>
      <c r="P128" s="669">
        <f>+IF(OR($Q128=Parametres!$G$2,$Q128=Parametres!$G$3),K128,E128)</f>
        <v>8034.43</v>
      </c>
      <c r="Q128" s="654" t="str">
        <f t="shared" ref="Q128:S128" si="129">+F128</f>
        <v>2-Actifs</v>
      </c>
      <c r="R128" s="653" t="str">
        <f t="shared" si="129"/>
        <v>1500</v>
      </c>
      <c r="S128" s="654">
        <f t="shared" si="129"/>
        <v>0</v>
      </c>
      <c r="T128" s="656" t="str">
        <f>+VLOOKUP($L128,Data_Validation!$A:$D,1,0)</f>
        <v>1520</v>
      </c>
      <c r="U128" s="656" t="str">
        <f>+VLOOKUP($L128,Data_Validation!$A:$D,3,0)</f>
        <v>Bilan</v>
      </c>
      <c r="V128" s="656" t="str">
        <f>+VLOOKUP($L128,Data_Validation!$A:$D,4,0)</f>
        <v>Frais Payés d'Avance</v>
      </c>
      <c r="W128" s="656" t="str">
        <f>+VLOOKUP($L128,Data_Validation!$A:$E,5,0)</f>
        <v>$</v>
      </c>
      <c r="X128" s="656">
        <f>+VLOOKUP($L128,Data_Validation!$A:$F,6,0)</f>
        <v>0</v>
      </c>
    </row>
    <row r="129" spans="1:24" ht="15" customHeight="1">
      <c r="A129" s="1052" t="s">
        <v>873</v>
      </c>
      <c r="B129" s="1052" t="s">
        <v>1540</v>
      </c>
      <c r="C129" s="1054">
        <v>1873</v>
      </c>
      <c r="D129" s="1054">
        <v>2326.5</v>
      </c>
      <c r="E129" s="1054">
        <v>4199.5</v>
      </c>
      <c r="F129" s="1052" t="s">
        <v>816</v>
      </c>
      <c r="G129" s="1052" t="s">
        <v>868</v>
      </c>
      <c r="H129" s="1031"/>
      <c r="I129" s="1032"/>
      <c r="J129" s="1032"/>
      <c r="K129" s="1032"/>
      <c r="L129" s="653" t="str">
        <f t="shared" si="67"/>
        <v>1532</v>
      </c>
      <c r="M129" s="654" t="str">
        <f t="shared" si="0"/>
        <v>FPA C.C.A.M.Q.</v>
      </c>
      <c r="N129" s="655">
        <f>+IF(OR($Q129=Parametres!$G$2,$Q129=Parametres!$G$3),I129,C129)</f>
        <v>1873</v>
      </c>
      <c r="O129" s="655">
        <f>+IF(OR($Q129=Parametres!$G$2,$Q129=Parametres!$G$3),J129,D129)</f>
        <v>2326.5</v>
      </c>
      <c r="P129" s="655">
        <f>+IF(OR($Q129=Parametres!$G$2,$Q129=Parametres!$G$3),K129,E129)</f>
        <v>4199.5</v>
      </c>
      <c r="Q129" s="654" t="str">
        <f t="shared" ref="Q129:S129" si="130">+F129</f>
        <v>2-Actifs</v>
      </c>
      <c r="R129" s="653" t="str">
        <f t="shared" si="130"/>
        <v>1500</v>
      </c>
      <c r="S129" s="654">
        <f t="shared" si="130"/>
        <v>0</v>
      </c>
      <c r="T129" s="656" t="str">
        <f>+VLOOKUP($L129,Data_Validation!$A:$D,1,0)</f>
        <v>1532</v>
      </c>
      <c r="U129" s="656" t="str">
        <f>+VLOOKUP($L129,Data_Validation!$A:$D,3,0)</f>
        <v>Bilan</v>
      </c>
      <c r="V129" s="656" t="str">
        <f>+VLOOKUP($L129,Data_Validation!$A:$D,4,0)</f>
        <v>Frais Payés d'Avance</v>
      </c>
      <c r="W129" s="656" t="str">
        <f>+VLOOKUP($L129,Data_Validation!$A:$E,5,0)</f>
        <v>$</v>
      </c>
      <c r="X129" s="656">
        <f>+VLOOKUP($L129,Data_Validation!$A:$F,6,0)</f>
        <v>0</v>
      </c>
    </row>
    <row r="130" spans="1:24" ht="15" customHeight="1">
      <c r="A130" s="1052" t="s">
        <v>874</v>
      </c>
      <c r="B130" s="1052" t="s">
        <v>1543</v>
      </c>
      <c r="C130" s="1054">
        <v>-130</v>
      </c>
      <c r="D130" s="1054">
        <v>0</v>
      </c>
      <c r="E130" s="1054">
        <v>-130</v>
      </c>
      <c r="F130" s="1052" t="s">
        <v>816</v>
      </c>
      <c r="G130" s="1052" t="s">
        <v>868</v>
      </c>
      <c r="H130" s="1031"/>
      <c r="I130" s="1032"/>
      <c r="J130" s="1032"/>
      <c r="K130" s="1032"/>
      <c r="L130" s="653" t="str">
        <f t="shared" si="67"/>
        <v>1534</v>
      </c>
      <c r="M130" s="654" t="str">
        <f t="shared" si="0"/>
        <v>FPA FOURNITURES LAVAGE</v>
      </c>
      <c r="N130" s="655">
        <f>+IF(OR($Q130=Parametres!$G$2,$Q130=Parametres!$G$3),I130,C130)</f>
        <v>-130</v>
      </c>
      <c r="O130" s="655">
        <f>+IF(OR($Q130=Parametres!$G$2,$Q130=Parametres!$G$3),J130,D130)</f>
        <v>0</v>
      </c>
      <c r="P130" s="655">
        <f>+IF(OR($Q130=Parametres!$G$2,$Q130=Parametres!$G$3),K130,E130)</f>
        <v>-130</v>
      </c>
      <c r="Q130" s="654" t="str">
        <f t="shared" ref="Q130:S130" si="131">+F130</f>
        <v>2-Actifs</v>
      </c>
      <c r="R130" s="653" t="str">
        <f t="shared" si="131"/>
        <v>1500</v>
      </c>
      <c r="S130" s="654">
        <f t="shared" si="131"/>
        <v>0</v>
      </c>
      <c r="T130" s="656" t="str">
        <f>+VLOOKUP($L130,Data_Validation!$A:$D,1,0)</f>
        <v>1534</v>
      </c>
      <c r="U130" s="656" t="str">
        <f>+VLOOKUP($L130,Data_Validation!$A:$D,3,0)</f>
        <v>Bilan</v>
      </c>
      <c r="V130" s="656" t="str">
        <f>+VLOOKUP($L130,Data_Validation!$A:$D,4,0)</f>
        <v>Frais Payés d'Avance</v>
      </c>
      <c r="W130" s="656" t="str">
        <f>+VLOOKUP($L130,Data_Validation!$A:$E,5,0)</f>
        <v>$</v>
      </c>
      <c r="X130" s="656">
        <f>+VLOOKUP($L130,Data_Validation!$A:$F,6,0)</f>
        <v>0</v>
      </c>
    </row>
    <row r="131" spans="1:24" ht="15.75" customHeight="1">
      <c r="A131" s="1052" t="s">
        <v>875</v>
      </c>
      <c r="B131" s="1052" t="s">
        <v>1552</v>
      </c>
      <c r="C131" s="1054">
        <v>125.21</v>
      </c>
      <c r="D131" s="1054">
        <v>0</v>
      </c>
      <c r="E131" s="1054">
        <v>125.21</v>
      </c>
      <c r="F131" s="1052" t="s">
        <v>816</v>
      </c>
      <c r="G131" s="1052" t="s">
        <v>868</v>
      </c>
      <c r="H131" s="1031"/>
      <c r="I131" s="1032"/>
      <c r="J131" s="1032"/>
      <c r="K131" s="1032"/>
      <c r="L131" s="653" t="str">
        <f t="shared" ref="L131:L194" si="132">TEXT(B131,0)</f>
        <v>1540</v>
      </c>
      <c r="M131" s="654" t="str">
        <f t="shared" si="0"/>
        <v>FPA CONTRATS DE SERVICES</v>
      </c>
      <c r="N131" s="655">
        <f>+IF(OR($Q131=Parametres!$G$2,$Q131=Parametres!$G$3),I131,C131)</f>
        <v>125.21</v>
      </c>
      <c r="O131" s="655">
        <f>+IF(OR($Q131=Parametres!$G$2,$Q131=Parametres!$G$3),J131,D131)</f>
        <v>0</v>
      </c>
      <c r="P131" s="655">
        <f>+IF(OR($Q131=Parametres!$G$2,$Q131=Parametres!$G$3),K131,E131)</f>
        <v>125.21</v>
      </c>
      <c r="Q131" s="654" t="str">
        <f t="shared" ref="Q131:S131" si="133">+F131</f>
        <v>2-Actifs</v>
      </c>
      <c r="R131" s="653" t="str">
        <f t="shared" si="133"/>
        <v>1500</v>
      </c>
      <c r="S131" s="654">
        <f t="shared" si="133"/>
        <v>0</v>
      </c>
      <c r="T131" s="656" t="str">
        <f>+VLOOKUP($L131,Data_Validation!$A:$D,1,0)</f>
        <v>1540</v>
      </c>
      <c r="U131" s="656" t="str">
        <f>+VLOOKUP($L131,Data_Validation!$A:$D,3,0)</f>
        <v>Bilan</v>
      </c>
      <c r="V131" s="656" t="str">
        <f>+VLOOKUP($L131,Data_Validation!$A:$D,4,0)</f>
        <v>Frais Payés d'Avance</v>
      </c>
      <c r="W131" s="656" t="str">
        <f>+VLOOKUP($L131,Data_Validation!$A:$E,5,0)</f>
        <v>$</v>
      </c>
      <c r="X131" s="656">
        <f>+VLOOKUP($L131,Data_Validation!$A:$F,6,0)</f>
        <v>0</v>
      </c>
    </row>
    <row r="132" spans="1:24" ht="15" customHeight="1">
      <c r="A132" s="1052" t="s">
        <v>876</v>
      </c>
      <c r="B132" s="1052" t="s">
        <v>1555</v>
      </c>
      <c r="C132" s="1054">
        <v>-13.56</v>
      </c>
      <c r="D132" s="1054">
        <v>13.56</v>
      </c>
      <c r="E132" s="1054">
        <v>0</v>
      </c>
      <c r="F132" s="1052" t="s">
        <v>816</v>
      </c>
      <c r="G132" s="1052" t="s">
        <v>868</v>
      </c>
      <c r="H132" s="1031"/>
      <c r="I132" s="1032"/>
      <c r="J132" s="1032"/>
      <c r="K132" s="1032"/>
      <c r="L132" s="653" t="str">
        <f t="shared" si="132"/>
        <v>1544</v>
      </c>
      <c r="M132" s="654" t="str">
        <f t="shared" si="0"/>
        <v>FPA GAZ METROPOLITAIN</v>
      </c>
      <c r="N132" s="655">
        <f>+IF(OR($Q132=Parametres!$G$2,$Q132=Parametres!$G$3),I132,C132)</f>
        <v>-13.56</v>
      </c>
      <c r="O132" s="655">
        <f>+IF(OR($Q132=Parametres!$G$2,$Q132=Parametres!$G$3),J132,D132)</f>
        <v>13.56</v>
      </c>
      <c r="P132" s="655">
        <f>+IF(OR($Q132=Parametres!$G$2,$Q132=Parametres!$G$3),K132,E132)</f>
        <v>0</v>
      </c>
      <c r="Q132" s="654" t="str">
        <f t="shared" ref="Q132:S132" si="134">+F132</f>
        <v>2-Actifs</v>
      </c>
      <c r="R132" s="653" t="str">
        <f t="shared" si="134"/>
        <v>1500</v>
      </c>
      <c r="S132" s="654">
        <f t="shared" si="134"/>
        <v>0</v>
      </c>
      <c r="T132" s="656" t="str">
        <f>+VLOOKUP($L132,Data_Validation!$A:$D,1,0)</f>
        <v>1544</v>
      </c>
      <c r="U132" s="656" t="str">
        <f>+VLOOKUP($L132,Data_Validation!$A:$D,3,0)</f>
        <v>Bilan</v>
      </c>
      <c r="V132" s="656" t="str">
        <f>+VLOOKUP($L132,Data_Validation!$A:$D,4,0)</f>
        <v>Autres Courus</v>
      </c>
      <c r="W132" s="656" t="str">
        <f>+VLOOKUP($L132,Data_Validation!$A:$E,5,0)</f>
        <v>$</v>
      </c>
      <c r="X132" s="656">
        <f>+VLOOKUP($L132,Data_Validation!$A:$F,6,0)</f>
        <v>0</v>
      </c>
    </row>
    <row r="133" spans="1:24" ht="15" customHeight="1">
      <c r="A133" s="1052" t="s">
        <v>877</v>
      </c>
      <c r="B133" s="1052" t="s">
        <v>1558</v>
      </c>
      <c r="C133" s="1054">
        <v>1834.58</v>
      </c>
      <c r="D133" s="1054">
        <v>0</v>
      </c>
      <c r="E133" s="1054">
        <v>1834.58</v>
      </c>
      <c r="F133" s="1052" t="s">
        <v>816</v>
      </c>
      <c r="G133" s="1052" t="s">
        <v>868</v>
      </c>
      <c r="H133" s="1031"/>
      <c r="I133" s="1032"/>
      <c r="J133" s="1032"/>
      <c r="K133" s="1032"/>
      <c r="L133" s="653" t="str">
        <f t="shared" si="132"/>
        <v>1546</v>
      </c>
      <c r="M133" s="654" t="str">
        <f t="shared" si="0"/>
        <v>FPA ELECTRICITE HYDRO-QUEBEC</v>
      </c>
      <c r="N133" s="655">
        <f>+IF(OR($Q133=Parametres!$G$2,$Q133=Parametres!$G$3),I133,C133)</f>
        <v>1834.58</v>
      </c>
      <c r="O133" s="655">
        <f>+IF(OR($Q133=Parametres!$G$2,$Q133=Parametres!$G$3),J133,D133)</f>
        <v>0</v>
      </c>
      <c r="P133" s="655">
        <f>+IF(OR($Q133=Parametres!$G$2,$Q133=Parametres!$G$3),K133,E133)</f>
        <v>1834.58</v>
      </c>
      <c r="Q133" s="654" t="str">
        <f t="shared" ref="Q133:S133" si="135">+F133</f>
        <v>2-Actifs</v>
      </c>
      <c r="R133" s="653" t="str">
        <f t="shared" si="135"/>
        <v>1500</v>
      </c>
      <c r="S133" s="654">
        <f t="shared" si="135"/>
        <v>0</v>
      </c>
      <c r="T133" s="656" t="str">
        <f>+VLOOKUP($L133,Data_Validation!$A:$D,1,0)</f>
        <v>1546</v>
      </c>
      <c r="U133" s="656" t="str">
        <f>+VLOOKUP($L133,Data_Validation!$A:$D,3,0)</f>
        <v>Bilan</v>
      </c>
      <c r="V133" s="656" t="str">
        <f>+VLOOKUP($L133,Data_Validation!$A:$D,4,0)</f>
        <v>Autres Courus</v>
      </c>
      <c r="W133" s="656" t="str">
        <f>+VLOOKUP($L133,Data_Validation!$A:$E,5,0)</f>
        <v>$</v>
      </c>
      <c r="X133" s="656">
        <f>+VLOOKUP($L133,Data_Validation!$A:$F,6,0)</f>
        <v>0</v>
      </c>
    </row>
    <row r="134" spans="1:24" ht="15" customHeight="1">
      <c r="A134" s="1052" t="s">
        <v>878</v>
      </c>
      <c r="B134" s="1052" t="s">
        <v>1561</v>
      </c>
      <c r="C134" s="1054">
        <v>8590.9599999999991</v>
      </c>
      <c r="D134" s="1054">
        <v>-20211.52</v>
      </c>
      <c r="E134" s="1054">
        <v>-11620.56</v>
      </c>
      <c r="F134" s="1052" t="s">
        <v>816</v>
      </c>
      <c r="G134" s="1052" t="s">
        <v>868</v>
      </c>
      <c r="H134" s="1031"/>
      <c r="I134" s="1032"/>
      <c r="J134" s="1032"/>
      <c r="K134" s="1032"/>
      <c r="L134" s="653" t="str">
        <f t="shared" si="132"/>
        <v>1552</v>
      </c>
      <c r="M134" s="654" t="str">
        <f t="shared" si="0"/>
        <v>FPA C.S.S.T.</v>
      </c>
      <c r="N134" s="655">
        <f>+IF(OR($Q134=Parametres!$G$2,$Q134=Parametres!$G$3),I134,C134)</f>
        <v>8590.9599999999991</v>
      </c>
      <c r="O134" s="655">
        <f>+IF(OR($Q134=Parametres!$G$2,$Q134=Parametres!$G$3),J134,D134)</f>
        <v>-20211.52</v>
      </c>
      <c r="P134" s="655">
        <f>+IF(OR($Q134=Parametres!$G$2,$Q134=Parametres!$G$3),K134,E134)</f>
        <v>-11620.56</v>
      </c>
      <c r="Q134" s="654" t="str">
        <f t="shared" ref="Q134:S134" si="136">+F134</f>
        <v>2-Actifs</v>
      </c>
      <c r="R134" s="653" t="str">
        <f t="shared" si="136"/>
        <v>1500</v>
      </c>
      <c r="S134" s="654">
        <f t="shared" si="136"/>
        <v>0</v>
      </c>
      <c r="T134" s="656" t="str">
        <f>+VLOOKUP($L134,Data_Validation!$A:$D,1,0)</f>
        <v>1552</v>
      </c>
      <c r="U134" s="656" t="str">
        <f>+VLOOKUP($L134,Data_Validation!$A:$D,3,0)</f>
        <v>Bilan</v>
      </c>
      <c r="V134" s="656" t="str">
        <f>+VLOOKUP($L134,Data_Validation!$A:$D,4,0)</f>
        <v>Frais Payés d'Avance</v>
      </c>
      <c r="W134" s="656" t="str">
        <f>+VLOOKUP($L134,Data_Validation!$A:$E,5,0)</f>
        <v>$</v>
      </c>
      <c r="X134" s="656">
        <f>+VLOOKUP($L134,Data_Validation!$A:$F,6,0)</f>
        <v>0</v>
      </c>
    </row>
    <row r="135" spans="1:24" ht="15.75" customHeight="1">
      <c r="A135" s="1052" t="s">
        <v>879</v>
      </c>
      <c r="B135" s="1052" t="s">
        <v>3370</v>
      </c>
      <c r="C135" s="1054">
        <v>-29952</v>
      </c>
      <c r="D135" s="1054">
        <v>0</v>
      </c>
      <c r="E135" s="1054">
        <v>-29952</v>
      </c>
      <c r="F135" s="1052" t="s">
        <v>816</v>
      </c>
      <c r="G135" s="1052" t="s">
        <v>868</v>
      </c>
      <c r="H135" s="1031"/>
      <c r="I135" s="1032"/>
      <c r="J135" s="1032"/>
      <c r="K135" s="1032"/>
      <c r="L135" s="653" t="str">
        <f t="shared" si="132"/>
        <v>1553</v>
      </c>
      <c r="M135" s="654" t="str">
        <f t="shared" si="0"/>
        <v>CSST A PAYER OU RECEVOIR</v>
      </c>
      <c r="N135" s="655">
        <f>+IF(OR($Q135=Parametres!$G$2,$Q135=Parametres!$G$3),I135,C135)</f>
        <v>-29952</v>
      </c>
      <c r="O135" s="655">
        <f>+IF(OR($Q135=Parametres!$G$2,$Q135=Parametres!$G$3),J135,D135)</f>
        <v>0</v>
      </c>
      <c r="P135" s="655">
        <f>+IF(OR($Q135=Parametres!$G$2,$Q135=Parametres!$G$3),K135,E135)</f>
        <v>-29952</v>
      </c>
      <c r="Q135" s="654" t="str">
        <f t="shared" ref="Q135:S135" si="137">+F135</f>
        <v>2-Actifs</v>
      </c>
      <c r="R135" s="653" t="str">
        <f t="shared" si="137"/>
        <v>1500</v>
      </c>
      <c r="S135" s="654">
        <f t="shared" si="137"/>
        <v>0</v>
      </c>
      <c r="T135" s="656" t="str">
        <f>+VLOOKUP($L135,Data_Validation!$A:$D,1,0)</f>
        <v>1553</v>
      </c>
      <c r="U135" s="656" t="str">
        <f>+VLOOKUP($L135,Data_Validation!$A:$D,3,0)</f>
        <v>Bilan</v>
      </c>
      <c r="V135" s="656" t="str">
        <f>+VLOOKUP($L135,Data_Validation!$A:$D,4,0)</f>
        <v>Frais Payés d'Avance</v>
      </c>
      <c r="W135" s="656" t="str">
        <f>+VLOOKUP($L135,Data_Validation!$A:$E,5,0)</f>
        <v>$</v>
      </c>
      <c r="X135" s="656">
        <f>+VLOOKUP($L135,Data_Validation!$A:$F,6,0)</f>
        <v>0</v>
      </c>
    </row>
    <row r="136" spans="1:24" ht="15" customHeight="1">
      <c r="A136" s="1052" t="s">
        <v>880</v>
      </c>
      <c r="B136" s="1052" t="s">
        <v>1564</v>
      </c>
      <c r="C136" s="1054">
        <v>4632.24</v>
      </c>
      <c r="D136" s="1054">
        <v>-4632.24</v>
      </c>
      <c r="E136" s="1054">
        <v>0</v>
      </c>
      <c r="F136" s="1052" t="s">
        <v>816</v>
      </c>
      <c r="G136" s="1052" t="s">
        <v>868</v>
      </c>
      <c r="H136" s="1031"/>
      <c r="I136" s="1032"/>
      <c r="J136" s="1032"/>
      <c r="K136" s="1032"/>
      <c r="L136" s="653" t="str">
        <f t="shared" si="132"/>
        <v>1582</v>
      </c>
      <c r="M136" s="654" t="str">
        <f t="shared" si="0"/>
        <v>FPA TAXES MUNICIPALES</v>
      </c>
      <c r="N136" s="655">
        <f>+IF(OR($Q136=Parametres!$G$2,$Q136=Parametres!$G$3),I136,C136)</f>
        <v>4632.24</v>
      </c>
      <c r="O136" s="655">
        <f>+IF(OR($Q136=Parametres!$G$2,$Q136=Parametres!$G$3),J136,D136)</f>
        <v>-4632.24</v>
      </c>
      <c r="P136" s="655">
        <f>+IF(OR($Q136=Parametres!$G$2,$Q136=Parametres!$G$3),K136,E136)</f>
        <v>0</v>
      </c>
      <c r="Q136" s="654" t="str">
        <f t="shared" ref="Q136:S136" si="138">+F136</f>
        <v>2-Actifs</v>
      </c>
      <c r="R136" s="653" t="str">
        <f t="shared" si="138"/>
        <v>1500</v>
      </c>
      <c r="S136" s="654">
        <f t="shared" si="138"/>
        <v>0</v>
      </c>
      <c r="T136" s="656" t="str">
        <f>+VLOOKUP($L136,Data_Validation!$A:$D,1,0)</f>
        <v>1582</v>
      </c>
      <c r="U136" s="656" t="str">
        <f>+VLOOKUP($L136,Data_Validation!$A:$D,3,0)</f>
        <v>Bilan</v>
      </c>
      <c r="V136" s="656" t="str">
        <f>+VLOOKUP($L136,Data_Validation!$A:$D,4,0)</f>
        <v>Frais Payés d'Avance</v>
      </c>
      <c r="W136" s="656" t="str">
        <f>+VLOOKUP($L136,Data_Validation!$A:$E,5,0)</f>
        <v>$</v>
      </c>
      <c r="X136" s="656">
        <f>+VLOOKUP($L136,Data_Validation!$A:$F,6,0)</f>
        <v>0</v>
      </c>
    </row>
    <row r="137" spans="1:24" ht="15" customHeight="1">
      <c r="A137" s="1052" t="s">
        <v>881</v>
      </c>
      <c r="B137" s="1052" t="s">
        <v>1570</v>
      </c>
      <c r="C137" s="1054">
        <v>2123.83</v>
      </c>
      <c r="D137" s="1054">
        <v>-303.79000000000002</v>
      </c>
      <c r="E137" s="1054">
        <v>1820.04</v>
      </c>
      <c r="F137" s="1052" t="s">
        <v>816</v>
      </c>
      <c r="G137" s="1052" t="s">
        <v>868</v>
      </c>
      <c r="H137" s="1031"/>
      <c r="I137" s="1032"/>
      <c r="J137" s="1032"/>
      <c r="K137" s="1032"/>
      <c r="L137" s="653" t="str">
        <f t="shared" si="132"/>
        <v>1586</v>
      </c>
      <c r="M137" s="654" t="str">
        <f t="shared" si="0"/>
        <v>FPA TAXES SCOLAIRES</v>
      </c>
      <c r="N137" s="655">
        <f>+IF(OR($Q137=Parametres!$G$2,$Q137=Parametres!$G$3),I137,C137)</f>
        <v>2123.83</v>
      </c>
      <c r="O137" s="655">
        <f>+IF(OR($Q137=Parametres!$G$2,$Q137=Parametres!$G$3),J137,D137)</f>
        <v>-303.79000000000002</v>
      </c>
      <c r="P137" s="655">
        <f>+IF(OR($Q137=Parametres!$G$2,$Q137=Parametres!$G$3),K137,E137)</f>
        <v>1820.04</v>
      </c>
      <c r="Q137" s="654" t="str">
        <f t="shared" ref="Q137:S137" si="139">+F137</f>
        <v>2-Actifs</v>
      </c>
      <c r="R137" s="653" t="str">
        <f t="shared" si="139"/>
        <v>1500</v>
      </c>
      <c r="S137" s="654">
        <f t="shared" si="139"/>
        <v>0</v>
      </c>
      <c r="T137" s="656" t="str">
        <f>+VLOOKUP($L137,Data_Validation!$A:$D,1,0)</f>
        <v>1586</v>
      </c>
      <c r="U137" s="656" t="str">
        <f>+VLOOKUP($L137,Data_Validation!$A:$D,3,0)</f>
        <v>Bilan</v>
      </c>
      <c r="V137" s="656" t="str">
        <f>+VLOOKUP($L137,Data_Validation!$A:$D,4,0)</f>
        <v>Frais Payés d'Avance</v>
      </c>
      <c r="W137" s="656" t="str">
        <f>+VLOOKUP($L137,Data_Validation!$A:$E,5,0)</f>
        <v>$</v>
      </c>
      <c r="X137" s="656">
        <f>+VLOOKUP($L137,Data_Validation!$A:$F,6,0)</f>
        <v>0</v>
      </c>
    </row>
    <row r="138" spans="1:24" ht="15" customHeight="1">
      <c r="A138" s="1052" t="s">
        <v>882</v>
      </c>
      <c r="B138" s="1052" t="s">
        <v>3371</v>
      </c>
      <c r="C138" s="1054">
        <v>2330</v>
      </c>
      <c r="D138" s="1054">
        <v>445</v>
      </c>
      <c r="E138" s="1054">
        <v>2775</v>
      </c>
      <c r="F138" s="1052" t="s">
        <v>816</v>
      </c>
      <c r="G138" s="1052" t="s">
        <v>868</v>
      </c>
      <c r="H138" s="1031"/>
      <c r="I138" s="1032"/>
      <c r="J138" s="1032"/>
      <c r="K138" s="1032"/>
      <c r="L138" s="653" t="str">
        <f t="shared" si="132"/>
        <v>1591</v>
      </c>
      <c r="M138" s="654" t="str">
        <f t="shared" si="0"/>
        <v>FPA PAYABLES</v>
      </c>
      <c r="N138" s="655">
        <f>+IF(OR($Q138=Parametres!$G$2,$Q138=Parametres!$G$3),I138,C138)</f>
        <v>2330</v>
      </c>
      <c r="O138" s="655">
        <f>+IF(OR($Q138=Parametres!$G$2,$Q138=Parametres!$G$3),J138,D138)</f>
        <v>445</v>
      </c>
      <c r="P138" s="655">
        <f>+IF(OR($Q138=Parametres!$G$2,$Q138=Parametres!$G$3),K138,E138)</f>
        <v>2775</v>
      </c>
      <c r="Q138" s="654" t="str">
        <f t="shared" ref="Q138:S138" si="140">+F138</f>
        <v>2-Actifs</v>
      </c>
      <c r="R138" s="653" t="str">
        <f t="shared" si="140"/>
        <v>1500</v>
      </c>
      <c r="S138" s="654">
        <f t="shared" si="140"/>
        <v>0</v>
      </c>
      <c r="T138" s="656" t="str">
        <f>+VLOOKUP($L138,Data_Validation!$A:$D,1,0)</f>
        <v>1591</v>
      </c>
      <c r="U138" s="656" t="str">
        <f>+VLOOKUP($L138,Data_Validation!$A:$D,3,0)</f>
        <v>Bilan</v>
      </c>
      <c r="V138" s="656" t="str">
        <f>+VLOOKUP($L138,Data_Validation!$A:$D,4,0)</f>
        <v>Frais Payés d'Avance</v>
      </c>
      <c r="W138" s="656" t="str">
        <f>+VLOOKUP($L138,Data_Validation!$A:$E,5,0)</f>
        <v>$</v>
      </c>
      <c r="X138" s="656">
        <f>+VLOOKUP($L138,Data_Validation!$A:$F,6,0)</f>
        <v>0</v>
      </c>
    </row>
    <row r="139" spans="1:24" ht="15.75" customHeight="1">
      <c r="A139" s="1052" t="s">
        <v>883</v>
      </c>
      <c r="B139" s="1052" t="s">
        <v>1573</v>
      </c>
      <c r="C139" s="1054">
        <v>9405.2900000000009</v>
      </c>
      <c r="D139" s="1054">
        <v>31299.62</v>
      </c>
      <c r="E139" s="1054">
        <v>40704.910000000003</v>
      </c>
      <c r="F139" s="1052" t="s">
        <v>816</v>
      </c>
      <c r="G139" s="1052" t="s">
        <v>868</v>
      </c>
      <c r="H139" s="1031"/>
      <c r="I139" s="1032"/>
      <c r="J139" s="1032"/>
      <c r="K139" s="1032"/>
      <c r="L139" s="653" t="str">
        <f t="shared" si="132"/>
        <v>1592</v>
      </c>
      <c r="M139" s="654" t="str">
        <f t="shared" si="0"/>
        <v>FPA AUTRES</v>
      </c>
      <c r="N139" s="655">
        <f>+IF(OR($Q139=Parametres!$G$2,$Q139=Parametres!$G$3),I139,C139)</f>
        <v>9405.2900000000009</v>
      </c>
      <c r="O139" s="655">
        <f>+IF(OR($Q139=Parametres!$G$2,$Q139=Parametres!$G$3),J139,D139)</f>
        <v>31299.62</v>
      </c>
      <c r="P139" s="655">
        <f>+IF(OR($Q139=Parametres!$G$2,$Q139=Parametres!$G$3),K139,E139)</f>
        <v>40704.910000000003</v>
      </c>
      <c r="Q139" s="654" t="str">
        <f t="shared" ref="Q139:S139" si="141">+F139</f>
        <v>2-Actifs</v>
      </c>
      <c r="R139" s="653" t="str">
        <f t="shared" si="141"/>
        <v>1500</v>
      </c>
      <c r="S139" s="654">
        <f t="shared" si="141"/>
        <v>0</v>
      </c>
      <c r="T139" s="656" t="str">
        <f>+VLOOKUP($L139,Data_Validation!$A:$D,1,0)</f>
        <v>1592</v>
      </c>
      <c r="U139" s="656" t="str">
        <f>+VLOOKUP($L139,Data_Validation!$A:$D,3,0)</f>
        <v>Bilan</v>
      </c>
      <c r="V139" s="656" t="str">
        <f>+VLOOKUP($L139,Data_Validation!$A:$D,4,0)</f>
        <v>Frais Payés d'Avance</v>
      </c>
      <c r="W139" s="656" t="str">
        <f>+VLOOKUP($L139,Data_Validation!$A:$E,5,0)</f>
        <v>$</v>
      </c>
      <c r="X139" s="656">
        <f>+VLOOKUP($L139,Data_Validation!$A:$F,6,0)</f>
        <v>0</v>
      </c>
    </row>
    <row r="140" spans="1:24" ht="15" customHeight="1">
      <c r="A140" s="1052" t="s">
        <v>884</v>
      </c>
      <c r="B140" s="1052" t="s">
        <v>1585</v>
      </c>
      <c r="C140" s="1054">
        <v>144370.28</v>
      </c>
      <c r="D140" s="1054">
        <v>0</v>
      </c>
      <c r="E140" s="1054">
        <v>144370.28</v>
      </c>
      <c r="F140" s="1052" t="s">
        <v>816</v>
      </c>
      <c r="G140" s="1052" t="s">
        <v>885</v>
      </c>
      <c r="H140" s="1031"/>
      <c r="I140" s="1032"/>
      <c r="J140" s="1032"/>
      <c r="K140" s="1032"/>
      <c r="L140" s="653" t="str">
        <f t="shared" si="132"/>
        <v>1732</v>
      </c>
      <c r="M140" s="654" t="str">
        <f t="shared" si="0"/>
        <v>AMELIOR. LOCATIVES</v>
      </c>
      <c r="N140" s="655">
        <f>+IF(OR($Q140=Parametres!$G$2,$Q140=Parametres!$G$3),I140,C140)</f>
        <v>144370.28</v>
      </c>
      <c r="O140" s="655">
        <f>+IF(OR($Q140=Parametres!$G$2,$Q140=Parametres!$G$3),J140,D140)</f>
        <v>0</v>
      </c>
      <c r="P140" s="655">
        <f>+IF(OR($Q140=Parametres!$G$2,$Q140=Parametres!$G$3),K140,E140)</f>
        <v>144370.28</v>
      </c>
      <c r="Q140" s="654" t="str">
        <f t="shared" ref="Q140:S140" si="142">+F140</f>
        <v>2-Actifs</v>
      </c>
      <c r="R140" s="653" t="str">
        <f t="shared" si="142"/>
        <v>1700</v>
      </c>
      <c r="S140" s="654">
        <f t="shared" si="142"/>
        <v>0</v>
      </c>
      <c r="T140" s="656" t="str">
        <f>+VLOOKUP($L140,Data_Validation!$A:$D,1,0)</f>
        <v>1732</v>
      </c>
      <c r="U140" s="656" t="str">
        <f>+VLOOKUP($L140,Data_Validation!$A:$D,3,0)</f>
        <v>Bilan</v>
      </c>
      <c r="V140" s="656" t="str">
        <f>+VLOOKUP($L140,Data_Validation!$A:$D,4,0)</f>
        <v>Améliorations Locatives</v>
      </c>
      <c r="W140" s="656" t="str">
        <f>+VLOOKUP($L140,Data_Validation!$A:$E,5,0)</f>
        <v>$</v>
      </c>
      <c r="X140" s="656">
        <f>+VLOOKUP($L140,Data_Validation!$A:$F,6,0)</f>
        <v>0</v>
      </c>
    </row>
    <row r="141" spans="1:24" ht="15" customHeight="1">
      <c r="A141" s="1052" t="s">
        <v>886</v>
      </c>
      <c r="B141" s="1052" t="s">
        <v>1588</v>
      </c>
      <c r="C141" s="1054">
        <v>-101575.02</v>
      </c>
      <c r="D141" s="1054">
        <v>-225</v>
      </c>
      <c r="E141" s="1054">
        <v>-101800.02</v>
      </c>
      <c r="F141" s="1052" t="s">
        <v>816</v>
      </c>
      <c r="G141" s="1052" t="s">
        <v>885</v>
      </c>
      <c r="H141" s="1031"/>
      <c r="I141" s="1032"/>
      <c r="J141" s="1032"/>
      <c r="K141" s="1032"/>
      <c r="L141" s="653" t="str">
        <f t="shared" si="132"/>
        <v>1733</v>
      </c>
      <c r="M141" s="654" t="str">
        <f t="shared" si="0"/>
        <v>AMORT. CUM. AMEL. LOCAT.</v>
      </c>
      <c r="N141" s="655">
        <f>+IF(OR($Q141=Parametres!$G$2,$Q141=Parametres!$G$3),I141,C141)</f>
        <v>-101575.02</v>
      </c>
      <c r="O141" s="655">
        <f>+IF(OR($Q141=Parametres!$G$2,$Q141=Parametres!$G$3),J141,D141)</f>
        <v>-225</v>
      </c>
      <c r="P141" s="655">
        <f>+IF(OR($Q141=Parametres!$G$2,$Q141=Parametres!$G$3),K141,E141)</f>
        <v>-101800.02</v>
      </c>
      <c r="Q141" s="654" t="str">
        <f t="shared" ref="Q141:S141" si="143">+F141</f>
        <v>2-Actifs</v>
      </c>
      <c r="R141" s="653" t="str">
        <f t="shared" si="143"/>
        <v>1700</v>
      </c>
      <c r="S141" s="654">
        <f t="shared" si="143"/>
        <v>0</v>
      </c>
      <c r="T141" s="656" t="str">
        <f>+VLOOKUP($L141,Data_Validation!$A:$D,1,0)</f>
        <v>1733</v>
      </c>
      <c r="U141" s="656" t="str">
        <f>+VLOOKUP($L141,Data_Validation!$A:$D,3,0)</f>
        <v>Bilan</v>
      </c>
      <c r="V141" s="656" t="str">
        <f>+VLOOKUP($L141,Data_Validation!$A:$D,4,0)</f>
        <v>Améliorations Locatives</v>
      </c>
      <c r="W141" s="656" t="str">
        <f>+VLOOKUP($L141,Data_Validation!$A:$E,5,0)</f>
        <v>$</v>
      </c>
      <c r="X141" s="656">
        <f>+VLOOKUP($L141,Data_Validation!$A:$F,6,0)</f>
        <v>0</v>
      </c>
    </row>
    <row r="142" spans="1:24" ht="15" customHeight="1">
      <c r="A142" s="1052" t="s">
        <v>887</v>
      </c>
      <c r="B142" s="1052" t="s">
        <v>1591</v>
      </c>
      <c r="C142" s="1054">
        <v>957607.11</v>
      </c>
      <c r="D142" s="1054">
        <v>5143.59</v>
      </c>
      <c r="E142" s="1054">
        <v>962750.7</v>
      </c>
      <c r="F142" s="1052" t="s">
        <v>816</v>
      </c>
      <c r="G142" s="1052" t="s">
        <v>885</v>
      </c>
      <c r="H142" s="1031"/>
      <c r="I142" s="1032"/>
      <c r="J142" s="1032"/>
      <c r="K142" s="1032"/>
      <c r="L142" s="653" t="str">
        <f t="shared" si="132"/>
        <v>1742</v>
      </c>
      <c r="M142" s="654" t="str">
        <f t="shared" si="0"/>
        <v>MACHINERIE &amp; EQUIPEMENT</v>
      </c>
      <c r="N142" s="655">
        <f>+IF(OR($Q142=Parametres!$G$2,$Q142=Parametres!$G$3),I142,C142)</f>
        <v>957607.11</v>
      </c>
      <c r="O142" s="655">
        <f>+IF(OR($Q142=Parametres!$G$2,$Q142=Parametres!$G$3),J142,D142)</f>
        <v>5143.59</v>
      </c>
      <c r="P142" s="655">
        <f>+IF(OR($Q142=Parametres!$G$2,$Q142=Parametres!$G$3),K142,E142)</f>
        <v>962750.7</v>
      </c>
      <c r="Q142" s="654" t="str">
        <f t="shared" ref="Q142:S142" si="144">+F142</f>
        <v>2-Actifs</v>
      </c>
      <c r="R142" s="653" t="str">
        <f t="shared" si="144"/>
        <v>1700</v>
      </c>
      <c r="S142" s="654">
        <f t="shared" si="144"/>
        <v>0</v>
      </c>
      <c r="T142" s="656" t="str">
        <f>+VLOOKUP($L142,Data_Validation!$A:$D,1,0)</f>
        <v>1742</v>
      </c>
      <c r="U142" s="656" t="str">
        <f>+VLOOKUP($L142,Data_Validation!$A:$D,3,0)</f>
        <v>Bilan</v>
      </c>
      <c r="V142" s="656" t="str">
        <f>+VLOOKUP($L142,Data_Validation!$A:$D,4,0)</f>
        <v>Équipements Service</v>
      </c>
      <c r="W142" s="656" t="str">
        <f>+VLOOKUP($L142,Data_Validation!$A:$E,5,0)</f>
        <v>$</v>
      </c>
      <c r="X142" s="656">
        <f>+VLOOKUP($L142,Data_Validation!$A:$F,6,0)</f>
        <v>0</v>
      </c>
    </row>
    <row r="143" spans="1:24" ht="15.75" customHeight="1">
      <c r="A143" s="1052" t="s">
        <v>888</v>
      </c>
      <c r="B143" s="1052" t="s">
        <v>1594</v>
      </c>
      <c r="C143" s="1054">
        <v>-813921.08</v>
      </c>
      <c r="D143" s="1054">
        <v>-2612</v>
      </c>
      <c r="E143" s="1054">
        <v>-816533.08</v>
      </c>
      <c r="F143" s="1052" t="s">
        <v>816</v>
      </c>
      <c r="G143" s="1052" t="s">
        <v>885</v>
      </c>
      <c r="H143" s="1031"/>
      <c r="I143" s="1032"/>
      <c r="J143" s="1032"/>
      <c r="K143" s="1032"/>
      <c r="L143" s="653" t="str">
        <f t="shared" si="132"/>
        <v>1743</v>
      </c>
      <c r="M143" s="654" t="str">
        <f t="shared" si="0"/>
        <v>AMORTISS.MACHINERIE &amp; EQUIP.</v>
      </c>
      <c r="N143" s="655">
        <f>+IF(OR($Q143=Parametres!$G$2,$Q143=Parametres!$G$3),I143,C143)</f>
        <v>-813921.08</v>
      </c>
      <c r="O143" s="655">
        <f>+IF(OR($Q143=Parametres!$G$2,$Q143=Parametres!$G$3),J143,D143)</f>
        <v>-2612</v>
      </c>
      <c r="P143" s="655">
        <f>+IF(OR($Q143=Parametres!$G$2,$Q143=Parametres!$G$3),K143,E143)</f>
        <v>-816533.08</v>
      </c>
      <c r="Q143" s="654" t="str">
        <f t="shared" ref="Q143:S143" si="145">+F143</f>
        <v>2-Actifs</v>
      </c>
      <c r="R143" s="653" t="str">
        <f t="shared" si="145"/>
        <v>1700</v>
      </c>
      <c r="S143" s="654">
        <f t="shared" si="145"/>
        <v>0</v>
      </c>
      <c r="T143" s="656" t="str">
        <f>+VLOOKUP($L143,Data_Validation!$A:$D,1,0)</f>
        <v>1743</v>
      </c>
      <c r="U143" s="656" t="str">
        <f>+VLOOKUP($L143,Data_Validation!$A:$D,3,0)</f>
        <v>Bilan</v>
      </c>
      <c r="V143" s="656" t="str">
        <f>+VLOOKUP($L143,Data_Validation!$A:$D,4,0)</f>
        <v>Équipements Service</v>
      </c>
      <c r="W143" s="656" t="str">
        <f>+VLOOKUP($L143,Data_Validation!$A:$E,5,0)</f>
        <v>$</v>
      </c>
      <c r="X143" s="656">
        <f>+VLOOKUP($L143,Data_Validation!$A:$F,6,0)</f>
        <v>0</v>
      </c>
    </row>
    <row r="144" spans="1:24" ht="15" customHeight="1">
      <c r="A144" s="1052" t="s">
        <v>889</v>
      </c>
      <c r="B144" s="1052" t="s">
        <v>1597</v>
      </c>
      <c r="C144" s="1054">
        <v>47461.59</v>
      </c>
      <c r="D144" s="1054">
        <v>0</v>
      </c>
      <c r="E144" s="1054">
        <v>47461.59</v>
      </c>
      <c r="F144" s="1052" t="s">
        <v>816</v>
      </c>
      <c r="G144" s="1052" t="s">
        <v>885</v>
      </c>
      <c r="H144" s="1031"/>
      <c r="I144" s="1032"/>
      <c r="J144" s="1032"/>
      <c r="K144" s="1032"/>
      <c r="L144" s="653" t="str">
        <f t="shared" si="132"/>
        <v>1744</v>
      </c>
      <c r="M144" s="654" t="str">
        <f t="shared" si="0"/>
        <v>EQUIPEMENT PIECES</v>
      </c>
      <c r="N144" s="655">
        <f>+IF(OR($Q144=Parametres!$G$2,$Q144=Parametres!$G$3),I144,C144)</f>
        <v>47461.59</v>
      </c>
      <c r="O144" s="655">
        <f>+IF(OR($Q144=Parametres!$G$2,$Q144=Parametres!$G$3),J144,D144)</f>
        <v>0</v>
      </c>
      <c r="P144" s="655">
        <f>+IF(OR($Q144=Parametres!$G$2,$Q144=Parametres!$G$3),K144,E144)</f>
        <v>47461.59</v>
      </c>
      <c r="Q144" s="654" t="str">
        <f t="shared" ref="Q144:S144" si="146">+F144</f>
        <v>2-Actifs</v>
      </c>
      <c r="R144" s="653" t="str">
        <f t="shared" si="146"/>
        <v>1700</v>
      </c>
      <c r="S144" s="654">
        <f t="shared" si="146"/>
        <v>0</v>
      </c>
      <c r="T144" s="656" t="str">
        <f>+VLOOKUP($L144,Data_Validation!$A:$D,1,0)</f>
        <v>1744</v>
      </c>
      <c r="U144" s="656" t="str">
        <f>+VLOOKUP($L144,Data_Validation!$A:$D,3,0)</f>
        <v>Bilan</v>
      </c>
      <c r="V144" s="656" t="str">
        <f>+VLOOKUP($L144,Data_Validation!$A:$D,4,0)</f>
        <v>Équipements Service</v>
      </c>
      <c r="W144" s="656" t="str">
        <f>+VLOOKUP($L144,Data_Validation!$A:$E,5,0)</f>
        <v>$</v>
      </c>
      <c r="X144" s="656">
        <f>+VLOOKUP($L144,Data_Validation!$A:$F,6,0)</f>
        <v>0</v>
      </c>
    </row>
    <row r="145" spans="1:24" ht="15" customHeight="1">
      <c r="A145" s="1052" t="s">
        <v>890</v>
      </c>
      <c r="B145" s="1052" t="s">
        <v>1600</v>
      </c>
      <c r="C145" s="1054">
        <v>-47494.51</v>
      </c>
      <c r="D145" s="1054">
        <v>-8.5</v>
      </c>
      <c r="E145" s="1054">
        <v>-47503.01</v>
      </c>
      <c r="F145" s="1052" t="s">
        <v>816</v>
      </c>
      <c r="G145" s="1052" t="s">
        <v>885</v>
      </c>
      <c r="H145" s="1031"/>
      <c r="I145" s="1031"/>
      <c r="J145" s="1031"/>
      <c r="K145" s="1031"/>
      <c r="L145" s="653" t="str">
        <f t="shared" si="132"/>
        <v>1745</v>
      </c>
      <c r="M145" s="654" t="str">
        <f t="shared" si="0"/>
        <v>AMORTISS.EQUIPEMENTS PIECES</v>
      </c>
      <c r="N145" s="655">
        <f>+IF(OR($Q145=Parametres!$G$2,$Q145=Parametres!$G$3),I145,C145)</f>
        <v>-47494.51</v>
      </c>
      <c r="O145" s="655">
        <f>+IF(OR($Q145=Parametres!$G$2,$Q145=Parametres!$G$3),J145,D145)</f>
        <v>-8.5</v>
      </c>
      <c r="P145" s="655">
        <f>+IF(OR($Q145=Parametres!$G$2,$Q145=Parametres!$G$3),K145,E145)</f>
        <v>-47503.01</v>
      </c>
      <c r="Q145" s="654" t="str">
        <f t="shared" ref="Q145:S145" si="147">+F145</f>
        <v>2-Actifs</v>
      </c>
      <c r="R145" s="653" t="str">
        <f t="shared" si="147"/>
        <v>1700</v>
      </c>
      <c r="S145" s="654">
        <f t="shared" si="147"/>
        <v>0</v>
      </c>
      <c r="T145" s="656" t="str">
        <f>+VLOOKUP($L145,Data_Validation!$A:$D,1,0)</f>
        <v>1745</v>
      </c>
      <c r="U145" s="656" t="str">
        <f>+VLOOKUP($L145,Data_Validation!$A:$D,3,0)</f>
        <v>Bilan</v>
      </c>
      <c r="V145" s="656" t="str">
        <f>+VLOOKUP($L145,Data_Validation!$A:$D,4,0)</f>
        <v>Équipements Service</v>
      </c>
      <c r="W145" s="656" t="str">
        <f>+VLOOKUP($L145,Data_Validation!$A:$E,5,0)</f>
        <v>$</v>
      </c>
      <c r="X145" s="656">
        <f>+VLOOKUP($L145,Data_Validation!$A:$F,6,0)</f>
        <v>0</v>
      </c>
    </row>
    <row r="146" spans="1:24" ht="15" customHeight="1">
      <c r="A146" s="1052" t="s">
        <v>891</v>
      </c>
      <c r="B146" s="1052" t="s">
        <v>1609</v>
      </c>
      <c r="C146" s="1054">
        <v>440156.49</v>
      </c>
      <c r="D146" s="1054">
        <v>0</v>
      </c>
      <c r="E146" s="1054">
        <v>440156.49</v>
      </c>
      <c r="F146" s="1052" t="s">
        <v>816</v>
      </c>
      <c r="G146" s="1052" t="s">
        <v>885</v>
      </c>
      <c r="H146" s="1031"/>
      <c r="I146" s="1031"/>
      <c r="J146" s="1031"/>
      <c r="K146" s="1031"/>
      <c r="L146" s="653" t="str">
        <f t="shared" si="132"/>
        <v>1762</v>
      </c>
      <c r="M146" s="654" t="str">
        <f t="shared" si="0"/>
        <v>AMEUBLEMENT &amp; INSTR.</v>
      </c>
      <c r="N146" s="655">
        <f>+IF(OR($Q146=Parametres!$G$2,$Q146=Parametres!$G$3),I146,C146)</f>
        <v>440156.49</v>
      </c>
      <c r="O146" s="655">
        <f>+IF(OR($Q146=Parametres!$G$2,$Q146=Parametres!$G$3),J146,D146)</f>
        <v>0</v>
      </c>
      <c r="P146" s="655">
        <f>+IF(OR($Q146=Parametres!$G$2,$Q146=Parametres!$G$3),K146,E146)</f>
        <v>440156.49</v>
      </c>
      <c r="Q146" s="654" t="str">
        <f t="shared" ref="Q146:S146" si="148">+F146</f>
        <v>2-Actifs</v>
      </c>
      <c r="R146" s="653" t="str">
        <f t="shared" si="148"/>
        <v>1700</v>
      </c>
      <c r="S146" s="654">
        <f t="shared" si="148"/>
        <v>0</v>
      </c>
      <c r="T146" s="656" t="str">
        <f>+VLOOKUP($L146,Data_Validation!$A:$D,1,0)</f>
        <v>1762</v>
      </c>
      <c r="U146" s="656" t="str">
        <f>+VLOOKUP($L146,Data_Validation!$A:$D,3,0)</f>
        <v>Bilan</v>
      </c>
      <c r="V146" s="656" t="str">
        <f>+VLOOKUP($L146,Data_Validation!$A:$D,4,0)</f>
        <v>Mobilier</v>
      </c>
      <c r="W146" s="656" t="str">
        <f>+VLOOKUP($L146,Data_Validation!$A:$E,5,0)</f>
        <v>$</v>
      </c>
      <c r="X146" s="656">
        <f>+VLOOKUP($L146,Data_Validation!$A:$F,6,0)</f>
        <v>0</v>
      </c>
    </row>
    <row r="147" spans="1:24" ht="15" customHeight="1">
      <c r="A147" s="1052" t="s">
        <v>892</v>
      </c>
      <c r="B147" s="1052" t="s">
        <v>1612</v>
      </c>
      <c r="C147" s="1054">
        <v>-407893.7</v>
      </c>
      <c r="D147" s="1054">
        <v>-497</v>
      </c>
      <c r="E147" s="1054">
        <v>-408390.7</v>
      </c>
      <c r="F147" s="1052" t="s">
        <v>816</v>
      </c>
      <c r="G147" s="1052" t="s">
        <v>885</v>
      </c>
      <c r="H147" s="1031"/>
      <c r="I147" s="1031"/>
      <c r="J147" s="1031"/>
      <c r="K147" s="1031"/>
      <c r="L147" s="653" t="str">
        <f t="shared" si="132"/>
        <v>1763</v>
      </c>
      <c r="M147" s="654" t="str">
        <f t="shared" si="0"/>
        <v>AMORTISS.AMEUBL.INSTR.</v>
      </c>
      <c r="N147" s="655">
        <f>+IF(OR($Q147=Parametres!$G$2,$Q147=Parametres!$G$3),I147,C147)</f>
        <v>-407893.7</v>
      </c>
      <c r="O147" s="655">
        <f>+IF(OR($Q147=Parametres!$G$2,$Q147=Parametres!$G$3),J147,D147)</f>
        <v>-497</v>
      </c>
      <c r="P147" s="655">
        <f>+IF(OR($Q147=Parametres!$G$2,$Q147=Parametres!$G$3),K147,E147)</f>
        <v>-408390.7</v>
      </c>
      <c r="Q147" s="654" t="str">
        <f t="shared" ref="Q147:S147" si="149">+F147</f>
        <v>2-Actifs</v>
      </c>
      <c r="R147" s="653" t="str">
        <f t="shared" si="149"/>
        <v>1700</v>
      </c>
      <c r="S147" s="654">
        <f t="shared" si="149"/>
        <v>0</v>
      </c>
      <c r="T147" s="656" t="str">
        <f>+VLOOKUP($L147,Data_Validation!$A:$D,1,0)</f>
        <v>1763</v>
      </c>
      <c r="U147" s="656" t="str">
        <f>+VLOOKUP($L147,Data_Validation!$A:$D,3,0)</f>
        <v>Bilan</v>
      </c>
      <c r="V147" s="656" t="str">
        <f>+VLOOKUP($L147,Data_Validation!$A:$D,4,0)</f>
        <v>Mobilier</v>
      </c>
      <c r="W147" s="656" t="str">
        <f>+VLOOKUP($L147,Data_Validation!$A:$E,5,0)</f>
        <v>$</v>
      </c>
      <c r="X147" s="656">
        <f>+VLOOKUP($L147,Data_Validation!$A:$F,6,0)</f>
        <v>0</v>
      </c>
    </row>
    <row r="148" spans="1:24" ht="15" customHeight="1">
      <c r="A148" s="1052" t="s">
        <v>893</v>
      </c>
      <c r="B148" s="1052" t="s">
        <v>1615</v>
      </c>
      <c r="C148" s="1054">
        <v>3987.88</v>
      </c>
      <c r="D148" s="1054">
        <v>0</v>
      </c>
      <c r="E148" s="1054">
        <v>3987.88</v>
      </c>
      <c r="F148" s="1052" t="s">
        <v>816</v>
      </c>
      <c r="G148" s="1052" t="s">
        <v>885</v>
      </c>
      <c r="H148" s="1031"/>
      <c r="I148" s="1031"/>
      <c r="J148" s="1031"/>
      <c r="K148" s="1031"/>
      <c r="L148" s="653" t="str">
        <f t="shared" si="132"/>
        <v>1772</v>
      </c>
      <c r="M148" s="654" t="str">
        <f t="shared" si="0"/>
        <v>VEHICULES DE CIE</v>
      </c>
      <c r="N148" s="655">
        <f>+IF(OR($Q148=Parametres!$G$2,$Q148=Parametres!$G$3),I148,C148)</f>
        <v>3987.88</v>
      </c>
      <c r="O148" s="655">
        <f>+IF(OR($Q148=Parametres!$G$2,$Q148=Parametres!$G$3),J148,D148)</f>
        <v>0</v>
      </c>
      <c r="P148" s="655">
        <f>+IF(OR($Q148=Parametres!$G$2,$Q148=Parametres!$G$3),K148,E148)</f>
        <v>3987.88</v>
      </c>
      <c r="Q148" s="654" t="str">
        <f t="shared" ref="Q148:S148" si="150">+F148</f>
        <v>2-Actifs</v>
      </c>
      <c r="R148" s="653" t="str">
        <f t="shared" si="150"/>
        <v>1700</v>
      </c>
      <c r="S148" s="654">
        <f t="shared" si="150"/>
        <v>0</v>
      </c>
      <c r="T148" s="656" t="str">
        <f>+VLOOKUP($L148,Data_Validation!$A:$D,1,0)</f>
        <v>1772</v>
      </c>
      <c r="U148" s="656" t="str">
        <f>+VLOOKUP($L148,Data_Validation!$A:$D,3,0)</f>
        <v>Bilan</v>
      </c>
      <c r="V148" s="656" t="str">
        <f>+VLOOKUP($L148,Data_Validation!$A:$D,4,0)</f>
        <v>Équipements Service</v>
      </c>
      <c r="W148" s="656" t="str">
        <f>+VLOOKUP($L148,Data_Validation!$A:$E,5,0)</f>
        <v>$</v>
      </c>
      <c r="X148" s="656">
        <f>+VLOOKUP($L148,Data_Validation!$A:$F,6,0)</f>
        <v>0</v>
      </c>
    </row>
    <row r="149" spans="1:24" ht="15" customHeight="1">
      <c r="A149" s="1052" t="s">
        <v>894</v>
      </c>
      <c r="B149" s="1052" t="s">
        <v>1618</v>
      </c>
      <c r="C149" s="1054">
        <v>-3987.88</v>
      </c>
      <c r="D149" s="1054">
        <v>0</v>
      </c>
      <c r="E149" s="1054">
        <v>-3987.88</v>
      </c>
      <c r="F149" s="1052" t="s">
        <v>816</v>
      </c>
      <c r="G149" s="1052" t="s">
        <v>885</v>
      </c>
      <c r="H149" s="1031"/>
      <c r="I149" s="1031"/>
      <c r="J149" s="1031"/>
      <c r="K149" s="1031"/>
      <c r="L149" s="653" t="str">
        <f t="shared" si="132"/>
        <v>1773</v>
      </c>
      <c r="M149" s="654" t="str">
        <f t="shared" si="0"/>
        <v>DEPRECIATION &amp; AMORT.</v>
      </c>
      <c r="N149" s="655">
        <f>+IF(OR($Q149=Parametres!$G$2,$Q149=Parametres!$G$3),I149,C149)</f>
        <v>-3987.88</v>
      </c>
      <c r="O149" s="655">
        <f>+IF(OR($Q149=Parametres!$G$2,$Q149=Parametres!$G$3),J149,D149)</f>
        <v>0</v>
      </c>
      <c r="P149" s="655">
        <f>+IF(OR($Q149=Parametres!$G$2,$Q149=Parametres!$G$3),K149,E149)</f>
        <v>-3987.88</v>
      </c>
      <c r="Q149" s="654" t="str">
        <f t="shared" ref="Q149:S149" si="151">+F149</f>
        <v>2-Actifs</v>
      </c>
      <c r="R149" s="653" t="str">
        <f t="shared" si="151"/>
        <v>1700</v>
      </c>
      <c r="S149" s="654">
        <f t="shared" si="151"/>
        <v>0</v>
      </c>
      <c r="T149" s="656" t="str">
        <f>+VLOOKUP($L149,Data_Validation!$A:$D,1,0)</f>
        <v>1773</v>
      </c>
      <c r="U149" s="656" t="str">
        <f>+VLOOKUP($L149,Data_Validation!$A:$D,3,0)</f>
        <v>Bilan</v>
      </c>
      <c r="V149" s="656" t="str">
        <f>+VLOOKUP($L149,Data_Validation!$A:$D,4,0)</f>
        <v>Équipements Service</v>
      </c>
      <c r="W149" s="656" t="str">
        <f>+VLOOKUP($L149,Data_Validation!$A:$E,5,0)</f>
        <v>$</v>
      </c>
      <c r="X149" s="656">
        <f>+VLOOKUP($L149,Data_Validation!$A:$F,6,0)</f>
        <v>0</v>
      </c>
    </row>
    <row r="150" spans="1:24" ht="15" customHeight="1">
      <c r="A150" s="1052" t="s">
        <v>895</v>
      </c>
      <c r="B150" s="1052" t="s">
        <v>1621</v>
      </c>
      <c r="C150" s="1054">
        <v>129416.15</v>
      </c>
      <c r="D150" s="1054">
        <v>0</v>
      </c>
      <c r="E150" s="1054">
        <v>129416.15</v>
      </c>
      <c r="F150" s="1052" t="s">
        <v>816</v>
      </c>
      <c r="G150" s="1052" t="s">
        <v>885</v>
      </c>
      <c r="H150" s="1031"/>
      <c r="I150" s="1031"/>
      <c r="J150" s="1031"/>
      <c r="K150" s="1031"/>
      <c r="L150" s="653" t="str">
        <f t="shared" si="132"/>
        <v>1786</v>
      </c>
      <c r="M150" s="654" t="str">
        <f t="shared" si="0"/>
        <v>EQUIPEMENT INFORMATIQUE</v>
      </c>
      <c r="N150" s="655">
        <f>+IF(OR($Q150=Parametres!$G$2,$Q150=Parametres!$G$3),I150,C150)</f>
        <v>129416.15</v>
      </c>
      <c r="O150" s="655">
        <f>+IF(OR($Q150=Parametres!$G$2,$Q150=Parametres!$G$3),J150,D150)</f>
        <v>0</v>
      </c>
      <c r="P150" s="655">
        <f>+IF(OR($Q150=Parametres!$G$2,$Q150=Parametres!$G$3),K150,E150)</f>
        <v>129416.15</v>
      </c>
      <c r="Q150" s="654" t="str">
        <f t="shared" ref="Q150:S150" si="152">+F150</f>
        <v>2-Actifs</v>
      </c>
      <c r="R150" s="653" t="str">
        <f t="shared" si="152"/>
        <v>1700</v>
      </c>
      <c r="S150" s="654">
        <f t="shared" si="152"/>
        <v>0</v>
      </c>
      <c r="T150" s="656" t="str">
        <f>+VLOOKUP($L150,Data_Validation!$A:$D,1,0)</f>
        <v>1786</v>
      </c>
      <c r="U150" s="656" t="str">
        <f>+VLOOKUP($L150,Data_Validation!$A:$D,3,0)</f>
        <v>Bilan</v>
      </c>
      <c r="V150" s="656" t="str">
        <f>+VLOOKUP($L150,Data_Validation!$A:$D,4,0)</f>
        <v>Équipements Informatique</v>
      </c>
      <c r="W150" s="656" t="str">
        <f>+VLOOKUP($L150,Data_Validation!$A:$E,5,0)</f>
        <v>$</v>
      </c>
      <c r="X150" s="656">
        <f>+VLOOKUP($L150,Data_Validation!$A:$F,6,0)</f>
        <v>0</v>
      </c>
    </row>
    <row r="151" spans="1:24" ht="15.75" customHeight="1">
      <c r="A151" s="1052" t="s">
        <v>896</v>
      </c>
      <c r="B151" s="1052" t="s">
        <v>1624</v>
      </c>
      <c r="C151" s="1054">
        <v>-112927.43</v>
      </c>
      <c r="D151" s="1054">
        <v>-972</v>
      </c>
      <c r="E151" s="1054">
        <v>-113899.43</v>
      </c>
      <c r="F151" s="1052" t="s">
        <v>816</v>
      </c>
      <c r="G151" s="1052" t="s">
        <v>885</v>
      </c>
      <c r="H151" s="1031"/>
      <c r="I151" s="1031"/>
      <c r="J151" s="1031"/>
      <c r="K151" s="1031"/>
      <c r="L151" s="653" t="str">
        <f t="shared" si="132"/>
        <v>1787</v>
      </c>
      <c r="M151" s="654" t="str">
        <f t="shared" si="0"/>
        <v>AMORTISS.EQUIP.INFORMATIQUES</v>
      </c>
      <c r="N151" s="655">
        <f>+IF(OR($Q151=Parametres!$G$2,$Q151=Parametres!$G$3),I151,C151)</f>
        <v>-112927.43</v>
      </c>
      <c r="O151" s="655">
        <f>+IF(OR($Q151=Parametres!$G$2,$Q151=Parametres!$G$3),J151,D151)</f>
        <v>-972</v>
      </c>
      <c r="P151" s="655">
        <f>+IF(OR($Q151=Parametres!$G$2,$Q151=Parametres!$G$3),K151,E151)</f>
        <v>-113899.43</v>
      </c>
      <c r="Q151" s="654" t="str">
        <f t="shared" ref="Q151:S151" si="153">+F151</f>
        <v>2-Actifs</v>
      </c>
      <c r="R151" s="653" t="str">
        <f t="shared" si="153"/>
        <v>1700</v>
      </c>
      <c r="S151" s="654">
        <f t="shared" si="153"/>
        <v>0</v>
      </c>
      <c r="T151" s="656" t="str">
        <f>+VLOOKUP($L151,Data_Validation!$A:$D,1,0)</f>
        <v>1787</v>
      </c>
      <c r="U151" s="656" t="str">
        <f>+VLOOKUP($L151,Data_Validation!$A:$D,3,0)</f>
        <v>Bilan</v>
      </c>
      <c r="V151" s="656" t="str">
        <f>+VLOOKUP($L151,Data_Validation!$A:$D,4,0)</f>
        <v>Équipements Informatique</v>
      </c>
      <c r="W151" s="656" t="str">
        <f>+VLOOKUP($L151,Data_Validation!$A:$E,5,0)</f>
        <v>$</v>
      </c>
      <c r="X151" s="656">
        <f>+VLOOKUP($L151,Data_Validation!$A:$F,6,0)</f>
        <v>0</v>
      </c>
    </row>
    <row r="152" spans="1:24" ht="15" customHeight="1">
      <c r="A152" s="1052" t="s">
        <v>897</v>
      </c>
      <c r="B152" s="1052" t="s">
        <v>1627</v>
      </c>
      <c r="C152" s="1054">
        <v>119393.66</v>
      </c>
      <c r="D152" s="1054">
        <v>0</v>
      </c>
      <c r="E152" s="1054">
        <v>119393.66</v>
      </c>
      <c r="F152" s="1052" t="s">
        <v>816</v>
      </c>
      <c r="G152" s="1052" t="s">
        <v>885</v>
      </c>
      <c r="H152" s="1031"/>
      <c r="I152" s="1031"/>
      <c r="J152" s="1031"/>
      <c r="K152" s="1031"/>
      <c r="L152" s="653" t="str">
        <f t="shared" si="132"/>
        <v>1792</v>
      </c>
      <c r="M152" s="654" t="str">
        <f t="shared" si="0"/>
        <v>ENSEIGNES</v>
      </c>
      <c r="N152" s="655">
        <f>+IF(OR($Q152=Parametres!$G$2,$Q152=Parametres!$G$3),I152,C152)</f>
        <v>119393.66</v>
      </c>
      <c r="O152" s="655">
        <f>+IF(OR($Q152=Parametres!$G$2,$Q152=Parametres!$G$3),J152,D152)</f>
        <v>0</v>
      </c>
      <c r="P152" s="655">
        <f>+IF(OR($Q152=Parametres!$G$2,$Q152=Parametres!$G$3),K152,E152)</f>
        <v>119393.66</v>
      </c>
      <c r="Q152" s="654" t="str">
        <f t="shared" ref="Q152:S152" si="154">+F152</f>
        <v>2-Actifs</v>
      </c>
      <c r="R152" s="653" t="str">
        <f t="shared" si="154"/>
        <v>1700</v>
      </c>
      <c r="S152" s="654">
        <f t="shared" si="154"/>
        <v>0</v>
      </c>
      <c r="T152" s="656" t="str">
        <f>+VLOOKUP($L152,Data_Validation!$A:$D,1,0)</f>
        <v>1792</v>
      </c>
      <c r="U152" s="656" t="str">
        <f>+VLOOKUP($L152,Data_Validation!$A:$D,3,0)</f>
        <v>Bilan</v>
      </c>
      <c r="V152" s="656" t="str">
        <f>+VLOOKUP($L152,Data_Validation!$A:$D,4,0)</f>
        <v>Enseigne</v>
      </c>
      <c r="W152" s="656" t="str">
        <f>+VLOOKUP($L152,Data_Validation!$A:$E,5,0)</f>
        <v>$</v>
      </c>
      <c r="X152" s="656">
        <f>+VLOOKUP($L152,Data_Validation!$A:$F,6,0)</f>
        <v>0</v>
      </c>
    </row>
    <row r="153" spans="1:24" ht="15" customHeight="1">
      <c r="A153" s="1052" t="s">
        <v>898</v>
      </c>
      <c r="B153" s="1052" t="s">
        <v>1630</v>
      </c>
      <c r="C153" s="1054">
        <v>-119393.65</v>
      </c>
      <c r="D153" s="1054">
        <v>0</v>
      </c>
      <c r="E153" s="1054">
        <v>-119393.65</v>
      </c>
      <c r="F153" s="1052" t="s">
        <v>816</v>
      </c>
      <c r="G153" s="1052" t="s">
        <v>885</v>
      </c>
      <c r="H153" s="1031"/>
      <c r="I153" s="1031"/>
      <c r="J153" s="1031"/>
      <c r="K153" s="1031"/>
      <c r="L153" s="653" t="str">
        <f t="shared" si="132"/>
        <v>1793</v>
      </c>
      <c r="M153" s="654" t="str">
        <f t="shared" si="0"/>
        <v>AMORT. CUM. ENSEIGNES</v>
      </c>
      <c r="N153" s="655">
        <f>+IF(OR($Q153=Parametres!$G$2,$Q153=Parametres!$G$3),I153,C153)</f>
        <v>-119393.65</v>
      </c>
      <c r="O153" s="655">
        <f>+IF(OR($Q153=Parametres!$G$2,$Q153=Parametres!$G$3),J153,D153)</f>
        <v>0</v>
      </c>
      <c r="P153" s="655">
        <f>+IF(OR($Q153=Parametres!$G$2,$Q153=Parametres!$G$3),K153,E153)</f>
        <v>-119393.65</v>
      </c>
      <c r="Q153" s="654" t="str">
        <f t="shared" ref="Q153:S153" si="155">+F153</f>
        <v>2-Actifs</v>
      </c>
      <c r="R153" s="653" t="str">
        <f t="shared" si="155"/>
        <v>1700</v>
      </c>
      <c r="S153" s="654">
        <f t="shared" si="155"/>
        <v>0</v>
      </c>
      <c r="T153" s="656" t="str">
        <f>+VLOOKUP($L153,Data_Validation!$A:$D,1,0)</f>
        <v>1793</v>
      </c>
      <c r="U153" s="656" t="str">
        <f>+VLOOKUP($L153,Data_Validation!$A:$D,3,0)</f>
        <v>Bilan</v>
      </c>
      <c r="V153" s="656" t="str">
        <f>+VLOOKUP($L153,Data_Validation!$A:$D,4,0)</f>
        <v>Enseigne</v>
      </c>
      <c r="W153" s="656" t="str">
        <f>+VLOOKUP($L153,Data_Validation!$A:$E,5,0)</f>
        <v>$</v>
      </c>
      <c r="X153" s="656">
        <f>+VLOOKUP($L153,Data_Validation!$A:$F,6,0)</f>
        <v>0</v>
      </c>
    </row>
    <row r="154" spans="1:24" ht="15" customHeight="1">
      <c r="A154" s="1052" t="s">
        <v>3335</v>
      </c>
      <c r="B154" s="1052" t="s">
        <v>899</v>
      </c>
      <c r="C154" s="1054">
        <v>7173600</v>
      </c>
      <c r="D154" s="1054">
        <v>0</v>
      </c>
      <c r="E154" s="1054">
        <v>7173600</v>
      </c>
      <c r="F154" s="1052" t="s">
        <v>816</v>
      </c>
      <c r="G154" s="1052" t="s">
        <v>899</v>
      </c>
      <c r="H154" s="1031"/>
      <c r="I154" s="1031"/>
      <c r="J154" s="1031"/>
      <c r="K154" s="1031"/>
      <c r="L154" s="653" t="str">
        <f t="shared" si="132"/>
        <v>1804</v>
      </c>
      <c r="M154" s="654" t="str">
        <f t="shared" si="0"/>
        <v>AVANCES COMPLEXE INTERCO</v>
      </c>
      <c r="N154" s="655">
        <f>+IF(OR($Q154=Parametres!$G$2,$Q154=Parametres!$G$3),I154,C154)</f>
        <v>7173600</v>
      </c>
      <c r="O154" s="655">
        <f>+IF(OR($Q154=Parametres!$G$2,$Q154=Parametres!$G$3),J154,D154)</f>
        <v>0</v>
      </c>
      <c r="P154" s="655">
        <f>+IF(OR($Q154=Parametres!$G$2,$Q154=Parametres!$G$3),K154,E154)</f>
        <v>7173600</v>
      </c>
      <c r="Q154" s="654" t="str">
        <f t="shared" ref="Q154:S154" si="156">+F154</f>
        <v>2-Actifs</v>
      </c>
      <c r="R154" s="653" t="str">
        <f t="shared" si="156"/>
        <v>1804</v>
      </c>
      <c r="S154" s="654">
        <f t="shared" si="156"/>
        <v>0</v>
      </c>
      <c r="T154" s="656" t="str">
        <f>+VLOOKUP($L154,Data_Validation!$A:$D,1,0)</f>
        <v>1804</v>
      </c>
      <c r="U154" s="656" t="str">
        <f>+VLOOKUP($L154,Data_Validation!$A:$D,3,0)</f>
        <v>Bilan</v>
      </c>
      <c r="V154" s="656" t="str">
        <f>+VLOOKUP($L154,Data_Validation!$A:$D,4,0)</f>
        <v>Avances à Recevoir Long Terme</v>
      </c>
      <c r="W154" s="656" t="str">
        <f>+VLOOKUP($L154,Data_Validation!$A:$E,5,0)</f>
        <v>$</v>
      </c>
      <c r="X154" s="656">
        <f>+VLOOKUP($L154,Data_Validation!$A:$F,6,0)</f>
        <v>0</v>
      </c>
    </row>
    <row r="155" spans="1:24" ht="15.75" customHeight="1">
      <c r="A155" s="1052" t="s">
        <v>900</v>
      </c>
      <c r="B155" s="1052" t="s">
        <v>1635</v>
      </c>
      <c r="C155" s="1054">
        <v>9036.09</v>
      </c>
      <c r="D155" s="1054">
        <v>-1372.33</v>
      </c>
      <c r="E155" s="1054">
        <v>7663.76</v>
      </c>
      <c r="F155" s="1052" t="s">
        <v>816</v>
      </c>
      <c r="G155" s="1052" t="s">
        <v>821</v>
      </c>
      <c r="H155" s="1031"/>
      <c r="I155" s="1031"/>
      <c r="J155" s="1031"/>
      <c r="K155" s="1031"/>
      <c r="L155" s="653" t="str">
        <f t="shared" si="132"/>
        <v>1806</v>
      </c>
      <c r="M155" s="654" t="str">
        <f t="shared" si="0"/>
        <v>FINANCEMENT RECEVABLE</v>
      </c>
      <c r="N155" s="655">
        <f>+IF(OR($Q155=Parametres!$G$2,$Q155=Parametres!$G$3),I155,C155)</f>
        <v>9036.09</v>
      </c>
      <c r="O155" s="655">
        <f>+IF(OR($Q155=Parametres!$G$2,$Q155=Parametres!$G$3),J155,D155)</f>
        <v>-1372.33</v>
      </c>
      <c r="P155" s="655">
        <f>+IF(OR($Q155=Parametres!$G$2,$Q155=Parametres!$G$3),K155,E155)</f>
        <v>7663.76</v>
      </c>
      <c r="Q155" s="654" t="str">
        <f t="shared" ref="Q155:S155" si="157">+F155</f>
        <v>2-Actifs</v>
      </c>
      <c r="R155" s="653" t="str">
        <f t="shared" si="157"/>
        <v>1382</v>
      </c>
      <c r="S155" s="654">
        <f t="shared" si="157"/>
        <v>0</v>
      </c>
      <c r="T155" s="656" t="str">
        <f>+VLOOKUP($L155,Data_Validation!$A:$D,1,0)</f>
        <v>1806</v>
      </c>
      <c r="U155" s="656" t="str">
        <f>+VLOOKUP($L155,Data_Validation!$A:$D,3,0)</f>
        <v>Bilan</v>
      </c>
      <c r="V155" s="656" t="str">
        <f>+VLOOKUP($L155,Data_Validation!$A:$D,4,0)</f>
        <v>Recevables Autres</v>
      </c>
      <c r="W155" s="656" t="str">
        <f>+VLOOKUP($L155,Data_Validation!$A:$E,5,0)</f>
        <v>$</v>
      </c>
      <c r="X155" s="656">
        <f>+VLOOKUP($L155,Data_Validation!$A:$F,6,0)</f>
        <v>0</v>
      </c>
    </row>
    <row r="156" spans="1:24" ht="15" customHeight="1">
      <c r="A156" s="1052" t="s">
        <v>901</v>
      </c>
      <c r="B156" s="1052" t="s">
        <v>903</v>
      </c>
      <c r="C156" s="1054">
        <v>-4255820.22</v>
      </c>
      <c r="D156" s="1054">
        <v>1431441.99</v>
      </c>
      <c r="E156" s="1054">
        <v>-2824378.23</v>
      </c>
      <c r="F156" s="1052" t="s">
        <v>902</v>
      </c>
      <c r="G156" s="1052" t="s">
        <v>903</v>
      </c>
      <c r="H156" s="1031"/>
      <c r="I156" s="1031"/>
      <c r="J156" s="1031"/>
      <c r="K156" s="1031"/>
      <c r="L156" s="653" t="str">
        <f t="shared" si="132"/>
        <v>2101</v>
      </c>
      <c r="M156" s="654" t="str">
        <f t="shared" si="0"/>
        <v>NOTE A PAYER VEH. NEUFS VOLKS</v>
      </c>
      <c r="N156" s="655">
        <f>+IF(OR($Q156=Parametres!$G$2,$Q156=Parametres!$G$3),I156,C156)</f>
        <v>-4255820.22</v>
      </c>
      <c r="O156" s="655">
        <f>+IF(OR($Q156=Parametres!$G$2,$Q156=Parametres!$G$3),J156,D156)</f>
        <v>1431441.99</v>
      </c>
      <c r="P156" s="655">
        <f>+IF(OR($Q156=Parametres!$G$2,$Q156=Parametres!$G$3),K156,E156)</f>
        <v>-2824378.23</v>
      </c>
      <c r="Q156" s="654" t="str">
        <f t="shared" ref="Q156:S156" si="158">+F156</f>
        <v>3-Passifs</v>
      </c>
      <c r="R156" s="653" t="str">
        <f t="shared" si="158"/>
        <v>2101</v>
      </c>
      <c r="S156" s="654">
        <f t="shared" si="158"/>
        <v>0</v>
      </c>
      <c r="T156" s="656" t="str">
        <f>+VLOOKUP($L156,Data_Validation!$A:$D,1,0)</f>
        <v>2101</v>
      </c>
      <c r="U156" s="656" t="str">
        <f>+VLOOKUP($L156,Data_Validation!$A:$D,3,0)</f>
        <v>Bilan</v>
      </c>
      <c r="V156" s="656" t="str">
        <f>+VLOOKUP($L156,Data_Validation!$A:$D,4,0)</f>
        <v>Effet à Payer Véhicules Neufs</v>
      </c>
      <c r="W156" s="656" t="str">
        <f>+VLOOKUP($L156,Data_Validation!$A:$E,5,0)</f>
        <v>$</v>
      </c>
      <c r="X156" s="656">
        <f>+VLOOKUP($L156,Data_Validation!$A:$F,6,0)</f>
        <v>0</v>
      </c>
    </row>
    <row r="157" spans="1:24" ht="15" customHeight="1">
      <c r="A157" s="1052" t="s">
        <v>904</v>
      </c>
      <c r="B157" s="1052" t="s">
        <v>905</v>
      </c>
      <c r="C157" s="1054">
        <v>-1434674.44</v>
      </c>
      <c r="D157" s="1054">
        <v>39066.93</v>
      </c>
      <c r="E157" s="1054">
        <v>-1395607.51</v>
      </c>
      <c r="F157" s="1052" t="s">
        <v>902</v>
      </c>
      <c r="G157" s="1052" t="s">
        <v>905</v>
      </c>
      <c r="H157" s="1031"/>
      <c r="I157" s="1031"/>
      <c r="J157" s="1031"/>
      <c r="K157" s="1031"/>
      <c r="L157" s="653" t="str">
        <f t="shared" si="132"/>
        <v>2103</v>
      </c>
      <c r="M157" s="654" t="str">
        <f t="shared" si="0"/>
        <v>NOTE PAYABLE-FIN. VEH. USAG.</v>
      </c>
      <c r="N157" s="655">
        <f>+IF(OR($Q157=Parametres!$G$2,$Q157=Parametres!$G$3),I157,C157)</f>
        <v>-1434674.44</v>
      </c>
      <c r="O157" s="655">
        <f>+IF(OR($Q157=Parametres!$G$2,$Q157=Parametres!$G$3),J157,D157)</f>
        <v>39066.93</v>
      </c>
      <c r="P157" s="655">
        <f>+IF(OR($Q157=Parametres!$G$2,$Q157=Parametres!$G$3),K157,E157)</f>
        <v>-1395607.51</v>
      </c>
      <c r="Q157" s="654" t="str">
        <f t="shared" ref="Q157:S157" si="159">+F157</f>
        <v>3-Passifs</v>
      </c>
      <c r="R157" s="653" t="str">
        <f t="shared" si="159"/>
        <v>2103</v>
      </c>
      <c r="S157" s="654">
        <f t="shared" si="159"/>
        <v>0</v>
      </c>
      <c r="T157" s="656" t="str">
        <f>+VLOOKUP($L157,Data_Validation!$A:$D,1,0)</f>
        <v>2103</v>
      </c>
      <c r="U157" s="656" t="str">
        <f>+VLOOKUP($L157,Data_Validation!$A:$D,3,0)</f>
        <v>Bilan</v>
      </c>
      <c r="V157" s="656" t="str">
        <f>+VLOOKUP($L157,Data_Validation!$A:$D,4,0)</f>
        <v>Effet à Payer Véhicules Usagés</v>
      </c>
      <c r="W157" s="656" t="str">
        <f>+VLOOKUP($L157,Data_Validation!$A:$E,5,0)</f>
        <v>$</v>
      </c>
      <c r="X157" s="656">
        <f>+VLOOKUP($L157,Data_Validation!$A:$F,6,0)</f>
        <v>0</v>
      </c>
    </row>
    <row r="158" spans="1:24" ht="15" customHeight="1">
      <c r="A158" s="1052" t="s">
        <v>3667</v>
      </c>
      <c r="B158" s="1052" t="s">
        <v>3374</v>
      </c>
      <c r="C158" s="1054">
        <v>0</v>
      </c>
      <c r="D158" s="1054">
        <v>-10831.38</v>
      </c>
      <c r="E158" s="1054">
        <v>-10831.38</v>
      </c>
      <c r="F158" s="1052" t="s">
        <v>902</v>
      </c>
      <c r="G158" s="1052" t="s">
        <v>3668</v>
      </c>
      <c r="H158" s="1031"/>
      <c r="I158" s="1031"/>
      <c r="J158" s="1031"/>
      <c r="K158" s="1031"/>
      <c r="L158" s="653" t="str">
        <f t="shared" si="132"/>
        <v>2105</v>
      </c>
      <c r="M158" s="654" t="str">
        <f t="shared" si="0"/>
        <v>INTERET FP A PAYER</v>
      </c>
      <c r="N158" s="655">
        <f>+IF(OR($Q158=Parametres!$G$2,$Q158=Parametres!$G$3),I158,C158)</f>
        <v>0</v>
      </c>
      <c r="O158" s="655">
        <f>+IF(OR($Q158=Parametres!$G$2,$Q158=Parametres!$G$3),J158,D158)</f>
        <v>-10831.38</v>
      </c>
      <c r="P158" s="655">
        <f>+IF(OR($Q158=Parametres!$G$2,$Q158=Parametres!$G$3),K158,E158)</f>
        <v>-10831.38</v>
      </c>
      <c r="Q158" s="654" t="str">
        <f t="shared" ref="Q158:S158" si="160">+F158</f>
        <v>3-Passifs</v>
      </c>
      <c r="R158" s="653" t="str">
        <f t="shared" si="160"/>
        <v>210</v>
      </c>
      <c r="S158" s="654">
        <f t="shared" si="160"/>
        <v>0</v>
      </c>
      <c r="T158" s="656" t="str">
        <f>+VLOOKUP($L158,Data_Validation!$A:$D,1,0)</f>
        <v>2105</v>
      </c>
      <c r="U158" s="656" t="str">
        <f>+VLOOKUP($L158,Data_Validation!$A:$D,3,0)</f>
        <v>Bilan</v>
      </c>
      <c r="V158" s="656" t="str">
        <f>+VLOOKUP($L158,Data_Validation!$A:$D,4,0)</f>
        <v>Autres Courus</v>
      </c>
      <c r="W158" s="656" t="str">
        <f>+VLOOKUP($L158,Data_Validation!$A:$E,5,0)</f>
        <v>$</v>
      </c>
      <c r="X158" s="656">
        <f>+VLOOKUP($L158,Data_Validation!$A:$F,6,0)</f>
        <v>0</v>
      </c>
    </row>
    <row r="159" spans="1:24" ht="15.75" customHeight="1">
      <c r="A159" s="1052" t="s">
        <v>3669</v>
      </c>
      <c r="B159" s="1052" t="s">
        <v>3375</v>
      </c>
      <c r="C159" s="1054">
        <v>0</v>
      </c>
      <c r="D159" s="1054">
        <v>-7073.76</v>
      </c>
      <c r="E159" s="1054">
        <v>-7073.76</v>
      </c>
      <c r="F159" s="1052" t="s">
        <v>902</v>
      </c>
      <c r="G159" s="1052" t="s">
        <v>3670</v>
      </c>
      <c r="H159" s="1031"/>
      <c r="I159" s="1031"/>
      <c r="J159" s="1031"/>
      <c r="K159" s="1031"/>
      <c r="L159" s="653" t="str">
        <f t="shared" si="132"/>
        <v>2113</v>
      </c>
      <c r="M159" s="654" t="str">
        <f t="shared" si="0"/>
        <v>FRAIS BANCAIRE A PAYER</v>
      </c>
      <c r="N159" s="655">
        <f>+IF(OR($Q159=Parametres!$G$2,$Q159=Parametres!$G$3),I159,C159)</f>
        <v>0</v>
      </c>
      <c r="O159" s="655">
        <f>+IF(OR($Q159=Parametres!$G$2,$Q159=Parametres!$G$3),J159,D159)</f>
        <v>-7073.76</v>
      </c>
      <c r="P159" s="655">
        <f>+IF(OR($Q159=Parametres!$G$2,$Q159=Parametres!$G$3),K159,E159)</f>
        <v>-7073.76</v>
      </c>
      <c r="Q159" s="654" t="str">
        <f t="shared" ref="Q159:S159" si="161">+F159</f>
        <v>3-Passifs</v>
      </c>
      <c r="R159" s="653" t="str">
        <f t="shared" si="161"/>
        <v>211</v>
      </c>
      <c r="S159" s="654">
        <f t="shared" si="161"/>
        <v>0</v>
      </c>
      <c r="T159" s="656" t="str">
        <f>+VLOOKUP($L159,Data_Validation!$A:$D,1,0)</f>
        <v>2113</v>
      </c>
      <c r="U159" s="656" t="str">
        <f>+VLOOKUP($L159,Data_Validation!$A:$D,3,0)</f>
        <v>Bilan</v>
      </c>
      <c r="V159" s="656" t="str">
        <f>+VLOOKUP($L159,Data_Validation!$A:$D,4,0)</f>
        <v>Autres Courus</v>
      </c>
      <c r="W159" s="656" t="str">
        <f>+VLOOKUP($L159,Data_Validation!$A:$E,5,0)</f>
        <v>$</v>
      </c>
      <c r="X159" s="656">
        <f>+VLOOKUP($L159,Data_Validation!$A:$F,6,0)</f>
        <v>0</v>
      </c>
    </row>
    <row r="160" spans="1:24" ht="15" customHeight="1">
      <c r="A160" s="1052" t="s">
        <v>906</v>
      </c>
      <c r="B160" s="1052" t="s">
        <v>907</v>
      </c>
      <c r="C160" s="1054">
        <v>-15810</v>
      </c>
      <c r="D160" s="1054">
        <v>0</v>
      </c>
      <c r="E160" s="1054">
        <v>-15810</v>
      </c>
      <c r="F160" s="1052" t="s">
        <v>902</v>
      </c>
      <c r="G160" s="1052" t="s">
        <v>907</v>
      </c>
      <c r="H160" s="1031"/>
      <c r="I160" s="1032"/>
      <c r="J160" s="1032"/>
      <c r="K160" s="1032"/>
      <c r="L160" s="653" t="str">
        <f t="shared" si="132"/>
        <v>2131</v>
      </c>
      <c r="M160" s="654" t="str">
        <f t="shared" si="0"/>
        <v>PORTION COURANTE PRET</v>
      </c>
      <c r="N160" s="655">
        <f>+IF(OR($Q160=Parametres!$G$2,$Q160=Parametres!$G$3),I160,C160)</f>
        <v>-15810</v>
      </c>
      <c r="O160" s="655">
        <f>+IF(OR($Q160=Parametres!$G$2,$Q160=Parametres!$G$3),J160,D160)</f>
        <v>0</v>
      </c>
      <c r="P160" s="655">
        <f>+IF(OR($Q160=Parametres!$G$2,$Q160=Parametres!$G$3),K160,E160)</f>
        <v>-15810</v>
      </c>
      <c r="Q160" s="654" t="str">
        <f t="shared" ref="Q160:S160" si="162">+F160</f>
        <v>3-Passifs</v>
      </c>
      <c r="R160" s="653" t="str">
        <f t="shared" si="162"/>
        <v>2131</v>
      </c>
      <c r="S160" s="654">
        <f t="shared" si="162"/>
        <v>0</v>
      </c>
      <c r="T160" s="656" t="str">
        <f>+VLOOKUP($L160,Data_Validation!$A:$D,1,0)</f>
        <v>2131</v>
      </c>
      <c r="U160" s="656" t="str">
        <f>+VLOOKUP($L160,Data_Validation!$A:$D,3,0)</f>
        <v>Bilan</v>
      </c>
      <c r="V160" s="656" t="str">
        <f>+VLOOKUP($L160,Data_Validation!$A:$D,4,0)</f>
        <v>Portion Court Terme de la Dette Long Terme</v>
      </c>
      <c r="W160" s="656" t="str">
        <f>+VLOOKUP($L160,Data_Validation!$A:$E,5,0)</f>
        <v>$</v>
      </c>
      <c r="X160" s="656">
        <f>+VLOOKUP($L160,Data_Validation!$A:$F,6,0)</f>
        <v>0</v>
      </c>
    </row>
    <row r="161" spans="1:24" ht="15" customHeight="1">
      <c r="A161" s="1052" t="s">
        <v>908</v>
      </c>
      <c r="B161" s="1052" t="s">
        <v>909</v>
      </c>
      <c r="C161" s="1054">
        <v>-143.55000000000001</v>
      </c>
      <c r="D161" s="1054">
        <v>-84.68</v>
      </c>
      <c r="E161" s="1054">
        <v>-228.23</v>
      </c>
      <c r="F161" s="1052" t="s">
        <v>902</v>
      </c>
      <c r="G161" s="1052" t="s">
        <v>909</v>
      </c>
      <c r="H161" s="651"/>
      <c r="I161" s="651"/>
      <c r="J161" s="651"/>
      <c r="K161" s="651"/>
      <c r="L161" s="653" t="str">
        <f t="shared" si="132"/>
        <v>2220</v>
      </c>
      <c r="M161" s="654" t="str">
        <f t="shared" si="0"/>
        <v>TPA A PAYER</v>
      </c>
      <c r="N161" s="655">
        <f>+IF(OR($Q161=Parametres!$G$2,$Q161=Parametres!$G$3),I161,C161)</f>
        <v>-143.55000000000001</v>
      </c>
      <c r="O161" s="655">
        <f>+IF(OR($Q161=Parametres!$G$2,$Q161=Parametres!$G$3),J161,D161)</f>
        <v>-84.68</v>
      </c>
      <c r="P161" s="655">
        <f>+IF(OR($Q161=Parametres!$G$2,$Q161=Parametres!$G$3),K161,E161)</f>
        <v>-228.23</v>
      </c>
      <c r="Q161" s="654" t="str">
        <f t="shared" ref="Q161:S161" si="163">+F161</f>
        <v>3-Passifs</v>
      </c>
      <c r="R161" s="653" t="str">
        <f t="shared" si="163"/>
        <v>2220</v>
      </c>
      <c r="S161" s="654">
        <f t="shared" si="163"/>
        <v>0</v>
      </c>
      <c r="T161" s="656" t="str">
        <f>+VLOOKUP($L161,Data_Validation!$A:$D,1,0)</f>
        <v>2220</v>
      </c>
      <c r="U161" s="656" t="str">
        <f>+VLOOKUP($L161,Data_Validation!$A:$D,3,0)</f>
        <v>Bilan</v>
      </c>
      <c r="V161" s="656" t="str">
        <f>+VLOOKUP($L161,Data_Validation!$A:$D,4,0)</f>
        <v>Taxes de Vente à Payer</v>
      </c>
      <c r="W161" s="656" t="str">
        <f>+VLOOKUP($L161,Data_Validation!$A:$E,5,0)</f>
        <v>$</v>
      </c>
      <c r="X161" s="656">
        <f>+VLOOKUP($L161,Data_Validation!$A:$F,6,0)</f>
        <v>0</v>
      </c>
    </row>
    <row r="162" spans="1:24" ht="15" customHeight="1">
      <c r="A162" s="1052" t="s">
        <v>910</v>
      </c>
      <c r="B162" s="1052" t="s">
        <v>911</v>
      </c>
      <c r="C162" s="1054">
        <v>-113015.09</v>
      </c>
      <c r="D162" s="1054">
        <v>34143.129999999997</v>
      </c>
      <c r="E162" s="1054">
        <v>-78871.960000000006</v>
      </c>
      <c r="F162" s="1052" t="s">
        <v>902</v>
      </c>
      <c r="G162" s="1052" t="s">
        <v>911</v>
      </c>
      <c r="H162" s="1031"/>
      <c r="I162" s="1031"/>
      <c r="J162" s="1031"/>
      <c r="K162" s="1031"/>
      <c r="L162" s="653" t="str">
        <f t="shared" si="132"/>
        <v>2221</v>
      </c>
      <c r="M162" s="654" t="str">
        <f t="shared" si="0"/>
        <v>TVQ A PAYER</v>
      </c>
      <c r="N162" s="655">
        <f>+IF(OR($Q162=Parametres!$G$2,$Q162=Parametres!$G$3),I162,C162)</f>
        <v>-113015.09</v>
      </c>
      <c r="O162" s="655">
        <f>+IF(OR($Q162=Parametres!$G$2,$Q162=Parametres!$G$3),J162,D162)</f>
        <v>34143.129999999997</v>
      </c>
      <c r="P162" s="655">
        <f>+IF(OR($Q162=Parametres!$G$2,$Q162=Parametres!$G$3),K162,E162)</f>
        <v>-78871.960000000006</v>
      </c>
      <c r="Q162" s="654" t="str">
        <f t="shared" ref="Q162:S162" si="164">+F162</f>
        <v>3-Passifs</v>
      </c>
      <c r="R162" s="653" t="str">
        <f t="shared" si="164"/>
        <v>2221</v>
      </c>
      <c r="S162" s="654">
        <f t="shared" si="164"/>
        <v>0</v>
      </c>
      <c r="T162" s="656" t="str">
        <f>+VLOOKUP($L162,Data_Validation!$A:$D,1,0)</f>
        <v>2221</v>
      </c>
      <c r="U162" s="656" t="str">
        <f>+VLOOKUP($L162,Data_Validation!$A:$D,3,0)</f>
        <v>Bilan</v>
      </c>
      <c r="V162" s="656" t="str">
        <f>+VLOOKUP($L162,Data_Validation!$A:$D,4,0)</f>
        <v>Taxes de Vente à Payer</v>
      </c>
      <c r="W162" s="656" t="str">
        <f>+VLOOKUP($L162,Data_Validation!$A:$E,5,0)</f>
        <v>$</v>
      </c>
      <c r="X162" s="656">
        <f>+VLOOKUP($L162,Data_Validation!$A:$F,6,0)</f>
        <v>0</v>
      </c>
    </row>
    <row r="163" spans="1:24" ht="15.75" customHeight="1">
      <c r="A163" s="1052" t="s">
        <v>912</v>
      </c>
      <c r="B163" s="1052" t="s">
        <v>1652</v>
      </c>
      <c r="C163" s="1054">
        <v>66563.850000000006</v>
      </c>
      <c r="D163" s="1054">
        <v>-11854.02</v>
      </c>
      <c r="E163" s="1054">
        <v>54709.83</v>
      </c>
      <c r="F163" s="1052" t="s">
        <v>902</v>
      </c>
      <c r="G163" s="1052" t="s">
        <v>911</v>
      </c>
      <c r="H163" s="651"/>
      <c r="I163" s="651"/>
      <c r="J163" s="651"/>
      <c r="K163" s="651"/>
      <c r="L163" s="653" t="str">
        <f t="shared" si="132"/>
        <v>2222</v>
      </c>
      <c r="M163" s="654" t="str">
        <f t="shared" si="0"/>
        <v>TVQ A RECEVOIR</v>
      </c>
      <c r="N163" s="655">
        <f>+IF(OR($Q163=Parametres!$G$2,$Q163=Parametres!$G$3),I163,C163)</f>
        <v>66563.850000000006</v>
      </c>
      <c r="O163" s="655">
        <f>+IF(OR($Q163=Parametres!$G$2,$Q163=Parametres!$G$3),J163,D163)</f>
        <v>-11854.02</v>
      </c>
      <c r="P163" s="655">
        <f>+IF(OR($Q163=Parametres!$G$2,$Q163=Parametres!$G$3),K163,E163)</f>
        <v>54709.83</v>
      </c>
      <c r="Q163" s="654" t="str">
        <f t="shared" ref="Q163:S163" si="165">+F163</f>
        <v>3-Passifs</v>
      </c>
      <c r="R163" s="653" t="str">
        <f t="shared" si="165"/>
        <v>2221</v>
      </c>
      <c r="S163" s="654">
        <f t="shared" si="165"/>
        <v>0</v>
      </c>
      <c r="T163" s="656" t="str">
        <f>+VLOOKUP($L163,Data_Validation!$A:$D,1,0)</f>
        <v>2222</v>
      </c>
      <c r="U163" s="656" t="str">
        <f>+VLOOKUP($L163,Data_Validation!$A:$D,3,0)</f>
        <v>Bilan</v>
      </c>
      <c r="V163" s="656" t="str">
        <f>+VLOOKUP($L163,Data_Validation!$A:$D,4,0)</f>
        <v>Taxes de Vente à Payer</v>
      </c>
      <c r="W163" s="656" t="str">
        <f>+VLOOKUP($L163,Data_Validation!$A:$E,5,0)</f>
        <v>$</v>
      </c>
      <c r="X163" s="656">
        <f>+VLOOKUP($L163,Data_Validation!$A:$F,6,0)</f>
        <v>0</v>
      </c>
    </row>
    <row r="164" spans="1:24" ht="15" customHeight="1">
      <c r="A164" s="1052" t="s">
        <v>913</v>
      </c>
      <c r="B164" s="1052" t="s">
        <v>914</v>
      </c>
      <c r="C164" s="1054">
        <v>-379218</v>
      </c>
      <c r="D164" s="1054">
        <v>203833.3</v>
      </c>
      <c r="E164" s="1054">
        <v>-175384.7</v>
      </c>
      <c r="F164" s="1052" t="s">
        <v>902</v>
      </c>
      <c r="G164" s="1052" t="s">
        <v>914</v>
      </c>
      <c r="H164" s="1031"/>
      <c r="I164" s="1031"/>
      <c r="J164" s="1031"/>
      <c r="K164" s="1031"/>
      <c r="L164" s="653" t="str">
        <f t="shared" si="132"/>
        <v>2223</v>
      </c>
      <c r="M164" s="654" t="str">
        <f t="shared" si="0"/>
        <v>TPS A PAYER</v>
      </c>
      <c r="N164" s="655">
        <f>+IF(OR($Q164=Parametres!$G$2,$Q164=Parametres!$G$3),I164,C164)</f>
        <v>-379218</v>
      </c>
      <c r="O164" s="655">
        <f>+IF(OR($Q164=Parametres!$G$2,$Q164=Parametres!$G$3),J164,D164)</f>
        <v>203833.3</v>
      </c>
      <c r="P164" s="655">
        <f>+IF(OR($Q164=Parametres!$G$2,$Q164=Parametres!$G$3),K164,E164)</f>
        <v>-175384.7</v>
      </c>
      <c r="Q164" s="654" t="str">
        <f t="shared" ref="Q164:S164" si="166">+F164</f>
        <v>3-Passifs</v>
      </c>
      <c r="R164" s="653" t="str">
        <f t="shared" si="166"/>
        <v>2223</v>
      </c>
      <c r="S164" s="654">
        <f t="shared" si="166"/>
        <v>0</v>
      </c>
      <c r="T164" s="656" t="str">
        <f>+VLOOKUP($L164,Data_Validation!$A:$D,1,0)</f>
        <v>2223</v>
      </c>
      <c r="U164" s="656" t="str">
        <f>+VLOOKUP($L164,Data_Validation!$A:$D,3,0)</f>
        <v>Bilan</v>
      </c>
      <c r="V164" s="656" t="str">
        <f>+VLOOKUP($L164,Data_Validation!$A:$D,4,0)</f>
        <v>Taxes de Vente à Payer</v>
      </c>
      <c r="W164" s="656" t="str">
        <f>+VLOOKUP($L164,Data_Validation!$A:$E,5,0)</f>
        <v>$</v>
      </c>
      <c r="X164" s="656">
        <f>+VLOOKUP($L164,Data_Validation!$A:$F,6,0)</f>
        <v>0</v>
      </c>
    </row>
    <row r="165" spans="1:24" ht="15" customHeight="1">
      <c r="A165" s="1052" t="s">
        <v>915</v>
      </c>
      <c r="B165" s="1052" t="s">
        <v>1657</v>
      </c>
      <c r="C165" s="1054">
        <v>232868.88</v>
      </c>
      <c r="D165" s="1054">
        <v>-124391.82</v>
      </c>
      <c r="E165" s="1054">
        <v>108477.06</v>
      </c>
      <c r="F165" s="1052" t="s">
        <v>902</v>
      </c>
      <c r="G165" s="1052" t="s">
        <v>914</v>
      </c>
      <c r="H165" s="651"/>
      <c r="I165" s="652"/>
      <c r="J165" s="652"/>
      <c r="K165" s="652"/>
      <c r="L165" s="653" t="str">
        <f t="shared" si="132"/>
        <v>2224</v>
      </c>
      <c r="M165" s="654" t="str">
        <f t="shared" si="0"/>
        <v>TPS A RECEVOIR</v>
      </c>
      <c r="N165" s="655">
        <f>+IF(OR($Q165=Parametres!$G$2,$Q165=Parametres!$G$3),I165,C165)</f>
        <v>232868.88</v>
      </c>
      <c r="O165" s="655">
        <f>+IF(OR($Q165=Parametres!$G$2,$Q165=Parametres!$G$3),J165,D165)</f>
        <v>-124391.82</v>
      </c>
      <c r="P165" s="655">
        <f>+IF(OR($Q165=Parametres!$G$2,$Q165=Parametres!$G$3),K165,E165)</f>
        <v>108477.06</v>
      </c>
      <c r="Q165" s="654" t="str">
        <f t="shared" ref="Q165:S165" si="167">+F165</f>
        <v>3-Passifs</v>
      </c>
      <c r="R165" s="653" t="str">
        <f t="shared" si="167"/>
        <v>2223</v>
      </c>
      <c r="S165" s="654">
        <f t="shared" si="167"/>
        <v>0</v>
      </c>
      <c r="T165" s="656" t="str">
        <f>+VLOOKUP($L165,Data_Validation!$A:$D,1,0)</f>
        <v>2224</v>
      </c>
      <c r="U165" s="656" t="str">
        <f>+VLOOKUP($L165,Data_Validation!$A:$D,3,0)</f>
        <v>Bilan</v>
      </c>
      <c r="V165" s="656" t="str">
        <f>+VLOOKUP($L165,Data_Validation!$A:$D,4,0)</f>
        <v>Taxes de Vente à Payer</v>
      </c>
      <c r="W165" s="656" t="str">
        <f>+VLOOKUP($L165,Data_Validation!$A:$E,5,0)</f>
        <v>$</v>
      </c>
      <c r="X165" s="656">
        <f>+VLOOKUP($L165,Data_Validation!$A:$F,6,0)</f>
        <v>0</v>
      </c>
    </row>
    <row r="166" spans="1:24" ht="15" customHeight="1">
      <c r="A166" s="1052" t="s">
        <v>916</v>
      </c>
      <c r="B166" s="1052" t="s">
        <v>1660</v>
      </c>
      <c r="C166" s="1054">
        <v>-1464</v>
      </c>
      <c r="D166" s="1054">
        <v>435</v>
      </c>
      <c r="E166" s="1054">
        <v>-1029</v>
      </c>
      <c r="F166" s="1052" t="s">
        <v>902</v>
      </c>
      <c r="G166" s="1052" t="s">
        <v>911</v>
      </c>
      <c r="H166" s="1031"/>
      <c r="I166" s="1031"/>
      <c r="J166" s="1031"/>
      <c r="K166" s="1031"/>
      <c r="L166" s="653" t="str">
        <f t="shared" si="132"/>
        <v>2225</v>
      </c>
      <c r="M166" s="654" t="str">
        <f t="shared" si="0"/>
        <v>DROIT SUR PNEUS</v>
      </c>
      <c r="N166" s="655">
        <f>+IF(OR($Q166=Parametres!$G$2,$Q166=Parametres!$G$3),I166,C166)</f>
        <v>-1464</v>
      </c>
      <c r="O166" s="655">
        <f>+IF(OR($Q166=Parametres!$G$2,$Q166=Parametres!$G$3),J166,D166)</f>
        <v>435</v>
      </c>
      <c r="P166" s="655">
        <f>+IF(OR($Q166=Parametres!$G$2,$Q166=Parametres!$G$3),K166,E166)</f>
        <v>-1029</v>
      </c>
      <c r="Q166" s="654" t="str">
        <f t="shared" ref="Q166:S166" si="168">+F166</f>
        <v>3-Passifs</v>
      </c>
      <c r="R166" s="653" t="str">
        <f t="shared" si="168"/>
        <v>2221</v>
      </c>
      <c r="S166" s="654">
        <f t="shared" si="168"/>
        <v>0</v>
      </c>
      <c r="T166" s="656" t="str">
        <f>+VLOOKUP($L166,Data_Validation!$A:$D,1,0)</f>
        <v>2225</v>
      </c>
      <c r="U166" s="656" t="str">
        <f>+VLOOKUP($L166,Data_Validation!$A:$D,3,0)</f>
        <v>Bilan</v>
      </c>
      <c r="V166" s="656" t="str">
        <f>+VLOOKUP($L166,Data_Validation!$A:$D,4,0)</f>
        <v>Taxes de Vente à Payer</v>
      </c>
      <c r="W166" s="656" t="str">
        <f>+VLOOKUP($L166,Data_Validation!$A:$E,5,0)</f>
        <v>$</v>
      </c>
      <c r="X166" s="656">
        <f>+VLOOKUP($L166,Data_Validation!$A:$F,6,0)</f>
        <v>0</v>
      </c>
    </row>
    <row r="167" spans="1:24" ht="15" customHeight="1">
      <c r="A167" s="1052" t="s">
        <v>917</v>
      </c>
      <c r="B167" s="1052" t="s">
        <v>1663</v>
      </c>
      <c r="C167" s="1054">
        <v>-116317.14</v>
      </c>
      <c r="D167" s="1054">
        <v>49076.67</v>
      </c>
      <c r="E167" s="1054">
        <v>-67240.47</v>
      </c>
      <c r="F167" s="1052" t="s">
        <v>902</v>
      </c>
      <c r="G167" s="1052" t="s">
        <v>918</v>
      </c>
      <c r="H167" s="651"/>
      <c r="I167" s="652"/>
      <c r="J167" s="652"/>
      <c r="K167" s="652"/>
      <c r="L167" s="653" t="str">
        <f t="shared" si="132"/>
        <v>2281</v>
      </c>
      <c r="M167" s="654" t="str">
        <f t="shared" si="0"/>
        <v>LIEN A PAYER</v>
      </c>
      <c r="N167" s="655">
        <f>+IF(OR($Q167=Parametres!$G$2,$Q167=Parametres!$G$3),I167,C167)</f>
        <v>-116317.14</v>
      </c>
      <c r="O167" s="655">
        <f>+IF(OR($Q167=Parametres!$G$2,$Q167=Parametres!$G$3),J167,D167)</f>
        <v>49076.67</v>
      </c>
      <c r="P167" s="655">
        <f>+IF(OR($Q167=Parametres!$G$2,$Q167=Parametres!$G$3),K167,E167)</f>
        <v>-67240.47</v>
      </c>
      <c r="Q167" s="654" t="str">
        <f t="shared" ref="Q167:S167" si="169">+F167</f>
        <v>3-Passifs</v>
      </c>
      <c r="R167" s="653" t="str">
        <f t="shared" si="169"/>
        <v>2283</v>
      </c>
      <c r="S167" s="654">
        <f t="shared" si="169"/>
        <v>0</v>
      </c>
      <c r="T167" s="656" t="str">
        <f>+VLOOKUP($L167,Data_Validation!$A:$D,1,0)</f>
        <v>2281</v>
      </c>
      <c r="U167" s="656" t="str">
        <f>+VLOOKUP($L167,Data_Validation!$A:$D,3,0)</f>
        <v>Bilan</v>
      </c>
      <c r="V167" s="656" t="str">
        <f>+VLOOKUP($L167,Data_Validation!$A:$D,4,0)</f>
        <v>Autres Comptes à Payer</v>
      </c>
      <c r="W167" s="656" t="str">
        <f>+VLOOKUP($L167,Data_Validation!$A:$E,5,0)</f>
        <v>$</v>
      </c>
      <c r="X167" s="656">
        <f>+VLOOKUP($L167,Data_Validation!$A:$F,6,0)</f>
        <v>0</v>
      </c>
    </row>
    <row r="168" spans="1:24" ht="15.75" customHeight="1">
      <c r="A168" s="1052" t="s">
        <v>919</v>
      </c>
      <c r="B168" s="1052" t="s">
        <v>918</v>
      </c>
      <c r="C168" s="1054">
        <v>-7750</v>
      </c>
      <c r="D168" s="1054">
        <v>-610</v>
      </c>
      <c r="E168" s="1054">
        <v>-8360</v>
      </c>
      <c r="F168" s="1052" t="s">
        <v>902</v>
      </c>
      <c r="G168" s="1052" t="s">
        <v>918</v>
      </c>
      <c r="H168" s="1031"/>
      <c r="I168" s="1031"/>
      <c r="J168" s="1031"/>
      <c r="K168" s="1031"/>
      <c r="L168" s="653" t="str">
        <f t="shared" si="132"/>
        <v>2283</v>
      </c>
      <c r="M168" s="654" t="str">
        <f t="shared" si="0"/>
        <v>PLAQUE A PAYER</v>
      </c>
      <c r="N168" s="655">
        <f>+IF(OR($Q168=Parametres!$G$2,$Q168=Parametres!$G$3),I168,C168)</f>
        <v>-7750</v>
      </c>
      <c r="O168" s="655">
        <f>+IF(OR($Q168=Parametres!$G$2,$Q168=Parametres!$G$3),J168,D168)</f>
        <v>-610</v>
      </c>
      <c r="P168" s="655">
        <f>+IF(OR($Q168=Parametres!$G$2,$Q168=Parametres!$G$3),K168,E168)</f>
        <v>-8360</v>
      </c>
      <c r="Q168" s="654" t="str">
        <f t="shared" ref="Q168:S168" si="170">+F168</f>
        <v>3-Passifs</v>
      </c>
      <c r="R168" s="653" t="str">
        <f t="shared" si="170"/>
        <v>2283</v>
      </c>
      <c r="S168" s="654">
        <f t="shared" si="170"/>
        <v>0</v>
      </c>
      <c r="T168" s="656" t="str">
        <f>+VLOOKUP($L168,Data_Validation!$A:$D,1,0)</f>
        <v>2283</v>
      </c>
      <c r="U168" s="656" t="str">
        <f>+VLOOKUP($L168,Data_Validation!$A:$D,3,0)</f>
        <v>Bilan</v>
      </c>
      <c r="V168" s="656" t="str">
        <f>+VLOOKUP($L168,Data_Validation!$A:$D,4,0)</f>
        <v>Autres Comptes à Payer</v>
      </c>
      <c r="W168" s="656" t="str">
        <f>+VLOOKUP($L168,Data_Validation!$A:$E,5,0)</f>
        <v>$</v>
      </c>
      <c r="X168" s="656">
        <f>+VLOOKUP($L168,Data_Validation!$A:$F,6,0)</f>
        <v>0</v>
      </c>
    </row>
    <row r="169" spans="1:24" ht="15" customHeight="1">
      <c r="A169" s="1052" t="s">
        <v>920</v>
      </c>
      <c r="B169" s="1052" t="s">
        <v>1668</v>
      </c>
      <c r="C169" s="1054">
        <v>-45115.67</v>
      </c>
      <c r="D169" s="1054">
        <v>-6864.5</v>
      </c>
      <c r="E169" s="1054">
        <v>-51980.17</v>
      </c>
      <c r="F169" s="1052" t="s">
        <v>902</v>
      </c>
      <c r="G169" s="1052" t="s">
        <v>918</v>
      </c>
      <c r="H169" s="651"/>
      <c r="I169" s="652"/>
      <c r="J169" s="652"/>
      <c r="K169" s="652"/>
      <c r="L169" s="653" t="str">
        <f t="shared" si="132"/>
        <v>2285</v>
      </c>
      <c r="M169" s="654" t="str">
        <f t="shared" si="0"/>
        <v>PROTECTIONS A PAYER</v>
      </c>
      <c r="N169" s="655">
        <f>+IF(OR($Q169=Parametres!$G$2,$Q169=Parametres!$G$3),I169,C169)</f>
        <v>-45115.67</v>
      </c>
      <c r="O169" s="655">
        <f>+IF(OR($Q169=Parametres!$G$2,$Q169=Parametres!$G$3),J169,D169)</f>
        <v>-6864.5</v>
      </c>
      <c r="P169" s="655">
        <f>+IF(OR($Q169=Parametres!$G$2,$Q169=Parametres!$G$3),K169,E169)</f>
        <v>-51980.17</v>
      </c>
      <c r="Q169" s="654" t="str">
        <f t="shared" ref="Q169:S169" si="171">+F169</f>
        <v>3-Passifs</v>
      </c>
      <c r="R169" s="653" t="str">
        <f t="shared" si="171"/>
        <v>2283</v>
      </c>
      <c r="S169" s="654">
        <f t="shared" si="171"/>
        <v>0</v>
      </c>
      <c r="T169" s="656" t="str">
        <f>+VLOOKUP($L169,Data_Validation!$A:$D,1,0)</f>
        <v>2285</v>
      </c>
      <c r="U169" s="656" t="str">
        <f>+VLOOKUP($L169,Data_Validation!$A:$D,3,0)</f>
        <v>Bilan</v>
      </c>
      <c r="V169" s="656" t="str">
        <f>+VLOOKUP($L169,Data_Validation!$A:$D,4,0)</f>
        <v>Autres Comptes à Payer</v>
      </c>
      <c r="W169" s="656" t="str">
        <f>+VLOOKUP($L169,Data_Validation!$A:$E,5,0)</f>
        <v>$</v>
      </c>
      <c r="X169" s="656">
        <f>+VLOOKUP($L169,Data_Validation!$A:$F,6,0)</f>
        <v>0</v>
      </c>
    </row>
    <row r="170" spans="1:24" ht="15" customHeight="1">
      <c r="A170" s="1052" t="s">
        <v>921</v>
      </c>
      <c r="B170" s="1052" t="s">
        <v>1671</v>
      </c>
      <c r="C170" s="1054">
        <v>-4058.7</v>
      </c>
      <c r="D170" s="1054">
        <v>-2098.25</v>
      </c>
      <c r="E170" s="1054">
        <v>-6156.95</v>
      </c>
      <c r="F170" s="1052" t="s">
        <v>902</v>
      </c>
      <c r="G170" s="1052" t="s">
        <v>918</v>
      </c>
      <c r="H170" s="1031"/>
      <c r="I170" s="1031"/>
      <c r="J170" s="1031"/>
      <c r="K170" s="1031"/>
      <c r="L170" s="653" t="str">
        <f t="shared" si="132"/>
        <v>2287</v>
      </c>
      <c r="M170" s="654" t="str">
        <f t="shared" si="0"/>
        <v>A PAYER INVAPLAN</v>
      </c>
      <c r="N170" s="655">
        <f>+IF(OR($Q170=Parametres!$G$2,$Q170=Parametres!$G$3),I170,C170)</f>
        <v>-4058.7</v>
      </c>
      <c r="O170" s="655">
        <f>+IF(OR($Q170=Parametres!$G$2,$Q170=Parametres!$G$3),J170,D170)</f>
        <v>-2098.25</v>
      </c>
      <c r="P170" s="655">
        <f>+IF(OR($Q170=Parametres!$G$2,$Q170=Parametres!$G$3),K170,E170)</f>
        <v>-6156.95</v>
      </c>
      <c r="Q170" s="654" t="str">
        <f t="shared" ref="Q170:S170" si="172">+F170</f>
        <v>3-Passifs</v>
      </c>
      <c r="R170" s="653" t="str">
        <f t="shared" si="172"/>
        <v>2283</v>
      </c>
      <c r="S170" s="654">
        <f t="shared" si="172"/>
        <v>0</v>
      </c>
      <c r="T170" s="656" t="str">
        <f>+VLOOKUP($L170,Data_Validation!$A:$D,1,0)</f>
        <v>2287</v>
      </c>
      <c r="U170" s="656" t="str">
        <f>+VLOOKUP($L170,Data_Validation!$A:$D,3,0)</f>
        <v>Bilan</v>
      </c>
      <c r="V170" s="656" t="str">
        <f>+VLOOKUP($L170,Data_Validation!$A:$D,4,0)</f>
        <v>Autres Comptes à Payer</v>
      </c>
      <c r="W170" s="656" t="str">
        <f>+VLOOKUP($L170,Data_Validation!$A:$E,5,0)</f>
        <v>$</v>
      </c>
      <c r="X170" s="656">
        <f>+VLOOKUP($L170,Data_Validation!$A:$F,6,0)</f>
        <v>0</v>
      </c>
    </row>
    <row r="171" spans="1:24" ht="15" customHeight="1">
      <c r="A171" s="1052" t="s">
        <v>922</v>
      </c>
      <c r="B171" s="1052" t="s">
        <v>923</v>
      </c>
      <c r="C171" s="1054">
        <v>-236298.28</v>
      </c>
      <c r="D171" s="1054">
        <v>230775.03</v>
      </c>
      <c r="E171" s="1054">
        <v>-5523.25</v>
      </c>
      <c r="F171" s="1052" t="s">
        <v>902</v>
      </c>
      <c r="G171" s="1052" t="s">
        <v>923</v>
      </c>
      <c r="H171" s="651"/>
      <c r="I171" s="652"/>
      <c r="J171" s="652"/>
      <c r="K171" s="652"/>
      <c r="L171" s="653" t="str">
        <f t="shared" si="132"/>
        <v>2291</v>
      </c>
      <c r="M171" s="654" t="str">
        <f t="shared" si="0"/>
        <v>COMPTES FOURNISSEURS</v>
      </c>
      <c r="N171" s="655">
        <f>+IF(OR($Q171=Parametres!$G$2,$Q171=Parametres!$G$3),I171,C171)</f>
        <v>-236298.28</v>
      </c>
      <c r="O171" s="655">
        <f>+IF(OR($Q171=Parametres!$G$2,$Q171=Parametres!$G$3),J171,D171)</f>
        <v>230775.03</v>
      </c>
      <c r="P171" s="655">
        <f>+IF(OR($Q171=Parametres!$G$2,$Q171=Parametres!$G$3),K171,E171)</f>
        <v>-5523.25</v>
      </c>
      <c r="Q171" s="654" t="str">
        <f t="shared" ref="Q171:S171" si="173">+F171</f>
        <v>3-Passifs</v>
      </c>
      <c r="R171" s="653" t="str">
        <f t="shared" si="173"/>
        <v>2291</v>
      </c>
      <c r="S171" s="654">
        <f t="shared" si="173"/>
        <v>0</v>
      </c>
      <c r="T171" s="656" t="str">
        <f>+VLOOKUP($L171,Data_Validation!$A:$D,1,0)</f>
        <v>2291</v>
      </c>
      <c r="U171" s="656" t="str">
        <f>+VLOOKUP($L171,Data_Validation!$A:$D,3,0)</f>
        <v>Bilan</v>
      </c>
      <c r="V171" s="656" t="str">
        <f>+VLOOKUP($L171,Data_Validation!$A:$D,4,0)</f>
        <v>Comptes à Payer Fournisseurs</v>
      </c>
      <c r="W171" s="656" t="str">
        <f>+VLOOKUP($L171,Data_Validation!$A:$E,5,0)</f>
        <v>$</v>
      </c>
      <c r="X171" s="656">
        <f>+VLOOKUP($L171,Data_Validation!$A:$F,6,0)</f>
        <v>0</v>
      </c>
    </row>
    <row r="172" spans="1:24" ht="15.75" customHeight="1">
      <c r="A172" s="1052" t="s">
        <v>924</v>
      </c>
      <c r="B172" s="1052" t="s">
        <v>1679</v>
      </c>
      <c r="C172" s="1054">
        <v>0</v>
      </c>
      <c r="D172" s="1054">
        <v>-28500</v>
      </c>
      <c r="E172" s="1054">
        <v>-28500</v>
      </c>
      <c r="F172" s="1052" t="s">
        <v>902</v>
      </c>
      <c r="G172" s="1052" t="s">
        <v>923</v>
      </c>
      <c r="H172" s="1031"/>
      <c r="I172" s="1031"/>
      <c r="J172" s="1031"/>
      <c r="K172" s="1031"/>
      <c r="L172" s="653" t="str">
        <f t="shared" si="132"/>
        <v>2292</v>
      </c>
      <c r="M172" s="654" t="str">
        <f t="shared" si="0"/>
        <v>ECHANGE ENTRE CONCESSIONNAIRES</v>
      </c>
      <c r="N172" s="655">
        <f>+IF(OR($Q172=Parametres!$G$2,$Q172=Parametres!$G$3),I172,C172)</f>
        <v>0</v>
      </c>
      <c r="O172" s="655">
        <f>+IF(OR($Q172=Parametres!$G$2,$Q172=Parametres!$G$3),J172,D172)</f>
        <v>-28500</v>
      </c>
      <c r="P172" s="655">
        <f>+IF(OR($Q172=Parametres!$G$2,$Q172=Parametres!$G$3),K172,E172)</f>
        <v>-28500</v>
      </c>
      <c r="Q172" s="654" t="str">
        <f t="shared" ref="Q172:S172" si="174">+F172</f>
        <v>3-Passifs</v>
      </c>
      <c r="R172" s="653" t="str">
        <f t="shared" si="174"/>
        <v>2291</v>
      </c>
      <c r="S172" s="654">
        <f t="shared" si="174"/>
        <v>0</v>
      </c>
      <c r="T172" s="656" t="str">
        <f>+VLOOKUP($L172,Data_Validation!$A:$D,1,0)</f>
        <v>2292</v>
      </c>
      <c r="U172" s="656" t="str">
        <f>+VLOOKUP($L172,Data_Validation!$A:$D,3,0)</f>
        <v>Bilan</v>
      </c>
      <c r="V172" s="656" t="str">
        <f>+VLOOKUP($L172,Data_Validation!$A:$D,4,0)</f>
        <v>Autres Comptes à Payer</v>
      </c>
      <c r="W172" s="656" t="str">
        <f>+VLOOKUP($L172,Data_Validation!$A:$E,5,0)</f>
        <v>$</v>
      </c>
      <c r="X172" s="656">
        <f>+VLOOKUP($L172,Data_Validation!$A:$F,6,0)</f>
        <v>0</v>
      </c>
    </row>
    <row r="173" spans="1:24" ht="15" customHeight="1">
      <c r="A173" s="1052" t="s">
        <v>925</v>
      </c>
      <c r="B173" s="1052" t="s">
        <v>928</v>
      </c>
      <c r="C173" s="1054">
        <v>-17639.5</v>
      </c>
      <c r="D173" s="1054">
        <v>1793.38</v>
      </c>
      <c r="E173" s="1054">
        <v>-15846.12</v>
      </c>
      <c r="F173" s="1052" t="s">
        <v>902</v>
      </c>
      <c r="G173" s="1052" t="s">
        <v>918</v>
      </c>
      <c r="H173" s="651"/>
      <c r="I173" s="652"/>
      <c r="J173" s="652"/>
      <c r="K173" s="652"/>
      <c r="L173" s="653" t="str">
        <f t="shared" si="132"/>
        <v>2293</v>
      </c>
      <c r="M173" s="654" t="str">
        <f t="shared" si="0"/>
        <v>PROVISIONS GARANTIES USAGEES</v>
      </c>
      <c r="N173" s="655">
        <f>+IF(OR($Q173=Parametres!$G$2,$Q173=Parametres!$G$3),I173,C173)</f>
        <v>-17639.5</v>
      </c>
      <c r="O173" s="655">
        <f>+IF(OR($Q173=Parametres!$G$2,$Q173=Parametres!$G$3),J173,D173)</f>
        <v>1793.38</v>
      </c>
      <c r="P173" s="655">
        <f>+IF(OR($Q173=Parametres!$G$2,$Q173=Parametres!$G$3),K173,E173)</f>
        <v>-15846.12</v>
      </c>
      <c r="Q173" s="654" t="str">
        <f t="shared" ref="Q173:S173" si="175">+F173</f>
        <v>3-Passifs</v>
      </c>
      <c r="R173" s="653" t="str">
        <f t="shared" si="175"/>
        <v>2283</v>
      </c>
      <c r="S173" s="654">
        <f t="shared" si="175"/>
        <v>0</v>
      </c>
      <c r="T173" s="656" t="str">
        <f>+VLOOKUP($L173,Data_Validation!$A:$D,1,0)</f>
        <v>2293</v>
      </c>
      <c r="U173" s="656" t="str">
        <f>+VLOOKUP($L173,Data_Validation!$A:$D,3,0)</f>
        <v>Bilan</v>
      </c>
      <c r="V173" s="656" t="str">
        <f>+VLOOKUP($L173,Data_Validation!$A:$D,4,0)</f>
        <v>Autres Courus</v>
      </c>
      <c r="W173" s="656" t="str">
        <f>+VLOOKUP($L173,Data_Validation!$A:$E,5,0)</f>
        <v>$</v>
      </c>
      <c r="X173" s="656">
        <f>+VLOOKUP($L173,Data_Validation!$A:$F,6,0)</f>
        <v>0</v>
      </c>
    </row>
    <row r="174" spans="1:24" ht="15" customHeight="1">
      <c r="A174" s="1052" t="s">
        <v>926</v>
      </c>
      <c r="B174" s="1052" t="s">
        <v>3376</v>
      </c>
      <c r="C174" s="1054">
        <v>-4911.46</v>
      </c>
      <c r="D174" s="1054">
        <v>112.57</v>
      </c>
      <c r="E174" s="1054">
        <v>-4798.8900000000003</v>
      </c>
      <c r="F174" s="1052" t="s">
        <v>902</v>
      </c>
      <c r="G174" s="1052" t="s">
        <v>918</v>
      </c>
      <c r="H174" s="1031"/>
      <c r="I174" s="1031"/>
      <c r="J174" s="1031"/>
      <c r="K174" s="1031"/>
      <c r="L174" s="653" t="str">
        <f t="shared" si="132"/>
        <v>2294</v>
      </c>
      <c r="M174" s="654" t="str">
        <f t="shared" si="0"/>
        <v>Volks RESERVE PROMO SAISONNIERE</v>
      </c>
      <c r="N174" s="655">
        <f>+IF(OR($Q174=Parametres!$G$2,$Q174=Parametres!$G$3),I174,C174)</f>
        <v>-4911.46</v>
      </c>
      <c r="O174" s="655">
        <f>+IF(OR($Q174=Parametres!$G$2,$Q174=Parametres!$G$3),J174,D174)</f>
        <v>112.57</v>
      </c>
      <c r="P174" s="655">
        <f>+IF(OR($Q174=Parametres!$G$2,$Q174=Parametres!$G$3),K174,E174)</f>
        <v>-4798.8900000000003</v>
      </c>
      <c r="Q174" s="654" t="str">
        <f t="shared" ref="Q174:S174" si="176">+F174</f>
        <v>3-Passifs</v>
      </c>
      <c r="R174" s="653" t="str">
        <f t="shared" si="176"/>
        <v>2283</v>
      </c>
      <c r="S174" s="654">
        <f t="shared" si="176"/>
        <v>0</v>
      </c>
      <c r="T174" s="656" t="str">
        <f>+VLOOKUP($L174,Data_Validation!$A:$D,1,0)</f>
        <v>2294</v>
      </c>
      <c r="U174" s="656" t="str">
        <f>+VLOOKUP($L174,Data_Validation!$A:$D,3,0)</f>
        <v>Bilan</v>
      </c>
      <c r="V174" s="656" t="str">
        <f>+VLOOKUP($L174,Data_Validation!$A:$D,4,0)</f>
        <v>Autres Courus</v>
      </c>
      <c r="W174" s="656" t="str">
        <f>+VLOOKUP($L174,Data_Validation!$A:$E,5,0)</f>
        <v>$</v>
      </c>
      <c r="X174" s="656">
        <f>+VLOOKUP($L174,Data_Validation!$A:$F,6,0)</f>
        <v>0</v>
      </c>
    </row>
    <row r="175" spans="1:24" ht="15" customHeight="1">
      <c r="A175" s="1052" t="s">
        <v>927</v>
      </c>
      <c r="B175" s="1052" t="s">
        <v>1684</v>
      </c>
      <c r="C175" s="1054">
        <v>-536.32000000000005</v>
      </c>
      <c r="D175" s="1054">
        <v>-163.53</v>
      </c>
      <c r="E175" s="1054">
        <v>-699.85</v>
      </c>
      <c r="F175" s="1052" t="s">
        <v>902</v>
      </c>
      <c r="G175" s="1052" t="s">
        <v>928</v>
      </c>
      <c r="H175" s="651"/>
      <c r="I175" s="652"/>
      <c r="J175" s="652"/>
      <c r="K175" s="652"/>
      <c r="L175" s="653" t="str">
        <f t="shared" si="132"/>
        <v>2295</v>
      </c>
      <c r="M175" s="654" t="str">
        <f t="shared" si="0"/>
        <v>RESERVE ESSENCE</v>
      </c>
      <c r="N175" s="655">
        <f>+IF(OR($Q175=Parametres!$G$2,$Q175=Parametres!$G$3),I175,C175)</f>
        <v>-536.32000000000005</v>
      </c>
      <c r="O175" s="655">
        <f>+IF(OR($Q175=Parametres!$G$2,$Q175=Parametres!$G$3),J175,D175)</f>
        <v>-163.53</v>
      </c>
      <c r="P175" s="655">
        <f>+IF(OR($Q175=Parametres!$G$2,$Q175=Parametres!$G$3),K175,E175)</f>
        <v>-699.85</v>
      </c>
      <c r="Q175" s="654" t="str">
        <f t="shared" ref="Q175:S175" si="177">+F175</f>
        <v>3-Passifs</v>
      </c>
      <c r="R175" s="653" t="str">
        <f t="shared" si="177"/>
        <v>2293</v>
      </c>
      <c r="S175" s="654">
        <f t="shared" si="177"/>
        <v>0</v>
      </c>
      <c r="T175" s="656" t="str">
        <f>+VLOOKUP($L175,Data_Validation!$A:$D,1,0)</f>
        <v>2295</v>
      </c>
      <c r="U175" s="656" t="str">
        <f>+VLOOKUP($L175,Data_Validation!$A:$D,3,0)</f>
        <v>Bilan</v>
      </c>
      <c r="V175" s="656" t="str">
        <f>+VLOOKUP($L175,Data_Validation!$A:$D,4,0)</f>
        <v>Autres Courus</v>
      </c>
      <c r="W175" s="656" t="str">
        <f>+VLOOKUP($L175,Data_Validation!$A:$E,5,0)</f>
        <v>$</v>
      </c>
      <c r="X175" s="656">
        <f>+VLOOKUP($L175,Data_Validation!$A:$F,6,0)</f>
        <v>0</v>
      </c>
    </row>
    <row r="176" spans="1:24" ht="15.75" customHeight="1">
      <c r="A176" s="1052" t="s">
        <v>929</v>
      </c>
      <c r="B176" s="1052" t="s">
        <v>3377</v>
      </c>
      <c r="C176" s="1054">
        <v>-102214.71</v>
      </c>
      <c r="D176" s="1054">
        <v>9405.65</v>
      </c>
      <c r="E176" s="1054">
        <v>-92809.06</v>
      </c>
      <c r="F176" s="1052" t="s">
        <v>902</v>
      </c>
      <c r="G176" s="1052" t="s">
        <v>923</v>
      </c>
      <c r="H176" s="1031"/>
      <c r="I176" s="1031"/>
      <c r="J176" s="1031"/>
      <c r="K176" s="1031"/>
      <c r="L176" s="653" t="str">
        <f t="shared" si="132"/>
        <v>2296</v>
      </c>
      <c r="M176" s="654" t="str">
        <f t="shared" si="0"/>
        <v>COMPTE FOURNISSEURS INTERCO</v>
      </c>
      <c r="N176" s="655">
        <f>+IF(OR($Q176=Parametres!$G$2,$Q176=Parametres!$G$3),I176,C176)</f>
        <v>-102214.71</v>
      </c>
      <c r="O176" s="655">
        <f>+IF(OR($Q176=Parametres!$G$2,$Q176=Parametres!$G$3),J176,D176)</f>
        <v>9405.65</v>
      </c>
      <c r="P176" s="655">
        <f>+IF(OR($Q176=Parametres!$G$2,$Q176=Parametres!$G$3),K176,E176)</f>
        <v>-92809.06</v>
      </c>
      <c r="Q176" s="654" t="str">
        <f t="shared" ref="Q176:S176" si="178">+F176</f>
        <v>3-Passifs</v>
      </c>
      <c r="R176" s="653" t="str">
        <f t="shared" si="178"/>
        <v>2291</v>
      </c>
      <c r="S176" s="654">
        <f t="shared" si="178"/>
        <v>0</v>
      </c>
      <c r="T176" s="656" t="str">
        <f>+VLOOKUP($L176,Data_Validation!$A:$D,1,0)</f>
        <v>2296</v>
      </c>
      <c r="U176" s="656" t="str">
        <f>+VLOOKUP($L176,Data_Validation!$A:$D,3,0)</f>
        <v>Bilan</v>
      </c>
      <c r="V176" s="656" t="str">
        <f>+VLOOKUP($L176,Data_Validation!$A:$D,4,0)</f>
        <v>Payables Intercos</v>
      </c>
      <c r="W176" s="656" t="str">
        <f>+VLOOKUP($L176,Data_Validation!$A:$E,5,0)</f>
        <v>$</v>
      </c>
      <c r="X176" s="656">
        <f>+VLOOKUP($L176,Data_Validation!$A:$F,6,0)</f>
        <v>0</v>
      </c>
    </row>
    <row r="177" spans="1:24" ht="15" customHeight="1">
      <c r="A177" s="1052" t="s">
        <v>930</v>
      </c>
      <c r="B177" s="1052" t="s">
        <v>1687</v>
      </c>
      <c r="C177" s="1054">
        <v>-29950</v>
      </c>
      <c r="D177" s="1054">
        <v>-1250</v>
      </c>
      <c r="E177" s="1054">
        <v>-31200</v>
      </c>
      <c r="F177" s="1052" t="s">
        <v>902</v>
      </c>
      <c r="G177" s="1052" t="s">
        <v>918</v>
      </c>
      <c r="H177" s="651"/>
      <c r="I177" s="652"/>
      <c r="J177" s="652"/>
      <c r="K177" s="652"/>
      <c r="L177" s="653" t="str">
        <f t="shared" si="132"/>
        <v>2297</v>
      </c>
      <c r="M177" s="654" t="str">
        <f t="shared" si="0"/>
        <v>RESERVE RENOUVELLEMENT</v>
      </c>
      <c r="N177" s="655">
        <f>+IF(OR($Q177=Parametres!$G$2,$Q177=Parametres!$G$3),I177,C177)</f>
        <v>-29950</v>
      </c>
      <c r="O177" s="655">
        <f>+IF(OR($Q177=Parametres!$G$2,$Q177=Parametres!$G$3),J177,D177)</f>
        <v>-1250</v>
      </c>
      <c r="P177" s="655">
        <f>+IF(OR($Q177=Parametres!$G$2,$Q177=Parametres!$G$3),K177,E177)</f>
        <v>-31200</v>
      </c>
      <c r="Q177" s="654" t="str">
        <f t="shared" ref="Q177:S177" si="179">+F177</f>
        <v>3-Passifs</v>
      </c>
      <c r="R177" s="653" t="str">
        <f t="shared" si="179"/>
        <v>2283</v>
      </c>
      <c r="S177" s="654">
        <f t="shared" si="179"/>
        <v>0</v>
      </c>
      <c r="T177" s="656" t="str">
        <f>+VLOOKUP($L177,Data_Validation!$A:$D,1,0)</f>
        <v>2297</v>
      </c>
      <c r="U177" s="656" t="str">
        <f>+VLOOKUP($L177,Data_Validation!$A:$D,3,0)</f>
        <v>Bilan</v>
      </c>
      <c r="V177" s="656" t="str">
        <f>+VLOOKUP($L177,Data_Validation!$A:$D,4,0)</f>
        <v>Autres Courus</v>
      </c>
      <c r="W177" s="656" t="str">
        <f>+VLOOKUP($L177,Data_Validation!$A:$E,5,0)</f>
        <v>$</v>
      </c>
      <c r="X177" s="656">
        <f>+VLOOKUP($L177,Data_Validation!$A:$F,6,0)</f>
        <v>0</v>
      </c>
    </row>
    <row r="178" spans="1:24" ht="15" customHeight="1">
      <c r="A178" s="1052" t="s">
        <v>931</v>
      </c>
      <c r="B178" s="1052" t="s">
        <v>932</v>
      </c>
      <c r="C178" s="1054">
        <v>11626.69</v>
      </c>
      <c r="D178" s="1054">
        <v>-796.17</v>
      </c>
      <c r="E178" s="1054">
        <v>10830.52</v>
      </c>
      <c r="F178" s="1052" t="s">
        <v>902</v>
      </c>
      <c r="G178" s="1052" t="s">
        <v>932</v>
      </c>
      <c r="H178" s="1031"/>
      <c r="I178" s="1031"/>
      <c r="J178" s="1031"/>
      <c r="K178" s="1031"/>
      <c r="L178" s="653" t="str">
        <f t="shared" si="132"/>
        <v>2315</v>
      </c>
      <c r="M178" s="654" t="str">
        <f t="shared" si="0"/>
        <v>PRIME ASSURANCE GROUPE</v>
      </c>
      <c r="N178" s="655">
        <f>+IF(OR($Q178=Parametres!$G$2,$Q178=Parametres!$G$3),I178,C178)</f>
        <v>11626.69</v>
      </c>
      <c r="O178" s="655">
        <f>+IF(OR($Q178=Parametres!$G$2,$Q178=Parametres!$G$3),J178,D178)</f>
        <v>-796.17</v>
      </c>
      <c r="P178" s="655">
        <f>+IF(OR($Q178=Parametres!$G$2,$Q178=Parametres!$G$3),K178,E178)</f>
        <v>10830.52</v>
      </c>
      <c r="Q178" s="654" t="str">
        <f t="shared" ref="Q178:S178" si="180">+F178</f>
        <v>3-Passifs</v>
      </c>
      <c r="R178" s="653" t="str">
        <f t="shared" si="180"/>
        <v>2315</v>
      </c>
      <c r="S178" s="654">
        <f t="shared" si="180"/>
        <v>0</v>
      </c>
      <c r="T178" s="656" t="str">
        <f>+VLOOKUP($L178,Data_Validation!$A:$D,1,0)</f>
        <v>2315</v>
      </c>
      <c r="U178" s="656" t="str">
        <f>+VLOOKUP($L178,Data_Validation!$A:$D,3,0)</f>
        <v>Bilan</v>
      </c>
      <c r="V178" s="656" t="str">
        <f>+VLOOKUP($L178,Data_Validation!$A:$D,4,0)</f>
        <v>DAS à Payer</v>
      </c>
      <c r="W178" s="656" t="str">
        <f>+VLOOKUP($L178,Data_Validation!$A:$E,5,0)</f>
        <v>$</v>
      </c>
      <c r="X178" s="656">
        <f>+VLOOKUP($L178,Data_Validation!$A:$F,6,0)</f>
        <v>0</v>
      </c>
    </row>
    <row r="179" spans="1:24" ht="15" customHeight="1">
      <c r="A179" s="1052" t="s">
        <v>933</v>
      </c>
      <c r="B179" s="1052" t="s">
        <v>1695</v>
      </c>
      <c r="C179" s="1054">
        <v>52.35</v>
      </c>
      <c r="D179" s="1054">
        <v>0</v>
      </c>
      <c r="E179" s="1054">
        <v>52.35</v>
      </c>
      <c r="F179" s="1052" t="s">
        <v>902</v>
      </c>
      <c r="G179" s="1052" t="s">
        <v>932</v>
      </c>
      <c r="H179" s="651"/>
      <c r="I179" s="652"/>
      <c r="J179" s="652"/>
      <c r="K179" s="652"/>
      <c r="L179" s="653" t="str">
        <f t="shared" si="132"/>
        <v>2335</v>
      </c>
      <c r="M179" s="654" t="str">
        <f t="shared" si="0"/>
        <v>COMITE SOCIAL</v>
      </c>
      <c r="N179" s="655">
        <f>+IF(OR($Q179=Parametres!$G$2,$Q179=Parametres!$G$3),I179,C179)</f>
        <v>52.35</v>
      </c>
      <c r="O179" s="655">
        <f>+IF(OR($Q179=Parametres!$G$2,$Q179=Parametres!$G$3),J179,D179)</f>
        <v>0</v>
      </c>
      <c r="P179" s="655">
        <f>+IF(OR($Q179=Parametres!$G$2,$Q179=Parametres!$G$3),K179,E179)</f>
        <v>52.35</v>
      </c>
      <c r="Q179" s="654" t="str">
        <f t="shared" ref="Q179:S179" si="181">+F179</f>
        <v>3-Passifs</v>
      </c>
      <c r="R179" s="653" t="str">
        <f t="shared" si="181"/>
        <v>2315</v>
      </c>
      <c r="S179" s="654">
        <f t="shared" si="181"/>
        <v>0</v>
      </c>
      <c r="T179" s="656" t="str">
        <f>+VLOOKUP($L179,Data_Validation!$A:$D,1,0)</f>
        <v>2335</v>
      </c>
      <c r="U179" s="656" t="str">
        <f>+VLOOKUP($L179,Data_Validation!$A:$D,3,0)</f>
        <v>Bilan</v>
      </c>
      <c r="V179" s="656" t="str">
        <f>+VLOOKUP($L179,Data_Validation!$A:$D,4,0)</f>
        <v>DAS à Payer</v>
      </c>
      <c r="W179" s="656" t="str">
        <f>+VLOOKUP($L179,Data_Validation!$A:$E,5,0)</f>
        <v>$</v>
      </c>
      <c r="X179" s="656">
        <f>+VLOOKUP($L179,Data_Validation!$A:$F,6,0)</f>
        <v>0</v>
      </c>
    </row>
    <row r="180" spans="1:24" ht="15" customHeight="1">
      <c r="A180" s="1052" t="s">
        <v>934</v>
      </c>
      <c r="B180" s="1052" t="s">
        <v>1701</v>
      </c>
      <c r="C180" s="1054">
        <v>-25186.91</v>
      </c>
      <c r="D180" s="1054">
        <v>-8075.32</v>
      </c>
      <c r="E180" s="1054">
        <v>-33262.230000000003</v>
      </c>
      <c r="F180" s="1052" t="s">
        <v>902</v>
      </c>
      <c r="G180" s="1052" t="s">
        <v>932</v>
      </c>
      <c r="H180" s="1031"/>
      <c r="I180" s="1031"/>
      <c r="J180" s="1031"/>
      <c r="K180" s="1031"/>
      <c r="L180" s="653" t="str">
        <f t="shared" si="132"/>
        <v>2342</v>
      </c>
      <c r="M180" s="654" t="str">
        <f t="shared" si="0"/>
        <v>REER STANDARD LIFE</v>
      </c>
      <c r="N180" s="655">
        <f>+IF(OR($Q180=Parametres!$G$2,$Q180=Parametres!$G$3),I180,C180)</f>
        <v>-25186.91</v>
      </c>
      <c r="O180" s="655">
        <f>+IF(OR($Q180=Parametres!$G$2,$Q180=Parametres!$G$3),J180,D180)</f>
        <v>-8075.32</v>
      </c>
      <c r="P180" s="655">
        <f>+IF(OR($Q180=Parametres!$G$2,$Q180=Parametres!$G$3),K180,E180)</f>
        <v>-33262.230000000003</v>
      </c>
      <c r="Q180" s="654" t="str">
        <f t="shared" ref="Q180:S180" si="182">+F180</f>
        <v>3-Passifs</v>
      </c>
      <c r="R180" s="653" t="str">
        <f t="shared" si="182"/>
        <v>2315</v>
      </c>
      <c r="S180" s="654">
        <f t="shared" si="182"/>
        <v>0</v>
      </c>
      <c r="T180" s="656" t="str">
        <f>+VLOOKUP($L180,Data_Validation!$A:$D,1,0)</f>
        <v>2342</v>
      </c>
      <c r="U180" s="656" t="str">
        <f>+VLOOKUP($L180,Data_Validation!$A:$D,3,0)</f>
        <v>Bilan</v>
      </c>
      <c r="V180" s="656" t="str">
        <f>+VLOOKUP($L180,Data_Validation!$A:$D,4,0)</f>
        <v>DAS à Payer</v>
      </c>
      <c r="W180" s="656" t="str">
        <f>+VLOOKUP($L180,Data_Validation!$A:$E,5,0)</f>
        <v>$</v>
      </c>
      <c r="X180" s="656">
        <f>+VLOOKUP($L180,Data_Validation!$A:$F,6,0)</f>
        <v>0</v>
      </c>
    </row>
    <row r="181" spans="1:24" ht="15.75" customHeight="1">
      <c r="A181" s="1052" t="s">
        <v>935</v>
      </c>
      <c r="B181" s="1052" t="s">
        <v>1704</v>
      </c>
      <c r="C181" s="1054">
        <v>-609.5</v>
      </c>
      <c r="D181" s="1054">
        <v>-86.82</v>
      </c>
      <c r="E181" s="1054">
        <v>-696.32</v>
      </c>
      <c r="F181" s="1052" t="s">
        <v>902</v>
      </c>
      <c r="G181" s="1052" t="s">
        <v>932</v>
      </c>
      <c r="H181" s="651"/>
      <c r="I181" s="652"/>
      <c r="J181" s="652"/>
      <c r="K181" s="652"/>
      <c r="L181" s="653" t="str">
        <f t="shared" si="132"/>
        <v>2343</v>
      </c>
      <c r="M181" s="654" t="str">
        <f t="shared" si="0"/>
        <v>COMITE PARITAIRE</v>
      </c>
      <c r="N181" s="655">
        <f>+IF(OR($Q181=Parametres!$G$2,$Q181=Parametres!$G$3),I181,C181)</f>
        <v>-609.5</v>
      </c>
      <c r="O181" s="655">
        <f>+IF(OR($Q181=Parametres!$G$2,$Q181=Parametres!$G$3),J181,D181)</f>
        <v>-86.82</v>
      </c>
      <c r="P181" s="655">
        <f>+IF(OR($Q181=Parametres!$G$2,$Q181=Parametres!$G$3),K181,E181)</f>
        <v>-696.32</v>
      </c>
      <c r="Q181" s="654" t="str">
        <f t="shared" ref="Q181:S181" si="183">+F181</f>
        <v>3-Passifs</v>
      </c>
      <c r="R181" s="653" t="str">
        <f t="shared" si="183"/>
        <v>2315</v>
      </c>
      <c r="S181" s="654">
        <f t="shared" si="183"/>
        <v>0</v>
      </c>
      <c r="T181" s="656" t="str">
        <f>+VLOOKUP($L181,Data_Validation!$A:$D,1,0)</f>
        <v>2343</v>
      </c>
      <c r="U181" s="656" t="str">
        <f>+VLOOKUP($L181,Data_Validation!$A:$D,3,0)</f>
        <v>Bilan</v>
      </c>
      <c r="V181" s="656" t="str">
        <f>+VLOOKUP($L181,Data_Validation!$A:$D,4,0)</f>
        <v>DAS à Payer</v>
      </c>
      <c r="W181" s="656" t="str">
        <f>+VLOOKUP($L181,Data_Validation!$A:$E,5,0)</f>
        <v>$</v>
      </c>
      <c r="X181" s="656">
        <f>+VLOOKUP($L181,Data_Validation!$A:$F,6,0)</f>
        <v>0</v>
      </c>
    </row>
    <row r="182" spans="1:24" ht="15.75" customHeight="1">
      <c r="A182" s="1052" t="s">
        <v>936</v>
      </c>
      <c r="B182" s="1052" t="s">
        <v>1707</v>
      </c>
      <c r="C182" s="1054">
        <v>-1111.3800000000001</v>
      </c>
      <c r="D182" s="1054">
        <v>-739.44</v>
      </c>
      <c r="E182" s="1054">
        <v>-1850.82</v>
      </c>
      <c r="F182" s="1052" t="s">
        <v>902</v>
      </c>
      <c r="G182" s="1052" t="s">
        <v>932</v>
      </c>
      <c r="H182" s="1031"/>
      <c r="I182" s="1031"/>
      <c r="J182" s="1031"/>
      <c r="K182" s="1031"/>
      <c r="L182" s="653" t="str">
        <f t="shared" si="132"/>
        <v>2344</v>
      </c>
      <c r="M182" s="654" t="str">
        <f t="shared" si="0"/>
        <v>CENTRAIDE</v>
      </c>
      <c r="N182" s="655">
        <f>+IF(OR($Q182=Parametres!$G$2,$Q182=Parametres!$G$3),I182,C182)</f>
        <v>-1111.3800000000001</v>
      </c>
      <c r="O182" s="655">
        <f>+IF(OR($Q182=Parametres!$G$2,$Q182=Parametres!$G$3),J182,D182)</f>
        <v>-739.44</v>
      </c>
      <c r="P182" s="655">
        <f>+IF(OR($Q182=Parametres!$G$2,$Q182=Parametres!$G$3),K182,E182)</f>
        <v>-1850.82</v>
      </c>
      <c r="Q182" s="654" t="str">
        <f t="shared" ref="Q182:S182" si="184">+F182</f>
        <v>3-Passifs</v>
      </c>
      <c r="R182" s="653" t="str">
        <f t="shared" si="184"/>
        <v>2315</v>
      </c>
      <c r="S182" s="654">
        <f t="shared" si="184"/>
        <v>0</v>
      </c>
      <c r="T182" s="656" t="str">
        <f>+VLOOKUP($L182,Data_Validation!$A:$D,1,0)</f>
        <v>2344</v>
      </c>
      <c r="U182" s="656" t="str">
        <f>+VLOOKUP($L182,Data_Validation!$A:$D,3,0)</f>
        <v>Bilan</v>
      </c>
      <c r="V182" s="656" t="str">
        <f>+VLOOKUP($L182,Data_Validation!$A:$D,4,0)</f>
        <v>DAS à Payer</v>
      </c>
      <c r="W182" s="656" t="str">
        <f>+VLOOKUP($L182,Data_Validation!$A:$E,5,0)</f>
        <v>$</v>
      </c>
      <c r="X182" s="656">
        <f>+VLOOKUP($L182,Data_Validation!$A:$F,6,0)</f>
        <v>0</v>
      </c>
    </row>
    <row r="183" spans="1:24" ht="15.75" customHeight="1">
      <c r="A183" s="1052" t="s">
        <v>937</v>
      </c>
      <c r="B183" s="1052" t="s">
        <v>938</v>
      </c>
      <c r="C183" s="1054">
        <v>-17020</v>
      </c>
      <c r="D183" s="1054">
        <v>-11230</v>
      </c>
      <c r="E183" s="1054">
        <v>-28250</v>
      </c>
      <c r="F183" s="1052" t="s">
        <v>902</v>
      </c>
      <c r="G183" s="1052" t="s">
        <v>938</v>
      </c>
      <c r="H183" s="651"/>
      <c r="I183" s="652"/>
      <c r="J183" s="652"/>
      <c r="K183" s="652"/>
      <c r="L183" s="653" t="str">
        <f t="shared" si="132"/>
        <v>2401</v>
      </c>
      <c r="M183" s="654" t="str">
        <f t="shared" si="0"/>
        <v>DEPOTS FIDUCIE-VENTE CLIENTS</v>
      </c>
      <c r="N183" s="655">
        <f>+IF(OR($Q183=Parametres!$G$2,$Q183=Parametres!$G$3),I183,C183)</f>
        <v>-17020</v>
      </c>
      <c r="O183" s="655">
        <f>+IF(OR($Q183=Parametres!$G$2,$Q183=Parametres!$G$3),J183,D183)</f>
        <v>-11230</v>
      </c>
      <c r="P183" s="655">
        <f>+IF(OR($Q183=Parametres!$G$2,$Q183=Parametres!$G$3),K183,E183)</f>
        <v>-28250</v>
      </c>
      <c r="Q183" s="654" t="str">
        <f t="shared" ref="Q183:S183" si="185">+F183</f>
        <v>3-Passifs</v>
      </c>
      <c r="R183" s="653" t="str">
        <f t="shared" si="185"/>
        <v>2401</v>
      </c>
      <c r="S183" s="654">
        <f t="shared" si="185"/>
        <v>0</v>
      </c>
      <c r="T183" s="656" t="str">
        <f>+VLOOKUP($L183,Data_Validation!$A:$D,1,0)</f>
        <v>2401</v>
      </c>
      <c r="U183" s="656" t="str">
        <f>+VLOOKUP($L183,Data_Validation!$A:$D,3,0)</f>
        <v>Bilan</v>
      </c>
      <c r="V183" s="656" t="str">
        <f>+VLOOKUP($L183,Data_Validation!$A:$D,4,0)</f>
        <v>Dépôts de Client</v>
      </c>
      <c r="W183" s="656" t="str">
        <f>+VLOOKUP($L183,Data_Validation!$A:$E,5,0)</f>
        <v>$</v>
      </c>
      <c r="X183" s="656">
        <f>+VLOOKUP($L183,Data_Validation!$A:$F,6,0)</f>
        <v>0</v>
      </c>
    </row>
    <row r="184" spans="1:24" ht="15.75" customHeight="1">
      <c r="A184" s="1052" t="s">
        <v>939</v>
      </c>
      <c r="B184" s="1052" t="s">
        <v>940</v>
      </c>
      <c r="C184" s="1054">
        <v>-25676</v>
      </c>
      <c r="D184" s="1054">
        <v>11626.25</v>
      </c>
      <c r="E184" s="1054">
        <v>-14049.75</v>
      </c>
      <c r="F184" s="1052" t="s">
        <v>902</v>
      </c>
      <c r="G184" s="1052" t="s">
        <v>940</v>
      </c>
      <c r="H184" s="1031"/>
      <c r="I184" s="1031"/>
      <c r="J184" s="1031"/>
      <c r="K184" s="1031"/>
      <c r="L184" s="653" t="str">
        <f t="shared" si="132"/>
        <v>2501</v>
      </c>
      <c r="M184" s="654" t="str">
        <f t="shared" si="0"/>
        <v>COMMISSION A PAYER</v>
      </c>
      <c r="N184" s="655">
        <f>+IF(OR($Q184=Parametres!$G$2,$Q184=Parametres!$G$3),I184,C184)</f>
        <v>-25676</v>
      </c>
      <c r="O184" s="655">
        <f>+IF(OR($Q184=Parametres!$G$2,$Q184=Parametres!$G$3),J184,D184)</f>
        <v>11626.25</v>
      </c>
      <c r="P184" s="655">
        <f>+IF(OR($Q184=Parametres!$G$2,$Q184=Parametres!$G$3),K184,E184)</f>
        <v>-14049.75</v>
      </c>
      <c r="Q184" s="654" t="str">
        <f t="shared" ref="Q184:S184" si="186">+F184</f>
        <v>3-Passifs</v>
      </c>
      <c r="R184" s="653" t="str">
        <f t="shared" si="186"/>
        <v>2501</v>
      </c>
      <c r="S184" s="654">
        <f t="shared" si="186"/>
        <v>0</v>
      </c>
      <c r="T184" s="656" t="str">
        <f>+VLOOKUP($L184,Data_Validation!$A:$D,1,0)</f>
        <v>2501</v>
      </c>
      <c r="U184" s="656" t="str">
        <f>+VLOOKUP($L184,Data_Validation!$A:$D,3,0)</f>
        <v>Bilan</v>
      </c>
      <c r="V184" s="656" t="str">
        <f>+VLOOKUP($L184,Data_Validation!$A:$D,4,0)</f>
        <v>Salaires à Payer</v>
      </c>
      <c r="W184" s="656" t="str">
        <f>+VLOOKUP($L184,Data_Validation!$A:$E,5,0)</f>
        <v>$</v>
      </c>
      <c r="X184" s="656">
        <f>+VLOOKUP($L184,Data_Validation!$A:$F,6,0)</f>
        <v>0</v>
      </c>
    </row>
    <row r="185" spans="1:24" ht="15.75" customHeight="1">
      <c r="A185" s="1052" t="s">
        <v>941</v>
      </c>
      <c r="B185" s="1052" t="s">
        <v>3378</v>
      </c>
      <c r="C185" s="1054">
        <v>-604.98</v>
      </c>
      <c r="D185" s="1054">
        <v>781.92</v>
      </c>
      <c r="E185" s="1054">
        <v>176.94</v>
      </c>
      <c r="F185" s="1052" t="s">
        <v>902</v>
      </c>
      <c r="G185" s="1052" t="s">
        <v>942</v>
      </c>
      <c r="H185" s="651"/>
      <c r="I185" s="652"/>
      <c r="J185" s="652"/>
      <c r="K185" s="652"/>
      <c r="L185" s="653" t="str">
        <f t="shared" si="132"/>
        <v>2502</v>
      </c>
      <c r="M185" s="654" t="str">
        <f t="shared" si="0"/>
        <v>Compte de depense a payer</v>
      </c>
      <c r="N185" s="655">
        <f>+IF(OR($Q185=Parametres!$G$2,$Q185=Parametres!$G$3),I185,C185)</f>
        <v>-604.98</v>
      </c>
      <c r="O185" s="655">
        <f>+IF(OR($Q185=Parametres!$G$2,$Q185=Parametres!$G$3),J185,D185)</f>
        <v>781.92</v>
      </c>
      <c r="P185" s="655">
        <f>+IF(OR($Q185=Parametres!$G$2,$Q185=Parametres!$G$3),K185,E185)</f>
        <v>176.94</v>
      </c>
      <c r="Q185" s="654" t="str">
        <f t="shared" ref="Q185:S185" si="187">+F185</f>
        <v>3-Passifs</v>
      </c>
      <c r="R185" s="653" t="str">
        <f t="shared" si="187"/>
        <v>250</v>
      </c>
      <c r="S185" s="654">
        <f t="shared" si="187"/>
        <v>0</v>
      </c>
      <c r="T185" s="656" t="str">
        <f>+VLOOKUP($L185,Data_Validation!$A:$D,1,0)</f>
        <v>2502</v>
      </c>
      <c r="U185" s="656" t="str">
        <f>+VLOOKUP($L185,Data_Validation!$A:$D,3,0)</f>
        <v>Bilan</v>
      </c>
      <c r="V185" s="656" t="str">
        <f>+VLOOKUP($L185,Data_Validation!$A:$D,4,0)</f>
        <v>Salaires à Payer</v>
      </c>
      <c r="W185" s="656" t="str">
        <f>+VLOOKUP($L185,Data_Validation!$A:$E,5,0)</f>
        <v>$</v>
      </c>
      <c r="X185" s="656">
        <f>+VLOOKUP($L185,Data_Validation!$A:$F,6,0)</f>
        <v>0</v>
      </c>
    </row>
    <row r="186" spans="1:24" ht="15.75" customHeight="1">
      <c r="A186" s="1052" t="s">
        <v>943</v>
      </c>
      <c r="B186" s="1052" t="s">
        <v>944</v>
      </c>
      <c r="C186" s="1054">
        <v>-285463.46000000002</v>
      </c>
      <c r="D186" s="1054">
        <v>-79669.59</v>
      </c>
      <c r="E186" s="1054">
        <v>-365133.05</v>
      </c>
      <c r="F186" s="1052" t="s">
        <v>902</v>
      </c>
      <c r="G186" s="1052" t="s">
        <v>944</v>
      </c>
      <c r="H186" s="1031"/>
      <c r="I186" s="1031"/>
      <c r="J186" s="1031"/>
      <c r="K186" s="1031"/>
      <c r="L186" s="653" t="str">
        <f t="shared" si="132"/>
        <v>2503</v>
      </c>
      <c r="M186" s="654" t="str">
        <f t="shared" si="0"/>
        <v>SALAIRES DES EMPLOYES</v>
      </c>
      <c r="N186" s="655">
        <f>+IF(OR($Q186=Parametres!$G$2,$Q186=Parametres!$G$3),I186,C186)</f>
        <v>-285463.46000000002</v>
      </c>
      <c r="O186" s="655">
        <f>+IF(OR($Q186=Parametres!$G$2,$Q186=Parametres!$G$3),J186,D186)</f>
        <v>-79669.59</v>
      </c>
      <c r="P186" s="655">
        <f>+IF(OR($Q186=Parametres!$G$2,$Q186=Parametres!$G$3),K186,E186)</f>
        <v>-365133.05</v>
      </c>
      <c r="Q186" s="654" t="str">
        <f t="shared" ref="Q186:S186" si="188">+F186</f>
        <v>3-Passifs</v>
      </c>
      <c r="R186" s="653" t="str">
        <f t="shared" si="188"/>
        <v>2503</v>
      </c>
      <c r="S186" s="654">
        <f t="shared" si="188"/>
        <v>0</v>
      </c>
      <c r="T186" s="656" t="str">
        <f>+VLOOKUP($L186,Data_Validation!$A:$D,1,0)</f>
        <v>2503</v>
      </c>
      <c r="U186" s="656" t="str">
        <f>+VLOOKUP($L186,Data_Validation!$A:$D,3,0)</f>
        <v>Bilan</v>
      </c>
      <c r="V186" s="656" t="str">
        <f>+VLOOKUP($L186,Data_Validation!$A:$D,4,0)</f>
        <v>Salaires à Payer</v>
      </c>
      <c r="W186" s="656" t="str">
        <f>+VLOOKUP($L186,Data_Validation!$A:$E,5,0)</f>
        <v>$</v>
      </c>
      <c r="X186" s="656">
        <f>+VLOOKUP($L186,Data_Validation!$A:$F,6,0)</f>
        <v>0</v>
      </c>
    </row>
    <row r="187" spans="1:24" ht="15" customHeight="1">
      <c r="A187" s="1052" t="s">
        <v>945</v>
      </c>
      <c r="B187" s="1052" t="s">
        <v>1734</v>
      </c>
      <c r="C187" s="1054">
        <v>-22211.24</v>
      </c>
      <c r="D187" s="1054">
        <v>-8091.09</v>
      </c>
      <c r="E187" s="1054">
        <v>-30302.33</v>
      </c>
      <c r="F187" s="1052" t="s">
        <v>902</v>
      </c>
      <c r="G187" s="1052" t="s">
        <v>944</v>
      </c>
      <c r="H187" s="651"/>
      <c r="I187" s="652"/>
      <c r="J187" s="652"/>
      <c r="K187" s="652"/>
      <c r="L187" s="653" t="str">
        <f t="shared" si="132"/>
        <v>2505</v>
      </c>
      <c r="M187" s="654" t="str">
        <f t="shared" si="0"/>
        <v>JOURS FERIES</v>
      </c>
      <c r="N187" s="655">
        <f>+IF(OR($Q187=Parametres!$G$2,$Q187=Parametres!$G$3),I187,C187)</f>
        <v>-22211.24</v>
      </c>
      <c r="O187" s="655">
        <f>+IF(OR($Q187=Parametres!$G$2,$Q187=Parametres!$G$3),J187,D187)</f>
        <v>-8091.09</v>
      </c>
      <c r="P187" s="655">
        <f>+IF(OR($Q187=Parametres!$G$2,$Q187=Parametres!$G$3),K187,E187)</f>
        <v>-30302.33</v>
      </c>
      <c r="Q187" s="654" t="str">
        <f t="shared" ref="Q187:S187" si="189">+F187</f>
        <v>3-Passifs</v>
      </c>
      <c r="R187" s="653" t="str">
        <f t="shared" si="189"/>
        <v>2503</v>
      </c>
      <c r="S187" s="654">
        <f t="shared" si="189"/>
        <v>0</v>
      </c>
      <c r="T187" s="656" t="str">
        <f>+VLOOKUP($L187,Data_Validation!$A:$D,1,0)</f>
        <v>2505</v>
      </c>
      <c r="U187" s="656" t="str">
        <f>+VLOOKUP($L187,Data_Validation!$A:$D,3,0)</f>
        <v>Bilan</v>
      </c>
      <c r="V187" s="656" t="str">
        <f>+VLOOKUP($L187,Data_Validation!$A:$D,4,0)</f>
        <v>Salaires à Payer</v>
      </c>
      <c r="W187" s="656" t="str">
        <f>+VLOOKUP($L187,Data_Validation!$A:$E,5,0)</f>
        <v>$</v>
      </c>
      <c r="X187" s="656">
        <f>+VLOOKUP($L187,Data_Validation!$A:$F,6,0)</f>
        <v>0</v>
      </c>
    </row>
    <row r="188" spans="1:24" ht="15" customHeight="1">
      <c r="A188" s="1052" t="s">
        <v>946</v>
      </c>
      <c r="B188" s="1052" t="s">
        <v>1740</v>
      </c>
      <c r="C188" s="1054">
        <v>-203900.22</v>
      </c>
      <c r="D188" s="1054">
        <v>-32741.200000000001</v>
      </c>
      <c r="E188" s="1054">
        <v>-236641.42</v>
      </c>
      <c r="F188" s="1052" t="s">
        <v>902</v>
      </c>
      <c r="G188" s="1052" t="s">
        <v>944</v>
      </c>
      <c r="H188" s="1031"/>
      <c r="I188" s="1031"/>
      <c r="J188" s="1031"/>
      <c r="K188" s="1031"/>
      <c r="L188" s="653" t="str">
        <f t="shared" si="132"/>
        <v>2509</v>
      </c>
      <c r="M188" s="654" t="str">
        <f t="shared" si="0"/>
        <v>SALAIRES DE VACANCES</v>
      </c>
      <c r="N188" s="655">
        <f>+IF(OR($Q188=Parametres!$G$2,$Q188=Parametres!$G$3),I188,C188)</f>
        <v>-203900.22</v>
      </c>
      <c r="O188" s="655">
        <f>+IF(OR($Q188=Parametres!$G$2,$Q188=Parametres!$G$3),J188,D188)</f>
        <v>-32741.200000000001</v>
      </c>
      <c r="P188" s="655">
        <f>+IF(OR($Q188=Parametres!$G$2,$Q188=Parametres!$G$3),K188,E188)</f>
        <v>-236641.42</v>
      </c>
      <c r="Q188" s="654" t="str">
        <f t="shared" ref="Q188:S188" si="190">+F188</f>
        <v>3-Passifs</v>
      </c>
      <c r="R188" s="653" t="str">
        <f t="shared" si="190"/>
        <v>2503</v>
      </c>
      <c r="S188" s="654">
        <f t="shared" si="190"/>
        <v>0</v>
      </c>
      <c r="T188" s="656" t="str">
        <f>+VLOOKUP($L188,Data_Validation!$A:$D,1,0)</f>
        <v>2509</v>
      </c>
      <c r="U188" s="656" t="str">
        <f>+VLOOKUP($L188,Data_Validation!$A:$D,3,0)</f>
        <v>Bilan</v>
      </c>
      <c r="V188" s="656" t="str">
        <f>+VLOOKUP($L188,Data_Validation!$A:$D,4,0)</f>
        <v>Salaires à Payer</v>
      </c>
      <c r="W188" s="656" t="str">
        <f>+VLOOKUP($L188,Data_Validation!$A:$E,5,0)</f>
        <v>$</v>
      </c>
      <c r="X188" s="656">
        <f>+VLOOKUP($L188,Data_Validation!$A:$F,6,0)</f>
        <v>0</v>
      </c>
    </row>
    <row r="189" spans="1:24" ht="15" customHeight="1">
      <c r="A189" s="1052" t="s">
        <v>947</v>
      </c>
      <c r="B189" s="1052" t="s">
        <v>1743</v>
      </c>
      <c r="C189" s="1054">
        <v>10294.98</v>
      </c>
      <c r="D189" s="1054">
        <v>14306.85</v>
      </c>
      <c r="E189" s="1054">
        <v>24601.83</v>
      </c>
      <c r="F189" s="1052" t="s">
        <v>902</v>
      </c>
      <c r="G189" s="1052" t="s">
        <v>944</v>
      </c>
      <c r="H189" s="1031"/>
      <c r="I189" s="1032"/>
      <c r="J189" s="1032"/>
      <c r="K189" s="1032"/>
      <c r="L189" s="653" t="str">
        <f t="shared" si="132"/>
        <v>2511</v>
      </c>
      <c r="M189" s="654" t="str">
        <f t="shared" si="0"/>
        <v>JOURNEE MALADIE</v>
      </c>
      <c r="N189" s="655">
        <f>+IF(OR($Q189=Parametres!$G$2,$Q189=Parametres!$G$3),I189,C189)</f>
        <v>10294.98</v>
      </c>
      <c r="O189" s="655">
        <f>+IF(OR($Q189=Parametres!$G$2,$Q189=Parametres!$G$3),J189,D189)</f>
        <v>14306.85</v>
      </c>
      <c r="P189" s="655">
        <f>+IF(OR($Q189=Parametres!$G$2,$Q189=Parametres!$G$3),K189,E189)</f>
        <v>24601.83</v>
      </c>
      <c r="Q189" s="654" t="str">
        <f t="shared" ref="Q189:S189" si="191">+F189</f>
        <v>3-Passifs</v>
      </c>
      <c r="R189" s="653" t="str">
        <f t="shared" si="191"/>
        <v>2503</v>
      </c>
      <c r="S189" s="654">
        <f t="shared" si="191"/>
        <v>0</v>
      </c>
      <c r="T189" s="656" t="str">
        <f>+VLOOKUP($L189,Data_Validation!$A:$D,1,0)</f>
        <v>2511</v>
      </c>
      <c r="U189" s="656" t="str">
        <f>+VLOOKUP($L189,Data_Validation!$A:$D,3,0)</f>
        <v>Bilan</v>
      </c>
      <c r="V189" s="656" t="str">
        <f>+VLOOKUP($L189,Data_Validation!$A:$D,4,0)</f>
        <v>Salaires à Payer</v>
      </c>
      <c r="W189" s="656" t="str">
        <f>+VLOOKUP($L189,Data_Validation!$A:$E,5,0)</f>
        <v>$</v>
      </c>
      <c r="X189" s="656">
        <f>+VLOOKUP($L189,Data_Validation!$A:$F,6,0)</f>
        <v>0</v>
      </c>
    </row>
    <row r="190" spans="1:24" ht="15" customHeight="1">
      <c r="A190" s="1052" t="s">
        <v>948</v>
      </c>
      <c r="B190" s="1052" t="s">
        <v>949</v>
      </c>
      <c r="C190" s="1054">
        <v>-80283</v>
      </c>
      <c r="D190" s="1054">
        <v>18048</v>
      </c>
      <c r="E190" s="1054">
        <v>-62235</v>
      </c>
      <c r="F190" s="1052" t="s">
        <v>902</v>
      </c>
      <c r="G190" s="1052" t="s">
        <v>949</v>
      </c>
      <c r="H190" s="651"/>
      <c r="I190" s="651"/>
      <c r="J190" s="651"/>
      <c r="K190" s="651"/>
      <c r="L190" s="653" t="str">
        <f t="shared" si="132"/>
        <v>2561</v>
      </c>
      <c r="M190" s="654" t="str">
        <f t="shared" si="0"/>
        <v>REVENUE HOLDBACK DIFFERE</v>
      </c>
      <c r="N190" s="655">
        <f>+IF(OR($Q190=Parametres!$G$2,$Q190=Parametres!$G$3),I190,C190)</f>
        <v>-80283</v>
      </c>
      <c r="O190" s="655">
        <f>+IF(OR($Q190=Parametres!$G$2,$Q190=Parametres!$G$3),J190,D190)</f>
        <v>18048</v>
      </c>
      <c r="P190" s="655">
        <f>+IF(OR($Q190=Parametres!$G$2,$Q190=Parametres!$G$3),K190,E190)</f>
        <v>-62235</v>
      </c>
      <c r="Q190" s="654" t="str">
        <f t="shared" ref="Q190:S190" si="192">+F190</f>
        <v>3-Passifs</v>
      </c>
      <c r="R190" s="653" t="str">
        <f t="shared" si="192"/>
        <v>2561</v>
      </c>
      <c r="S190" s="654">
        <f t="shared" si="192"/>
        <v>0</v>
      </c>
      <c r="T190" s="656" t="str">
        <f>+VLOOKUP($L190,Data_Validation!$A:$D,1,0)</f>
        <v>2561</v>
      </c>
      <c r="U190" s="656" t="str">
        <f>+VLOOKUP($L190,Data_Validation!$A:$D,3,0)</f>
        <v>Bilan</v>
      </c>
      <c r="V190" s="656" t="str">
        <f>+VLOOKUP($L190,Data_Validation!$A:$D,4,0)</f>
        <v>Autres Courus</v>
      </c>
      <c r="W190" s="656" t="str">
        <f>+VLOOKUP($L190,Data_Validation!$A:$E,5,0)</f>
        <v>$</v>
      </c>
      <c r="X190" s="656">
        <f>+VLOOKUP($L190,Data_Validation!$A:$F,6,0)</f>
        <v>0</v>
      </c>
    </row>
    <row r="191" spans="1:24" ht="15" customHeight="1">
      <c r="A191" s="1052" t="s">
        <v>950</v>
      </c>
      <c r="B191" s="1052" t="s">
        <v>3379</v>
      </c>
      <c r="C191" s="1054">
        <v>-242566.15</v>
      </c>
      <c r="D191" s="1054">
        <v>0</v>
      </c>
      <c r="E191" s="1054">
        <v>-242566.15</v>
      </c>
      <c r="F191" s="1052" t="s">
        <v>902</v>
      </c>
      <c r="G191" s="1052" t="s">
        <v>951</v>
      </c>
      <c r="H191" s="1031"/>
      <c r="I191" s="1032"/>
      <c r="J191" s="1032"/>
      <c r="K191" s="1032"/>
      <c r="L191" s="653" t="str">
        <f t="shared" si="132"/>
        <v>2562</v>
      </c>
      <c r="M191" s="654" t="str">
        <f t="shared" si="0"/>
        <v>PROVISIONS QG</v>
      </c>
      <c r="N191" s="655">
        <f>+IF(OR($Q191=Parametres!$G$2,$Q191=Parametres!$G$3),I191,C191)</f>
        <v>-242566.15</v>
      </c>
      <c r="O191" s="655">
        <f>+IF(OR($Q191=Parametres!$G$2,$Q191=Parametres!$G$3),J191,D191)</f>
        <v>0</v>
      </c>
      <c r="P191" s="655">
        <f>+IF(OR($Q191=Parametres!$G$2,$Q191=Parametres!$G$3),K191,E191)</f>
        <v>-242566.15</v>
      </c>
      <c r="Q191" s="654" t="str">
        <f t="shared" ref="Q191:S191" si="193">+F191</f>
        <v>3-Passifs</v>
      </c>
      <c r="R191" s="653" t="str">
        <f t="shared" si="193"/>
        <v>256</v>
      </c>
      <c r="S191" s="654">
        <f t="shared" si="193"/>
        <v>0</v>
      </c>
      <c r="T191" s="656" t="str">
        <f>+VLOOKUP($L191,Data_Validation!$A:$D,1,0)</f>
        <v>2562</v>
      </c>
      <c r="U191" s="656" t="str">
        <f>+VLOOKUP($L191,Data_Validation!$A:$D,3,0)</f>
        <v>Bilan</v>
      </c>
      <c r="V191" s="656" t="str">
        <f>+VLOOKUP($L191,Data_Validation!$A:$D,4,0)</f>
        <v>Autres Courus</v>
      </c>
      <c r="W191" s="656" t="str">
        <f>+VLOOKUP($L191,Data_Validation!$A:$E,5,0)</f>
        <v>$</v>
      </c>
      <c r="X191" s="656">
        <f>+VLOOKUP($L191,Data_Validation!$A:$F,6,0)</f>
        <v>0</v>
      </c>
    </row>
    <row r="192" spans="1:24" ht="15" customHeight="1">
      <c r="A192" s="1052" t="s">
        <v>952</v>
      </c>
      <c r="B192" s="1052" t="s">
        <v>953</v>
      </c>
      <c r="C192" s="1054">
        <v>2143.75</v>
      </c>
      <c r="D192" s="1054">
        <v>1317.5</v>
      </c>
      <c r="E192" s="1054">
        <v>3461.25</v>
      </c>
      <c r="F192" s="1052" t="s">
        <v>902</v>
      </c>
      <c r="G192" s="1052" t="s">
        <v>953</v>
      </c>
      <c r="H192" s="651"/>
      <c r="I192" s="651"/>
      <c r="J192" s="651"/>
      <c r="K192" s="651"/>
      <c r="L192" s="653" t="str">
        <f t="shared" si="132"/>
        <v>2801</v>
      </c>
      <c r="M192" s="654" t="str">
        <f t="shared" si="0"/>
        <v>PRET CIBC</v>
      </c>
      <c r="N192" s="655">
        <f>+IF(OR($Q192=Parametres!$G$2,$Q192=Parametres!$G$3),I192,C192)</f>
        <v>2143.75</v>
      </c>
      <c r="O192" s="655">
        <f>+IF(OR($Q192=Parametres!$G$2,$Q192=Parametres!$G$3),J192,D192)</f>
        <v>1317.5</v>
      </c>
      <c r="P192" s="655">
        <f>+IF(OR($Q192=Parametres!$G$2,$Q192=Parametres!$G$3),K192,E192)</f>
        <v>3461.25</v>
      </c>
      <c r="Q192" s="654" t="str">
        <f t="shared" ref="Q192:S192" si="194">+F192</f>
        <v>3-Passifs</v>
      </c>
      <c r="R192" s="653" t="str">
        <f t="shared" si="194"/>
        <v>2801</v>
      </c>
      <c r="S192" s="654">
        <f t="shared" si="194"/>
        <v>0</v>
      </c>
      <c r="T192" s="656" t="str">
        <f>+VLOOKUP($L192,Data_Validation!$A:$D,1,0)</f>
        <v>2801</v>
      </c>
      <c r="U192" s="656" t="str">
        <f>+VLOOKUP($L192,Data_Validation!$A:$D,3,0)</f>
        <v>Bilan</v>
      </c>
      <c r="V192" s="656" t="str">
        <f>+VLOOKUP($L192,Data_Validation!$A:$D,4,0)</f>
        <v>Dette à Long Terme</v>
      </c>
      <c r="W192" s="656" t="str">
        <f>+VLOOKUP($L192,Data_Validation!$A:$E,5,0)</f>
        <v>$</v>
      </c>
      <c r="X192" s="656">
        <f>+VLOOKUP($L192,Data_Validation!$A:$F,6,0)</f>
        <v>0</v>
      </c>
    </row>
    <row r="193" spans="1:24" ht="15" customHeight="1">
      <c r="A193" s="1052" t="s">
        <v>954</v>
      </c>
      <c r="B193" s="1052" t="s">
        <v>955</v>
      </c>
      <c r="C193" s="1054">
        <v>-19122.599999999999</v>
      </c>
      <c r="D193" s="1054">
        <v>0</v>
      </c>
      <c r="E193" s="1054">
        <v>-19122.599999999999</v>
      </c>
      <c r="F193" s="1052" t="s">
        <v>902</v>
      </c>
      <c r="G193" s="1052" t="s">
        <v>955</v>
      </c>
      <c r="H193" s="1031"/>
      <c r="I193" s="1032"/>
      <c r="J193" s="1032"/>
      <c r="K193" s="1032"/>
      <c r="L193" s="653" t="str">
        <f t="shared" si="132"/>
        <v>2901</v>
      </c>
      <c r="M193" s="654" t="str">
        <f t="shared" si="0"/>
        <v>RESERVE CARTES PRIVILEGE</v>
      </c>
      <c r="N193" s="655">
        <f>+IF(OR($Q193=Parametres!$G$2,$Q193=Parametres!$G$3),I193,C193)</f>
        <v>-19122.599999999999</v>
      </c>
      <c r="O193" s="655">
        <f>+IF(OR($Q193=Parametres!$G$2,$Q193=Parametres!$G$3),J193,D193)</f>
        <v>0</v>
      </c>
      <c r="P193" s="655">
        <f>+IF(OR($Q193=Parametres!$G$2,$Q193=Parametres!$G$3),K193,E193)</f>
        <v>-19122.599999999999</v>
      </c>
      <c r="Q193" s="654" t="str">
        <f t="shared" ref="Q193:S193" si="195">+F193</f>
        <v>3-Passifs</v>
      </c>
      <c r="R193" s="653" t="str">
        <f t="shared" si="195"/>
        <v>2901</v>
      </c>
      <c r="S193" s="654">
        <f t="shared" si="195"/>
        <v>0</v>
      </c>
      <c r="T193" s="656" t="str">
        <f>+VLOOKUP($L193,Data_Validation!$A:$D,1,0)</f>
        <v>2901</v>
      </c>
      <c r="U193" s="656" t="str">
        <f>+VLOOKUP($L193,Data_Validation!$A:$D,3,0)</f>
        <v>Bilan</v>
      </c>
      <c r="V193" s="656" t="str">
        <f>+VLOOKUP($L193,Data_Validation!$A:$D,4,0)</f>
        <v>Autres Courus</v>
      </c>
      <c r="W193" s="656" t="str">
        <f>+VLOOKUP($L193,Data_Validation!$A:$E,5,0)</f>
        <v>$</v>
      </c>
      <c r="X193" s="656">
        <f>+VLOOKUP($L193,Data_Validation!$A:$F,6,0)</f>
        <v>0</v>
      </c>
    </row>
    <row r="194" spans="1:24" ht="15.75" customHeight="1">
      <c r="A194" s="1052" t="s">
        <v>956</v>
      </c>
      <c r="B194" s="1052" t="s">
        <v>958</v>
      </c>
      <c r="C194" s="1054">
        <v>-2350000</v>
      </c>
      <c r="D194" s="1054">
        <v>0</v>
      </c>
      <c r="E194" s="1054">
        <v>-2350000</v>
      </c>
      <c r="F194" s="1052" t="s">
        <v>957</v>
      </c>
      <c r="G194" s="1052" t="s">
        <v>958</v>
      </c>
      <c r="H194" s="651"/>
      <c r="I194" s="651"/>
      <c r="J194" s="651"/>
      <c r="K194" s="651"/>
      <c r="L194" s="653" t="str">
        <f t="shared" si="132"/>
        <v>3001</v>
      </c>
      <c r="M194" s="654" t="str">
        <f t="shared" si="0"/>
        <v>ACTIONS CATEGORIE 1</v>
      </c>
      <c r="N194" s="655">
        <f>+IF(OR($Q194=Parametres!$G$2,$Q194=Parametres!$G$3),I194,C194)</f>
        <v>-2350000</v>
      </c>
      <c r="O194" s="655">
        <f>+IF(OR($Q194=Parametres!$G$2,$Q194=Parametres!$G$3),J194,D194)</f>
        <v>0</v>
      </c>
      <c r="P194" s="655">
        <f>+IF(OR($Q194=Parametres!$G$2,$Q194=Parametres!$G$3),K194,E194)</f>
        <v>-2350000</v>
      </c>
      <c r="Q194" s="654" t="str">
        <f t="shared" ref="Q194:S194" si="196">+F194</f>
        <v>4-Valeur nette</v>
      </c>
      <c r="R194" s="653" t="str">
        <f t="shared" si="196"/>
        <v>3001</v>
      </c>
      <c r="S194" s="654">
        <f t="shared" si="196"/>
        <v>0</v>
      </c>
      <c r="T194" s="656" t="str">
        <f>+VLOOKUP($L194,Data_Validation!$A:$D,1,0)</f>
        <v>3001</v>
      </c>
      <c r="U194" s="656" t="str">
        <f>+VLOOKUP($L194,Data_Validation!$A:$D,3,0)</f>
        <v>Bilan</v>
      </c>
      <c r="V194" s="656" t="str">
        <f>+VLOOKUP($L194,Data_Validation!$A:$D,4,0)</f>
        <v>Capital Actions</v>
      </c>
      <c r="W194" s="656" t="str">
        <f>+VLOOKUP($L194,Data_Validation!$A:$E,5,0)</f>
        <v>$</v>
      </c>
      <c r="X194" s="656">
        <f>+VLOOKUP($L194,Data_Validation!$A:$F,6,0)</f>
        <v>0</v>
      </c>
    </row>
    <row r="195" spans="1:24" ht="15" customHeight="1">
      <c r="A195" s="1052" t="s">
        <v>959</v>
      </c>
      <c r="B195" s="1052" t="s">
        <v>1768</v>
      </c>
      <c r="C195" s="1054">
        <v>-1723617</v>
      </c>
      <c r="D195" s="1054">
        <v>0</v>
      </c>
      <c r="E195" s="1054">
        <v>-1723617</v>
      </c>
      <c r="F195" s="1052" t="s">
        <v>957</v>
      </c>
      <c r="G195" s="1052" t="s">
        <v>958</v>
      </c>
      <c r="H195" s="1031"/>
      <c r="I195" s="1032"/>
      <c r="J195" s="1032"/>
      <c r="K195" s="1032"/>
      <c r="L195" s="653" t="str">
        <f t="shared" ref="L195:L258" si="197">TEXT(B195,0)</f>
        <v>3003</v>
      </c>
      <c r="M195" s="654" t="str">
        <f t="shared" si="0"/>
        <v>APPORT / RETRAIT</v>
      </c>
      <c r="N195" s="655">
        <f>+IF(OR($Q195=Parametres!$G$2,$Q195=Parametres!$G$3),I195,C195)</f>
        <v>-1723617</v>
      </c>
      <c r="O195" s="655">
        <f>+IF(OR($Q195=Parametres!$G$2,$Q195=Parametres!$G$3),J195,D195)</f>
        <v>0</v>
      </c>
      <c r="P195" s="655">
        <f>+IF(OR($Q195=Parametres!$G$2,$Q195=Parametres!$G$3),K195,E195)</f>
        <v>-1723617</v>
      </c>
      <c r="Q195" s="654" t="str">
        <f t="shared" ref="Q195:S195" si="198">+F195</f>
        <v>4-Valeur nette</v>
      </c>
      <c r="R195" s="653" t="str">
        <f t="shared" si="198"/>
        <v>3001</v>
      </c>
      <c r="S195" s="654">
        <f t="shared" si="198"/>
        <v>0</v>
      </c>
      <c r="T195" s="656" t="str">
        <f>+VLOOKUP($L195,Data_Validation!$A:$D,1,0)</f>
        <v>3003</v>
      </c>
      <c r="U195" s="656" t="str">
        <f>+VLOOKUP($L195,Data_Validation!$A:$D,3,0)</f>
        <v>Bilan</v>
      </c>
      <c r="V195" s="656" t="str">
        <f>+VLOOKUP($L195,Data_Validation!$A:$D,4,0)</f>
        <v>Apport</v>
      </c>
      <c r="W195" s="656" t="str">
        <f>+VLOOKUP($L195,Data_Validation!$A:$E,5,0)</f>
        <v>$</v>
      </c>
      <c r="X195" s="656">
        <f>+VLOOKUP($L195,Data_Validation!$A:$F,6,0)</f>
        <v>0</v>
      </c>
    </row>
    <row r="196" spans="1:24" ht="15" customHeight="1">
      <c r="A196" s="1052" t="s">
        <v>960</v>
      </c>
      <c r="B196" s="1052" t="s">
        <v>1771</v>
      </c>
      <c r="C196" s="1054">
        <v>-347547.5</v>
      </c>
      <c r="D196" s="1054">
        <v>0</v>
      </c>
      <c r="E196" s="1054">
        <v>-347547.5</v>
      </c>
      <c r="F196" s="1052" t="s">
        <v>957</v>
      </c>
      <c r="G196" s="1052" t="s">
        <v>958</v>
      </c>
      <c r="H196" s="651"/>
      <c r="I196" s="651"/>
      <c r="J196" s="651"/>
      <c r="K196" s="651"/>
      <c r="L196" s="653" t="str">
        <f t="shared" si="197"/>
        <v>3007</v>
      </c>
      <c r="M196" s="654" t="str">
        <f t="shared" si="0"/>
        <v>ACTIONS PARTICIPANTES</v>
      </c>
      <c r="N196" s="655">
        <f>+IF(OR($Q196=Parametres!$G$2,$Q196=Parametres!$G$3),I196,C196)</f>
        <v>-347547.5</v>
      </c>
      <c r="O196" s="655">
        <f>+IF(OR($Q196=Parametres!$G$2,$Q196=Parametres!$G$3),J196,D196)</f>
        <v>0</v>
      </c>
      <c r="P196" s="655">
        <f>+IF(OR($Q196=Parametres!$G$2,$Q196=Parametres!$G$3),K196,E196)</f>
        <v>-347547.5</v>
      </c>
      <c r="Q196" s="654" t="str">
        <f t="shared" ref="Q196:S196" si="199">+F196</f>
        <v>4-Valeur nette</v>
      </c>
      <c r="R196" s="653" t="str">
        <f t="shared" si="199"/>
        <v>3001</v>
      </c>
      <c r="S196" s="654">
        <f t="shared" si="199"/>
        <v>0</v>
      </c>
      <c r="T196" s="656" t="str">
        <f>+VLOOKUP($L196,Data_Validation!$A:$D,1,0)</f>
        <v>3007</v>
      </c>
      <c r="U196" s="656" t="str">
        <f>+VLOOKUP($L196,Data_Validation!$A:$D,3,0)</f>
        <v>Bilan</v>
      </c>
      <c r="V196" s="656" t="str">
        <f>+VLOOKUP($L196,Data_Validation!$A:$D,4,0)</f>
        <v>Capital Actions</v>
      </c>
      <c r="W196" s="656">
        <f>+VLOOKUP($L196,Data_Validation!$A:$E,5,0)</f>
        <v>0</v>
      </c>
      <c r="X196" s="656">
        <f>+VLOOKUP($L196,Data_Validation!$A:$F,6,0)</f>
        <v>0</v>
      </c>
    </row>
    <row r="197" spans="1:24" ht="15" customHeight="1">
      <c r="A197" s="1052" t="s">
        <v>961</v>
      </c>
      <c r="B197" s="1052" t="s">
        <v>1795</v>
      </c>
      <c r="C197" s="1054">
        <v>-3068758.8</v>
      </c>
      <c r="D197" s="1054">
        <v>0</v>
      </c>
      <c r="E197" s="1054">
        <v>-3068758.8</v>
      </c>
      <c r="F197" s="1052" t="s">
        <v>957</v>
      </c>
      <c r="G197" s="1052" t="s">
        <v>958</v>
      </c>
      <c r="H197" s="1031"/>
      <c r="I197" s="1032"/>
      <c r="J197" s="1032"/>
      <c r="K197" s="1032"/>
      <c r="L197" s="653" t="str">
        <f t="shared" si="197"/>
        <v>3201</v>
      </c>
      <c r="M197" s="654" t="str">
        <f t="shared" si="0"/>
        <v>BENEFICES NON-REPARTIS</v>
      </c>
      <c r="N197" s="655">
        <f>+IF(OR($Q197=Parametres!$G$2,$Q197=Parametres!$G$3),I197,C197)</f>
        <v>-3068758.8</v>
      </c>
      <c r="O197" s="655">
        <f>+IF(OR($Q197=Parametres!$G$2,$Q197=Parametres!$G$3),J197,D197)</f>
        <v>0</v>
      </c>
      <c r="P197" s="655">
        <f>+IF(OR($Q197=Parametres!$G$2,$Q197=Parametres!$G$3),K197,E197)</f>
        <v>-3068758.8</v>
      </c>
      <c r="Q197" s="654" t="str">
        <f t="shared" ref="Q197:S197" si="200">+F197</f>
        <v>4-Valeur nette</v>
      </c>
      <c r="R197" s="653" t="str">
        <f t="shared" si="200"/>
        <v>3001</v>
      </c>
      <c r="S197" s="654">
        <f t="shared" si="200"/>
        <v>0</v>
      </c>
      <c r="T197" s="656" t="str">
        <f>+VLOOKUP($L197,Data_Validation!$A:$D,1,0)</f>
        <v>3201</v>
      </c>
      <c r="U197" s="656" t="str">
        <f>+VLOOKUP($L197,Data_Validation!$A:$D,3,0)</f>
        <v>Bilan</v>
      </c>
      <c r="V197" s="656" t="str">
        <f>+VLOOKUP($L197,Data_Validation!$A:$D,4,0)</f>
        <v>Bénéfices non répartis</v>
      </c>
      <c r="W197" s="656" t="str">
        <f>+VLOOKUP($L197,Data_Validation!$A:$E,5,0)</f>
        <v>$</v>
      </c>
      <c r="X197" s="656">
        <f>+VLOOKUP($L197,Data_Validation!$A:$F,6,0)</f>
        <v>0</v>
      </c>
    </row>
    <row r="198" spans="1:24" ht="15" customHeight="1">
      <c r="A198" s="1052" t="s">
        <v>962</v>
      </c>
      <c r="B198" s="1052" t="s">
        <v>964</v>
      </c>
      <c r="C198" s="1054">
        <v>-4072416.36</v>
      </c>
      <c r="D198" s="1054">
        <v>-157823.97</v>
      </c>
      <c r="E198" s="1054">
        <v>-4230240.33</v>
      </c>
      <c r="F198" s="1052" t="s">
        <v>963</v>
      </c>
      <c r="G198" s="1052" t="s">
        <v>964</v>
      </c>
      <c r="H198" s="651"/>
      <c r="I198" s="651"/>
      <c r="J198" s="651"/>
      <c r="K198" s="651"/>
      <c r="L198" s="653" t="str">
        <f t="shared" si="197"/>
        <v>4100</v>
      </c>
      <c r="M198" s="654" t="str">
        <f t="shared" si="0"/>
        <v>VTE - RACHAT BAIL VW</v>
      </c>
      <c r="N198" s="655">
        <f>+IF(OR($Q198=Parametres!$G$2,$Q198=Parametres!$G$3),I198,C198)</f>
        <v>-4072416.36</v>
      </c>
      <c r="O198" s="655">
        <f>+IF(OR($Q198=Parametres!$G$2,$Q198=Parametres!$G$3),J198,D198)</f>
        <v>-157823.97</v>
      </c>
      <c r="P198" s="655">
        <f>+IF(OR($Q198=Parametres!$G$2,$Q198=Parametres!$G$3),K198,E198)</f>
        <v>-4230240.33</v>
      </c>
      <c r="Q198" s="654" t="str">
        <f t="shared" ref="Q198:S198" si="201">+F198</f>
        <v>5-Ventes</v>
      </c>
      <c r="R198" s="653" t="str">
        <f t="shared" si="201"/>
        <v>4100</v>
      </c>
      <c r="S198" s="654">
        <f t="shared" si="201"/>
        <v>0</v>
      </c>
      <c r="T198" s="656" t="str">
        <f>+VLOOKUP($L198,Data_Validation!$A:$D,1,0)</f>
        <v>4100</v>
      </c>
      <c r="U198" s="656" t="str">
        <f>+VLOOKUP($L198,Data_Validation!$A:$D,3,0)</f>
        <v>Véhicules neufs</v>
      </c>
      <c r="V198" s="656" t="str">
        <f>+VLOOKUP($L198,Data_Validation!$A:$D,4,0)</f>
        <v>Rachat bail</v>
      </c>
      <c r="W198" s="656" t="str">
        <f>+VLOOKUP($L198,Data_Validation!$A:$E,5,0)</f>
        <v>$</v>
      </c>
      <c r="X198" s="656" t="str">
        <f>+VLOOKUP($L198,Data_Validation!$A:$F,6,0)</f>
        <v>Oui</v>
      </c>
    </row>
    <row r="199" spans="1:24" ht="15.75" customHeight="1">
      <c r="A199" s="1052" t="s">
        <v>967</v>
      </c>
      <c r="B199" s="1052" t="s">
        <v>968</v>
      </c>
      <c r="C199" s="1054">
        <v>-343139.26</v>
      </c>
      <c r="D199" s="1054">
        <v>0</v>
      </c>
      <c r="E199" s="1054">
        <v>-343139.26</v>
      </c>
      <c r="F199" s="1052" t="s">
        <v>963</v>
      </c>
      <c r="G199" s="1052" t="s">
        <v>968</v>
      </c>
      <c r="H199" s="1031"/>
      <c r="I199" s="1032"/>
      <c r="J199" s="1032"/>
      <c r="K199" s="1032"/>
      <c r="L199" s="653" t="str">
        <f t="shared" si="197"/>
        <v>4109</v>
      </c>
      <c r="M199" s="654" t="str">
        <f t="shared" si="0"/>
        <v>VTE - GOLF R</v>
      </c>
      <c r="N199" s="655">
        <f>+IF(OR($Q199=Parametres!$G$2,$Q199=Parametres!$G$3),I199,C199)</f>
        <v>-343139.26</v>
      </c>
      <c r="O199" s="655">
        <f>+IF(OR($Q199=Parametres!$G$2,$Q199=Parametres!$G$3),J199,D199)</f>
        <v>0</v>
      </c>
      <c r="P199" s="655">
        <f>+IF(OR($Q199=Parametres!$G$2,$Q199=Parametres!$G$3),K199,E199)</f>
        <v>-343139.26</v>
      </c>
      <c r="Q199" s="654" t="str">
        <f t="shared" ref="Q199:S199" si="202">+F199</f>
        <v>5-Ventes</v>
      </c>
      <c r="R199" s="653" t="str">
        <f t="shared" si="202"/>
        <v>4109</v>
      </c>
      <c r="S199" s="654">
        <f t="shared" si="202"/>
        <v>0</v>
      </c>
      <c r="T199" s="671" t="str">
        <f>+VLOOKUP($L199,Data_Validation!$A:$D,1,0)</f>
        <v>4109</v>
      </c>
      <c r="U199" s="656" t="str">
        <f>+VLOOKUP($L199,Data_Validation!$A:$D,3,0)</f>
        <v>Véhicules neufs</v>
      </c>
      <c r="V199" s="656" t="str">
        <f>+VLOOKUP($L199,Data_Validation!$A:$D,4,0)</f>
        <v>Autos détail</v>
      </c>
      <c r="W199" s="656" t="str">
        <f>+VLOOKUP($L199,Data_Validation!$A:$E,5,0)</f>
        <v>$</v>
      </c>
      <c r="X199" s="656" t="str">
        <f>+VLOOKUP($L199,Data_Validation!$A:$F,6,0)</f>
        <v>Oui</v>
      </c>
    </row>
    <row r="200" spans="1:24" ht="15" customHeight="1">
      <c r="A200" s="1052" t="s">
        <v>971</v>
      </c>
      <c r="B200" s="1052" t="s">
        <v>972</v>
      </c>
      <c r="C200" s="1054">
        <v>-1504563.89</v>
      </c>
      <c r="D200" s="1054">
        <v>-209692.07</v>
      </c>
      <c r="E200" s="1054">
        <v>-1714255.96</v>
      </c>
      <c r="F200" s="1052" t="s">
        <v>963</v>
      </c>
      <c r="G200" s="1052" t="s">
        <v>972</v>
      </c>
      <c r="H200" s="651"/>
      <c r="I200" s="651"/>
      <c r="J200" s="651"/>
      <c r="K200" s="670"/>
      <c r="L200" s="653" t="str">
        <f t="shared" si="197"/>
        <v>4111</v>
      </c>
      <c r="M200" s="654" t="str">
        <f t="shared" si="0"/>
        <v>JETTA/ JETTA GLI</v>
      </c>
      <c r="N200" s="655">
        <f>+IF(OR($Q200=Parametres!$G$2,$Q200=Parametres!$G$3),I200,C200)</f>
        <v>-1504563.89</v>
      </c>
      <c r="O200" s="655">
        <f>+IF(OR($Q200=Parametres!$G$2,$Q200=Parametres!$G$3),J200,D200)</f>
        <v>-209692.07</v>
      </c>
      <c r="P200" s="655">
        <f>+IF(OR($Q200=Parametres!$G$2,$Q200=Parametres!$G$3),K200,E200)</f>
        <v>-1714255.96</v>
      </c>
      <c r="Q200" s="654" t="str">
        <f t="shared" ref="Q200:S200" si="203">+F200</f>
        <v>5-Ventes</v>
      </c>
      <c r="R200" s="653" t="str">
        <f t="shared" si="203"/>
        <v>4111</v>
      </c>
      <c r="S200" s="654">
        <f t="shared" si="203"/>
        <v>0</v>
      </c>
      <c r="T200" s="656" t="str">
        <f>+VLOOKUP($L200,Data_Validation!$A:$D,1,0)</f>
        <v>4111</v>
      </c>
      <c r="U200" s="656" t="str">
        <f>+VLOOKUP($L200,Data_Validation!$A:$D,3,0)</f>
        <v>Véhicules neufs</v>
      </c>
      <c r="V200" s="656" t="str">
        <f>+VLOOKUP($L200,Data_Validation!$A:$D,4,0)</f>
        <v>Autos détail</v>
      </c>
      <c r="W200" s="656" t="str">
        <f>+VLOOKUP($L200,Data_Validation!$A:$E,5,0)</f>
        <v>$</v>
      </c>
      <c r="X200" s="656" t="str">
        <f>+VLOOKUP($L200,Data_Validation!$A:$F,6,0)</f>
        <v>Oui</v>
      </c>
    </row>
    <row r="201" spans="1:24" ht="15" customHeight="1">
      <c r="A201" s="1052" t="s">
        <v>974</v>
      </c>
      <c r="B201" s="1052" t="s">
        <v>3380</v>
      </c>
      <c r="C201" s="1054">
        <v>-3841289.47</v>
      </c>
      <c r="D201" s="1054">
        <v>-76944.42</v>
      </c>
      <c r="E201" s="1054">
        <v>-3918233.89</v>
      </c>
      <c r="F201" s="1052" t="s">
        <v>963</v>
      </c>
      <c r="G201" s="1052" t="s">
        <v>975</v>
      </c>
      <c r="H201" s="1031"/>
      <c r="I201" s="1032"/>
      <c r="J201" s="1032"/>
      <c r="K201" s="1032"/>
      <c r="L201" s="653" t="str">
        <f t="shared" si="197"/>
        <v>4118</v>
      </c>
      <c r="M201" s="654" t="str">
        <f t="shared" si="0"/>
        <v>VTES -TAOS</v>
      </c>
      <c r="N201" s="655">
        <f>+IF(OR($Q201=Parametres!$G$2,$Q201=Parametres!$G$3),I201,C201)</f>
        <v>-3841289.47</v>
      </c>
      <c r="O201" s="655">
        <f>+IF(OR($Q201=Parametres!$G$2,$Q201=Parametres!$G$3),J201,D201)</f>
        <v>-76944.42</v>
      </c>
      <c r="P201" s="655">
        <f>+IF(OR($Q201=Parametres!$G$2,$Q201=Parametres!$G$3),K201,E201)</f>
        <v>-3918233.89</v>
      </c>
      <c r="Q201" s="654" t="str">
        <f t="shared" ref="Q201:S201" si="204">+F201</f>
        <v>5-Ventes</v>
      </c>
      <c r="R201" s="653" t="str">
        <f t="shared" si="204"/>
        <v>4117</v>
      </c>
      <c r="S201" s="654">
        <f t="shared" si="204"/>
        <v>0</v>
      </c>
      <c r="T201" s="656" t="str">
        <f>+VLOOKUP($L201,Data_Validation!$A:$D,1,0)</f>
        <v>4118</v>
      </c>
      <c r="U201" s="656" t="str">
        <f>+VLOOKUP($L201,Data_Validation!$A:$D,3,0)</f>
        <v>Véhicules neufs</v>
      </c>
      <c r="V201" s="656" t="str">
        <f>+VLOOKUP($L201,Data_Validation!$A:$D,4,0)</f>
        <v>Camions détail</v>
      </c>
      <c r="W201" s="656" t="str">
        <f>+VLOOKUP($L201,Data_Validation!$A:$E,5,0)</f>
        <v>$</v>
      </c>
      <c r="X201" s="656" t="str">
        <f>+VLOOKUP($L201,Data_Validation!$A:$F,6,0)</f>
        <v>Oui</v>
      </c>
    </row>
    <row r="202" spans="1:24" ht="15" customHeight="1">
      <c r="A202" s="1052" t="s">
        <v>979</v>
      </c>
      <c r="B202" s="1052" t="s">
        <v>980</v>
      </c>
      <c r="C202" s="1054">
        <v>-3882401.56</v>
      </c>
      <c r="D202" s="1054">
        <v>-120161.91</v>
      </c>
      <c r="E202" s="1054">
        <v>-4002563.47</v>
      </c>
      <c r="F202" s="1052" t="s">
        <v>963</v>
      </c>
      <c r="G202" s="1052" t="s">
        <v>980</v>
      </c>
      <c r="H202" s="651"/>
      <c r="I202" s="651"/>
      <c r="J202" s="651"/>
      <c r="K202" s="670"/>
      <c r="L202" s="653" t="str">
        <f t="shared" si="197"/>
        <v>4119</v>
      </c>
      <c r="M202" s="654" t="str">
        <f t="shared" si="0"/>
        <v>VTE - ATLAS</v>
      </c>
      <c r="N202" s="655">
        <f>+IF(OR($Q202=Parametres!$G$2,$Q202=Parametres!$G$3),I202,C202)</f>
        <v>-3882401.56</v>
      </c>
      <c r="O202" s="655">
        <f>+IF(OR($Q202=Parametres!$G$2,$Q202=Parametres!$G$3),J202,D202)</f>
        <v>-120161.91</v>
      </c>
      <c r="P202" s="655">
        <f>+IF(OR($Q202=Parametres!$G$2,$Q202=Parametres!$G$3),K202,E202)</f>
        <v>-4002563.47</v>
      </c>
      <c r="Q202" s="654" t="str">
        <f t="shared" ref="Q202:S202" si="205">+F202</f>
        <v>5-Ventes</v>
      </c>
      <c r="R202" s="653" t="str">
        <f t="shared" si="205"/>
        <v>4119</v>
      </c>
      <c r="S202" s="654">
        <f t="shared" si="205"/>
        <v>0</v>
      </c>
      <c r="T202" s="656" t="str">
        <f>+VLOOKUP($L202,Data_Validation!$A:$D,1,0)</f>
        <v>4119</v>
      </c>
      <c r="U202" s="656" t="str">
        <f>+VLOOKUP($L202,Data_Validation!$A:$D,3,0)</f>
        <v>Véhicules neufs</v>
      </c>
      <c r="V202" s="656" t="str">
        <f>+VLOOKUP($L202,Data_Validation!$A:$D,4,0)</f>
        <v>Camions détail</v>
      </c>
      <c r="W202" s="656" t="str">
        <f>+VLOOKUP($L202,Data_Validation!$A:$E,5,0)</f>
        <v>$</v>
      </c>
      <c r="X202" s="656" t="str">
        <f>+VLOOKUP($L202,Data_Validation!$A:$F,6,0)</f>
        <v>Oui</v>
      </c>
    </row>
    <row r="203" spans="1:24" ht="15" customHeight="1">
      <c r="A203" s="1052" t="s">
        <v>983</v>
      </c>
      <c r="B203" s="1052" t="s">
        <v>3349</v>
      </c>
      <c r="C203" s="1054">
        <v>-136159.35</v>
      </c>
      <c r="D203" s="1054">
        <v>0</v>
      </c>
      <c r="E203" s="1054">
        <v>-136159.35</v>
      </c>
      <c r="F203" s="1052" t="s">
        <v>963</v>
      </c>
      <c r="G203" s="1052" t="s">
        <v>3349</v>
      </c>
      <c r="H203" s="1031"/>
      <c r="I203" s="1032"/>
      <c r="J203" s="1032"/>
      <c r="K203" s="1032"/>
      <c r="L203" s="653" t="str">
        <f t="shared" si="197"/>
        <v>4121</v>
      </c>
      <c r="M203" s="654" t="str">
        <f t="shared" si="0"/>
        <v>VTES -VTE - ATLAS CROSS SPORT</v>
      </c>
      <c r="N203" s="655">
        <f>+IF(OR($Q203=Parametres!$G$2,$Q203=Parametres!$G$3),I203,C203)</f>
        <v>-136159.35</v>
      </c>
      <c r="O203" s="655">
        <f>+IF(OR($Q203=Parametres!$G$2,$Q203=Parametres!$G$3),J203,D203)</f>
        <v>0</v>
      </c>
      <c r="P203" s="655">
        <f>+IF(OR($Q203=Parametres!$G$2,$Q203=Parametres!$G$3),K203,E203)</f>
        <v>-136159.35</v>
      </c>
      <c r="Q203" s="654" t="str">
        <f t="shared" ref="Q203:S203" si="206">+F203</f>
        <v>5-Ventes</v>
      </c>
      <c r="R203" s="653" t="str">
        <f t="shared" si="206"/>
        <v>4121</v>
      </c>
      <c r="S203" s="654">
        <f t="shared" si="206"/>
        <v>0</v>
      </c>
      <c r="T203" s="671" t="str">
        <f>+VLOOKUP($L203,Data_Validation!$A:$D,1,0)</f>
        <v>4121</v>
      </c>
      <c r="U203" s="656" t="str">
        <f>+VLOOKUP($L203,Data_Validation!$A:$D,3,0)</f>
        <v>Véhicules neufs</v>
      </c>
      <c r="V203" s="656" t="str">
        <f>+VLOOKUP($L203,Data_Validation!$A:$D,4,0)</f>
        <v>Camions détail</v>
      </c>
      <c r="W203" s="656" t="str">
        <f>+VLOOKUP($L203,Data_Validation!$A:$E,5,0)</f>
        <v>$</v>
      </c>
      <c r="X203" s="656" t="str">
        <f>+VLOOKUP($L203,Data_Validation!$A:$F,6,0)</f>
        <v>oui</v>
      </c>
    </row>
    <row r="204" spans="1:24" ht="15" customHeight="1">
      <c r="A204" s="1052" t="s">
        <v>986</v>
      </c>
      <c r="B204" s="1052" t="s">
        <v>987</v>
      </c>
      <c r="C204" s="1054">
        <v>-745869.72</v>
      </c>
      <c r="D204" s="1054">
        <v>0</v>
      </c>
      <c r="E204" s="1054">
        <v>-745869.72</v>
      </c>
      <c r="F204" s="1052" t="s">
        <v>963</v>
      </c>
      <c r="G204" s="1052" t="s">
        <v>987</v>
      </c>
      <c r="H204" s="651"/>
      <c r="I204" s="651"/>
      <c r="J204" s="651"/>
      <c r="K204" s="651"/>
      <c r="L204" s="653" t="str">
        <f t="shared" si="197"/>
        <v>4127</v>
      </c>
      <c r="M204" s="654" t="str">
        <f t="shared" si="0"/>
        <v>VTE - GOLF GTI</v>
      </c>
      <c r="N204" s="655">
        <f>+IF(OR($Q204=Parametres!$G$2,$Q204=Parametres!$G$3),I204,C204)</f>
        <v>-745869.72</v>
      </c>
      <c r="O204" s="655">
        <f>+IF(OR($Q204=Parametres!$G$2,$Q204=Parametres!$G$3),J204,D204)</f>
        <v>0</v>
      </c>
      <c r="P204" s="655">
        <f>+IF(OR($Q204=Parametres!$G$2,$Q204=Parametres!$G$3),K204,E204)</f>
        <v>-745869.72</v>
      </c>
      <c r="Q204" s="654" t="str">
        <f t="shared" ref="Q204:S204" si="207">+F204</f>
        <v>5-Ventes</v>
      </c>
      <c r="R204" s="653" t="str">
        <f t="shared" si="207"/>
        <v>4127</v>
      </c>
      <c r="S204" s="654">
        <f t="shared" si="207"/>
        <v>0</v>
      </c>
      <c r="T204" s="656" t="str">
        <f>+VLOOKUP($L204,Data_Validation!$A:$D,1,0)</f>
        <v>4127</v>
      </c>
      <c r="U204" s="656" t="str">
        <f>+VLOOKUP($L204,Data_Validation!$A:$D,3,0)</f>
        <v>Véhicules neufs</v>
      </c>
      <c r="V204" s="656" t="str">
        <f>+VLOOKUP($L204,Data_Validation!$A:$D,4,0)</f>
        <v>Autos détail</v>
      </c>
      <c r="W204" s="656" t="str">
        <f>+VLOOKUP($L204,Data_Validation!$A:$E,5,0)</f>
        <v>$</v>
      </c>
      <c r="X204" s="656" t="str">
        <f>+VLOOKUP($L204,Data_Validation!$A:$F,6,0)</f>
        <v>Oui</v>
      </c>
    </row>
    <row r="205" spans="1:24" ht="15" customHeight="1">
      <c r="A205" s="1052" t="s">
        <v>990</v>
      </c>
      <c r="B205" s="1052" t="s">
        <v>991</v>
      </c>
      <c r="C205" s="1054">
        <v>-7675601.3700000001</v>
      </c>
      <c r="D205" s="1054">
        <v>-1052891.29</v>
      </c>
      <c r="E205" s="1054">
        <v>-8728492.6600000001</v>
      </c>
      <c r="F205" s="1052" t="s">
        <v>963</v>
      </c>
      <c r="G205" s="1052" t="s">
        <v>991</v>
      </c>
      <c r="H205" s="1031"/>
      <c r="I205" s="1032"/>
      <c r="J205" s="1032"/>
      <c r="K205" s="1032"/>
      <c r="L205" s="653" t="str">
        <f t="shared" si="197"/>
        <v>4131</v>
      </c>
      <c r="M205" s="654" t="str">
        <f t="shared" si="0"/>
        <v>VTE - TIGUAN LWB</v>
      </c>
      <c r="N205" s="655">
        <f>+IF(OR($Q205=Parametres!$G$2,$Q205=Parametres!$G$3),I205,C205)</f>
        <v>-7675601.3700000001</v>
      </c>
      <c r="O205" s="655">
        <f>+IF(OR($Q205=Parametres!$G$2,$Q205=Parametres!$G$3),J205,D205)</f>
        <v>-1052891.29</v>
      </c>
      <c r="P205" s="655">
        <f>+IF(OR($Q205=Parametres!$G$2,$Q205=Parametres!$G$3),K205,E205)</f>
        <v>-8728492.6600000001</v>
      </c>
      <c r="Q205" s="654" t="str">
        <f t="shared" ref="Q205:S205" si="208">+F205</f>
        <v>5-Ventes</v>
      </c>
      <c r="R205" s="653" t="str">
        <f t="shared" si="208"/>
        <v>4131</v>
      </c>
      <c r="S205" s="654">
        <f t="shared" si="208"/>
        <v>0</v>
      </c>
      <c r="T205" s="656" t="str">
        <f>+VLOOKUP($L205,Data_Validation!$A:$D,1,0)</f>
        <v>4131</v>
      </c>
      <c r="U205" s="656" t="str">
        <f>+VLOOKUP($L205,Data_Validation!$A:$D,3,0)</f>
        <v>Véhicules neufs</v>
      </c>
      <c r="V205" s="656" t="str">
        <f>+VLOOKUP($L205,Data_Validation!$A:$D,4,0)</f>
        <v>Camions détail</v>
      </c>
      <c r="W205" s="656" t="str">
        <f>+VLOOKUP($L205,Data_Validation!$A:$E,5,0)</f>
        <v>$</v>
      </c>
      <c r="X205" s="656" t="str">
        <f>+VLOOKUP($L205,Data_Validation!$A:$F,6,0)</f>
        <v>Oui</v>
      </c>
    </row>
    <row r="206" spans="1:24" ht="15.75" customHeight="1">
      <c r="A206" s="1052" t="s">
        <v>994</v>
      </c>
      <c r="B206" s="1052" t="s">
        <v>995</v>
      </c>
      <c r="C206" s="1054">
        <v>-648565.75</v>
      </c>
      <c r="D206" s="1054">
        <v>0</v>
      </c>
      <c r="E206" s="1054">
        <v>-648565.75</v>
      </c>
      <c r="F206" s="1052" t="s">
        <v>963</v>
      </c>
      <c r="G206" s="1052" t="s">
        <v>995</v>
      </c>
      <c r="H206" s="651"/>
      <c r="I206" s="651"/>
      <c r="J206" s="651"/>
      <c r="K206" s="651"/>
      <c r="L206" s="653" t="str">
        <f t="shared" si="197"/>
        <v>4137</v>
      </c>
      <c r="M206" s="654" t="str">
        <f t="shared" si="0"/>
        <v>VTE - VW-FLOTTE/VENTES ENTR/EMPLOYE/VEH DEMON</v>
      </c>
      <c r="N206" s="655">
        <f>+IF(OR($Q206=Parametres!$G$2,$Q206=Parametres!$G$3),I206,C206)</f>
        <v>-648565.75</v>
      </c>
      <c r="O206" s="655">
        <f>+IF(OR($Q206=Parametres!$G$2,$Q206=Parametres!$G$3),J206,D206)</f>
        <v>0</v>
      </c>
      <c r="P206" s="655">
        <f>+IF(OR($Q206=Parametres!$G$2,$Q206=Parametres!$G$3),K206,E206)</f>
        <v>-648565.75</v>
      </c>
      <c r="Q206" s="654" t="str">
        <f t="shared" ref="Q206:S206" si="209">+F206</f>
        <v>5-Ventes</v>
      </c>
      <c r="R206" s="653" t="str">
        <f t="shared" si="209"/>
        <v>4137</v>
      </c>
      <c r="S206" s="654">
        <f t="shared" si="209"/>
        <v>0</v>
      </c>
      <c r="T206" s="656" t="str">
        <f>+VLOOKUP($L206,Data_Validation!$A:$D,1,0)</f>
        <v>4137</v>
      </c>
      <c r="U206" s="656" t="str">
        <f>+VLOOKUP($L206,Data_Validation!$A:$D,3,0)</f>
        <v>Véhicules neufs</v>
      </c>
      <c r="V206" s="656" t="str">
        <f>+VLOOKUP($L206,Data_Validation!$A:$D,4,0)</f>
        <v>Flottes</v>
      </c>
      <c r="W206" s="656" t="str">
        <f>+VLOOKUP($L206,Data_Validation!$A:$E,5,0)</f>
        <v>$</v>
      </c>
      <c r="X206" s="656" t="str">
        <f>+VLOOKUP($L206,Data_Validation!$A:$F,6,0)</f>
        <v>Oui</v>
      </c>
    </row>
    <row r="207" spans="1:24" ht="15" customHeight="1">
      <c r="A207" s="1052" t="s">
        <v>998</v>
      </c>
      <c r="B207" s="1052" t="s">
        <v>999</v>
      </c>
      <c r="C207" s="1054">
        <v>-1634702.63</v>
      </c>
      <c r="D207" s="1054">
        <v>-100957.09</v>
      </c>
      <c r="E207" s="1054">
        <v>-1735659.72</v>
      </c>
      <c r="F207" s="1052" t="s">
        <v>963</v>
      </c>
      <c r="G207" s="1052" t="s">
        <v>999</v>
      </c>
      <c r="H207" s="1031"/>
      <c r="I207" s="1032"/>
      <c r="J207" s="1032"/>
      <c r="K207" s="1032"/>
      <c r="L207" s="653" t="str">
        <f t="shared" si="197"/>
        <v>4139</v>
      </c>
      <c r="M207" s="654" t="str">
        <f t="shared" si="0"/>
        <v>VTE - VW FLOTTE/VENTE ENTR/EMPLOYE/VEH DEMONS</v>
      </c>
      <c r="N207" s="655">
        <f>+IF(OR($Q207=Parametres!$G$2,$Q207=Parametres!$G$3),I207,C207)</f>
        <v>-1634702.63</v>
      </c>
      <c r="O207" s="655">
        <f>+IF(OR($Q207=Parametres!$G$2,$Q207=Parametres!$G$3),J207,D207)</f>
        <v>-100957.09</v>
      </c>
      <c r="P207" s="655">
        <f>+IF(OR($Q207=Parametres!$G$2,$Q207=Parametres!$G$3),K207,E207)</f>
        <v>-1735659.72</v>
      </c>
      <c r="Q207" s="654" t="str">
        <f t="shared" ref="Q207:S207" si="210">+F207</f>
        <v>5-Ventes</v>
      </c>
      <c r="R207" s="653" t="str">
        <f t="shared" si="210"/>
        <v>4139</v>
      </c>
      <c r="S207" s="654">
        <f t="shared" si="210"/>
        <v>0</v>
      </c>
      <c r="T207" s="656" t="str">
        <f>+VLOOKUP($L207,Data_Validation!$A:$D,1,0)</f>
        <v>4139</v>
      </c>
      <c r="U207" s="656" t="str">
        <f>+VLOOKUP($L207,Data_Validation!$A:$D,3,0)</f>
        <v>Véhicules neufs</v>
      </c>
      <c r="V207" s="656" t="str">
        <f>+VLOOKUP($L207,Data_Validation!$A:$D,4,0)</f>
        <v>Ex-Démos et courtoisies</v>
      </c>
      <c r="W207" s="656" t="str">
        <f>+VLOOKUP($L207,Data_Validation!$A:$E,5,0)</f>
        <v>$</v>
      </c>
      <c r="X207" s="656" t="str">
        <f>+VLOOKUP($L207,Data_Validation!$A:$F,6,0)</f>
        <v>Oui</v>
      </c>
    </row>
    <row r="208" spans="1:24" ht="15" customHeight="1">
      <c r="A208" s="1052" t="s">
        <v>1002</v>
      </c>
      <c r="B208" s="1052" t="s">
        <v>3381</v>
      </c>
      <c r="C208" s="1054">
        <v>-696802.81</v>
      </c>
      <c r="D208" s="1054">
        <v>0</v>
      </c>
      <c r="E208" s="1054">
        <v>-696802.81</v>
      </c>
      <c r="F208" s="1052" t="s">
        <v>963</v>
      </c>
      <c r="G208" s="1052" t="s">
        <v>1003</v>
      </c>
      <c r="H208" s="651"/>
      <c r="I208" s="651"/>
      <c r="J208" s="651"/>
      <c r="K208" s="670"/>
      <c r="L208" s="653" t="str">
        <f t="shared" si="197"/>
        <v>4144</v>
      </c>
      <c r="M208" s="654" t="str">
        <f t="shared" si="0"/>
        <v>VTES -JETTA GLI</v>
      </c>
      <c r="N208" s="655">
        <f>+IF(OR($Q208=Parametres!$G$2,$Q208=Parametres!$G$3),I208,C208)</f>
        <v>-696802.81</v>
      </c>
      <c r="O208" s="655">
        <f>+IF(OR($Q208=Parametres!$G$2,$Q208=Parametres!$G$3),J208,D208)</f>
        <v>0</v>
      </c>
      <c r="P208" s="655">
        <f>+IF(OR($Q208=Parametres!$G$2,$Q208=Parametres!$G$3),K208,E208)</f>
        <v>-696802.81</v>
      </c>
      <c r="Q208" s="654" t="str">
        <f t="shared" ref="Q208:S208" si="211">+F208</f>
        <v>5-Ventes</v>
      </c>
      <c r="R208" s="653" t="str">
        <f t="shared" si="211"/>
        <v>414</v>
      </c>
      <c r="S208" s="654">
        <f t="shared" si="211"/>
        <v>0</v>
      </c>
      <c r="T208" s="656" t="str">
        <f>+VLOOKUP($L208,Data_Validation!$A:$D,1,0)</f>
        <v>4144</v>
      </c>
      <c r="U208" s="656" t="str">
        <f>+VLOOKUP($L208,Data_Validation!$A:$D,3,0)</f>
        <v>Véhicules neufs</v>
      </c>
      <c r="V208" s="656" t="str">
        <f>+VLOOKUP($L208,Data_Validation!$A:$D,4,0)</f>
        <v>Autos détail</v>
      </c>
      <c r="W208" s="656" t="str">
        <f>+VLOOKUP($L208,Data_Validation!$A:$E,5,0)</f>
        <v>$</v>
      </c>
      <c r="X208" s="656" t="str">
        <f>+VLOOKUP($L208,Data_Validation!$A:$F,6,0)</f>
        <v>Oui</v>
      </c>
    </row>
    <row r="209" spans="1:24" ht="15" customHeight="1">
      <c r="A209" s="1052" t="s">
        <v>1006</v>
      </c>
      <c r="B209" s="1052" t="s">
        <v>1007</v>
      </c>
      <c r="C209" s="1054">
        <v>-9637209.8800000008</v>
      </c>
      <c r="D209" s="1054">
        <v>-594776</v>
      </c>
      <c r="E209" s="1054">
        <v>-10231985.880000001</v>
      </c>
      <c r="F209" s="1052" t="s">
        <v>963</v>
      </c>
      <c r="G209" s="1052" t="s">
        <v>1007</v>
      </c>
      <c r="H209" s="1031"/>
      <c r="I209" s="1032"/>
      <c r="J209" s="1032"/>
      <c r="K209" s="1032"/>
      <c r="L209" s="653" t="str">
        <f t="shared" si="197"/>
        <v>4201</v>
      </c>
      <c r="M209" s="654" t="str">
        <f t="shared" si="0"/>
        <v>VTE - VEH.USAGE VW DETAIL CERTIFIE</v>
      </c>
      <c r="N209" s="655">
        <f>+IF(OR($Q209=Parametres!$G$2,$Q209=Parametres!$G$3),I209,C209)</f>
        <v>-9637209.8800000008</v>
      </c>
      <c r="O209" s="655">
        <f>+IF(OR($Q209=Parametres!$G$2,$Q209=Parametres!$G$3),J209,D209)</f>
        <v>-594776</v>
      </c>
      <c r="P209" s="655">
        <f>+IF(OR($Q209=Parametres!$G$2,$Q209=Parametres!$G$3),K209,E209)</f>
        <v>-10231985.880000001</v>
      </c>
      <c r="Q209" s="654" t="str">
        <f t="shared" ref="Q209:S209" si="212">+F209</f>
        <v>5-Ventes</v>
      </c>
      <c r="R209" s="653" t="str">
        <f t="shared" si="212"/>
        <v>4201</v>
      </c>
      <c r="S209" s="654">
        <f t="shared" si="212"/>
        <v>0</v>
      </c>
      <c r="T209" s="656" t="str">
        <f>+VLOOKUP($L209,Data_Validation!$A:$D,1,0)</f>
        <v>4201</v>
      </c>
      <c r="U209" s="656" t="str">
        <f>+VLOOKUP($L209,Data_Validation!$A:$D,3,0)</f>
        <v>Véhicules usagés</v>
      </c>
      <c r="V209" s="656" t="str">
        <f>+VLOOKUP($L209,Data_Validation!$A:$D,4,0)</f>
        <v>Certifié</v>
      </c>
      <c r="W209" s="656" t="str">
        <f>+VLOOKUP($L209,Data_Validation!$A:$E,5,0)</f>
        <v>$</v>
      </c>
      <c r="X209" s="656" t="str">
        <f>+VLOOKUP($L209,Data_Validation!$A:$F,6,0)</f>
        <v>Oui</v>
      </c>
    </row>
    <row r="210" spans="1:24" ht="15" customHeight="1">
      <c r="A210" s="1052" t="s">
        <v>1010</v>
      </c>
      <c r="B210" s="1052" t="s">
        <v>1011</v>
      </c>
      <c r="C210" s="1054">
        <v>0</v>
      </c>
      <c r="D210" s="1054">
        <v>-22197</v>
      </c>
      <c r="E210" s="1054">
        <v>-22197</v>
      </c>
      <c r="F210" s="1052" t="s">
        <v>963</v>
      </c>
      <c r="G210" s="1052" t="s">
        <v>1011</v>
      </c>
      <c r="H210" s="1031"/>
      <c r="I210" s="1033"/>
      <c r="J210" s="1031"/>
      <c r="K210" s="1033"/>
      <c r="L210" s="653" t="str">
        <f t="shared" si="197"/>
        <v>4211</v>
      </c>
      <c r="M210" s="654" t="str">
        <f t="shared" si="0"/>
        <v>VTE - VW USAGES DETAIL</v>
      </c>
      <c r="N210" s="655">
        <f>+IF(OR($Q210=Parametres!$G$2,$Q210=Parametres!$G$3),I210,C210)</f>
        <v>0</v>
      </c>
      <c r="O210" s="655">
        <f>+IF(OR($Q210=Parametres!$G$2,$Q210=Parametres!$G$3),J210,D210)</f>
        <v>-22197</v>
      </c>
      <c r="P210" s="655">
        <f>+IF(OR($Q210=Parametres!$G$2,$Q210=Parametres!$G$3),K210,E210)</f>
        <v>-22197</v>
      </c>
      <c r="Q210" s="654" t="str">
        <f t="shared" ref="Q210:S210" si="213">+F210</f>
        <v>5-Ventes</v>
      </c>
      <c r="R210" s="653" t="str">
        <f t="shared" si="213"/>
        <v>4211</v>
      </c>
      <c r="S210" s="654">
        <f t="shared" si="213"/>
        <v>0</v>
      </c>
      <c r="T210" s="656" t="str">
        <f>+VLOOKUP($L210,Data_Validation!$A:$D,1,0)</f>
        <v>4211</v>
      </c>
      <c r="U210" s="656" t="str">
        <f>+VLOOKUP($L210,Data_Validation!$A:$D,3,0)</f>
        <v>Véhicules usagés</v>
      </c>
      <c r="V210" s="656" t="str">
        <f>+VLOOKUP($L210,Data_Validation!$A:$D,4,0)</f>
        <v>Non Certifié</v>
      </c>
      <c r="W210" s="656" t="str">
        <f>+VLOOKUP($L210,Data_Validation!$A:$E,5,0)</f>
        <v>$</v>
      </c>
      <c r="X210" s="656" t="str">
        <f>+VLOOKUP($L210,Data_Validation!$A:$F,6,0)</f>
        <v>Oui</v>
      </c>
    </row>
    <row r="211" spans="1:24" ht="15.75" customHeight="1">
      <c r="A211" s="1052" t="s">
        <v>1014</v>
      </c>
      <c r="B211" s="1052" t="s">
        <v>1933</v>
      </c>
      <c r="C211" s="1054">
        <v>-184645</v>
      </c>
      <c r="D211" s="1054">
        <v>0</v>
      </c>
      <c r="E211" s="1054">
        <v>-184645</v>
      </c>
      <c r="F211" s="1052" t="s">
        <v>963</v>
      </c>
      <c r="G211" s="1052" t="s">
        <v>1015</v>
      </c>
      <c r="H211" s="651"/>
      <c r="I211" s="652"/>
      <c r="J211" s="652"/>
      <c r="K211" s="652"/>
      <c r="L211" s="653" t="str">
        <f t="shared" si="197"/>
        <v>4285</v>
      </c>
      <c r="M211" s="654" t="str">
        <f t="shared" si="0"/>
        <v>VEH. D'OCC. AUTRE DETAIL</v>
      </c>
      <c r="N211" s="655">
        <f>+IF(OR($Q211=Parametres!$G$2,$Q211=Parametres!$G$3),I211,C211)</f>
        <v>-184645</v>
      </c>
      <c r="O211" s="655">
        <f>+IF(OR($Q211=Parametres!$G$2,$Q211=Parametres!$G$3),J211,D211)</f>
        <v>0</v>
      </c>
      <c r="P211" s="655">
        <f>+IF(OR($Q211=Parametres!$G$2,$Q211=Parametres!$G$3),K211,E211)</f>
        <v>-184645</v>
      </c>
      <c r="Q211" s="654" t="str">
        <f t="shared" ref="Q211:S211" si="214">+F211</f>
        <v>5-Ventes</v>
      </c>
      <c r="R211" s="653" t="str">
        <f t="shared" si="214"/>
        <v>4261</v>
      </c>
      <c r="S211" s="654">
        <f t="shared" si="214"/>
        <v>0</v>
      </c>
      <c r="T211" s="656" t="str">
        <f>+VLOOKUP($L211,Data_Validation!$A:$D,1,0)</f>
        <v>4285</v>
      </c>
      <c r="U211" s="656" t="str">
        <f>+VLOOKUP($L211,Data_Validation!$A:$D,3,0)</f>
        <v>Véhicules usagés</v>
      </c>
      <c r="V211" s="656" t="str">
        <f>+VLOOKUP($L211,Data_Validation!$A:$D,4,0)</f>
        <v>Autres Marques</v>
      </c>
      <c r="W211" s="656" t="str">
        <f>+VLOOKUP($L211,Data_Validation!$A:$E,5,0)</f>
        <v>$</v>
      </c>
      <c r="X211" s="656" t="str">
        <f>+VLOOKUP($L211,Data_Validation!$A:$F,6,0)</f>
        <v>Oui</v>
      </c>
    </row>
    <row r="212" spans="1:24" ht="15" customHeight="1">
      <c r="A212" s="1052" t="s">
        <v>1018</v>
      </c>
      <c r="B212" s="1052" t="s">
        <v>1942</v>
      </c>
      <c r="C212" s="1054">
        <v>-5759812</v>
      </c>
      <c r="D212" s="1054">
        <v>-557925</v>
      </c>
      <c r="E212" s="1054">
        <v>-6317737</v>
      </c>
      <c r="F212" s="1052" t="s">
        <v>963</v>
      </c>
      <c r="G212" s="1052" t="s">
        <v>1019</v>
      </c>
      <c r="H212" s="1031"/>
      <c r="I212" s="1031"/>
      <c r="J212" s="1031"/>
      <c r="K212" s="1031"/>
      <c r="L212" s="653" t="str">
        <f t="shared" si="197"/>
        <v>4291</v>
      </c>
      <c r="M212" s="654" t="str">
        <f t="shared" si="0"/>
        <v>VEH. D'OCC. AU GROS</v>
      </c>
      <c r="N212" s="655">
        <f>+IF(OR($Q212=Parametres!$G$2,$Q212=Parametres!$G$3),I212,C212)</f>
        <v>-5759812</v>
      </c>
      <c r="O212" s="655">
        <f>+IF(OR($Q212=Parametres!$G$2,$Q212=Parametres!$G$3),J212,D212)</f>
        <v>-557925</v>
      </c>
      <c r="P212" s="655">
        <f>+IF(OR($Q212=Parametres!$G$2,$Q212=Parametres!$G$3),K212,E212)</f>
        <v>-6317737</v>
      </c>
      <c r="Q212" s="654" t="str">
        <f t="shared" ref="Q212:S212" si="215">+F212</f>
        <v>5-Ventes</v>
      </c>
      <c r="R212" s="653" t="str">
        <f t="shared" si="215"/>
        <v>4281</v>
      </c>
      <c r="S212" s="654">
        <f t="shared" si="215"/>
        <v>0</v>
      </c>
      <c r="T212" s="656" t="str">
        <f>+VLOOKUP($L212,Data_Validation!$A:$D,1,0)</f>
        <v>4291</v>
      </c>
      <c r="U212" s="656" t="str">
        <f>+VLOOKUP($L212,Data_Validation!$A:$D,3,0)</f>
        <v>Véhicules usagés</v>
      </c>
      <c r="V212" s="656" t="str">
        <f>+VLOOKUP($L212,Data_Validation!$A:$D,4,0)</f>
        <v>Ventes au Gros</v>
      </c>
      <c r="W212" s="656" t="str">
        <f>+VLOOKUP($L212,Data_Validation!$A:$E,5,0)</f>
        <v>$</v>
      </c>
      <c r="X212" s="656" t="str">
        <f>+VLOOKUP($L212,Data_Validation!$A:$F,6,0)</f>
        <v>Oui</v>
      </c>
    </row>
    <row r="213" spans="1:24" ht="15" customHeight="1">
      <c r="A213" s="1052" t="s">
        <v>3671</v>
      </c>
      <c r="B213" s="1052" t="s">
        <v>1023</v>
      </c>
      <c r="C213" s="1054">
        <v>-1507998.11</v>
      </c>
      <c r="D213" s="1054">
        <v>-117635.87</v>
      </c>
      <c r="E213" s="1054">
        <v>-1625633.98</v>
      </c>
      <c r="F213" s="1052" t="s">
        <v>963</v>
      </c>
      <c r="G213" s="1052" t="s">
        <v>1023</v>
      </c>
      <c r="H213" s="651"/>
      <c r="I213" s="652"/>
      <c r="J213" s="652"/>
      <c r="K213" s="652"/>
      <c r="L213" s="653" t="str">
        <f t="shared" si="197"/>
        <v>4401</v>
      </c>
      <c r="M213" s="654" t="str">
        <f t="shared" si="0"/>
        <v>MAIN-D'OEUVRE - CLIENT VW - MCI</v>
      </c>
      <c r="N213" s="655">
        <f>+IF(OR($Q213=Parametres!$G$2,$Q213=Parametres!$G$3),I213,C213)</f>
        <v>-1507998.11</v>
      </c>
      <c r="O213" s="655">
        <f>+IF(OR($Q213=Parametres!$G$2,$Q213=Parametres!$G$3),J213,D213)</f>
        <v>-117635.87</v>
      </c>
      <c r="P213" s="655">
        <f>+IF(OR($Q213=Parametres!$G$2,$Q213=Parametres!$G$3),K213,E213)</f>
        <v>-1625633.98</v>
      </c>
      <c r="Q213" s="654" t="str">
        <f t="shared" ref="Q213:S213" si="216">+F213</f>
        <v>5-Ventes</v>
      </c>
      <c r="R213" s="653" t="str">
        <f t="shared" si="216"/>
        <v>4401</v>
      </c>
      <c r="S213" s="654">
        <f t="shared" si="216"/>
        <v>0</v>
      </c>
      <c r="T213" s="656" t="str">
        <f>+VLOOKUP($L213,Data_Validation!$A:$D,1,0)</f>
        <v>4401</v>
      </c>
      <c r="U213" s="656" t="str">
        <f>+VLOOKUP($L213,Data_Validation!$A:$D,3,0)</f>
        <v>Service</v>
      </c>
      <c r="V213" s="656" t="str">
        <f>+VLOOKUP($L213,Data_Validation!$A:$D,4,0)</f>
        <v>M/O Client</v>
      </c>
      <c r="W213" s="656" t="str">
        <f>+VLOOKUP($L213,Data_Validation!$A:$E,5,0)</f>
        <v>$</v>
      </c>
      <c r="X213" s="656" t="str">
        <f>+VLOOKUP($L213,Data_Validation!$A:$F,6,0)</f>
        <v>Oui</v>
      </c>
    </row>
    <row r="214" spans="1:24" ht="15" customHeight="1">
      <c r="A214" s="1052" t="s">
        <v>1025</v>
      </c>
      <c r="B214" s="1052" t="s">
        <v>1026</v>
      </c>
      <c r="C214" s="1054">
        <v>-8450.01</v>
      </c>
      <c r="D214" s="1054">
        <v>-14.55</v>
      </c>
      <c r="E214" s="1054">
        <v>-8464.56</v>
      </c>
      <c r="F214" s="1052" t="s">
        <v>963</v>
      </c>
      <c r="G214" s="1052" t="s">
        <v>1026</v>
      </c>
      <c r="H214" s="1031"/>
      <c r="I214" s="1031"/>
      <c r="J214" s="1031"/>
      <c r="K214" s="1031"/>
      <c r="L214" s="653" t="str">
        <f t="shared" si="197"/>
        <v>4402</v>
      </c>
      <c r="M214" s="654" t="str">
        <f t="shared" si="0"/>
        <v>VTE - M.O. ESTHETIQUE CLIENT</v>
      </c>
      <c r="N214" s="655">
        <f>+IF(OR($Q214=Parametres!$G$2,$Q214=Parametres!$G$3),I214,C214)</f>
        <v>-8450.01</v>
      </c>
      <c r="O214" s="655">
        <f>+IF(OR($Q214=Parametres!$G$2,$Q214=Parametres!$G$3),J214,D214)</f>
        <v>-14.55</v>
      </c>
      <c r="P214" s="655">
        <f>+IF(OR($Q214=Parametres!$G$2,$Q214=Parametres!$G$3),K214,E214)</f>
        <v>-8464.56</v>
      </c>
      <c r="Q214" s="654" t="str">
        <f t="shared" ref="Q214:S214" si="217">+F214</f>
        <v>5-Ventes</v>
      </c>
      <c r="R214" s="653" t="str">
        <f t="shared" si="217"/>
        <v>4402</v>
      </c>
      <c r="S214" s="654">
        <f t="shared" si="217"/>
        <v>0</v>
      </c>
      <c r="T214" s="656" t="str">
        <f>+VLOOKUP($L214,Data_Validation!$A:$D,1,0)</f>
        <v>4402</v>
      </c>
      <c r="U214" s="656" t="str">
        <f>+VLOOKUP($L214,Data_Validation!$A:$D,3,0)</f>
        <v>Service</v>
      </c>
      <c r="V214" s="656" t="str">
        <f>+VLOOKUP($L214,Data_Validation!$A:$D,4,0)</f>
        <v>M/O Esthétique</v>
      </c>
      <c r="W214" s="656" t="str">
        <f>+VLOOKUP($L214,Data_Validation!$A:$E,5,0)</f>
        <v>$</v>
      </c>
      <c r="X214" s="656" t="str">
        <f>+VLOOKUP($L214,Data_Validation!$A:$F,6,0)</f>
        <v>Oui</v>
      </c>
    </row>
    <row r="215" spans="1:24" ht="15.75" customHeight="1">
      <c r="A215" s="1052" t="s">
        <v>3672</v>
      </c>
      <c r="B215" s="1052" t="s">
        <v>1028</v>
      </c>
      <c r="C215" s="1054">
        <v>-449305.62</v>
      </c>
      <c r="D215" s="1054">
        <v>-32607.37</v>
      </c>
      <c r="E215" s="1054">
        <v>-481912.99</v>
      </c>
      <c r="F215" s="1052" t="s">
        <v>963</v>
      </c>
      <c r="G215" s="1052" t="s">
        <v>1028</v>
      </c>
      <c r="H215" s="1031"/>
      <c r="I215" s="1032"/>
      <c r="J215" s="1032"/>
      <c r="K215" s="1032"/>
      <c r="L215" s="653" t="str">
        <f t="shared" si="197"/>
        <v>4403</v>
      </c>
      <c r="M215" s="654" t="str">
        <f t="shared" si="0"/>
        <v>MAIN-D'OEUVRE - GARANTIE VW - MCI</v>
      </c>
      <c r="N215" s="655">
        <f>+IF(OR($Q215=Parametres!$G$2,$Q215=Parametres!$G$3),I215,C215)</f>
        <v>-449305.62</v>
      </c>
      <c r="O215" s="655">
        <f>+IF(OR($Q215=Parametres!$G$2,$Q215=Parametres!$G$3),J215,D215)</f>
        <v>-32607.37</v>
      </c>
      <c r="P215" s="655">
        <f>+IF(OR($Q215=Parametres!$G$2,$Q215=Parametres!$G$3),K215,E215)</f>
        <v>-481912.99</v>
      </c>
      <c r="Q215" s="654" t="str">
        <f t="shared" ref="Q215:S215" si="218">+F215</f>
        <v>5-Ventes</v>
      </c>
      <c r="R215" s="653" t="str">
        <f t="shared" si="218"/>
        <v>4403</v>
      </c>
      <c r="S215" s="654">
        <f t="shared" si="218"/>
        <v>0</v>
      </c>
      <c r="T215" s="656" t="str">
        <f>+VLOOKUP($L215,Data_Validation!$A:$D,1,0)</f>
        <v>4403</v>
      </c>
      <c r="U215" s="656" t="str">
        <f>+VLOOKUP($L215,Data_Validation!$A:$D,3,0)</f>
        <v>Service</v>
      </c>
      <c r="V215" s="656" t="str">
        <f>+VLOOKUP($L215,Data_Validation!$A:$D,4,0)</f>
        <v>M/O Garantie</v>
      </c>
      <c r="W215" s="656" t="str">
        <f>+VLOOKUP($L215,Data_Validation!$A:$E,5,0)</f>
        <v>$</v>
      </c>
      <c r="X215" s="656" t="str">
        <f>+VLOOKUP($L215,Data_Validation!$A:$F,6,0)</f>
        <v>Oui</v>
      </c>
    </row>
    <row r="216" spans="1:24" ht="15" customHeight="1">
      <c r="A216" s="1052" t="s">
        <v>3673</v>
      </c>
      <c r="B216" s="1052" t="s">
        <v>1031</v>
      </c>
      <c r="C216" s="1054">
        <v>-522640.16</v>
      </c>
      <c r="D216" s="1054">
        <v>-42675.5</v>
      </c>
      <c r="E216" s="1054">
        <v>-565315.66</v>
      </c>
      <c r="F216" s="1052" t="s">
        <v>963</v>
      </c>
      <c r="G216" s="1052" t="s">
        <v>1031</v>
      </c>
      <c r="H216" s="651"/>
      <c r="I216" s="670"/>
      <c r="J216" s="651"/>
      <c r="K216" s="670"/>
      <c r="L216" s="653" t="str">
        <f t="shared" si="197"/>
        <v>4405</v>
      </c>
      <c r="M216" s="654" t="str">
        <f t="shared" si="0"/>
        <v>MAIN-D'OEUVRE - INTERNE VW - MCI</v>
      </c>
      <c r="N216" s="655">
        <f>+IF(OR($Q216=Parametres!$G$2,$Q216=Parametres!$G$3),I216,C216)</f>
        <v>-522640.16</v>
      </c>
      <c r="O216" s="655">
        <f>+IF(OR($Q216=Parametres!$G$2,$Q216=Parametres!$G$3),J216,D216)</f>
        <v>-42675.5</v>
      </c>
      <c r="P216" s="655">
        <f>+IF(OR($Q216=Parametres!$G$2,$Q216=Parametres!$G$3),K216,E216)</f>
        <v>-565315.66</v>
      </c>
      <c r="Q216" s="654" t="str">
        <f t="shared" ref="Q216:S216" si="219">+F216</f>
        <v>5-Ventes</v>
      </c>
      <c r="R216" s="653" t="str">
        <f t="shared" si="219"/>
        <v>4405</v>
      </c>
      <c r="S216" s="654">
        <f t="shared" si="219"/>
        <v>0</v>
      </c>
      <c r="T216" s="656" t="str">
        <f>+VLOOKUP($L216,Data_Validation!$A:$D,1,0)</f>
        <v>4405</v>
      </c>
      <c r="U216" s="656" t="str">
        <f>+VLOOKUP($L216,Data_Validation!$A:$D,3,0)</f>
        <v>Service</v>
      </c>
      <c r="V216" s="656" t="str">
        <f>+VLOOKUP($L216,Data_Validation!$A:$D,4,0)</f>
        <v>M/O Interne</v>
      </c>
      <c r="W216" s="656" t="str">
        <f>+VLOOKUP($L216,Data_Validation!$A:$E,5,0)</f>
        <v>$</v>
      </c>
      <c r="X216" s="656" t="str">
        <f>+VLOOKUP($L216,Data_Validation!$A:$F,6,0)</f>
        <v>Oui</v>
      </c>
    </row>
    <row r="217" spans="1:24" ht="15" customHeight="1">
      <c r="A217" s="1052" t="s">
        <v>1033</v>
      </c>
      <c r="B217" s="1052" t="s">
        <v>1974</v>
      </c>
      <c r="C217" s="1054">
        <v>-270764.46999999997</v>
      </c>
      <c r="D217" s="1054">
        <v>-18177.72</v>
      </c>
      <c r="E217" s="1054">
        <v>-288942.19</v>
      </c>
      <c r="F217" s="1052" t="s">
        <v>963</v>
      </c>
      <c r="G217" s="1052" t="s">
        <v>1034</v>
      </c>
      <c r="H217" s="1031"/>
      <c r="I217" s="1032"/>
      <c r="J217" s="1032"/>
      <c r="K217" s="1032"/>
      <c r="L217" s="653" t="str">
        <f t="shared" si="197"/>
        <v>4451</v>
      </c>
      <c r="M217" s="654" t="str">
        <f t="shared" si="0"/>
        <v>CARBURANT/HUILE/GRAISSE</v>
      </c>
      <c r="N217" s="655">
        <f>+IF(OR($Q217=Parametres!$G$2,$Q217=Parametres!$G$3),I217,C217)</f>
        <v>-270764.46999999997</v>
      </c>
      <c r="O217" s="655">
        <f>+IF(OR($Q217=Parametres!$G$2,$Q217=Parametres!$G$3),J217,D217)</f>
        <v>-18177.72</v>
      </c>
      <c r="P217" s="655">
        <f>+IF(OR($Q217=Parametres!$G$2,$Q217=Parametres!$G$3),K217,E217)</f>
        <v>-288942.19</v>
      </c>
      <c r="Q217" s="654" t="str">
        <f t="shared" ref="Q217:S217" si="220">+F217</f>
        <v>5-Ventes</v>
      </c>
      <c r="R217" s="653" t="str">
        <f t="shared" si="220"/>
        <v>4782</v>
      </c>
      <c r="S217" s="654">
        <f t="shared" si="220"/>
        <v>0</v>
      </c>
      <c r="T217" s="656" t="str">
        <f>+VLOOKUP($L217,Data_Validation!$A:$D,1,0)</f>
        <v>4451</v>
      </c>
      <c r="U217" s="656" t="str">
        <f>+VLOOKUP($L217,Data_Validation!$A:$D,3,0)</f>
        <v>Pièces</v>
      </c>
      <c r="V217" s="656" t="str">
        <f>+VLOOKUP($L217,Data_Validation!$A:$D,4,0)</f>
        <v>Huiles et Graisse</v>
      </c>
      <c r="W217" s="656" t="str">
        <f>+VLOOKUP($L217,Data_Validation!$A:$E,5,0)</f>
        <v>$</v>
      </c>
      <c r="X217" s="656" t="str">
        <f>+VLOOKUP($L217,Data_Validation!$A:$F,6,0)</f>
        <v>Oui</v>
      </c>
    </row>
    <row r="218" spans="1:24" ht="15" customHeight="1">
      <c r="A218" s="1052" t="s">
        <v>1036</v>
      </c>
      <c r="B218" s="1052" t="s">
        <v>1037</v>
      </c>
      <c r="C218" s="1054">
        <v>-20976.89</v>
      </c>
      <c r="D218" s="1054">
        <v>-3116.04</v>
      </c>
      <c r="E218" s="1054">
        <v>-24092.93</v>
      </c>
      <c r="F218" s="1052" t="s">
        <v>963</v>
      </c>
      <c r="G218" s="1052" t="s">
        <v>1037</v>
      </c>
      <c r="H218" s="651"/>
      <c r="I218" s="670"/>
      <c r="J218" s="651"/>
      <c r="K218" s="670"/>
      <c r="L218" s="653" t="str">
        <f t="shared" si="197"/>
        <v>4491</v>
      </c>
      <c r="M218" s="654" t="str">
        <f t="shared" si="0"/>
        <v>REPARATION SOUS-LOC. - GENERAL</v>
      </c>
      <c r="N218" s="655">
        <f>+IF(OR($Q218=Parametres!$G$2,$Q218=Parametres!$G$3),I218,C218)</f>
        <v>-20976.89</v>
      </c>
      <c r="O218" s="655">
        <f>+IF(OR($Q218=Parametres!$G$2,$Q218=Parametres!$G$3),J218,D218)</f>
        <v>-3116.04</v>
      </c>
      <c r="P218" s="655">
        <f>+IF(OR($Q218=Parametres!$G$2,$Q218=Parametres!$G$3),K218,E218)</f>
        <v>-24092.93</v>
      </c>
      <c r="Q218" s="654" t="str">
        <f t="shared" ref="Q218:S218" si="221">+F218</f>
        <v>5-Ventes</v>
      </c>
      <c r="R218" s="653" t="str">
        <f t="shared" si="221"/>
        <v>4491</v>
      </c>
      <c r="S218" s="654">
        <f t="shared" si="221"/>
        <v>0</v>
      </c>
      <c r="T218" s="656" t="str">
        <f>+VLOOKUP($L218,Data_Validation!$A:$D,1,0)</f>
        <v>4491</v>
      </c>
      <c r="U218" s="656" t="str">
        <f>+VLOOKUP($L218,Data_Validation!$A:$D,3,0)</f>
        <v>Service</v>
      </c>
      <c r="V218" s="656" t="str">
        <f>+VLOOKUP($L218,Data_Validation!$A:$D,4,0)</f>
        <v>Sous-traitement</v>
      </c>
      <c r="W218" s="656" t="str">
        <f>+VLOOKUP($L218,Data_Validation!$A:$E,5,0)</f>
        <v>$</v>
      </c>
      <c r="X218" s="656" t="str">
        <f>+VLOOKUP($L218,Data_Validation!$A:$F,6,0)</f>
        <v>Oui</v>
      </c>
    </row>
    <row r="219" spans="1:24" ht="15.75" customHeight="1">
      <c r="A219" s="1052" t="s">
        <v>1039</v>
      </c>
      <c r="B219" s="1052" t="s">
        <v>1040</v>
      </c>
      <c r="C219" s="1054">
        <v>-16378.54</v>
      </c>
      <c r="D219" s="1054">
        <v>-5120.8999999999996</v>
      </c>
      <c r="E219" s="1054">
        <v>-21499.439999999999</v>
      </c>
      <c r="F219" s="1052" t="s">
        <v>963</v>
      </c>
      <c r="G219" s="1052" t="s">
        <v>1040</v>
      </c>
      <c r="H219" s="1031"/>
      <c r="I219" s="1032"/>
      <c r="J219" s="1032"/>
      <c r="K219" s="1032"/>
      <c r="L219" s="653" t="str">
        <f t="shared" si="197"/>
        <v>4493</v>
      </c>
      <c r="M219" s="654" t="str">
        <f t="shared" si="0"/>
        <v>VTE - SOUS-TRAITANCE GARANTIE</v>
      </c>
      <c r="N219" s="655">
        <f>+IF(OR($Q219=Parametres!$G$2,$Q219=Parametres!$G$3),I219,C219)</f>
        <v>-16378.54</v>
      </c>
      <c r="O219" s="655">
        <f>+IF(OR($Q219=Parametres!$G$2,$Q219=Parametres!$G$3),J219,D219)</f>
        <v>-5120.8999999999996</v>
      </c>
      <c r="P219" s="655">
        <f>+IF(OR($Q219=Parametres!$G$2,$Q219=Parametres!$G$3),K219,E219)</f>
        <v>-21499.439999999999</v>
      </c>
      <c r="Q219" s="654" t="str">
        <f t="shared" ref="Q219:S219" si="222">+F219</f>
        <v>5-Ventes</v>
      </c>
      <c r="R219" s="653" t="str">
        <f t="shared" si="222"/>
        <v>4493</v>
      </c>
      <c r="S219" s="654">
        <f t="shared" si="222"/>
        <v>0</v>
      </c>
      <c r="T219" s="656" t="str">
        <f>+VLOOKUP($L219,Data_Validation!$A:$D,1,0)</f>
        <v>4493</v>
      </c>
      <c r="U219" s="656" t="str">
        <f>+VLOOKUP($L219,Data_Validation!$A:$D,3,0)</f>
        <v>Service</v>
      </c>
      <c r="V219" s="656" t="str">
        <f>+VLOOKUP($L219,Data_Validation!$A:$D,4,0)</f>
        <v>Sous-traitement</v>
      </c>
      <c r="W219" s="656" t="str">
        <f>+VLOOKUP($L219,Data_Validation!$A:$E,5,0)</f>
        <v>$</v>
      </c>
      <c r="X219" s="656" t="str">
        <f>+VLOOKUP($L219,Data_Validation!$A:$F,6,0)</f>
        <v>Oui</v>
      </c>
    </row>
    <row r="220" spans="1:24" ht="15" customHeight="1">
      <c r="A220" s="1052" t="s">
        <v>1043</v>
      </c>
      <c r="B220" s="1052" t="s">
        <v>1044</v>
      </c>
      <c r="C220" s="1054">
        <v>-224279.54</v>
      </c>
      <c r="D220" s="1054">
        <v>-12324.22</v>
      </c>
      <c r="E220" s="1054">
        <v>-236603.76</v>
      </c>
      <c r="F220" s="1052" t="s">
        <v>963</v>
      </c>
      <c r="G220" s="1052" t="s">
        <v>1044</v>
      </c>
      <c r="H220" s="651"/>
      <c r="I220" s="651"/>
      <c r="J220" s="651"/>
      <c r="K220" s="651"/>
      <c r="L220" s="653" t="str">
        <f t="shared" si="197"/>
        <v>4495</v>
      </c>
      <c r="M220" s="654" t="str">
        <f t="shared" si="0"/>
        <v>VTE - S-TRAITANCE MEC.INTERNE VW</v>
      </c>
      <c r="N220" s="655">
        <f>+IF(OR($Q220=Parametres!$G$2,$Q220=Parametres!$G$3),I220,C220)</f>
        <v>-224279.54</v>
      </c>
      <c r="O220" s="655">
        <f>+IF(OR($Q220=Parametres!$G$2,$Q220=Parametres!$G$3),J220,D220)</f>
        <v>-12324.22</v>
      </c>
      <c r="P220" s="655">
        <f>+IF(OR($Q220=Parametres!$G$2,$Q220=Parametres!$G$3),K220,E220)</f>
        <v>-236603.76</v>
      </c>
      <c r="Q220" s="654" t="str">
        <f t="shared" ref="Q220:S220" si="223">+F220</f>
        <v>5-Ventes</v>
      </c>
      <c r="R220" s="653" t="str">
        <f t="shared" si="223"/>
        <v>4495</v>
      </c>
      <c r="S220" s="654">
        <f t="shared" si="223"/>
        <v>0</v>
      </c>
      <c r="T220" s="656" t="str">
        <f>+VLOOKUP($L220,Data_Validation!$A:$D,1,0)</f>
        <v>4495</v>
      </c>
      <c r="U220" s="656" t="str">
        <f>+VLOOKUP($L220,Data_Validation!$A:$D,3,0)</f>
        <v>Service</v>
      </c>
      <c r="V220" s="656" t="str">
        <f>+VLOOKUP($L220,Data_Validation!$A:$D,4,0)</f>
        <v>Sous-traitement</v>
      </c>
      <c r="W220" s="656" t="str">
        <f>+VLOOKUP($L220,Data_Validation!$A:$E,5,0)</f>
        <v>$</v>
      </c>
      <c r="X220" s="656" t="str">
        <f>+VLOOKUP($L220,Data_Validation!$A:$F,6,0)</f>
        <v>Oui</v>
      </c>
    </row>
    <row r="221" spans="1:24" ht="15" customHeight="1">
      <c r="A221" s="1052" t="s">
        <v>1047</v>
      </c>
      <c r="B221" s="1052" t="s">
        <v>3334</v>
      </c>
      <c r="C221" s="1054">
        <v>-5600</v>
      </c>
      <c r="D221" s="1054">
        <v>0</v>
      </c>
      <c r="E221" s="1054">
        <v>-5600</v>
      </c>
      <c r="F221" s="1052" t="s">
        <v>963</v>
      </c>
      <c r="G221" s="1052" t="s">
        <v>3334</v>
      </c>
      <c r="H221" s="1031"/>
      <c r="I221" s="1032"/>
      <c r="J221" s="1032"/>
      <c r="K221" s="1032"/>
      <c r="L221" s="653" t="str">
        <f t="shared" si="197"/>
        <v>4503</v>
      </c>
      <c r="M221" s="654" t="str">
        <f t="shared" si="0"/>
        <v>VTE - M.O. CARROSSERIE GARANTIE</v>
      </c>
      <c r="N221" s="655">
        <f>+IF(OR($Q221=Parametres!$G$2,$Q221=Parametres!$G$3),I221,C221)</f>
        <v>-5600</v>
      </c>
      <c r="O221" s="655">
        <f>+IF(OR($Q221=Parametres!$G$2,$Q221=Parametres!$G$3),J221,D221)</f>
        <v>0</v>
      </c>
      <c r="P221" s="655">
        <f>+IF(OR($Q221=Parametres!$G$2,$Q221=Parametres!$G$3),K221,E221)</f>
        <v>-5600</v>
      </c>
      <c r="Q221" s="654" t="str">
        <f t="shared" ref="Q221:S221" si="224">+F221</f>
        <v>5-Ventes</v>
      </c>
      <c r="R221" s="653" t="str">
        <f t="shared" si="224"/>
        <v>4503</v>
      </c>
      <c r="S221" s="654">
        <f t="shared" si="224"/>
        <v>0</v>
      </c>
      <c r="T221" s="656" t="str">
        <f>+VLOOKUP($L221,Data_Validation!$A:$D,1,0)</f>
        <v>4503</v>
      </c>
      <c r="U221" s="656" t="str">
        <f>+VLOOKUP($L221,Data_Validation!$A:$D,3,0)</f>
        <v>Carrosserie</v>
      </c>
      <c r="V221" s="656" t="str">
        <f>+VLOOKUP($L221,Data_Validation!$A:$D,4,0)</f>
        <v>M/O Sous-traitement</v>
      </c>
      <c r="W221" s="656" t="str">
        <f>+VLOOKUP($L221,Data_Validation!$A:$E,5,0)</f>
        <v>$</v>
      </c>
      <c r="X221" s="656" t="str">
        <f>+VLOOKUP($L221,Data_Validation!$A:$F,6,0)</f>
        <v>Oui</v>
      </c>
    </row>
    <row r="222" spans="1:24" ht="15" customHeight="1">
      <c r="A222" s="1052" t="s">
        <v>1050</v>
      </c>
      <c r="B222" s="1052" t="s">
        <v>1051</v>
      </c>
      <c r="C222" s="1054">
        <v>-402359.43</v>
      </c>
      <c r="D222" s="1054">
        <v>-21309.73</v>
      </c>
      <c r="E222" s="1054">
        <v>-423669.16</v>
      </c>
      <c r="F222" s="1052" t="s">
        <v>963</v>
      </c>
      <c r="G222" s="1052" t="s">
        <v>1051</v>
      </c>
      <c r="H222" s="651"/>
      <c r="I222" s="670"/>
      <c r="J222" s="651"/>
      <c r="K222" s="670"/>
      <c r="L222" s="653" t="str">
        <f t="shared" si="197"/>
        <v>4591</v>
      </c>
      <c r="M222" s="654" t="str">
        <f t="shared" si="0"/>
        <v>VTE - S-TRAIT. CARR.</v>
      </c>
      <c r="N222" s="655">
        <f>+IF(OR($Q222=Parametres!$G$2,$Q222=Parametres!$G$3),I222,C222)</f>
        <v>-402359.43</v>
      </c>
      <c r="O222" s="655">
        <f>+IF(OR($Q222=Parametres!$G$2,$Q222=Parametres!$G$3),J222,D222)</f>
        <v>-21309.73</v>
      </c>
      <c r="P222" s="655">
        <f>+IF(OR($Q222=Parametres!$G$2,$Q222=Parametres!$G$3),K222,E222)</f>
        <v>-423669.16</v>
      </c>
      <c r="Q222" s="654" t="str">
        <f t="shared" ref="Q222:S222" si="225">+F222</f>
        <v>5-Ventes</v>
      </c>
      <c r="R222" s="653" t="str">
        <f t="shared" si="225"/>
        <v>4591</v>
      </c>
      <c r="S222" s="654">
        <f t="shared" si="225"/>
        <v>0</v>
      </c>
      <c r="T222" s="656" t="str">
        <f>+VLOOKUP($L222,Data_Validation!$A:$D,1,0)</f>
        <v>4591</v>
      </c>
      <c r="U222" s="656" t="str">
        <f>+VLOOKUP($L222,Data_Validation!$A:$D,3,0)</f>
        <v>Carrosserie</v>
      </c>
      <c r="V222" s="656" t="str">
        <f>+VLOOKUP($L222,Data_Validation!$A:$D,4,0)</f>
        <v>M/O Sous-traitement</v>
      </c>
      <c r="W222" s="656" t="str">
        <f>+VLOOKUP($L222,Data_Validation!$A:$E,5,0)</f>
        <v>$</v>
      </c>
      <c r="X222" s="656" t="str">
        <f>+VLOOKUP($L222,Data_Validation!$A:$F,6,0)</f>
        <v>Oui</v>
      </c>
    </row>
    <row r="223" spans="1:24" ht="15" customHeight="1">
      <c r="A223" s="1052" t="s">
        <v>1054</v>
      </c>
      <c r="B223" s="1052" t="s">
        <v>1055</v>
      </c>
      <c r="C223" s="1054">
        <v>-632376.15</v>
      </c>
      <c r="D223" s="1054">
        <v>-45682.63</v>
      </c>
      <c r="E223" s="1054">
        <v>-678058.78</v>
      </c>
      <c r="F223" s="1052" t="s">
        <v>963</v>
      </c>
      <c r="G223" s="1052" t="s">
        <v>1055</v>
      </c>
      <c r="H223" s="1031"/>
      <c r="I223" s="1032"/>
      <c r="J223" s="1032"/>
      <c r="K223" s="1032"/>
      <c r="L223" s="653" t="str">
        <f t="shared" si="197"/>
        <v>4593</v>
      </c>
      <c r="M223" s="654" t="str">
        <f t="shared" si="0"/>
        <v>VTE - SOUS-TRAITANCE GARANTIE CARR.</v>
      </c>
      <c r="N223" s="655">
        <f>+IF(OR($Q223=Parametres!$G$2,$Q223=Parametres!$G$3),I223,C223)</f>
        <v>-632376.15</v>
      </c>
      <c r="O223" s="655">
        <f>+IF(OR($Q223=Parametres!$G$2,$Q223=Parametres!$G$3),J223,D223)</f>
        <v>-45682.63</v>
      </c>
      <c r="P223" s="655">
        <f>+IF(OR($Q223=Parametres!$G$2,$Q223=Parametres!$G$3),K223,E223)</f>
        <v>-678058.78</v>
      </c>
      <c r="Q223" s="654" t="str">
        <f t="shared" ref="Q223:S223" si="226">+F223</f>
        <v>5-Ventes</v>
      </c>
      <c r="R223" s="653" t="str">
        <f t="shared" si="226"/>
        <v>4593</v>
      </c>
      <c r="S223" s="654">
        <f t="shared" si="226"/>
        <v>0</v>
      </c>
      <c r="T223" s="656" t="str">
        <f>+VLOOKUP($L223,Data_Validation!$A:$D,1,0)</f>
        <v>4593</v>
      </c>
      <c r="U223" s="656" t="str">
        <f>+VLOOKUP($L223,Data_Validation!$A:$D,3,0)</f>
        <v>Carrosserie</v>
      </c>
      <c r="V223" s="656" t="str">
        <f>+VLOOKUP($L223,Data_Validation!$A:$D,4,0)</f>
        <v>M/O Sous-traitement</v>
      </c>
      <c r="W223" s="656" t="str">
        <f>+VLOOKUP($L223,Data_Validation!$A:$E,5,0)</f>
        <v>$</v>
      </c>
      <c r="X223" s="656" t="str">
        <f>+VLOOKUP($L223,Data_Validation!$A:$F,6,0)</f>
        <v>Oui</v>
      </c>
    </row>
    <row r="224" spans="1:24" ht="15" customHeight="1">
      <c r="A224" s="1052" t="s">
        <v>1058</v>
      </c>
      <c r="B224" s="1052" t="s">
        <v>1059</v>
      </c>
      <c r="C224" s="1054">
        <v>-62554.69</v>
      </c>
      <c r="D224" s="1054">
        <v>-4230.28</v>
      </c>
      <c r="E224" s="1054">
        <v>-66784.97</v>
      </c>
      <c r="F224" s="1052" t="s">
        <v>963</v>
      </c>
      <c r="G224" s="1052" t="s">
        <v>1059</v>
      </c>
      <c r="H224" s="651"/>
      <c r="I224" s="670"/>
      <c r="J224" s="651"/>
      <c r="K224" s="670"/>
      <c r="L224" s="653" t="str">
        <f t="shared" si="197"/>
        <v>4595</v>
      </c>
      <c r="M224" s="654" t="str">
        <f t="shared" si="0"/>
        <v>VTE - SOUS-TRAITANCE INTERNE CARR.</v>
      </c>
      <c r="N224" s="655">
        <f>+IF(OR($Q224=Parametres!$G$2,$Q224=Parametres!$G$3),I224,C224)</f>
        <v>-62554.69</v>
      </c>
      <c r="O224" s="655">
        <f>+IF(OR($Q224=Parametres!$G$2,$Q224=Parametres!$G$3),J224,D224)</f>
        <v>-4230.28</v>
      </c>
      <c r="P224" s="655">
        <f>+IF(OR($Q224=Parametres!$G$2,$Q224=Parametres!$G$3),K224,E224)</f>
        <v>-66784.97</v>
      </c>
      <c r="Q224" s="654" t="str">
        <f t="shared" ref="Q224:S224" si="227">+F224</f>
        <v>5-Ventes</v>
      </c>
      <c r="R224" s="653" t="str">
        <f t="shared" si="227"/>
        <v>4595</v>
      </c>
      <c r="S224" s="654">
        <f t="shared" si="227"/>
        <v>0</v>
      </c>
      <c r="T224" s="656" t="str">
        <f>+VLOOKUP($L224,Data_Validation!$A:$D,1,0)</f>
        <v>4595</v>
      </c>
      <c r="U224" s="656" t="str">
        <f>+VLOOKUP($L224,Data_Validation!$A:$D,3,0)</f>
        <v>Carrosserie</v>
      </c>
      <c r="V224" s="656" t="str">
        <f>+VLOOKUP($L224,Data_Validation!$A:$D,4,0)</f>
        <v>M/O Sous-traitement</v>
      </c>
      <c r="W224" s="656" t="str">
        <f>+VLOOKUP($L224,Data_Validation!$A:$E,5,0)</f>
        <v>$</v>
      </c>
      <c r="X224" s="656" t="str">
        <f>+VLOOKUP($L224,Data_Validation!$A:$F,6,0)</f>
        <v>Oui</v>
      </c>
    </row>
    <row r="225" spans="1:24" ht="15.75" customHeight="1">
      <c r="A225" s="1052" t="s">
        <v>3674</v>
      </c>
      <c r="B225" s="1052" t="s">
        <v>1063</v>
      </c>
      <c r="C225" s="1054">
        <v>-848710.64</v>
      </c>
      <c r="D225" s="1054">
        <v>-81455.14</v>
      </c>
      <c r="E225" s="1054">
        <v>-930165.78</v>
      </c>
      <c r="F225" s="1052" t="s">
        <v>963</v>
      </c>
      <c r="G225" s="1052" t="s">
        <v>1063</v>
      </c>
      <c r="H225" s="1031"/>
      <c r="I225" s="1032"/>
      <c r="J225" s="1032"/>
      <c r="K225" s="1032"/>
      <c r="L225" s="653" t="str">
        <f t="shared" si="197"/>
        <v>4701</v>
      </c>
      <c r="M225" s="654" t="str">
        <f t="shared" si="0"/>
        <v>VW P&amp;A - BR - CLIENT - MCI</v>
      </c>
      <c r="N225" s="655">
        <f>+IF(OR($Q225=Parametres!$G$2,$Q225=Parametres!$G$3),I225,C225)</f>
        <v>-848710.64</v>
      </c>
      <c r="O225" s="655">
        <f>+IF(OR($Q225=Parametres!$G$2,$Q225=Parametres!$G$3),J225,D225)</f>
        <v>-81455.14</v>
      </c>
      <c r="P225" s="655">
        <f>+IF(OR($Q225=Parametres!$G$2,$Q225=Parametres!$G$3),K225,E225)</f>
        <v>-930165.78</v>
      </c>
      <c r="Q225" s="654" t="str">
        <f t="shared" ref="Q225:S225" si="228">+F225</f>
        <v>5-Ventes</v>
      </c>
      <c r="R225" s="653" t="str">
        <f t="shared" si="228"/>
        <v>4701</v>
      </c>
      <c r="S225" s="654">
        <f t="shared" si="228"/>
        <v>0</v>
      </c>
      <c r="T225" s="656" t="str">
        <f>+VLOOKUP($L225,Data_Validation!$A:$D,1,0)</f>
        <v>4701</v>
      </c>
      <c r="U225" s="656" t="str">
        <f>+VLOOKUP($L225,Data_Validation!$A:$D,3,0)</f>
        <v>Pièces</v>
      </c>
      <c r="V225" s="656" t="str">
        <f>+VLOOKUP($L225,Data_Validation!$A:$D,4,0)</f>
        <v>Pièces Ro Clients</v>
      </c>
      <c r="W225" s="656" t="str">
        <f>+VLOOKUP($L225,Data_Validation!$A:$E,5,0)</f>
        <v>$</v>
      </c>
      <c r="X225" s="656" t="str">
        <f>+VLOOKUP($L225,Data_Validation!$A:$F,6,0)</f>
        <v>Oui</v>
      </c>
    </row>
    <row r="226" spans="1:24" ht="15" customHeight="1">
      <c r="A226" s="1052" t="s">
        <v>1066</v>
      </c>
      <c r="B226" s="1052" t="s">
        <v>1067</v>
      </c>
      <c r="C226" s="1054">
        <v>-7825.75</v>
      </c>
      <c r="D226" s="1054">
        <v>-322.64999999999998</v>
      </c>
      <c r="E226" s="1054">
        <v>-8148.4</v>
      </c>
      <c r="F226" s="1052" t="s">
        <v>963</v>
      </c>
      <c r="G226" s="1052" t="s">
        <v>1067</v>
      </c>
      <c r="H226" s="651"/>
      <c r="I226" s="670"/>
      <c r="J226" s="651"/>
      <c r="K226" s="670"/>
      <c r="L226" s="653" t="str">
        <f t="shared" si="197"/>
        <v>4702</v>
      </c>
      <c r="M226" s="654" t="str">
        <f t="shared" si="0"/>
        <v>VTE - SHOP SUPPLY VW</v>
      </c>
      <c r="N226" s="655">
        <f>+IF(OR($Q226=Parametres!$G$2,$Q226=Parametres!$G$3),I226,C226)</f>
        <v>-7825.75</v>
      </c>
      <c r="O226" s="655">
        <f>+IF(OR($Q226=Parametres!$G$2,$Q226=Parametres!$G$3),J226,D226)</f>
        <v>-322.64999999999998</v>
      </c>
      <c r="P226" s="655">
        <f>+IF(OR($Q226=Parametres!$G$2,$Q226=Parametres!$G$3),K226,E226)</f>
        <v>-8148.4</v>
      </c>
      <c r="Q226" s="654" t="str">
        <f t="shared" ref="Q226:S226" si="229">+F226</f>
        <v>5-Ventes</v>
      </c>
      <c r="R226" s="653" t="str">
        <f t="shared" si="229"/>
        <v>4702</v>
      </c>
      <c r="S226" s="654">
        <f t="shared" si="229"/>
        <v>0</v>
      </c>
      <c r="T226" s="656" t="str">
        <f>+VLOOKUP($L226,Data_Validation!$A:$D,1,0)</f>
        <v>4702</v>
      </c>
      <c r="U226" s="656" t="str">
        <f>+VLOOKUP($L226,Data_Validation!$A:$D,3,0)</f>
        <v>Service</v>
      </c>
      <c r="V226" s="656" t="str">
        <f>+VLOOKUP($L226,Data_Validation!$A:$D,4,0)</f>
        <v>M/O Client</v>
      </c>
      <c r="W226" s="656" t="str">
        <f>+VLOOKUP($L226,Data_Validation!$A:$E,5,0)</f>
        <v>$</v>
      </c>
      <c r="X226" s="656" t="str">
        <f>+VLOOKUP($L226,Data_Validation!$A:$F,6,0)</f>
        <v>Oui</v>
      </c>
    </row>
    <row r="227" spans="1:24" ht="15" customHeight="1">
      <c r="A227" s="1052" t="s">
        <v>3675</v>
      </c>
      <c r="B227" s="1052" t="s">
        <v>1069</v>
      </c>
      <c r="C227" s="1054">
        <v>-653979.53</v>
      </c>
      <c r="D227" s="1054">
        <v>-53458.95</v>
      </c>
      <c r="E227" s="1054">
        <v>-707438.48</v>
      </c>
      <c r="F227" s="1052" t="s">
        <v>963</v>
      </c>
      <c r="G227" s="1052" t="s">
        <v>1069</v>
      </c>
      <c r="H227" s="1031"/>
      <c r="I227" s="1032"/>
      <c r="J227" s="1032"/>
      <c r="K227" s="1032"/>
      <c r="L227" s="653" t="str">
        <f t="shared" si="197"/>
        <v>4703</v>
      </c>
      <c r="M227" s="654" t="str">
        <f t="shared" si="0"/>
        <v>VW P&amp;A - BR - GARANTIE - MCI</v>
      </c>
      <c r="N227" s="655">
        <f>+IF(OR($Q227=Parametres!$G$2,$Q227=Parametres!$G$3),I227,C227)</f>
        <v>-653979.53</v>
      </c>
      <c r="O227" s="655">
        <f>+IF(OR($Q227=Parametres!$G$2,$Q227=Parametres!$G$3),J227,D227)</f>
        <v>-53458.95</v>
      </c>
      <c r="P227" s="655">
        <f>+IF(OR($Q227=Parametres!$G$2,$Q227=Parametres!$G$3),K227,E227)</f>
        <v>-707438.48</v>
      </c>
      <c r="Q227" s="654" t="str">
        <f t="shared" ref="Q227:S227" si="230">+F227</f>
        <v>5-Ventes</v>
      </c>
      <c r="R227" s="653" t="str">
        <f t="shared" si="230"/>
        <v>4703</v>
      </c>
      <c r="S227" s="654">
        <f t="shared" si="230"/>
        <v>0</v>
      </c>
      <c r="T227" s="656" t="str">
        <f>+VLOOKUP($L227,Data_Validation!$A:$D,1,0)</f>
        <v>4703</v>
      </c>
      <c r="U227" s="656" t="str">
        <f>+VLOOKUP($L227,Data_Validation!$A:$D,3,0)</f>
        <v>Pièces</v>
      </c>
      <c r="V227" s="656" t="str">
        <f>+VLOOKUP($L227,Data_Validation!$A:$D,4,0)</f>
        <v>P/A Garantie</v>
      </c>
      <c r="W227" s="656" t="str">
        <f>+VLOOKUP($L227,Data_Validation!$A:$E,5,0)</f>
        <v>$</v>
      </c>
      <c r="X227" s="656" t="str">
        <f>+VLOOKUP($L227,Data_Validation!$A:$F,6,0)</f>
        <v>Oui</v>
      </c>
    </row>
    <row r="228" spans="1:24" ht="15" customHeight="1">
      <c r="A228" s="1052" t="s">
        <v>3676</v>
      </c>
      <c r="B228" s="1052" t="s">
        <v>1073</v>
      </c>
      <c r="C228" s="1054">
        <v>-485869.45</v>
      </c>
      <c r="D228" s="1054">
        <v>-35063.86</v>
      </c>
      <c r="E228" s="1054">
        <v>-520933.31</v>
      </c>
      <c r="F228" s="1052" t="s">
        <v>963</v>
      </c>
      <c r="G228" s="1052" t="s">
        <v>1073</v>
      </c>
      <c r="H228" s="651"/>
      <c r="I228" s="670"/>
      <c r="J228" s="651"/>
      <c r="K228" s="670"/>
      <c r="L228" s="653" t="str">
        <f t="shared" si="197"/>
        <v>4705</v>
      </c>
      <c r="M228" s="654" t="str">
        <f t="shared" si="0"/>
        <v>VW P&amp;A - BR - INTERNE - MCI</v>
      </c>
      <c r="N228" s="655">
        <f>+IF(OR($Q228=Parametres!$G$2,$Q228=Parametres!$G$3),I228,C228)</f>
        <v>-485869.45</v>
      </c>
      <c r="O228" s="655">
        <f>+IF(OR($Q228=Parametres!$G$2,$Q228=Parametres!$G$3),J228,D228)</f>
        <v>-35063.86</v>
      </c>
      <c r="P228" s="655">
        <f>+IF(OR($Q228=Parametres!$G$2,$Q228=Parametres!$G$3),K228,E228)</f>
        <v>-520933.31</v>
      </c>
      <c r="Q228" s="654" t="str">
        <f t="shared" ref="Q228:S228" si="231">+F228</f>
        <v>5-Ventes</v>
      </c>
      <c r="R228" s="653" t="str">
        <f t="shared" si="231"/>
        <v>4705</v>
      </c>
      <c r="S228" s="654">
        <f t="shared" si="231"/>
        <v>0</v>
      </c>
      <c r="T228" s="656" t="str">
        <f>+VLOOKUP($L228,Data_Validation!$A:$D,1,0)</f>
        <v>4705</v>
      </c>
      <c r="U228" s="656" t="str">
        <f>+VLOOKUP($L228,Data_Validation!$A:$D,3,0)</f>
        <v>Pièces</v>
      </c>
      <c r="V228" s="656" t="str">
        <f>+VLOOKUP($L228,Data_Validation!$A:$D,4,0)</f>
        <v>Ventes Internes</v>
      </c>
      <c r="W228" s="656" t="str">
        <f>+VLOOKUP($L228,Data_Validation!$A:$E,5,0)</f>
        <v>$</v>
      </c>
      <c r="X228" s="656" t="str">
        <f>+VLOOKUP($L228,Data_Validation!$A:$F,6,0)</f>
        <v>Oui</v>
      </c>
    </row>
    <row r="229" spans="1:24" ht="15.75" customHeight="1">
      <c r="A229" s="1052" t="s">
        <v>3677</v>
      </c>
      <c r="B229" s="1052" t="s">
        <v>1076</v>
      </c>
      <c r="C229" s="1054">
        <v>-7495.48</v>
      </c>
      <c r="D229" s="1054">
        <v>-99.9</v>
      </c>
      <c r="E229" s="1054">
        <v>-7595.38</v>
      </c>
      <c r="F229" s="1052" t="s">
        <v>963</v>
      </c>
      <c r="G229" s="1052" t="s">
        <v>1076</v>
      </c>
      <c r="H229" s="1031"/>
      <c r="I229" s="1032"/>
      <c r="J229" s="1032"/>
      <c r="K229" s="1032"/>
      <c r="L229" s="653" t="str">
        <f t="shared" si="197"/>
        <v>4706</v>
      </c>
      <c r="M229" s="654" t="str">
        <f t="shared" si="0"/>
        <v>VW P&amp;A - BR - CLIENT - VEB</v>
      </c>
      <c r="N229" s="655">
        <f>+IF(OR($Q229=Parametres!$G$2,$Q229=Parametres!$G$3),I229,C229)</f>
        <v>-7495.48</v>
      </c>
      <c r="O229" s="655">
        <f>+IF(OR($Q229=Parametres!$G$2,$Q229=Parametres!$G$3),J229,D229)</f>
        <v>-99.9</v>
      </c>
      <c r="P229" s="655">
        <f>+IF(OR($Q229=Parametres!$G$2,$Q229=Parametres!$G$3),K229,E229)</f>
        <v>-7595.38</v>
      </c>
      <c r="Q229" s="654" t="str">
        <f t="shared" ref="Q229:S229" si="232">+F229</f>
        <v>5-Ventes</v>
      </c>
      <c r="R229" s="653" t="str">
        <f t="shared" si="232"/>
        <v>4706</v>
      </c>
      <c r="S229" s="654">
        <f t="shared" si="232"/>
        <v>0</v>
      </c>
      <c r="T229" s="656" t="str">
        <f>+VLOOKUP($L229,Data_Validation!$A:$D,1,0)</f>
        <v>4706</v>
      </c>
      <c r="U229" s="656" t="str">
        <f>+VLOOKUP($L229,Data_Validation!$A:$D,3,0)</f>
        <v>Service</v>
      </c>
      <c r="V229" s="656" t="str">
        <f>+VLOOKUP($L229,Data_Validation!$A:$D,4,0)</f>
        <v>M/O Interne</v>
      </c>
      <c r="W229" s="656" t="str">
        <f>+VLOOKUP($L229,Data_Validation!$A:$E,5,0)</f>
        <v>$</v>
      </c>
      <c r="X229" s="656" t="str">
        <f>+VLOOKUP($L229,Data_Validation!$A:$F,6,0)</f>
        <v>Oui</v>
      </c>
    </row>
    <row r="230" spans="1:24" ht="15" customHeight="1">
      <c r="A230" s="1052" t="s">
        <v>1077</v>
      </c>
      <c r="B230" s="1052" t="s">
        <v>1142</v>
      </c>
      <c r="C230" s="1054">
        <v>-28025.83</v>
      </c>
      <c r="D230" s="1054">
        <v>-2161.19</v>
      </c>
      <c r="E230" s="1054">
        <v>-30187.02</v>
      </c>
      <c r="F230" s="1052" t="s">
        <v>963</v>
      </c>
      <c r="G230" s="1052" t="s">
        <v>1078</v>
      </c>
      <c r="H230" s="1031"/>
      <c r="I230" s="1033"/>
      <c r="J230" s="1031"/>
      <c r="K230" s="1033"/>
      <c r="L230" s="653" t="str">
        <f t="shared" si="197"/>
        <v>4711</v>
      </c>
      <c r="M230" s="654" t="str">
        <f t="shared" si="0"/>
        <v>VTE - AUTRE PIECE/ACC/CARR B.R. CLIENT</v>
      </c>
      <c r="N230" s="655">
        <f>+IF(OR($Q230=Parametres!$G$2,$Q230=Parametres!$G$3),I230,C230)</f>
        <v>-28025.83</v>
      </c>
      <c r="O230" s="655">
        <f>+IF(OR($Q230=Parametres!$G$2,$Q230=Parametres!$G$3),J230,D230)</f>
        <v>-2161.19</v>
      </c>
      <c r="P230" s="655">
        <f>+IF(OR($Q230=Parametres!$G$2,$Q230=Parametres!$G$3),K230,E230)</f>
        <v>-30187.02</v>
      </c>
      <c r="Q230" s="654" t="str">
        <f t="shared" ref="Q230:S230" si="233">+F230</f>
        <v>5-Ventes</v>
      </c>
      <c r="R230" s="653" t="str">
        <f t="shared" si="233"/>
        <v>84711</v>
      </c>
      <c r="S230" s="654">
        <f t="shared" si="233"/>
        <v>0</v>
      </c>
      <c r="T230" s="656" t="str">
        <f>+VLOOKUP($L230,Data_Validation!$A:$D,1,0)</f>
        <v>4711</v>
      </c>
      <c r="U230" s="656" t="str">
        <f>+VLOOKUP($L230,Data_Validation!$A:$D,3,0)</f>
        <v>Pièces</v>
      </c>
      <c r="V230" s="656" t="str">
        <f>+VLOOKUP($L230,Data_Validation!$A:$D,4,0)</f>
        <v>Pièces Ro Clients</v>
      </c>
      <c r="W230" s="656" t="str">
        <f>+VLOOKUP($L230,Data_Validation!$A:$E,5,0)</f>
        <v>$</v>
      </c>
      <c r="X230" s="656" t="str">
        <f>+VLOOKUP($L230,Data_Validation!$A:$F,6,0)</f>
        <v>Oui</v>
      </c>
    </row>
    <row r="231" spans="1:24" ht="15" customHeight="1">
      <c r="A231" s="1052" t="s">
        <v>1081</v>
      </c>
      <c r="B231" s="1052" t="s">
        <v>3383</v>
      </c>
      <c r="C231" s="1054">
        <v>-247.19</v>
      </c>
      <c r="D231" s="1054">
        <v>0</v>
      </c>
      <c r="E231" s="1054">
        <v>-247.19</v>
      </c>
      <c r="F231" s="1052" t="s">
        <v>963</v>
      </c>
      <c r="G231" s="1052" t="s">
        <v>3383</v>
      </c>
      <c r="H231" s="1031"/>
      <c r="I231" s="1032"/>
      <c r="J231" s="1032"/>
      <c r="K231" s="1032"/>
      <c r="L231" s="653" t="str">
        <f t="shared" si="197"/>
        <v>4715</v>
      </c>
      <c r="M231" s="654" t="str">
        <f t="shared" si="0"/>
        <v>VTE - AUTRE PIECE/ACC/CARR B.R. INTERNE</v>
      </c>
      <c r="N231" s="655">
        <f>+IF(OR($Q231=Parametres!$G$2,$Q231=Parametres!$G$3),I231,C231)</f>
        <v>-247.19</v>
      </c>
      <c r="O231" s="655">
        <f>+IF(OR($Q231=Parametres!$G$2,$Q231=Parametres!$G$3),J231,D231)</f>
        <v>0</v>
      </c>
      <c r="P231" s="655">
        <f>+IF(OR($Q231=Parametres!$G$2,$Q231=Parametres!$G$3),K231,E231)</f>
        <v>-247.19</v>
      </c>
      <c r="Q231" s="654" t="str">
        <f t="shared" ref="Q231:S231" si="234">+F231</f>
        <v>5-Ventes</v>
      </c>
      <c r="R231" s="653" t="str">
        <f t="shared" si="234"/>
        <v>4715</v>
      </c>
      <c r="S231" s="654">
        <f t="shared" si="234"/>
        <v>0</v>
      </c>
      <c r="T231" s="656" t="str">
        <f>+VLOOKUP($L231,Data_Validation!$A:$D,1,0)</f>
        <v>4715</v>
      </c>
      <c r="U231" s="656" t="str">
        <f>+VLOOKUP($L231,Data_Validation!$A:$D,3,0)</f>
        <v>Pièces</v>
      </c>
      <c r="V231" s="656" t="str">
        <f>+VLOOKUP($L231,Data_Validation!$A:$D,4,0)</f>
        <v>Ventes Internes</v>
      </c>
      <c r="W231" s="656" t="str">
        <f>+VLOOKUP($L231,Data_Validation!$A:$E,5,0)</f>
        <v>$</v>
      </c>
      <c r="X231" s="656" t="str">
        <f>+VLOOKUP($L231,Data_Validation!$A:$F,6,0)</f>
        <v>Oui</v>
      </c>
    </row>
    <row r="232" spans="1:24" ht="15" customHeight="1">
      <c r="A232" s="1052" t="s">
        <v>3678</v>
      </c>
      <c r="B232" s="1052" t="s">
        <v>1086</v>
      </c>
      <c r="C232" s="1054">
        <v>-112336.03</v>
      </c>
      <c r="D232" s="1054">
        <v>-3252.45</v>
      </c>
      <c r="E232" s="1054">
        <v>-115588.48</v>
      </c>
      <c r="F232" s="1052" t="s">
        <v>963</v>
      </c>
      <c r="G232" s="1052" t="s">
        <v>1086</v>
      </c>
      <c r="H232" s="1031"/>
      <c r="I232" s="1033"/>
      <c r="J232" s="1031"/>
      <c r="K232" s="1033"/>
      <c r="L232" s="653" t="str">
        <f t="shared" si="197"/>
        <v>4731</v>
      </c>
      <c r="M232" s="654" t="str">
        <f t="shared" si="0"/>
        <v>VW-P&amp;A-P&amp;BRO-CLIENT - MCI</v>
      </c>
      <c r="N232" s="655">
        <f>+IF(OR($Q232=Parametres!$G$2,$Q232=Parametres!$G$3),I232,C232)</f>
        <v>-112336.03</v>
      </c>
      <c r="O232" s="655">
        <f>+IF(OR($Q232=Parametres!$G$2,$Q232=Parametres!$G$3),J232,D232)</f>
        <v>-3252.45</v>
      </c>
      <c r="P232" s="655">
        <f>+IF(OR($Q232=Parametres!$G$2,$Q232=Parametres!$G$3),K232,E232)</f>
        <v>-115588.48</v>
      </c>
      <c r="Q232" s="654" t="str">
        <f t="shared" ref="Q232:S232" si="235">+F232</f>
        <v>5-Ventes</v>
      </c>
      <c r="R232" s="653" t="str">
        <f t="shared" si="235"/>
        <v>4731</v>
      </c>
      <c r="S232" s="654">
        <f t="shared" si="235"/>
        <v>0</v>
      </c>
      <c r="T232" s="656" t="str">
        <f>+VLOOKUP($L232,Data_Validation!$A:$D,1,0)</f>
        <v>4731</v>
      </c>
      <c r="U232" s="656" t="str">
        <f>+VLOOKUP($L232,Data_Validation!$A:$D,3,0)</f>
        <v>Pièces</v>
      </c>
      <c r="V232" s="656" t="str">
        <f>+VLOOKUP($L232,Data_Validation!$A:$D,4,0)</f>
        <v>Pièces Ro Carrosserie</v>
      </c>
      <c r="W232" s="656" t="str">
        <f>+VLOOKUP($L232,Data_Validation!$A:$E,5,0)</f>
        <v>$</v>
      </c>
      <c r="X232" s="656" t="str">
        <f>+VLOOKUP($L232,Data_Validation!$A:$F,6,0)</f>
        <v>Oui</v>
      </c>
    </row>
    <row r="233" spans="1:24" ht="15" customHeight="1">
      <c r="A233" s="1052" t="s">
        <v>3679</v>
      </c>
      <c r="B233" s="1052" t="s">
        <v>1090</v>
      </c>
      <c r="C233" s="1054">
        <v>-501877.03</v>
      </c>
      <c r="D233" s="1054">
        <v>-34843.68</v>
      </c>
      <c r="E233" s="1054">
        <v>-536720.71</v>
      </c>
      <c r="F233" s="1052" t="s">
        <v>963</v>
      </c>
      <c r="G233" s="1052" t="s">
        <v>1090</v>
      </c>
      <c r="H233" s="1031"/>
      <c r="I233" s="1032"/>
      <c r="J233" s="1032"/>
      <c r="K233" s="1032"/>
      <c r="L233" s="653" t="str">
        <f t="shared" si="197"/>
        <v>4733</v>
      </c>
      <c r="M233" s="654" t="str">
        <f t="shared" si="0"/>
        <v>VW-P&amp;A-P&amp;BRO-GARANTIE - MCI</v>
      </c>
      <c r="N233" s="655">
        <f>+IF(OR($Q233=Parametres!$G$2,$Q233=Parametres!$G$3),I233,C233)</f>
        <v>-501877.03</v>
      </c>
      <c r="O233" s="655">
        <f>+IF(OR($Q233=Parametres!$G$2,$Q233=Parametres!$G$3),J233,D233)</f>
        <v>-34843.68</v>
      </c>
      <c r="P233" s="655">
        <f>+IF(OR($Q233=Parametres!$G$2,$Q233=Parametres!$G$3),K233,E233)</f>
        <v>-536720.71</v>
      </c>
      <c r="Q233" s="654" t="str">
        <f t="shared" ref="Q233:S233" si="236">+F233</f>
        <v>5-Ventes</v>
      </c>
      <c r="R233" s="653" t="str">
        <f t="shared" si="236"/>
        <v>4733</v>
      </c>
      <c r="S233" s="654">
        <f t="shared" si="236"/>
        <v>0</v>
      </c>
      <c r="T233" s="656" t="str">
        <f>+VLOOKUP($L233,Data_Validation!$A:$D,1,0)</f>
        <v>4733</v>
      </c>
      <c r="U233" s="656" t="str">
        <f>+VLOOKUP($L233,Data_Validation!$A:$D,3,0)</f>
        <v>Pièces</v>
      </c>
      <c r="V233" s="656" t="str">
        <f>+VLOOKUP($L233,Data_Validation!$A:$D,4,0)</f>
        <v>Pièces Ro Carrosserie</v>
      </c>
      <c r="W233" s="656" t="str">
        <f>+VLOOKUP($L233,Data_Validation!$A:$E,5,0)</f>
        <v>$</v>
      </c>
      <c r="X233" s="656" t="str">
        <f>+VLOOKUP($L233,Data_Validation!$A:$F,6,0)</f>
        <v>Oui</v>
      </c>
    </row>
    <row r="234" spans="1:24" ht="15.75" customHeight="1">
      <c r="A234" s="1052" t="s">
        <v>3680</v>
      </c>
      <c r="B234" s="1052" t="s">
        <v>1094</v>
      </c>
      <c r="C234" s="1054">
        <v>-14970.18</v>
      </c>
      <c r="D234" s="1054">
        <v>-250.81</v>
      </c>
      <c r="E234" s="1054">
        <v>-15220.99</v>
      </c>
      <c r="F234" s="1052" t="s">
        <v>963</v>
      </c>
      <c r="G234" s="1052" t="s">
        <v>1094</v>
      </c>
      <c r="H234" s="1031"/>
      <c r="I234" s="1033"/>
      <c r="J234" s="1031"/>
      <c r="K234" s="1033"/>
      <c r="L234" s="653" t="str">
        <f t="shared" si="197"/>
        <v>4735</v>
      </c>
      <c r="M234" s="654" t="str">
        <f t="shared" si="0"/>
        <v>VW-P&amp;A-P&amp;BRO-INTERNE - MCI</v>
      </c>
      <c r="N234" s="655">
        <f>+IF(OR($Q234=Parametres!$G$2,$Q234=Parametres!$G$3),I234,C234)</f>
        <v>-14970.18</v>
      </c>
      <c r="O234" s="655">
        <f>+IF(OR($Q234=Parametres!$G$2,$Q234=Parametres!$G$3),J234,D234)</f>
        <v>-250.81</v>
      </c>
      <c r="P234" s="655">
        <f>+IF(OR($Q234=Parametres!$G$2,$Q234=Parametres!$G$3),K234,E234)</f>
        <v>-15220.99</v>
      </c>
      <c r="Q234" s="654" t="str">
        <f t="shared" ref="Q234:S234" si="237">+F234</f>
        <v>5-Ventes</v>
      </c>
      <c r="R234" s="653" t="str">
        <f t="shared" si="237"/>
        <v>4735</v>
      </c>
      <c r="S234" s="654">
        <f t="shared" si="237"/>
        <v>0</v>
      </c>
      <c r="T234" s="656" t="str">
        <f>+VLOOKUP($L234,Data_Validation!$A:$D,1,0)</f>
        <v>4735</v>
      </c>
      <c r="U234" s="656" t="str">
        <f>+VLOOKUP($L234,Data_Validation!$A:$D,3,0)</f>
        <v>Pièces</v>
      </c>
      <c r="V234" s="656" t="str">
        <f>+VLOOKUP($L234,Data_Validation!$A:$D,4,0)</f>
        <v>Pièces Ro Carrosserie</v>
      </c>
      <c r="W234" s="656" t="str">
        <f>+VLOOKUP($L234,Data_Validation!$A:$E,5,0)</f>
        <v>$</v>
      </c>
      <c r="X234" s="656" t="str">
        <f>+VLOOKUP($L234,Data_Validation!$A:$F,6,0)</f>
        <v>Oui</v>
      </c>
    </row>
    <row r="235" spans="1:24" ht="15" customHeight="1">
      <c r="A235" s="1052" t="s">
        <v>1097</v>
      </c>
      <c r="B235" s="1052" t="s">
        <v>1098</v>
      </c>
      <c r="C235" s="1054">
        <v>-193680.58</v>
      </c>
      <c r="D235" s="1054">
        <v>-15141.81</v>
      </c>
      <c r="E235" s="1054">
        <v>-208822.39</v>
      </c>
      <c r="F235" s="1052" t="s">
        <v>963</v>
      </c>
      <c r="G235" s="1052" t="s">
        <v>1098</v>
      </c>
      <c r="H235" s="1031"/>
      <c r="I235" s="1032"/>
      <c r="J235" s="1032"/>
      <c r="K235" s="1032"/>
      <c r="L235" s="653" t="str">
        <f t="shared" si="197"/>
        <v>4761</v>
      </c>
      <c r="M235" s="654" t="str">
        <f t="shared" si="0"/>
        <v>VTE - P&amp;A VW COMPTOIR - DETAIL</v>
      </c>
      <c r="N235" s="655">
        <f>+IF(OR($Q235=Parametres!$G$2,$Q235=Parametres!$G$3),I235,C235)</f>
        <v>-193680.58</v>
      </c>
      <c r="O235" s="655">
        <f>+IF(OR($Q235=Parametres!$G$2,$Q235=Parametres!$G$3),J235,D235)</f>
        <v>-15141.81</v>
      </c>
      <c r="P235" s="655">
        <f>+IF(OR($Q235=Parametres!$G$2,$Q235=Parametres!$G$3),K235,E235)</f>
        <v>-208822.39</v>
      </c>
      <c r="Q235" s="654" t="str">
        <f t="shared" ref="Q235:S235" si="238">+F235</f>
        <v>5-Ventes</v>
      </c>
      <c r="R235" s="653" t="str">
        <f t="shared" si="238"/>
        <v>4761</v>
      </c>
      <c r="S235" s="654">
        <f t="shared" si="238"/>
        <v>0</v>
      </c>
      <c r="T235" s="656" t="str">
        <f>+VLOOKUP($L235,Data_Validation!$A:$D,1,0)</f>
        <v>4761</v>
      </c>
      <c r="U235" s="656" t="str">
        <f>+VLOOKUP($L235,Data_Validation!$A:$D,3,0)</f>
        <v>Pièces</v>
      </c>
      <c r="V235" s="656" t="str">
        <f>+VLOOKUP($L235,Data_Validation!$A:$D,4,0)</f>
        <v>Ventes Détails</v>
      </c>
      <c r="W235" s="656" t="str">
        <f>+VLOOKUP($L235,Data_Validation!$A:$E,5,0)</f>
        <v>$</v>
      </c>
      <c r="X235" s="656" t="str">
        <f>+VLOOKUP($L235,Data_Validation!$A:$F,6,0)</f>
        <v>Oui</v>
      </c>
    </row>
    <row r="236" spans="1:24" ht="15" customHeight="1">
      <c r="A236" s="1052" t="s">
        <v>1101</v>
      </c>
      <c r="B236" s="1052" t="s">
        <v>1102</v>
      </c>
      <c r="C236" s="1054">
        <v>-924658.91</v>
      </c>
      <c r="D236" s="1054">
        <v>-86945.99</v>
      </c>
      <c r="E236" s="1054">
        <v>-1011604.9</v>
      </c>
      <c r="F236" s="1052" t="s">
        <v>963</v>
      </c>
      <c r="G236" s="1052" t="s">
        <v>1102</v>
      </c>
      <c r="H236" s="1031"/>
      <c r="I236" s="1033"/>
      <c r="J236" s="1031"/>
      <c r="K236" s="1033"/>
      <c r="L236" s="653" t="str">
        <f t="shared" si="197"/>
        <v>4763</v>
      </c>
      <c r="M236" s="654" t="str">
        <f t="shared" si="0"/>
        <v>VTE - P&amp;A VW COMPTOIR GROS - ECHANGE</v>
      </c>
      <c r="N236" s="655">
        <f>+IF(OR($Q236=Parametres!$G$2,$Q236=Parametres!$G$3),I236,C236)</f>
        <v>-924658.91</v>
      </c>
      <c r="O236" s="655">
        <f>+IF(OR($Q236=Parametres!$G$2,$Q236=Parametres!$G$3),J236,D236)</f>
        <v>-86945.99</v>
      </c>
      <c r="P236" s="655">
        <f>+IF(OR($Q236=Parametres!$G$2,$Q236=Parametres!$G$3),K236,E236)</f>
        <v>-1011604.9</v>
      </c>
      <c r="Q236" s="654" t="str">
        <f t="shared" ref="Q236:S236" si="239">+F236</f>
        <v>5-Ventes</v>
      </c>
      <c r="R236" s="653" t="str">
        <f t="shared" si="239"/>
        <v>4763</v>
      </c>
      <c r="S236" s="654">
        <f t="shared" si="239"/>
        <v>0</v>
      </c>
      <c r="T236" s="656" t="str">
        <f>+VLOOKUP($L236,Data_Validation!$A:$D,1,0)</f>
        <v>4763</v>
      </c>
      <c r="U236" s="656" t="str">
        <f>+VLOOKUP($L236,Data_Validation!$A:$D,3,0)</f>
        <v>Pièces</v>
      </c>
      <c r="V236" s="656" t="str">
        <f>+VLOOKUP($L236,Data_Validation!$A:$D,4,0)</f>
        <v>Ventes de Gros</v>
      </c>
      <c r="W236" s="656" t="str">
        <f>+VLOOKUP($L236,Data_Validation!$A:$E,5,0)</f>
        <v>$</v>
      </c>
      <c r="X236" s="656" t="str">
        <f>+VLOOKUP($L236,Data_Validation!$A:$F,6,0)</f>
        <v>Oui</v>
      </c>
    </row>
    <row r="237" spans="1:24" ht="15" customHeight="1">
      <c r="A237" s="1052" t="s">
        <v>1105</v>
      </c>
      <c r="B237" s="1052" t="s">
        <v>1106</v>
      </c>
      <c r="C237" s="1054">
        <v>-467451.74</v>
      </c>
      <c r="D237" s="1054">
        <v>-52653.82</v>
      </c>
      <c r="E237" s="1054">
        <v>-520105.56</v>
      </c>
      <c r="F237" s="1052" t="s">
        <v>963</v>
      </c>
      <c r="G237" s="1052" t="s">
        <v>1106</v>
      </c>
      <c r="H237" s="1031"/>
      <c r="I237" s="1032"/>
      <c r="J237" s="1032"/>
      <c r="K237" s="1032"/>
      <c r="L237" s="653" t="str">
        <f t="shared" si="197"/>
        <v>4781</v>
      </c>
      <c r="M237" s="654" t="str">
        <f t="shared" si="0"/>
        <v>VENTES PNEUS</v>
      </c>
      <c r="N237" s="655">
        <f>+IF(OR($Q237=Parametres!$G$2,$Q237=Parametres!$G$3),I237,C237)</f>
        <v>-467451.74</v>
      </c>
      <c r="O237" s="655">
        <f>+IF(OR($Q237=Parametres!$G$2,$Q237=Parametres!$G$3),J237,D237)</f>
        <v>-52653.82</v>
      </c>
      <c r="P237" s="655">
        <f>+IF(OR($Q237=Parametres!$G$2,$Q237=Parametres!$G$3),K237,E237)</f>
        <v>-520105.56</v>
      </c>
      <c r="Q237" s="654" t="str">
        <f t="shared" ref="Q237:S237" si="240">+F237</f>
        <v>5-Ventes</v>
      </c>
      <c r="R237" s="653" t="str">
        <f t="shared" si="240"/>
        <v>4781</v>
      </c>
      <c r="S237" s="654">
        <f t="shared" si="240"/>
        <v>0</v>
      </c>
      <c r="T237" s="656" t="str">
        <f>+VLOOKUP($L237,Data_Validation!$A:$D,1,0)</f>
        <v>4781</v>
      </c>
      <c r="U237" s="656" t="str">
        <f>+VLOOKUP($L237,Data_Validation!$A:$D,3,0)</f>
        <v>Pièces</v>
      </c>
      <c r="V237" s="656" t="str">
        <f>+VLOOKUP($L237,Data_Validation!$A:$D,4,0)</f>
        <v>Ventes Pneus</v>
      </c>
      <c r="W237" s="656" t="str">
        <f>+VLOOKUP($L237,Data_Validation!$A:$E,5,0)</f>
        <v>$</v>
      </c>
      <c r="X237" s="656" t="str">
        <f>+VLOOKUP($L237,Data_Validation!$A:$F,6,0)</f>
        <v>Oui</v>
      </c>
    </row>
    <row r="238" spans="1:24" ht="15.75" customHeight="1">
      <c r="A238" s="1052" t="s">
        <v>1108</v>
      </c>
      <c r="B238" s="1052" t="s">
        <v>2050</v>
      </c>
      <c r="C238" s="1054">
        <v>-7308.02</v>
      </c>
      <c r="D238" s="1054">
        <v>-5238.8599999999997</v>
      </c>
      <c r="E238" s="1054">
        <v>-12546.88</v>
      </c>
      <c r="F238" s="1052" t="s">
        <v>963</v>
      </c>
      <c r="G238" s="1052" t="s">
        <v>1106</v>
      </c>
      <c r="H238" s="1031"/>
      <c r="I238" s="1033"/>
      <c r="J238" s="1031"/>
      <c r="K238" s="1033"/>
      <c r="L238" s="653" t="str">
        <f t="shared" si="197"/>
        <v>4785</v>
      </c>
      <c r="M238" s="654" t="str">
        <f t="shared" si="0"/>
        <v>VTE - VW PNEUS</v>
      </c>
      <c r="N238" s="655">
        <f>+IF(OR($Q238=Parametres!$G$2,$Q238=Parametres!$G$3),I238,C238)</f>
        <v>-7308.02</v>
      </c>
      <c r="O238" s="655">
        <f>+IF(OR($Q238=Parametres!$G$2,$Q238=Parametres!$G$3),J238,D238)</f>
        <v>-5238.8599999999997</v>
      </c>
      <c r="P238" s="655">
        <f>+IF(OR($Q238=Parametres!$G$2,$Q238=Parametres!$G$3),K238,E238)</f>
        <v>-12546.88</v>
      </c>
      <c r="Q238" s="654" t="str">
        <f t="shared" ref="Q238:S238" si="241">+F238</f>
        <v>5-Ventes</v>
      </c>
      <c r="R238" s="653" t="str">
        <f t="shared" si="241"/>
        <v>4781</v>
      </c>
      <c r="S238" s="654">
        <f t="shared" si="241"/>
        <v>0</v>
      </c>
      <c r="T238" s="656" t="str">
        <f>+VLOOKUP($L238,Data_Validation!$A:$D,1,0)</f>
        <v>4785</v>
      </c>
      <c r="U238" s="656" t="str">
        <f>+VLOOKUP($L238,Data_Validation!$A:$D,3,0)</f>
        <v>Pièces</v>
      </c>
      <c r="V238" s="656" t="str">
        <f>+VLOOKUP($L238,Data_Validation!$A:$D,4,0)</f>
        <v>Ventes Pneus</v>
      </c>
      <c r="W238" s="656" t="str">
        <f>+VLOOKUP($L238,Data_Validation!$A:$E,5,0)</f>
        <v>$</v>
      </c>
      <c r="X238" s="656" t="str">
        <f>+VLOOKUP($L238,Data_Validation!$A:$F,6,0)</f>
        <v>Oui</v>
      </c>
    </row>
    <row r="239" spans="1:24" ht="15" customHeight="1">
      <c r="A239" s="1052" t="s">
        <v>1109</v>
      </c>
      <c r="B239" s="1052" t="s">
        <v>2058</v>
      </c>
      <c r="C239" s="1054">
        <v>3936009.74</v>
      </c>
      <c r="D239" s="1054">
        <v>150643.4</v>
      </c>
      <c r="E239" s="1054">
        <v>4086653.14</v>
      </c>
      <c r="F239" s="1052" t="s">
        <v>1110</v>
      </c>
      <c r="G239" s="1052" t="s">
        <v>964</v>
      </c>
      <c r="H239" s="1031"/>
      <c r="I239" s="1032"/>
      <c r="J239" s="1032"/>
      <c r="K239" s="1032"/>
      <c r="L239" s="653" t="str">
        <f t="shared" si="197"/>
        <v>5100</v>
      </c>
      <c r="M239" s="654" t="str">
        <f t="shared" si="0"/>
        <v>C/V - RACHAT DE BAIL</v>
      </c>
      <c r="N239" s="655">
        <f>+IF(OR($Q239=Parametres!$G$2,$Q239=Parametres!$G$3),I239,C239)</f>
        <v>3936009.74</v>
      </c>
      <c r="O239" s="655">
        <f>+IF(OR($Q239=Parametres!$G$2,$Q239=Parametres!$G$3),J239,D239)</f>
        <v>150643.4</v>
      </c>
      <c r="P239" s="655">
        <f>+IF(OR($Q239=Parametres!$G$2,$Q239=Parametres!$G$3),K239,E239)</f>
        <v>4086653.14</v>
      </c>
      <c r="Q239" s="654" t="str">
        <f t="shared" ref="Q239:S239" si="242">+F239</f>
        <v>6-Coût des ventes</v>
      </c>
      <c r="R239" s="653" t="str">
        <f t="shared" si="242"/>
        <v>4100</v>
      </c>
      <c r="S239" s="654">
        <f t="shared" si="242"/>
        <v>0</v>
      </c>
      <c r="T239" s="656" t="str">
        <f>+VLOOKUP($L239,Data_Validation!$A:$D,1,0)</f>
        <v>5100</v>
      </c>
      <c r="U239" s="656" t="str">
        <f>+VLOOKUP($L239,Data_Validation!$A:$D,3,0)</f>
        <v>Véhicules neufs</v>
      </c>
      <c r="V239" s="656" t="str">
        <f>+VLOOKUP($L239,Data_Validation!$A:$D,4,0)</f>
        <v>Rachat bail</v>
      </c>
      <c r="W239" s="656" t="str">
        <f>+VLOOKUP($L239,Data_Validation!$A:$E,5,0)</f>
        <v>$</v>
      </c>
      <c r="X239" s="656">
        <f>+VLOOKUP($L239,Data_Validation!$A:$F,6,0)</f>
        <v>0</v>
      </c>
    </row>
    <row r="240" spans="1:24" ht="15" customHeight="1">
      <c r="A240" s="1052" t="s">
        <v>1111</v>
      </c>
      <c r="B240" s="1052" t="s">
        <v>2070</v>
      </c>
      <c r="C240" s="1054">
        <v>308970.82</v>
      </c>
      <c r="D240" s="1054">
        <v>0</v>
      </c>
      <c r="E240" s="1054">
        <v>308970.82</v>
      </c>
      <c r="F240" s="1052" t="s">
        <v>1110</v>
      </c>
      <c r="G240" s="1052" t="s">
        <v>968</v>
      </c>
      <c r="H240" s="1031"/>
      <c r="I240" s="1033"/>
      <c r="J240" s="1031"/>
      <c r="K240" s="1033"/>
      <c r="L240" s="653" t="str">
        <f t="shared" si="197"/>
        <v>5109</v>
      </c>
      <c r="M240" s="654" t="str">
        <f t="shared" si="0"/>
        <v>C/V - GOLF R</v>
      </c>
      <c r="N240" s="655">
        <f>+IF(OR($Q240=Parametres!$G$2,$Q240=Parametres!$G$3),I240,C240)</f>
        <v>308970.82</v>
      </c>
      <c r="O240" s="655">
        <f>+IF(OR($Q240=Parametres!$G$2,$Q240=Parametres!$G$3),J240,D240)</f>
        <v>0</v>
      </c>
      <c r="P240" s="655">
        <f>+IF(OR($Q240=Parametres!$G$2,$Q240=Parametres!$G$3),K240,E240)</f>
        <v>308970.82</v>
      </c>
      <c r="Q240" s="654" t="str">
        <f t="shared" ref="Q240:S240" si="243">+F240</f>
        <v>6-Coût des ventes</v>
      </c>
      <c r="R240" s="653" t="str">
        <f t="shared" si="243"/>
        <v>4109</v>
      </c>
      <c r="S240" s="654">
        <f t="shared" si="243"/>
        <v>0</v>
      </c>
      <c r="T240" s="656" t="str">
        <f>+VLOOKUP($L240,Data_Validation!$A:$D,1,0)</f>
        <v>5109</v>
      </c>
      <c r="U240" s="656" t="str">
        <f>+VLOOKUP($L240,Data_Validation!$A:$D,3,0)</f>
        <v>Véhicules neufs</v>
      </c>
      <c r="V240" s="656" t="str">
        <f>+VLOOKUP($L240,Data_Validation!$A:$D,4,0)</f>
        <v>Autos détail</v>
      </c>
      <c r="W240" s="656" t="str">
        <f>+VLOOKUP($L240,Data_Validation!$A:$E,5,0)</f>
        <v>$</v>
      </c>
      <c r="X240" s="656">
        <f>+VLOOKUP($L240,Data_Validation!$A:$F,6,0)</f>
        <v>0</v>
      </c>
    </row>
    <row r="241" spans="1:24" ht="15" customHeight="1">
      <c r="A241" s="1052" t="s">
        <v>971</v>
      </c>
      <c r="B241" s="1052" t="s">
        <v>2075</v>
      </c>
      <c r="C241" s="1054">
        <v>1391371.97</v>
      </c>
      <c r="D241" s="1054">
        <v>200240.03</v>
      </c>
      <c r="E241" s="1054">
        <v>1591612</v>
      </c>
      <c r="F241" s="1052" t="s">
        <v>1110</v>
      </c>
      <c r="G241" s="1052" t="s">
        <v>972</v>
      </c>
      <c r="H241" s="1031"/>
      <c r="I241" s="1032"/>
      <c r="J241" s="1032"/>
      <c r="K241" s="1032"/>
      <c r="L241" s="653" t="str">
        <f t="shared" si="197"/>
        <v>5111</v>
      </c>
      <c r="M241" s="654" t="str">
        <f t="shared" si="0"/>
        <v>JETTA/ JETTA GLI</v>
      </c>
      <c r="N241" s="655">
        <f>+IF(OR($Q241=Parametres!$G$2,$Q241=Parametres!$G$3),I241,C241)</f>
        <v>1391371.97</v>
      </c>
      <c r="O241" s="655">
        <f>+IF(OR($Q241=Parametres!$G$2,$Q241=Parametres!$G$3),J241,D241)</f>
        <v>200240.03</v>
      </c>
      <c r="P241" s="655">
        <f>+IF(OR($Q241=Parametres!$G$2,$Q241=Parametres!$G$3),K241,E241)</f>
        <v>1591612</v>
      </c>
      <c r="Q241" s="654" t="str">
        <f t="shared" ref="Q241:S241" si="244">+F241</f>
        <v>6-Coût des ventes</v>
      </c>
      <c r="R241" s="653" t="str">
        <f t="shared" si="244"/>
        <v>4111</v>
      </c>
      <c r="S241" s="654">
        <f t="shared" si="244"/>
        <v>0</v>
      </c>
      <c r="T241" s="656" t="str">
        <f>+VLOOKUP($L241,Data_Validation!$A:$D,1,0)</f>
        <v>5111</v>
      </c>
      <c r="U241" s="656" t="str">
        <f>+VLOOKUP($L241,Data_Validation!$A:$D,3,0)</f>
        <v>Véhicules neufs</v>
      </c>
      <c r="V241" s="656" t="str">
        <f>+VLOOKUP($L241,Data_Validation!$A:$D,4,0)</f>
        <v>Autos détail</v>
      </c>
      <c r="W241" s="656" t="str">
        <f>+VLOOKUP($L241,Data_Validation!$A:$E,5,0)</f>
        <v>$</v>
      </c>
      <c r="X241" s="656">
        <f>+VLOOKUP($L241,Data_Validation!$A:$F,6,0)</f>
        <v>0</v>
      </c>
    </row>
    <row r="242" spans="1:24" ht="15" customHeight="1">
      <c r="A242" s="1052" t="s">
        <v>1112</v>
      </c>
      <c r="B242" s="1052" t="s">
        <v>3384</v>
      </c>
      <c r="C242" s="1054">
        <v>3590111.14</v>
      </c>
      <c r="D242" s="1054">
        <v>73816.33</v>
      </c>
      <c r="E242" s="1054">
        <v>3663927.47</v>
      </c>
      <c r="F242" s="1052" t="s">
        <v>1110</v>
      </c>
      <c r="G242" s="1052" t="s">
        <v>1113</v>
      </c>
      <c r="H242" s="1031"/>
      <c r="I242" s="1032"/>
      <c r="J242" s="1032"/>
      <c r="K242" s="1032"/>
      <c r="L242" s="653" t="str">
        <f t="shared" si="197"/>
        <v>5118</v>
      </c>
      <c r="M242" s="654" t="str">
        <f t="shared" si="0"/>
        <v>C/V - TAOS</v>
      </c>
      <c r="N242" s="655">
        <f>+IF(OR($Q242=Parametres!$G$2,$Q242=Parametres!$G$3),I242,C242)</f>
        <v>3590111.14</v>
      </c>
      <c r="O242" s="655">
        <f>+IF(OR($Q242=Parametres!$G$2,$Q242=Parametres!$G$3),J242,D242)</f>
        <v>73816.33</v>
      </c>
      <c r="P242" s="655">
        <f>+IF(OR($Q242=Parametres!$G$2,$Q242=Parametres!$G$3),K242,E242)</f>
        <v>3663927.47</v>
      </c>
      <c r="Q242" s="654" t="str">
        <f t="shared" ref="Q242:S242" si="245">+F242</f>
        <v>6-Coût des ventes</v>
      </c>
      <c r="R242" s="653" t="str">
        <f t="shared" si="245"/>
        <v>511</v>
      </c>
      <c r="S242" s="654">
        <f t="shared" si="245"/>
        <v>0</v>
      </c>
      <c r="T242" s="656" t="str">
        <f>+VLOOKUP($L242,Data_Validation!$A:$D,1,0)</f>
        <v>5118</v>
      </c>
      <c r="U242" s="656" t="str">
        <f>+VLOOKUP($L242,Data_Validation!$A:$D,3,0)</f>
        <v>Véhicules neufs</v>
      </c>
      <c r="V242" s="656" t="str">
        <f>+VLOOKUP($L242,Data_Validation!$A:$D,4,0)</f>
        <v>Camions détail</v>
      </c>
      <c r="W242" s="656" t="str">
        <f>+VLOOKUP($L242,Data_Validation!$A:$E,5,0)</f>
        <v>$</v>
      </c>
      <c r="X242" s="656">
        <f>+VLOOKUP($L242,Data_Validation!$A:$F,6,0)</f>
        <v>0</v>
      </c>
    </row>
    <row r="243" spans="1:24" ht="15.75" customHeight="1">
      <c r="A243" s="1052" t="s">
        <v>1114</v>
      </c>
      <c r="B243" s="1052" t="s">
        <v>2084</v>
      </c>
      <c r="C243" s="1054">
        <v>3579760.93</v>
      </c>
      <c r="D243" s="1054">
        <v>114585.37</v>
      </c>
      <c r="E243" s="1054">
        <v>3694346.3</v>
      </c>
      <c r="F243" s="1052" t="s">
        <v>1110</v>
      </c>
      <c r="G243" s="1052" t="s">
        <v>980</v>
      </c>
      <c r="H243" s="1031"/>
      <c r="I243" s="1032"/>
      <c r="J243" s="1032"/>
      <c r="K243" s="1032"/>
      <c r="L243" s="653" t="str">
        <f t="shared" si="197"/>
        <v>5119</v>
      </c>
      <c r="M243" s="654" t="str">
        <f t="shared" si="0"/>
        <v>C/V - ATLAS</v>
      </c>
      <c r="N243" s="655">
        <f>+IF(OR($Q243=Parametres!$G$2,$Q243=Parametres!$G$3),I243,C243)</f>
        <v>3579760.93</v>
      </c>
      <c r="O243" s="655">
        <f>+IF(OR($Q243=Parametres!$G$2,$Q243=Parametres!$G$3),J243,D243)</f>
        <v>114585.37</v>
      </c>
      <c r="P243" s="655">
        <f>+IF(OR($Q243=Parametres!$G$2,$Q243=Parametres!$G$3),K243,E243)</f>
        <v>3694346.3</v>
      </c>
      <c r="Q243" s="654" t="str">
        <f t="shared" ref="Q243:S243" si="246">+F243</f>
        <v>6-Coût des ventes</v>
      </c>
      <c r="R243" s="653" t="str">
        <f t="shared" si="246"/>
        <v>4119</v>
      </c>
      <c r="S243" s="654">
        <f t="shared" si="246"/>
        <v>0</v>
      </c>
      <c r="T243" s="656" t="str">
        <f>+VLOOKUP($L243,Data_Validation!$A:$D,1,0)</f>
        <v>5119</v>
      </c>
      <c r="U243" s="656" t="str">
        <f>+VLOOKUP($L243,Data_Validation!$A:$D,3,0)</f>
        <v>Véhicules neufs</v>
      </c>
      <c r="V243" s="656" t="str">
        <f>+VLOOKUP($L243,Data_Validation!$A:$D,4,0)</f>
        <v>Camions détail</v>
      </c>
      <c r="W243" s="656" t="str">
        <f>+VLOOKUP($L243,Data_Validation!$A:$E,5,0)</f>
        <v>$</v>
      </c>
      <c r="X243" s="656">
        <f>+VLOOKUP($L243,Data_Validation!$A:$F,6,0)</f>
        <v>0</v>
      </c>
    </row>
    <row r="244" spans="1:24" ht="15" customHeight="1">
      <c r="A244" s="1052" t="s">
        <v>1115</v>
      </c>
      <c r="B244" s="1052" t="s">
        <v>3385</v>
      </c>
      <c r="C244" s="1054">
        <v>126137.85</v>
      </c>
      <c r="D244" s="1054">
        <v>0</v>
      </c>
      <c r="E244" s="1054">
        <v>126137.85</v>
      </c>
      <c r="F244" s="1052" t="s">
        <v>1110</v>
      </c>
      <c r="G244" s="1052" t="s">
        <v>3349</v>
      </c>
      <c r="H244" s="1031"/>
      <c r="I244" s="1032"/>
      <c r="J244" s="1032"/>
      <c r="K244" s="1032"/>
      <c r="L244" s="653" t="str">
        <f t="shared" si="197"/>
        <v>5121</v>
      </c>
      <c r="M244" s="654" t="str">
        <f t="shared" si="0"/>
        <v>C/V - ATLAS CROSS SPORT</v>
      </c>
      <c r="N244" s="655">
        <f>+IF(OR($Q244=Parametres!$G$2,$Q244=Parametres!$G$3),I244,C244)</f>
        <v>126137.85</v>
      </c>
      <c r="O244" s="655">
        <f>+IF(OR($Q244=Parametres!$G$2,$Q244=Parametres!$G$3),J244,D244)</f>
        <v>0</v>
      </c>
      <c r="P244" s="655">
        <f>+IF(OR($Q244=Parametres!$G$2,$Q244=Parametres!$G$3),K244,E244)</f>
        <v>126137.85</v>
      </c>
      <c r="Q244" s="654" t="str">
        <f t="shared" ref="Q244:S244" si="247">+F244</f>
        <v>6-Coût des ventes</v>
      </c>
      <c r="R244" s="653" t="str">
        <f t="shared" si="247"/>
        <v>4121</v>
      </c>
      <c r="S244" s="654">
        <f t="shared" si="247"/>
        <v>0</v>
      </c>
      <c r="T244" s="656" t="str">
        <f>+VLOOKUP($L244,Data_Validation!$A:$D,1,0)</f>
        <v>5121</v>
      </c>
      <c r="U244" s="656" t="str">
        <f>+VLOOKUP($L244,Data_Validation!$A:$D,3,0)</f>
        <v>Véhicules neufs</v>
      </c>
      <c r="V244" s="656" t="str">
        <f>+VLOOKUP($L244,Data_Validation!$A:$D,4,0)</f>
        <v>Camions détail</v>
      </c>
      <c r="W244" s="656" t="str">
        <f>+VLOOKUP($L244,Data_Validation!$A:$E,5,0)</f>
        <v>$</v>
      </c>
      <c r="X244" s="656">
        <f>+VLOOKUP($L244,Data_Validation!$A:$F,6,0)</f>
        <v>0</v>
      </c>
    </row>
    <row r="245" spans="1:24" ht="15" customHeight="1">
      <c r="A245" s="1052" t="s">
        <v>1116</v>
      </c>
      <c r="B245" s="1052" t="s">
        <v>2090</v>
      </c>
      <c r="C245" s="1054">
        <v>700204.34</v>
      </c>
      <c r="D245" s="1054">
        <v>0</v>
      </c>
      <c r="E245" s="1054">
        <v>700204.34</v>
      </c>
      <c r="F245" s="1052" t="s">
        <v>1110</v>
      </c>
      <c r="G245" s="1052" t="s">
        <v>987</v>
      </c>
      <c r="H245" s="1031"/>
      <c r="I245" s="1032"/>
      <c r="J245" s="1032"/>
      <c r="K245" s="1032"/>
      <c r="L245" s="653" t="str">
        <f t="shared" si="197"/>
        <v>5127</v>
      </c>
      <c r="M245" s="654" t="str">
        <f t="shared" si="0"/>
        <v>C/V - GOLF GTI</v>
      </c>
      <c r="N245" s="655">
        <f>+IF(OR($Q245=Parametres!$G$2,$Q245=Parametres!$G$3),I245,C245)</f>
        <v>700204.34</v>
      </c>
      <c r="O245" s="655">
        <f>+IF(OR($Q245=Parametres!$G$2,$Q245=Parametres!$G$3),J245,D245)</f>
        <v>0</v>
      </c>
      <c r="P245" s="655">
        <f>+IF(OR($Q245=Parametres!$G$2,$Q245=Parametres!$G$3),K245,E245)</f>
        <v>700204.34</v>
      </c>
      <c r="Q245" s="654" t="str">
        <f t="shared" ref="Q245:S245" si="248">+F245</f>
        <v>6-Coût des ventes</v>
      </c>
      <c r="R245" s="653" t="str">
        <f t="shared" si="248"/>
        <v>4127</v>
      </c>
      <c r="S245" s="654">
        <f t="shared" si="248"/>
        <v>0</v>
      </c>
      <c r="T245" s="656" t="str">
        <f>+VLOOKUP($L245,Data_Validation!$A:$D,1,0)</f>
        <v>5127</v>
      </c>
      <c r="U245" s="656" t="str">
        <f>+VLOOKUP($L245,Data_Validation!$A:$D,3,0)</f>
        <v>Véhicules neufs</v>
      </c>
      <c r="V245" s="656" t="str">
        <f>+VLOOKUP($L245,Data_Validation!$A:$D,4,0)</f>
        <v>Autos détail</v>
      </c>
      <c r="W245" s="656" t="str">
        <f>+VLOOKUP($L245,Data_Validation!$A:$E,5,0)</f>
        <v>$</v>
      </c>
      <c r="X245" s="656">
        <f>+VLOOKUP($L245,Data_Validation!$A:$F,6,0)</f>
        <v>0</v>
      </c>
    </row>
    <row r="246" spans="1:24" ht="15" customHeight="1">
      <c r="A246" s="1052" t="s">
        <v>1117</v>
      </c>
      <c r="B246" s="1052" t="s">
        <v>2093</v>
      </c>
      <c r="C246" s="1054">
        <v>7127981.9500000002</v>
      </c>
      <c r="D246" s="1054">
        <v>1002585.66</v>
      </c>
      <c r="E246" s="1054">
        <v>8130567.6100000003</v>
      </c>
      <c r="F246" s="1052" t="s">
        <v>1110</v>
      </c>
      <c r="G246" s="1052" t="s">
        <v>991</v>
      </c>
      <c r="H246" s="1031"/>
      <c r="I246" s="1032"/>
      <c r="J246" s="1032"/>
      <c r="K246" s="1032"/>
      <c r="L246" s="653" t="str">
        <f t="shared" si="197"/>
        <v>5131</v>
      </c>
      <c r="M246" s="654" t="str">
        <f t="shared" si="0"/>
        <v>C/V - TIGUAN LWB</v>
      </c>
      <c r="N246" s="655">
        <f>+IF(OR($Q246=Parametres!$G$2,$Q246=Parametres!$G$3),I246,C246)</f>
        <v>7127981.9500000002</v>
      </c>
      <c r="O246" s="655">
        <f>+IF(OR($Q246=Parametres!$G$2,$Q246=Parametres!$G$3),J246,D246)</f>
        <v>1002585.66</v>
      </c>
      <c r="P246" s="655">
        <f>+IF(OR($Q246=Parametres!$G$2,$Q246=Parametres!$G$3),K246,E246)</f>
        <v>8130567.6100000003</v>
      </c>
      <c r="Q246" s="654" t="str">
        <f t="shared" ref="Q246:S246" si="249">+F246</f>
        <v>6-Coût des ventes</v>
      </c>
      <c r="R246" s="653" t="str">
        <f t="shared" si="249"/>
        <v>4131</v>
      </c>
      <c r="S246" s="654">
        <f t="shared" si="249"/>
        <v>0</v>
      </c>
      <c r="T246" s="656" t="str">
        <f>+VLOOKUP($L246,Data_Validation!$A:$D,1,0)</f>
        <v>5131</v>
      </c>
      <c r="U246" s="656" t="str">
        <f>+VLOOKUP($L246,Data_Validation!$A:$D,3,0)</f>
        <v>Véhicules neufs</v>
      </c>
      <c r="V246" s="656" t="str">
        <f>+VLOOKUP($L246,Data_Validation!$A:$D,4,0)</f>
        <v>Camions détail</v>
      </c>
      <c r="W246" s="656" t="str">
        <f>+VLOOKUP($L246,Data_Validation!$A:$E,5,0)</f>
        <v>$</v>
      </c>
      <c r="X246" s="656">
        <f>+VLOOKUP($L246,Data_Validation!$A:$F,6,0)</f>
        <v>0</v>
      </c>
    </row>
    <row r="247" spans="1:24" ht="15.75" customHeight="1">
      <c r="A247" s="1052" t="s">
        <v>1118</v>
      </c>
      <c r="B247" s="1052" t="s">
        <v>2099</v>
      </c>
      <c r="C247" s="1054">
        <v>612020.26</v>
      </c>
      <c r="D247" s="1054">
        <v>0</v>
      </c>
      <c r="E247" s="1054">
        <v>612020.26</v>
      </c>
      <c r="F247" s="1052" t="s">
        <v>1110</v>
      </c>
      <c r="G247" s="1052" t="s">
        <v>995</v>
      </c>
      <c r="H247" s="1031"/>
      <c r="I247" s="1032"/>
      <c r="J247" s="1032"/>
      <c r="K247" s="1032"/>
      <c r="L247" s="653" t="str">
        <f t="shared" si="197"/>
        <v>5137</v>
      </c>
      <c r="M247" s="654" t="str">
        <f t="shared" si="0"/>
        <v>C/V - VW FLOTTE/VENTE ENTR/EMPLOYE/VEH DEMONS</v>
      </c>
      <c r="N247" s="655">
        <f>+IF(OR($Q247=Parametres!$G$2,$Q247=Parametres!$G$3),I247,C247)</f>
        <v>612020.26</v>
      </c>
      <c r="O247" s="655">
        <f>+IF(OR($Q247=Parametres!$G$2,$Q247=Parametres!$G$3),J247,D247)</f>
        <v>0</v>
      </c>
      <c r="P247" s="655">
        <f>+IF(OR($Q247=Parametres!$G$2,$Q247=Parametres!$G$3),K247,E247)</f>
        <v>612020.26</v>
      </c>
      <c r="Q247" s="654" t="str">
        <f t="shared" ref="Q247:S247" si="250">+F247</f>
        <v>6-Coût des ventes</v>
      </c>
      <c r="R247" s="653" t="str">
        <f t="shared" si="250"/>
        <v>4137</v>
      </c>
      <c r="S247" s="654">
        <f t="shared" si="250"/>
        <v>0</v>
      </c>
      <c r="T247" s="656" t="str">
        <f>+VLOOKUP($L247,Data_Validation!$A:$D,1,0)</f>
        <v>5137</v>
      </c>
      <c r="U247" s="656" t="str">
        <f>+VLOOKUP($L247,Data_Validation!$A:$D,3,0)</f>
        <v>Véhicules neufs</v>
      </c>
      <c r="V247" s="656" t="str">
        <f>+VLOOKUP($L247,Data_Validation!$A:$D,4,0)</f>
        <v>Flottes</v>
      </c>
      <c r="W247" s="656" t="str">
        <f>+VLOOKUP($L247,Data_Validation!$A:$E,5,0)</f>
        <v>$</v>
      </c>
      <c r="X247" s="656">
        <f>+VLOOKUP($L247,Data_Validation!$A:$F,6,0)</f>
        <v>0</v>
      </c>
    </row>
    <row r="248" spans="1:24" ht="15" customHeight="1">
      <c r="A248" s="1052" t="s">
        <v>1118</v>
      </c>
      <c r="B248" s="1052" t="s">
        <v>2102</v>
      </c>
      <c r="C248" s="1054">
        <v>1495822.7</v>
      </c>
      <c r="D248" s="1054">
        <v>88846.22</v>
      </c>
      <c r="E248" s="1054">
        <v>1584668.92</v>
      </c>
      <c r="F248" s="1052" t="s">
        <v>1110</v>
      </c>
      <c r="G248" s="1052" t="s">
        <v>999</v>
      </c>
      <c r="H248" s="1031"/>
      <c r="I248" s="1032"/>
      <c r="J248" s="1032"/>
      <c r="K248" s="1032"/>
      <c r="L248" s="653" t="str">
        <f t="shared" si="197"/>
        <v>5139</v>
      </c>
      <c r="M248" s="654" t="str">
        <f t="shared" si="0"/>
        <v>C/V - VW FLOTTE/VENTE ENTR/EMPLOYE/VEH DEMONS</v>
      </c>
      <c r="N248" s="655">
        <f>+IF(OR($Q248=Parametres!$G$2,$Q248=Parametres!$G$3),I248,C248)</f>
        <v>1495822.7</v>
      </c>
      <c r="O248" s="655">
        <f>+IF(OR($Q248=Parametres!$G$2,$Q248=Parametres!$G$3),J248,D248)</f>
        <v>88846.22</v>
      </c>
      <c r="P248" s="655">
        <f>+IF(OR($Q248=Parametres!$G$2,$Q248=Parametres!$G$3),K248,E248)</f>
        <v>1584668.92</v>
      </c>
      <c r="Q248" s="654" t="str">
        <f t="shared" ref="Q248:S248" si="251">+F248</f>
        <v>6-Coût des ventes</v>
      </c>
      <c r="R248" s="653" t="str">
        <f t="shared" si="251"/>
        <v>4139</v>
      </c>
      <c r="S248" s="654">
        <f t="shared" si="251"/>
        <v>0</v>
      </c>
      <c r="T248" s="656" t="str">
        <f>+VLOOKUP($L248,Data_Validation!$A:$D,1,0)</f>
        <v>5139</v>
      </c>
      <c r="U248" s="656" t="str">
        <f>+VLOOKUP($L248,Data_Validation!$A:$D,3,0)</f>
        <v>Véhicules neufs</v>
      </c>
      <c r="V248" s="656" t="str">
        <f>+VLOOKUP($L248,Data_Validation!$A:$D,4,0)</f>
        <v>Ex-Démos et courtoisies</v>
      </c>
      <c r="W248" s="656" t="str">
        <f>+VLOOKUP($L248,Data_Validation!$A:$E,5,0)</f>
        <v>$</v>
      </c>
      <c r="X248" s="656">
        <f>+VLOOKUP($L248,Data_Validation!$A:$F,6,0)</f>
        <v>0</v>
      </c>
    </row>
    <row r="249" spans="1:24" ht="15" customHeight="1">
      <c r="A249" s="1052" t="s">
        <v>1119</v>
      </c>
      <c r="B249" s="1052" t="s">
        <v>3386</v>
      </c>
      <c r="C249" s="1054">
        <v>638243.43999999994</v>
      </c>
      <c r="D249" s="1054">
        <v>0</v>
      </c>
      <c r="E249" s="1054">
        <v>638243.43999999994</v>
      </c>
      <c r="F249" s="1052" t="s">
        <v>1110</v>
      </c>
      <c r="G249" s="1052" t="s">
        <v>1120</v>
      </c>
      <c r="H249" s="1031"/>
      <c r="I249" s="1032"/>
      <c r="J249" s="1032"/>
      <c r="K249" s="1032"/>
      <c r="L249" s="653" t="str">
        <f t="shared" si="197"/>
        <v>5144</v>
      </c>
      <c r="M249" s="654" t="str">
        <f t="shared" si="0"/>
        <v>C/V - JETTA GLI</v>
      </c>
      <c r="N249" s="655">
        <f>+IF(OR($Q249=Parametres!$G$2,$Q249=Parametres!$G$3),I249,C249)</f>
        <v>638243.43999999994</v>
      </c>
      <c r="O249" s="655">
        <f>+IF(OR($Q249=Parametres!$G$2,$Q249=Parametres!$G$3),J249,D249)</f>
        <v>0</v>
      </c>
      <c r="P249" s="655">
        <f>+IF(OR($Q249=Parametres!$G$2,$Q249=Parametres!$G$3),K249,E249)</f>
        <v>638243.43999999994</v>
      </c>
      <c r="Q249" s="654" t="str">
        <f t="shared" ref="Q249:S249" si="252">+F249</f>
        <v>6-Coût des ventes</v>
      </c>
      <c r="R249" s="653" t="str">
        <f t="shared" si="252"/>
        <v>514</v>
      </c>
      <c r="S249" s="654">
        <f t="shared" si="252"/>
        <v>0</v>
      </c>
      <c r="T249" s="656" t="str">
        <f>+VLOOKUP($L249,Data_Validation!$A:$D,1,0)</f>
        <v>5144</v>
      </c>
      <c r="U249" s="656" t="str">
        <f>+VLOOKUP($L249,Data_Validation!$A:$D,3,0)</f>
        <v>Véhicules neufs</v>
      </c>
      <c r="V249" s="656" t="str">
        <f>+VLOOKUP($L249,Data_Validation!$A:$D,4,0)</f>
        <v>Autos détail</v>
      </c>
      <c r="W249" s="656" t="str">
        <f>+VLOOKUP($L249,Data_Validation!$A:$E,5,0)</f>
        <v>$</v>
      </c>
      <c r="X249" s="656">
        <f>+VLOOKUP($L249,Data_Validation!$A:$F,6,0)</f>
        <v>0</v>
      </c>
    </row>
    <row r="250" spans="1:24" ht="15" customHeight="1">
      <c r="A250" s="1052" t="s">
        <v>1121</v>
      </c>
      <c r="B250" s="1052" t="s">
        <v>2113</v>
      </c>
      <c r="C250" s="1054">
        <v>8252786.2000000002</v>
      </c>
      <c r="D250" s="1054">
        <v>543756.91</v>
      </c>
      <c r="E250" s="1054">
        <v>8796543.1099999994</v>
      </c>
      <c r="F250" s="1052" t="s">
        <v>1110</v>
      </c>
      <c r="G250" s="1052" t="s">
        <v>1007</v>
      </c>
      <c r="H250" s="1031"/>
      <c r="I250" s="1032"/>
      <c r="J250" s="1032"/>
      <c r="K250" s="1032"/>
      <c r="L250" s="653" t="str">
        <f t="shared" si="197"/>
        <v>5201</v>
      </c>
      <c r="M250" s="654" t="str">
        <f t="shared" si="0"/>
        <v>C/V - VEH.USAGE VW DETAIL CERTIFIE</v>
      </c>
      <c r="N250" s="655">
        <f>+IF(OR($Q250=Parametres!$G$2,$Q250=Parametres!$G$3),I250,C250)</f>
        <v>8252786.2000000002</v>
      </c>
      <c r="O250" s="655">
        <f>+IF(OR($Q250=Parametres!$G$2,$Q250=Parametres!$G$3),J250,D250)</f>
        <v>543756.91</v>
      </c>
      <c r="P250" s="655">
        <f>+IF(OR($Q250=Parametres!$G$2,$Q250=Parametres!$G$3),K250,E250)</f>
        <v>8796543.1099999994</v>
      </c>
      <c r="Q250" s="654" t="str">
        <f t="shared" ref="Q250:S250" si="253">+F250</f>
        <v>6-Coût des ventes</v>
      </c>
      <c r="R250" s="653" t="str">
        <f t="shared" si="253"/>
        <v>4201</v>
      </c>
      <c r="S250" s="654">
        <f t="shared" si="253"/>
        <v>0</v>
      </c>
      <c r="T250" s="656" t="str">
        <f>+VLOOKUP($L250,Data_Validation!$A:$D,1,0)</f>
        <v>5201</v>
      </c>
      <c r="U250" s="656" t="str">
        <f>+VLOOKUP($L250,Data_Validation!$A:$D,3,0)</f>
        <v>Véhicules usagés</v>
      </c>
      <c r="V250" s="656" t="str">
        <f>+VLOOKUP($L250,Data_Validation!$A:$D,4,0)</f>
        <v>Certifié</v>
      </c>
      <c r="W250" s="656" t="str">
        <f>+VLOOKUP($L250,Data_Validation!$A:$E,5,0)</f>
        <v>$</v>
      </c>
      <c r="X250" s="656">
        <f>+VLOOKUP($L250,Data_Validation!$A:$F,6,0)</f>
        <v>0</v>
      </c>
    </row>
    <row r="251" spans="1:24" ht="15" customHeight="1">
      <c r="A251" s="1052" t="s">
        <v>1122</v>
      </c>
      <c r="B251" s="1052" t="s">
        <v>2116</v>
      </c>
      <c r="C251" s="1054">
        <v>680296.63</v>
      </c>
      <c r="D251" s="1054">
        <v>46014.91</v>
      </c>
      <c r="E251" s="1054">
        <v>726311.54</v>
      </c>
      <c r="F251" s="1052" t="s">
        <v>1110</v>
      </c>
      <c r="G251" s="1052" t="s">
        <v>1007</v>
      </c>
      <c r="H251" s="1031"/>
      <c r="I251" s="1032"/>
      <c r="J251" s="1032"/>
      <c r="K251" s="1032"/>
      <c r="L251" s="653" t="str">
        <f t="shared" si="197"/>
        <v>5203</v>
      </c>
      <c r="M251" s="654" t="str">
        <f t="shared" si="0"/>
        <v>C/V - RECOND USAGE VW CERT.</v>
      </c>
      <c r="N251" s="655">
        <f>+IF(OR($Q251=Parametres!$G$2,$Q251=Parametres!$G$3),I251,C251)</f>
        <v>680296.63</v>
      </c>
      <c r="O251" s="655">
        <f>+IF(OR($Q251=Parametres!$G$2,$Q251=Parametres!$G$3),J251,D251)</f>
        <v>46014.91</v>
      </c>
      <c r="P251" s="655">
        <f>+IF(OR($Q251=Parametres!$G$2,$Q251=Parametres!$G$3),K251,E251)</f>
        <v>726311.54</v>
      </c>
      <c r="Q251" s="654" t="str">
        <f t="shared" ref="Q251:S251" si="254">+F251</f>
        <v>6-Coût des ventes</v>
      </c>
      <c r="R251" s="653" t="str">
        <f t="shared" si="254"/>
        <v>4201</v>
      </c>
      <c r="S251" s="654">
        <f t="shared" si="254"/>
        <v>0</v>
      </c>
      <c r="T251" s="656" t="str">
        <f>+VLOOKUP($L251,Data_Validation!$A:$D,1,0)</f>
        <v>5203</v>
      </c>
      <c r="U251" s="656" t="str">
        <f>+VLOOKUP($L251,Data_Validation!$A:$D,3,0)</f>
        <v>Véhicules usagés</v>
      </c>
      <c r="V251" s="656" t="str">
        <f>+VLOOKUP($L251,Data_Validation!$A:$D,4,0)</f>
        <v>Certifié</v>
      </c>
      <c r="W251" s="656" t="str">
        <f>+VLOOKUP($L251,Data_Validation!$A:$E,5,0)</f>
        <v>$</v>
      </c>
      <c r="X251" s="656">
        <f>+VLOOKUP($L251,Data_Validation!$A:$F,6,0)</f>
        <v>0</v>
      </c>
    </row>
    <row r="252" spans="1:24" ht="15.75" customHeight="1">
      <c r="A252" s="1052" t="s">
        <v>1123</v>
      </c>
      <c r="B252" s="1052" t="s">
        <v>2122</v>
      </c>
      <c r="C252" s="1054">
        <v>0</v>
      </c>
      <c r="D252" s="1054">
        <v>20600</v>
      </c>
      <c r="E252" s="1054">
        <v>20600</v>
      </c>
      <c r="F252" s="1052" t="s">
        <v>1110</v>
      </c>
      <c r="G252" s="1052" t="s">
        <v>1011</v>
      </c>
      <c r="H252" s="1031"/>
      <c r="I252" s="1032"/>
      <c r="J252" s="1032"/>
      <c r="K252" s="1032"/>
      <c r="L252" s="653" t="str">
        <f t="shared" si="197"/>
        <v>5211</v>
      </c>
      <c r="M252" s="654" t="str">
        <f t="shared" si="0"/>
        <v>C/V - VW USAGES DETAIL</v>
      </c>
      <c r="N252" s="655">
        <f>+IF(OR($Q252=Parametres!$G$2,$Q252=Parametres!$G$3),I252,C252)</f>
        <v>0</v>
      </c>
      <c r="O252" s="655">
        <f>+IF(OR($Q252=Parametres!$G$2,$Q252=Parametres!$G$3),J252,D252)</f>
        <v>20600</v>
      </c>
      <c r="P252" s="655">
        <f>+IF(OR($Q252=Parametres!$G$2,$Q252=Parametres!$G$3),K252,E252)</f>
        <v>20600</v>
      </c>
      <c r="Q252" s="654" t="str">
        <f t="shared" ref="Q252:S252" si="255">+F252</f>
        <v>6-Coût des ventes</v>
      </c>
      <c r="R252" s="653" t="str">
        <f t="shared" si="255"/>
        <v>4211</v>
      </c>
      <c r="S252" s="654">
        <f t="shared" si="255"/>
        <v>0</v>
      </c>
      <c r="T252" s="656" t="str">
        <f>+VLOOKUP($L252,Data_Validation!$A:$D,1,0)</f>
        <v>5211</v>
      </c>
      <c r="U252" s="656" t="str">
        <f>+VLOOKUP($L252,Data_Validation!$A:$D,3,0)</f>
        <v>Véhicules usagés</v>
      </c>
      <c r="V252" s="656" t="str">
        <f>+VLOOKUP($L252,Data_Validation!$A:$D,4,0)</f>
        <v>Non Certifié</v>
      </c>
      <c r="W252" s="656" t="str">
        <f>+VLOOKUP($L252,Data_Validation!$A:$E,5,0)</f>
        <v>$</v>
      </c>
      <c r="X252" s="656">
        <f>+VLOOKUP($L252,Data_Validation!$A:$F,6,0)</f>
        <v>0</v>
      </c>
    </row>
    <row r="253" spans="1:24" ht="15" customHeight="1">
      <c r="A253" s="1052" t="s">
        <v>1124</v>
      </c>
      <c r="B253" s="1052" t="s">
        <v>2125</v>
      </c>
      <c r="C253" s="1054">
        <v>0</v>
      </c>
      <c r="D253" s="1054">
        <v>547.1</v>
      </c>
      <c r="E253" s="1054">
        <v>547.1</v>
      </c>
      <c r="F253" s="1052" t="s">
        <v>1110</v>
      </c>
      <c r="G253" s="1052" t="s">
        <v>1011</v>
      </c>
      <c r="H253" s="1031"/>
      <c r="I253" s="1032"/>
      <c r="J253" s="1032"/>
      <c r="K253" s="1032"/>
      <c r="L253" s="653" t="str">
        <f t="shared" si="197"/>
        <v>5213</v>
      </c>
      <c r="M253" s="654" t="str">
        <f t="shared" si="0"/>
        <v>C/V - RECOND. USAGE VW DETAIL</v>
      </c>
      <c r="N253" s="655">
        <f>+IF(OR($Q253=Parametres!$G$2,$Q253=Parametres!$G$3),I253,C253)</f>
        <v>0</v>
      </c>
      <c r="O253" s="655">
        <f>+IF(OR($Q253=Parametres!$G$2,$Q253=Parametres!$G$3),J253,D253)</f>
        <v>547.1</v>
      </c>
      <c r="P253" s="655">
        <f>+IF(OR($Q253=Parametres!$G$2,$Q253=Parametres!$G$3),K253,E253)</f>
        <v>547.1</v>
      </c>
      <c r="Q253" s="654" t="str">
        <f t="shared" ref="Q253:S253" si="256">+F253</f>
        <v>6-Coût des ventes</v>
      </c>
      <c r="R253" s="653" t="str">
        <f t="shared" si="256"/>
        <v>4211</v>
      </c>
      <c r="S253" s="654">
        <f t="shared" si="256"/>
        <v>0</v>
      </c>
      <c r="T253" s="656" t="str">
        <f>+VLOOKUP($L253,Data_Validation!$A:$D,1,0)</f>
        <v>5213</v>
      </c>
      <c r="U253" s="656" t="str">
        <f>+VLOOKUP($L253,Data_Validation!$A:$D,3,0)</f>
        <v>Véhicules usagés</v>
      </c>
      <c r="V253" s="656" t="str">
        <f>+VLOOKUP($L253,Data_Validation!$A:$D,4,0)</f>
        <v>Non Certifié</v>
      </c>
      <c r="W253" s="656" t="str">
        <f>+VLOOKUP($L253,Data_Validation!$A:$E,5,0)</f>
        <v>$</v>
      </c>
      <c r="X253" s="656">
        <f>+VLOOKUP($L253,Data_Validation!$A:$F,6,0)</f>
        <v>0</v>
      </c>
    </row>
    <row r="254" spans="1:24" ht="15" customHeight="1">
      <c r="A254" s="1052" t="s">
        <v>1014</v>
      </c>
      <c r="B254" s="1052" t="s">
        <v>2136</v>
      </c>
      <c r="C254" s="1054">
        <v>155147.42000000001</v>
      </c>
      <c r="D254" s="1054">
        <v>0</v>
      </c>
      <c r="E254" s="1054">
        <v>155147.42000000001</v>
      </c>
      <c r="F254" s="1052" t="s">
        <v>1110</v>
      </c>
      <c r="G254" s="1052" t="s">
        <v>1015</v>
      </c>
      <c r="H254" s="1031"/>
      <c r="I254" s="1032"/>
      <c r="J254" s="1032"/>
      <c r="K254" s="1032"/>
      <c r="L254" s="653" t="str">
        <f t="shared" si="197"/>
        <v>5285</v>
      </c>
      <c r="M254" s="654" t="str">
        <f t="shared" si="0"/>
        <v>VEH. D'OCC. AUTRE DETAIL</v>
      </c>
      <c r="N254" s="655">
        <f>+IF(OR($Q254=Parametres!$G$2,$Q254=Parametres!$G$3),I254,C254)</f>
        <v>155147.42000000001</v>
      </c>
      <c r="O254" s="655">
        <f>+IF(OR($Q254=Parametres!$G$2,$Q254=Parametres!$G$3),J254,D254)</f>
        <v>0</v>
      </c>
      <c r="P254" s="655">
        <f>+IF(OR($Q254=Parametres!$G$2,$Q254=Parametres!$G$3),K254,E254)</f>
        <v>155147.42000000001</v>
      </c>
      <c r="Q254" s="654" t="str">
        <f t="shared" ref="Q254:S254" si="257">+F254</f>
        <v>6-Coût des ventes</v>
      </c>
      <c r="R254" s="653" t="str">
        <f t="shared" si="257"/>
        <v>4261</v>
      </c>
      <c r="S254" s="654">
        <f t="shared" si="257"/>
        <v>0</v>
      </c>
      <c r="T254" s="671" t="str">
        <f>+VLOOKUP($L254,Data_Validation!$A:$D,1,0)</f>
        <v>5285</v>
      </c>
      <c r="U254" s="656" t="str">
        <f>+VLOOKUP($L254,Data_Validation!$A:$D,3,0)</f>
        <v>Véhicules usagés</v>
      </c>
      <c r="V254" s="656" t="str">
        <f>+VLOOKUP($L254,Data_Validation!$A:$D,4,0)</f>
        <v>Autres Marques</v>
      </c>
      <c r="W254" s="656" t="str">
        <f>+VLOOKUP($L254,Data_Validation!$A:$E,5,0)</f>
        <v>$</v>
      </c>
      <c r="X254" s="656">
        <f>+VLOOKUP($L254,Data_Validation!$A:$F,6,0)</f>
        <v>0</v>
      </c>
    </row>
    <row r="255" spans="1:24" ht="15" customHeight="1">
      <c r="A255" s="1052" t="s">
        <v>1125</v>
      </c>
      <c r="B255" s="1052" t="s">
        <v>2139</v>
      </c>
      <c r="C255" s="1054">
        <v>12858.82</v>
      </c>
      <c r="D255" s="1054">
        <v>0</v>
      </c>
      <c r="E255" s="1054">
        <v>12858.82</v>
      </c>
      <c r="F255" s="1052" t="s">
        <v>1110</v>
      </c>
      <c r="G255" s="1052" t="s">
        <v>1015</v>
      </c>
      <c r="H255" s="1031"/>
      <c r="I255" s="1032"/>
      <c r="J255" s="1032"/>
      <c r="K255" s="1032"/>
      <c r="L255" s="653" t="str">
        <f t="shared" si="197"/>
        <v>5286</v>
      </c>
      <c r="M255" s="654" t="str">
        <f t="shared" si="0"/>
        <v>RECOND. AUTRE DETAIL</v>
      </c>
      <c r="N255" s="655">
        <f>+IF(OR($Q255=Parametres!$G$2,$Q255=Parametres!$G$3),I255,C255)</f>
        <v>12858.82</v>
      </c>
      <c r="O255" s="655">
        <f>+IF(OR($Q255=Parametres!$G$2,$Q255=Parametres!$G$3),J255,D255)</f>
        <v>0</v>
      </c>
      <c r="P255" s="655">
        <f>+IF(OR($Q255=Parametres!$G$2,$Q255=Parametres!$G$3),K255,E255)</f>
        <v>12858.82</v>
      </c>
      <c r="Q255" s="654" t="str">
        <f t="shared" ref="Q255:S255" si="258">+F255</f>
        <v>6-Coût des ventes</v>
      </c>
      <c r="R255" s="653" t="str">
        <f t="shared" si="258"/>
        <v>4261</v>
      </c>
      <c r="S255" s="654">
        <f t="shared" si="258"/>
        <v>0</v>
      </c>
      <c r="T255" s="656" t="str">
        <f>+VLOOKUP($L255,Data_Validation!$A:$D,1,0)</f>
        <v>5286</v>
      </c>
      <c r="U255" s="656" t="str">
        <f>+VLOOKUP($L255,Data_Validation!$A:$D,3,0)</f>
        <v>Véhicules usagés</v>
      </c>
      <c r="V255" s="656" t="str">
        <f>+VLOOKUP($L255,Data_Validation!$A:$D,4,0)</f>
        <v>Non Certifié</v>
      </c>
      <c r="W255" s="656" t="str">
        <f>+VLOOKUP($L255,Data_Validation!$A:$E,5,0)</f>
        <v>$</v>
      </c>
      <c r="X255" s="656">
        <f>+VLOOKUP($L255,Data_Validation!$A:$F,6,0)</f>
        <v>0</v>
      </c>
    </row>
    <row r="256" spans="1:24" ht="15.75" customHeight="1">
      <c r="A256" s="1052" t="s">
        <v>1018</v>
      </c>
      <c r="B256" s="1052" t="s">
        <v>2142</v>
      </c>
      <c r="C256" s="1054">
        <v>5630431.2999999998</v>
      </c>
      <c r="D256" s="1054">
        <v>560551.97</v>
      </c>
      <c r="E256" s="1054">
        <v>6190983.2699999996</v>
      </c>
      <c r="F256" s="1052" t="s">
        <v>1110</v>
      </c>
      <c r="G256" s="1052" t="s">
        <v>1019</v>
      </c>
      <c r="H256" s="1031"/>
      <c r="I256" s="1032"/>
      <c r="J256" s="1032"/>
      <c r="K256" s="1032"/>
      <c r="L256" s="653" t="str">
        <f t="shared" si="197"/>
        <v>5291</v>
      </c>
      <c r="M256" s="654" t="str">
        <f t="shared" si="0"/>
        <v>VEH. D'OCC. AU GROS</v>
      </c>
      <c r="N256" s="655">
        <f>+IF(OR($Q256=Parametres!$G$2,$Q256=Parametres!$G$3),I256,C256)</f>
        <v>5630431.2999999998</v>
      </c>
      <c r="O256" s="655">
        <f>+IF(OR($Q256=Parametres!$G$2,$Q256=Parametres!$G$3),J256,D256)</f>
        <v>560551.97</v>
      </c>
      <c r="P256" s="655">
        <f>+IF(OR($Q256=Parametres!$G$2,$Q256=Parametres!$G$3),K256,E256)</f>
        <v>6190983.2699999996</v>
      </c>
      <c r="Q256" s="654" t="str">
        <f t="shared" ref="Q256:S256" si="259">+F256</f>
        <v>6-Coût des ventes</v>
      </c>
      <c r="R256" s="653" t="str">
        <f t="shared" si="259"/>
        <v>4281</v>
      </c>
      <c r="S256" s="654">
        <f t="shared" si="259"/>
        <v>0</v>
      </c>
      <c r="T256" s="656" t="str">
        <f>+VLOOKUP($L256,Data_Validation!$A:$D,1,0)</f>
        <v>5291</v>
      </c>
      <c r="U256" s="656" t="str">
        <f>+VLOOKUP($L256,Data_Validation!$A:$D,3,0)</f>
        <v>Véhicules usagés</v>
      </c>
      <c r="V256" s="656" t="str">
        <f>+VLOOKUP($L256,Data_Validation!$A:$D,4,0)</f>
        <v>Ventes au Gros</v>
      </c>
      <c r="W256" s="656" t="str">
        <f>+VLOOKUP($L256,Data_Validation!$A:$E,5,0)</f>
        <v>$</v>
      </c>
      <c r="X256" s="656">
        <f>+VLOOKUP($L256,Data_Validation!$A:$F,6,0)</f>
        <v>0</v>
      </c>
    </row>
    <row r="257" spans="1:24" ht="15" customHeight="1">
      <c r="A257" s="1052" t="s">
        <v>3671</v>
      </c>
      <c r="B257" s="1052" t="s">
        <v>2145</v>
      </c>
      <c r="C257" s="1054">
        <v>333177.5</v>
      </c>
      <c r="D257" s="1054">
        <v>27460.84</v>
      </c>
      <c r="E257" s="1054">
        <v>360638.34</v>
      </c>
      <c r="F257" s="1052" t="s">
        <v>1110</v>
      </c>
      <c r="G257" s="1052" t="s">
        <v>1023</v>
      </c>
      <c r="H257" s="1031"/>
      <c r="I257" s="1032"/>
      <c r="J257" s="1032"/>
      <c r="K257" s="1032"/>
      <c r="L257" s="653" t="str">
        <f t="shared" si="197"/>
        <v>5401</v>
      </c>
      <c r="M257" s="654" t="str">
        <f t="shared" ref="M257:M511" si="260">+A257</f>
        <v>MAIN-D'OEUVRE - CLIENT VW - MCI</v>
      </c>
      <c r="N257" s="655">
        <f>+IF(OR($Q257=Parametres!$G$2,$Q257=Parametres!$G$3),I257,C257)</f>
        <v>333177.5</v>
      </c>
      <c r="O257" s="655">
        <f>+IF(OR($Q257=Parametres!$G$2,$Q257=Parametres!$G$3),J257,D257)</f>
        <v>27460.84</v>
      </c>
      <c r="P257" s="655">
        <f>+IF(OR($Q257=Parametres!$G$2,$Q257=Parametres!$G$3),K257,E257)</f>
        <v>360638.34</v>
      </c>
      <c r="Q257" s="654" t="str">
        <f t="shared" ref="Q257:S257" si="261">+F257</f>
        <v>6-Coût des ventes</v>
      </c>
      <c r="R257" s="653" t="str">
        <f t="shared" si="261"/>
        <v>4401</v>
      </c>
      <c r="S257" s="654">
        <f t="shared" si="261"/>
        <v>0</v>
      </c>
      <c r="T257" s="656" t="str">
        <f>+VLOOKUP($L257,Data_Validation!$A:$D,1,0)</f>
        <v>5401</v>
      </c>
      <c r="U257" s="656" t="str">
        <f>+VLOOKUP($L257,Data_Validation!$A:$D,3,0)</f>
        <v>Service</v>
      </c>
      <c r="V257" s="656" t="str">
        <f>+VLOOKUP($L257,Data_Validation!$A:$D,4,0)</f>
        <v>M/O Client</v>
      </c>
      <c r="W257" s="656" t="str">
        <f>+VLOOKUP($L257,Data_Validation!$A:$E,5,0)</f>
        <v>$</v>
      </c>
      <c r="X257" s="656">
        <f>+VLOOKUP($L257,Data_Validation!$A:$F,6,0)</f>
        <v>0</v>
      </c>
    </row>
    <row r="258" spans="1:24" ht="15" customHeight="1">
      <c r="A258" s="1052" t="s">
        <v>1127</v>
      </c>
      <c r="B258" s="1052" t="s">
        <v>2148</v>
      </c>
      <c r="C258" s="1054">
        <v>1510.29</v>
      </c>
      <c r="D258" s="1054">
        <v>0</v>
      </c>
      <c r="E258" s="1054">
        <v>1510.29</v>
      </c>
      <c r="F258" s="1052" t="s">
        <v>1110</v>
      </c>
      <c r="G258" s="1052" t="s">
        <v>1026</v>
      </c>
      <c r="H258" s="1031"/>
      <c r="I258" s="1033"/>
      <c r="J258" s="1031"/>
      <c r="K258" s="1033"/>
      <c r="L258" s="653" t="str">
        <f t="shared" si="197"/>
        <v>5402</v>
      </c>
      <c r="M258" s="654" t="str">
        <f t="shared" si="260"/>
        <v>C/V - M.O. ESTHETIQUE CLIENT</v>
      </c>
      <c r="N258" s="655">
        <f>+IF(OR($Q258=Parametres!$G$2,$Q258=Parametres!$G$3),I258,C258)</f>
        <v>1510.29</v>
      </c>
      <c r="O258" s="655">
        <f>+IF(OR($Q258=Parametres!$G$2,$Q258=Parametres!$G$3),J258,D258)</f>
        <v>0</v>
      </c>
      <c r="P258" s="655">
        <f>+IF(OR($Q258=Parametres!$G$2,$Q258=Parametres!$G$3),K258,E258)</f>
        <v>1510.29</v>
      </c>
      <c r="Q258" s="654" t="str">
        <f t="shared" ref="Q258:S258" si="262">+F258</f>
        <v>6-Coût des ventes</v>
      </c>
      <c r="R258" s="653" t="str">
        <f t="shared" si="262"/>
        <v>4402</v>
      </c>
      <c r="S258" s="654">
        <f t="shared" si="262"/>
        <v>0</v>
      </c>
      <c r="T258" s="656" t="str">
        <f>+VLOOKUP($L258,Data_Validation!$A:$D,1,0)</f>
        <v>5402</v>
      </c>
      <c r="U258" s="656" t="str">
        <f>+VLOOKUP($L258,Data_Validation!$A:$D,3,0)</f>
        <v>Service</v>
      </c>
      <c r="V258" s="656" t="str">
        <f>+VLOOKUP($L258,Data_Validation!$A:$D,4,0)</f>
        <v>M/O Esthétique</v>
      </c>
      <c r="W258" s="656" t="str">
        <f>+VLOOKUP($L258,Data_Validation!$A:$E,5,0)</f>
        <v>$</v>
      </c>
      <c r="X258" s="656">
        <f>+VLOOKUP($L258,Data_Validation!$A:$F,6,0)</f>
        <v>0</v>
      </c>
    </row>
    <row r="259" spans="1:24" ht="15" customHeight="1">
      <c r="A259" s="1052" t="s">
        <v>3672</v>
      </c>
      <c r="B259" s="1052" t="s">
        <v>2151</v>
      </c>
      <c r="C259" s="1054">
        <v>142433.63</v>
      </c>
      <c r="D259" s="1054">
        <v>10576.5</v>
      </c>
      <c r="E259" s="1054">
        <v>153010.13</v>
      </c>
      <c r="F259" s="1052" t="s">
        <v>1110</v>
      </c>
      <c r="G259" s="1052" t="s">
        <v>1028</v>
      </c>
      <c r="H259" s="1031"/>
      <c r="I259" s="1033"/>
      <c r="J259" s="1031"/>
      <c r="K259" s="1033"/>
      <c r="L259" s="653" t="str">
        <f t="shared" ref="L259:L322" si="263">TEXT(B259,0)</f>
        <v>5403</v>
      </c>
      <c r="M259" s="654" t="str">
        <f t="shared" si="260"/>
        <v>MAIN-D'OEUVRE - GARANTIE VW - MCI</v>
      </c>
      <c r="N259" s="655">
        <f>+IF(OR($Q259=Parametres!$G$2,$Q259=Parametres!$G$3),I259,C259)</f>
        <v>142433.63</v>
      </c>
      <c r="O259" s="655">
        <f>+IF(OR($Q259=Parametres!$G$2,$Q259=Parametres!$G$3),J259,D259)</f>
        <v>10576.5</v>
      </c>
      <c r="P259" s="655">
        <f>+IF(OR($Q259=Parametres!$G$2,$Q259=Parametres!$G$3),K259,E259)</f>
        <v>153010.13</v>
      </c>
      <c r="Q259" s="654" t="str">
        <f t="shared" ref="Q259:S259" si="264">+F259</f>
        <v>6-Coût des ventes</v>
      </c>
      <c r="R259" s="653" t="str">
        <f t="shared" si="264"/>
        <v>4403</v>
      </c>
      <c r="S259" s="654">
        <f t="shared" si="264"/>
        <v>0</v>
      </c>
      <c r="T259" s="656" t="str">
        <f>+VLOOKUP($L259,Data_Validation!$A:$D,1,0)</f>
        <v>5403</v>
      </c>
      <c r="U259" s="656" t="str">
        <f>+VLOOKUP($L259,Data_Validation!$A:$D,3,0)</f>
        <v>Service</v>
      </c>
      <c r="V259" s="656" t="str">
        <f>+VLOOKUP($L259,Data_Validation!$A:$D,4,0)</f>
        <v>M/O Garantie</v>
      </c>
      <c r="W259" s="656" t="str">
        <f>+VLOOKUP($L259,Data_Validation!$A:$E,5,0)</f>
        <v>$</v>
      </c>
      <c r="X259" s="656">
        <f>+VLOOKUP($L259,Data_Validation!$A:$F,6,0)</f>
        <v>0</v>
      </c>
    </row>
    <row r="260" spans="1:24" ht="15" customHeight="1">
      <c r="A260" s="1052" t="s">
        <v>3673</v>
      </c>
      <c r="B260" s="1052" t="s">
        <v>2154</v>
      </c>
      <c r="C260" s="1054">
        <v>142977.4</v>
      </c>
      <c r="D260" s="1054">
        <v>10757.8</v>
      </c>
      <c r="E260" s="1054">
        <v>153735.20000000001</v>
      </c>
      <c r="F260" s="1052" t="s">
        <v>1110</v>
      </c>
      <c r="G260" s="1052" t="s">
        <v>1031</v>
      </c>
      <c r="H260" s="1031"/>
      <c r="I260" s="1031"/>
      <c r="J260" s="1031"/>
      <c r="K260" s="1031"/>
      <c r="L260" s="653" t="str">
        <f t="shared" si="263"/>
        <v>5405</v>
      </c>
      <c r="M260" s="654" t="str">
        <f t="shared" si="260"/>
        <v>MAIN-D'OEUVRE - INTERNE VW - MCI</v>
      </c>
      <c r="N260" s="655">
        <f>+IF(OR($Q260=Parametres!$G$2,$Q260=Parametres!$G$3),I260,C260)</f>
        <v>142977.4</v>
      </c>
      <c r="O260" s="655">
        <f>+IF(OR($Q260=Parametres!$G$2,$Q260=Parametres!$G$3),J260,D260)</f>
        <v>10757.8</v>
      </c>
      <c r="P260" s="655">
        <f>+IF(OR($Q260=Parametres!$G$2,$Q260=Parametres!$G$3),K260,E260)</f>
        <v>153735.20000000001</v>
      </c>
      <c r="Q260" s="654" t="str">
        <f t="shared" ref="Q260:S260" si="265">+F260</f>
        <v>6-Coût des ventes</v>
      </c>
      <c r="R260" s="653" t="str">
        <f t="shared" si="265"/>
        <v>4405</v>
      </c>
      <c r="S260" s="654">
        <f t="shared" si="265"/>
        <v>0</v>
      </c>
      <c r="T260" s="656" t="str">
        <f>+VLOOKUP($L260,Data_Validation!$A:$D,1,0)</f>
        <v>5405</v>
      </c>
      <c r="U260" s="656" t="str">
        <f>+VLOOKUP($L260,Data_Validation!$A:$D,3,0)</f>
        <v>Service</v>
      </c>
      <c r="V260" s="656" t="str">
        <f>+VLOOKUP($L260,Data_Validation!$A:$D,4,0)</f>
        <v>M/O Interne</v>
      </c>
      <c r="W260" s="656" t="str">
        <f>+VLOOKUP($L260,Data_Validation!$A:$E,5,0)</f>
        <v>$</v>
      </c>
      <c r="X260" s="656">
        <f>+VLOOKUP($L260,Data_Validation!$A:$F,6,0)</f>
        <v>0</v>
      </c>
    </row>
    <row r="261" spans="1:24" ht="15" customHeight="1">
      <c r="A261" s="1052" t="s">
        <v>3681</v>
      </c>
      <c r="B261" s="1052" t="s">
        <v>2160</v>
      </c>
      <c r="C261" s="1054">
        <v>18627.75</v>
      </c>
      <c r="D261" s="1054">
        <v>2193.19</v>
      </c>
      <c r="E261" s="1054">
        <v>20820.939999999999</v>
      </c>
      <c r="F261" s="1052" t="s">
        <v>1110</v>
      </c>
      <c r="G261" s="1052" t="s">
        <v>1131</v>
      </c>
      <c r="H261" s="1031"/>
      <c r="I261" s="1033"/>
      <c r="J261" s="1031"/>
      <c r="K261" s="1033"/>
      <c r="L261" s="653" t="str">
        <f t="shared" si="263"/>
        <v>5416</v>
      </c>
      <c r="M261" s="654" t="str">
        <f t="shared" si="260"/>
        <v>C/V - MAIN D'OEUVRE SVC NON APP - TOUS</v>
      </c>
      <c r="N261" s="655">
        <f>+IF(OR($Q261=Parametres!$G$2,$Q261=Parametres!$G$3),I261,C261)</f>
        <v>18627.75</v>
      </c>
      <c r="O261" s="655">
        <f>+IF(OR($Q261=Parametres!$G$2,$Q261=Parametres!$G$3),J261,D261)</f>
        <v>2193.19</v>
      </c>
      <c r="P261" s="655">
        <f>+IF(OR($Q261=Parametres!$G$2,$Q261=Parametres!$G$3),K261,E261)</f>
        <v>20820.939999999999</v>
      </c>
      <c r="Q261" s="654" t="str">
        <f t="shared" ref="Q261:S261" si="266">+F261</f>
        <v>6-Coût des ventes</v>
      </c>
      <c r="R261" s="653" t="str">
        <f t="shared" si="266"/>
        <v>4416</v>
      </c>
      <c r="S261" s="654">
        <f t="shared" si="266"/>
        <v>0</v>
      </c>
      <c r="T261" s="656" t="str">
        <f>+VLOOKUP($L261,Data_Validation!$A:$D,1,0)</f>
        <v>5416</v>
      </c>
      <c r="U261" s="656" t="str">
        <f>+VLOOKUP($L261,Data_Validation!$A:$D,3,0)</f>
        <v>Service</v>
      </c>
      <c r="V261" s="656" t="str">
        <f>+VLOOKUP($L261,Data_Validation!$A:$D,4,0)</f>
        <v>Ajustement M/O</v>
      </c>
      <c r="W261" s="656" t="str">
        <f>+VLOOKUP($L261,Data_Validation!$A:$E,5,0)</f>
        <v>$</v>
      </c>
      <c r="X261" s="656">
        <f>+VLOOKUP($L261,Data_Validation!$A:$F,6,0)</f>
        <v>0</v>
      </c>
    </row>
    <row r="262" spans="1:24" ht="15.75" customHeight="1">
      <c r="A262" s="1052" t="s">
        <v>1033</v>
      </c>
      <c r="B262" s="1052" t="s">
        <v>2166</v>
      </c>
      <c r="C262" s="1054">
        <v>187160.75</v>
      </c>
      <c r="D262" s="1054">
        <v>13158.91</v>
      </c>
      <c r="E262" s="1054">
        <v>200319.66</v>
      </c>
      <c r="F262" s="1052" t="s">
        <v>1110</v>
      </c>
      <c r="G262" s="1052" t="s">
        <v>1034</v>
      </c>
      <c r="H262" s="1031"/>
      <c r="I262" s="1033"/>
      <c r="J262" s="1031"/>
      <c r="K262" s="1033"/>
      <c r="L262" s="653" t="str">
        <f t="shared" si="263"/>
        <v>5451</v>
      </c>
      <c r="M262" s="654" t="str">
        <f t="shared" si="260"/>
        <v>CARBURANT/HUILE/GRAISSE</v>
      </c>
      <c r="N262" s="655">
        <f>+IF(OR($Q262=Parametres!$G$2,$Q262=Parametres!$G$3),I262,C262)</f>
        <v>187160.75</v>
      </c>
      <c r="O262" s="655">
        <f>+IF(OR($Q262=Parametres!$G$2,$Q262=Parametres!$G$3),J262,D262)</f>
        <v>13158.91</v>
      </c>
      <c r="P262" s="655">
        <f>+IF(OR($Q262=Parametres!$G$2,$Q262=Parametres!$G$3),K262,E262)</f>
        <v>200319.66</v>
      </c>
      <c r="Q262" s="654" t="str">
        <f t="shared" ref="Q262:S262" si="267">+F262</f>
        <v>6-Coût des ventes</v>
      </c>
      <c r="R262" s="653" t="str">
        <f t="shared" si="267"/>
        <v>4782</v>
      </c>
      <c r="S262" s="654">
        <f t="shared" si="267"/>
        <v>0</v>
      </c>
      <c r="T262" s="656" t="str">
        <f>+VLOOKUP($L262,Data_Validation!$A:$D,1,0)</f>
        <v>5451</v>
      </c>
      <c r="U262" s="656" t="str">
        <f>+VLOOKUP($L262,Data_Validation!$A:$D,3,0)</f>
        <v>Pièces</v>
      </c>
      <c r="V262" s="656" t="str">
        <f>+VLOOKUP($L262,Data_Validation!$A:$D,4,0)</f>
        <v>Huiles et Graisse</v>
      </c>
      <c r="W262" s="656" t="str">
        <f>+VLOOKUP($L262,Data_Validation!$A:$E,5,0)</f>
        <v>$</v>
      </c>
      <c r="X262" s="656">
        <f>+VLOOKUP($L262,Data_Validation!$A:$F,6,0)</f>
        <v>0</v>
      </c>
    </row>
    <row r="263" spans="1:24" ht="15" customHeight="1">
      <c r="A263" s="1052" t="s">
        <v>1036</v>
      </c>
      <c r="B263" s="1052" t="s">
        <v>2169</v>
      </c>
      <c r="C263" s="1054">
        <v>15309.84</v>
      </c>
      <c r="D263" s="1054">
        <v>2451</v>
      </c>
      <c r="E263" s="1054">
        <v>17760.84</v>
      </c>
      <c r="F263" s="1052" t="s">
        <v>1110</v>
      </c>
      <c r="G263" s="1052" t="s">
        <v>1037</v>
      </c>
      <c r="H263" s="1031"/>
      <c r="I263" s="1031"/>
      <c r="J263" s="1031"/>
      <c r="K263" s="1031"/>
      <c r="L263" s="653" t="str">
        <f t="shared" si="263"/>
        <v>5491</v>
      </c>
      <c r="M263" s="654" t="str">
        <f t="shared" si="260"/>
        <v>REPARATION SOUS-LOC. - GENERAL</v>
      </c>
      <c r="N263" s="655">
        <f>+IF(OR($Q263=Parametres!$G$2,$Q263=Parametres!$G$3),I263,C263)</f>
        <v>15309.84</v>
      </c>
      <c r="O263" s="655">
        <f>+IF(OR($Q263=Parametres!$G$2,$Q263=Parametres!$G$3),J263,D263)</f>
        <v>2451</v>
      </c>
      <c r="P263" s="655">
        <f>+IF(OR($Q263=Parametres!$G$2,$Q263=Parametres!$G$3),K263,E263)</f>
        <v>17760.84</v>
      </c>
      <c r="Q263" s="654" t="str">
        <f t="shared" ref="Q263:S263" si="268">+F263</f>
        <v>6-Coût des ventes</v>
      </c>
      <c r="R263" s="653" t="str">
        <f t="shared" si="268"/>
        <v>4491</v>
      </c>
      <c r="S263" s="654">
        <f t="shared" si="268"/>
        <v>0</v>
      </c>
      <c r="T263" s="656" t="str">
        <f>+VLOOKUP($L263,Data_Validation!$A:$D,1,0)</f>
        <v>5491</v>
      </c>
      <c r="U263" s="656" t="str">
        <f>+VLOOKUP($L263,Data_Validation!$A:$D,3,0)</f>
        <v>Service</v>
      </c>
      <c r="V263" s="656" t="str">
        <f>+VLOOKUP($L263,Data_Validation!$A:$D,4,0)</f>
        <v>Sous-traitement</v>
      </c>
      <c r="W263" s="656" t="str">
        <f>+VLOOKUP($L263,Data_Validation!$A:$E,5,0)</f>
        <v>$</v>
      </c>
      <c r="X263" s="656">
        <f>+VLOOKUP($L263,Data_Validation!$A:$F,6,0)</f>
        <v>0</v>
      </c>
    </row>
    <row r="264" spans="1:24" ht="15" customHeight="1">
      <c r="A264" s="1052" t="s">
        <v>1132</v>
      </c>
      <c r="B264" s="1052" t="s">
        <v>2172</v>
      </c>
      <c r="C264" s="1054">
        <v>18322.73</v>
      </c>
      <c r="D264" s="1054">
        <v>6928</v>
      </c>
      <c r="E264" s="1054">
        <v>25250.73</v>
      </c>
      <c r="F264" s="1052" t="s">
        <v>1110</v>
      </c>
      <c r="G264" s="1052" t="s">
        <v>1040</v>
      </c>
      <c r="H264" s="1031"/>
      <c r="I264" s="1033"/>
      <c r="J264" s="1031"/>
      <c r="K264" s="1033"/>
      <c r="L264" s="653" t="str">
        <f t="shared" si="263"/>
        <v>5493</v>
      </c>
      <c r="M264" s="654" t="str">
        <f t="shared" si="260"/>
        <v>C/V - SOUS-TRAITANCE GARANTIE</v>
      </c>
      <c r="N264" s="655">
        <f>+IF(OR($Q264=Parametres!$G$2,$Q264=Parametres!$G$3),I264,C264)</f>
        <v>18322.73</v>
      </c>
      <c r="O264" s="655">
        <f>+IF(OR($Q264=Parametres!$G$2,$Q264=Parametres!$G$3),J264,D264)</f>
        <v>6928</v>
      </c>
      <c r="P264" s="655">
        <f>+IF(OR($Q264=Parametres!$G$2,$Q264=Parametres!$G$3),K264,E264)</f>
        <v>25250.73</v>
      </c>
      <c r="Q264" s="654" t="str">
        <f t="shared" ref="Q264:S264" si="269">+F264</f>
        <v>6-Coût des ventes</v>
      </c>
      <c r="R264" s="653" t="str">
        <f t="shared" si="269"/>
        <v>4493</v>
      </c>
      <c r="S264" s="654">
        <f t="shared" si="269"/>
        <v>0</v>
      </c>
      <c r="T264" s="656" t="str">
        <f>+VLOOKUP($L264,Data_Validation!$A:$D,1,0)</f>
        <v>5493</v>
      </c>
      <c r="U264" s="656" t="str">
        <f>+VLOOKUP($L264,Data_Validation!$A:$D,3,0)</f>
        <v>Service</v>
      </c>
      <c r="V264" s="656" t="str">
        <f>+VLOOKUP($L264,Data_Validation!$A:$D,4,0)</f>
        <v>Sous-traitement</v>
      </c>
      <c r="W264" s="656" t="str">
        <f>+VLOOKUP($L264,Data_Validation!$A:$E,5,0)</f>
        <v>$</v>
      </c>
      <c r="X264" s="656">
        <f>+VLOOKUP($L264,Data_Validation!$A:$F,6,0)</f>
        <v>0</v>
      </c>
    </row>
    <row r="265" spans="1:24" ht="15" customHeight="1">
      <c r="A265" s="1052" t="s">
        <v>1133</v>
      </c>
      <c r="B265" s="1052" t="s">
        <v>2175</v>
      </c>
      <c r="C265" s="1054">
        <v>170571.8</v>
      </c>
      <c r="D265" s="1054">
        <v>9741.6</v>
      </c>
      <c r="E265" s="1054">
        <v>180313.4</v>
      </c>
      <c r="F265" s="1052" t="s">
        <v>1110</v>
      </c>
      <c r="G265" s="1052" t="s">
        <v>1044</v>
      </c>
      <c r="H265" s="1031"/>
      <c r="I265" s="1031"/>
      <c r="J265" s="1031"/>
      <c r="K265" s="1031"/>
      <c r="L265" s="653" t="str">
        <f t="shared" si="263"/>
        <v>5495</v>
      </c>
      <c r="M265" s="654" t="str">
        <f t="shared" si="260"/>
        <v>C/V - SOUS-TRAITANCE INTERNE</v>
      </c>
      <c r="N265" s="655">
        <f>+IF(OR($Q265=Parametres!$G$2,$Q265=Parametres!$G$3),I265,C265)</f>
        <v>170571.8</v>
      </c>
      <c r="O265" s="655">
        <f>+IF(OR($Q265=Parametres!$G$2,$Q265=Parametres!$G$3),J265,D265)</f>
        <v>9741.6</v>
      </c>
      <c r="P265" s="655">
        <f>+IF(OR($Q265=Parametres!$G$2,$Q265=Parametres!$G$3),K265,E265)</f>
        <v>180313.4</v>
      </c>
      <c r="Q265" s="654" t="str">
        <f t="shared" ref="Q265:S265" si="270">+F265</f>
        <v>6-Coût des ventes</v>
      </c>
      <c r="R265" s="653" t="str">
        <f t="shared" si="270"/>
        <v>4495</v>
      </c>
      <c r="S265" s="654">
        <f t="shared" si="270"/>
        <v>0</v>
      </c>
      <c r="T265" s="656" t="str">
        <f>+VLOOKUP($L265,Data_Validation!$A:$D,1,0)</f>
        <v>5495</v>
      </c>
      <c r="U265" s="656" t="str">
        <f>+VLOOKUP($L265,Data_Validation!$A:$D,3,0)</f>
        <v>Service</v>
      </c>
      <c r="V265" s="656" t="str">
        <f>+VLOOKUP($L265,Data_Validation!$A:$D,4,0)</f>
        <v>Sous-traitement</v>
      </c>
      <c r="W265" s="656" t="str">
        <f>+VLOOKUP($L265,Data_Validation!$A:$E,5,0)</f>
        <v>$</v>
      </c>
      <c r="X265" s="656">
        <f>+VLOOKUP($L265,Data_Validation!$A:$F,6,0)</f>
        <v>0</v>
      </c>
    </row>
    <row r="266" spans="1:24" ht="15" customHeight="1">
      <c r="A266" s="1052" t="s">
        <v>1134</v>
      </c>
      <c r="B266" s="1052" t="s">
        <v>2184</v>
      </c>
      <c r="C266" s="1054">
        <v>179426.37</v>
      </c>
      <c r="D266" s="1054">
        <v>9233.16</v>
      </c>
      <c r="E266" s="1054">
        <v>188659.53</v>
      </c>
      <c r="F266" s="1052" t="s">
        <v>1110</v>
      </c>
      <c r="G266" s="1052" t="s">
        <v>1051</v>
      </c>
      <c r="H266" s="1031"/>
      <c r="I266" s="1033"/>
      <c r="J266" s="1031"/>
      <c r="K266" s="1033"/>
      <c r="L266" s="653" t="str">
        <f t="shared" si="263"/>
        <v>5591</v>
      </c>
      <c r="M266" s="654" t="str">
        <f t="shared" si="260"/>
        <v>C/V - S-TRAIT. CARR.</v>
      </c>
      <c r="N266" s="655">
        <f>+IF(OR($Q266=Parametres!$G$2,$Q266=Parametres!$G$3),I266,C266)</f>
        <v>179426.37</v>
      </c>
      <c r="O266" s="655">
        <f>+IF(OR($Q266=Parametres!$G$2,$Q266=Parametres!$G$3),J266,D266)</f>
        <v>9233.16</v>
      </c>
      <c r="P266" s="655">
        <f>+IF(OR($Q266=Parametres!$G$2,$Q266=Parametres!$G$3),K266,E266)</f>
        <v>188659.53</v>
      </c>
      <c r="Q266" s="654" t="str">
        <f t="shared" ref="Q266:S266" si="271">+F266</f>
        <v>6-Coût des ventes</v>
      </c>
      <c r="R266" s="653" t="str">
        <f t="shared" si="271"/>
        <v>4591</v>
      </c>
      <c r="S266" s="654">
        <f t="shared" si="271"/>
        <v>0</v>
      </c>
      <c r="T266" s="656" t="str">
        <f>+VLOOKUP($L266,Data_Validation!$A:$D,1,0)</f>
        <v>5591</v>
      </c>
      <c r="U266" s="656" t="str">
        <f>+VLOOKUP($L266,Data_Validation!$A:$D,3,0)</f>
        <v>Carrosserie</v>
      </c>
      <c r="V266" s="656" t="str">
        <f>+VLOOKUP($L266,Data_Validation!$A:$D,4,0)</f>
        <v>M/O Sous-traitement</v>
      </c>
      <c r="W266" s="656" t="str">
        <f>+VLOOKUP($L266,Data_Validation!$A:$E,5,0)</f>
        <v>$</v>
      </c>
      <c r="X266" s="656">
        <f>+VLOOKUP($L266,Data_Validation!$A:$F,6,0)</f>
        <v>0</v>
      </c>
    </row>
    <row r="267" spans="1:24" ht="15" customHeight="1">
      <c r="A267" s="1052" t="s">
        <v>1135</v>
      </c>
      <c r="B267" s="1052" t="s">
        <v>2187</v>
      </c>
      <c r="C267" s="1054">
        <v>632488.54</v>
      </c>
      <c r="D267" s="1054">
        <v>45682.63</v>
      </c>
      <c r="E267" s="1054">
        <v>678171.17</v>
      </c>
      <c r="F267" s="1052" t="s">
        <v>1110</v>
      </c>
      <c r="G267" s="1052" t="s">
        <v>1055</v>
      </c>
      <c r="H267" s="1031"/>
      <c r="I267" s="1033"/>
      <c r="J267" s="1031"/>
      <c r="K267" s="1033"/>
      <c r="L267" s="653" t="str">
        <f t="shared" si="263"/>
        <v>5593</v>
      </c>
      <c r="M267" s="654" t="str">
        <f t="shared" si="260"/>
        <v>C/V - S-TRAIT.GARANTIE CARROS.</v>
      </c>
      <c r="N267" s="655">
        <f>+IF(OR($Q267=Parametres!$G$2,$Q267=Parametres!$G$3),I267,C267)</f>
        <v>632488.54</v>
      </c>
      <c r="O267" s="655">
        <f>+IF(OR($Q267=Parametres!$G$2,$Q267=Parametres!$G$3),J267,D267)</f>
        <v>45682.63</v>
      </c>
      <c r="P267" s="655">
        <f>+IF(OR($Q267=Parametres!$G$2,$Q267=Parametres!$G$3),K267,E267)</f>
        <v>678171.17</v>
      </c>
      <c r="Q267" s="654" t="str">
        <f t="shared" ref="Q267:S267" si="272">+F267</f>
        <v>6-Coût des ventes</v>
      </c>
      <c r="R267" s="653" t="str">
        <f t="shared" si="272"/>
        <v>4593</v>
      </c>
      <c r="S267" s="654">
        <f t="shared" si="272"/>
        <v>0</v>
      </c>
      <c r="T267" s="656" t="str">
        <f>+VLOOKUP($L267,Data_Validation!$A:$D,1,0)</f>
        <v>5593</v>
      </c>
      <c r="U267" s="656" t="str">
        <f>+VLOOKUP($L267,Data_Validation!$A:$D,3,0)</f>
        <v>Carrosserie</v>
      </c>
      <c r="V267" s="656" t="str">
        <f>+VLOOKUP($L267,Data_Validation!$A:$D,4,0)</f>
        <v>M/O Sous-traitement</v>
      </c>
      <c r="W267" s="656" t="str">
        <f>+VLOOKUP($L267,Data_Validation!$A:$E,5,0)</f>
        <v>$</v>
      </c>
      <c r="X267" s="656">
        <f>+VLOOKUP($L267,Data_Validation!$A:$F,6,0)</f>
        <v>0</v>
      </c>
    </row>
    <row r="268" spans="1:24" ht="15" customHeight="1">
      <c r="A268" s="1052" t="s">
        <v>1136</v>
      </c>
      <c r="B268" s="1052" t="s">
        <v>2190</v>
      </c>
      <c r="C268" s="1054">
        <v>51368.12</v>
      </c>
      <c r="D268" s="1054">
        <v>3535.22</v>
      </c>
      <c r="E268" s="1054">
        <v>54903.34</v>
      </c>
      <c r="F268" s="1052" t="s">
        <v>1110</v>
      </c>
      <c r="G268" s="1052" t="s">
        <v>1059</v>
      </c>
      <c r="H268" s="1031"/>
      <c r="I268" s="1031"/>
      <c r="J268" s="1031"/>
      <c r="K268" s="1031"/>
      <c r="L268" s="653" t="str">
        <f t="shared" si="263"/>
        <v>5595</v>
      </c>
      <c r="M268" s="654" t="str">
        <f t="shared" si="260"/>
        <v>C/V - S-TRAIT.INTERNE CARROS.</v>
      </c>
      <c r="N268" s="655">
        <f>+IF(OR($Q268=Parametres!$G$2,$Q268=Parametres!$G$3),I268,C268)</f>
        <v>51368.12</v>
      </c>
      <c r="O268" s="655">
        <f>+IF(OR($Q268=Parametres!$G$2,$Q268=Parametres!$G$3),J268,D268)</f>
        <v>3535.22</v>
      </c>
      <c r="P268" s="655">
        <f>+IF(OR($Q268=Parametres!$G$2,$Q268=Parametres!$G$3),K268,E268)</f>
        <v>54903.34</v>
      </c>
      <c r="Q268" s="654" t="str">
        <f t="shared" ref="Q268:S268" si="273">+F268</f>
        <v>6-Coût des ventes</v>
      </c>
      <c r="R268" s="653" t="str">
        <f t="shared" si="273"/>
        <v>4595</v>
      </c>
      <c r="S268" s="654">
        <f t="shared" si="273"/>
        <v>0</v>
      </c>
      <c r="T268" s="656" t="str">
        <f>+VLOOKUP($L268,Data_Validation!$A:$D,1,0)</f>
        <v>5595</v>
      </c>
      <c r="U268" s="656" t="str">
        <f>+VLOOKUP($L268,Data_Validation!$A:$D,3,0)</f>
        <v>Carrosserie</v>
      </c>
      <c r="V268" s="656" t="str">
        <f>+VLOOKUP($L268,Data_Validation!$A:$D,4,0)</f>
        <v>M/O Sous-traitement</v>
      </c>
      <c r="W268" s="656" t="str">
        <f>+VLOOKUP($L268,Data_Validation!$A:$E,5,0)</f>
        <v>$</v>
      </c>
      <c r="X268" s="656">
        <f>+VLOOKUP($L268,Data_Validation!$A:$F,6,0)</f>
        <v>0</v>
      </c>
    </row>
    <row r="269" spans="1:24" ht="15" customHeight="1">
      <c r="A269" s="1052" t="s">
        <v>3674</v>
      </c>
      <c r="B269" s="1052" t="s">
        <v>2193</v>
      </c>
      <c r="C269" s="1054">
        <v>539344.22</v>
      </c>
      <c r="D269" s="1054">
        <v>51502.47</v>
      </c>
      <c r="E269" s="1054">
        <v>590846.68999999994</v>
      </c>
      <c r="F269" s="1052" t="s">
        <v>1110</v>
      </c>
      <c r="G269" s="1052" t="s">
        <v>1063</v>
      </c>
      <c r="H269" s="1031"/>
      <c r="I269" s="1033"/>
      <c r="J269" s="1031"/>
      <c r="K269" s="1033"/>
      <c r="L269" s="653" t="str">
        <f t="shared" si="263"/>
        <v>5701</v>
      </c>
      <c r="M269" s="654" t="str">
        <f t="shared" si="260"/>
        <v>VW P&amp;A - BR - CLIENT - MCI</v>
      </c>
      <c r="N269" s="655">
        <f>+IF(OR($Q269=Parametres!$G$2,$Q269=Parametres!$G$3),I269,C269)</f>
        <v>539344.22</v>
      </c>
      <c r="O269" s="655">
        <f>+IF(OR($Q269=Parametres!$G$2,$Q269=Parametres!$G$3),J269,D269)</f>
        <v>51502.47</v>
      </c>
      <c r="P269" s="655">
        <f>+IF(OR($Q269=Parametres!$G$2,$Q269=Parametres!$G$3),K269,E269)</f>
        <v>590846.68999999994</v>
      </c>
      <c r="Q269" s="654" t="str">
        <f t="shared" ref="Q269:S269" si="274">+F269</f>
        <v>6-Coût des ventes</v>
      </c>
      <c r="R269" s="653" t="str">
        <f t="shared" si="274"/>
        <v>4701</v>
      </c>
      <c r="S269" s="654">
        <f t="shared" si="274"/>
        <v>0</v>
      </c>
      <c r="T269" s="656" t="str">
        <f>+VLOOKUP($L269,Data_Validation!$A:$D,1,0)</f>
        <v>5701</v>
      </c>
      <c r="U269" s="656" t="str">
        <f>+VLOOKUP($L269,Data_Validation!$A:$D,3,0)</f>
        <v>Pièces</v>
      </c>
      <c r="V269" s="656" t="str">
        <f>+VLOOKUP($L269,Data_Validation!$A:$D,4,0)</f>
        <v>Pièces Ro Clients</v>
      </c>
      <c r="W269" s="656" t="str">
        <f>+VLOOKUP($L269,Data_Validation!$A:$E,5,0)</f>
        <v>$</v>
      </c>
      <c r="X269" s="656">
        <f>+VLOOKUP($L269,Data_Validation!$A:$F,6,0)</f>
        <v>0</v>
      </c>
    </row>
    <row r="270" spans="1:24" ht="15" customHeight="1">
      <c r="A270" s="1052" t="s">
        <v>1138</v>
      </c>
      <c r="B270" s="1052" t="s">
        <v>2196</v>
      </c>
      <c r="C270" s="1054">
        <v>5324.19</v>
      </c>
      <c r="D270" s="1054">
        <v>219.93</v>
      </c>
      <c r="E270" s="1054">
        <v>5544.12</v>
      </c>
      <c r="F270" s="1052" t="s">
        <v>1110</v>
      </c>
      <c r="G270" s="1052" t="s">
        <v>1067</v>
      </c>
      <c r="H270" s="1031"/>
      <c r="I270" s="1033"/>
      <c r="J270" s="1031"/>
      <c r="K270" s="1033"/>
      <c r="L270" s="653" t="str">
        <f t="shared" si="263"/>
        <v>5702</v>
      </c>
      <c r="M270" s="654" t="str">
        <f t="shared" si="260"/>
        <v>C/V - SHOP SUPPLY VW</v>
      </c>
      <c r="N270" s="655">
        <f>+IF(OR($Q270=Parametres!$G$2,$Q270=Parametres!$G$3),I270,C270)</f>
        <v>5324.19</v>
      </c>
      <c r="O270" s="659">
        <f>+IF(OR($Q270=Parametres!$G$2,$Q270=Parametres!$G$3),J270,D270)</f>
        <v>219.93</v>
      </c>
      <c r="P270" s="655">
        <f>+IF(OR($Q270=Parametres!$G$2,$Q270=Parametres!$G$3),K270,E270)</f>
        <v>5544.12</v>
      </c>
      <c r="Q270" s="654" t="str">
        <f t="shared" ref="Q270:S270" si="275">+F270</f>
        <v>6-Coût des ventes</v>
      </c>
      <c r="R270" s="653" t="str">
        <f t="shared" si="275"/>
        <v>4702</v>
      </c>
      <c r="S270" s="654">
        <f t="shared" si="275"/>
        <v>0</v>
      </c>
      <c r="T270" s="656" t="str">
        <f>+VLOOKUP($L270,Data_Validation!$A:$D,1,0)</f>
        <v>5702</v>
      </c>
      <c r="U270" s="656" t="str">
        <f>+VLOOKUP($L270,Data_Validation!$A:$D,3,0)</f>
        <v>Service</v>
      </c>
      <c r="V270" s="656" t="str">
        <f>+VLOOKUP($L270,Data_Validation!$A:$D,4,0)</f>
        <v>M/O Client</v>
      </c>
      <c r="W270" s="656" t="str">
        <f>+VLOOKUP($L270,Data_Validation!$A:$E,5,0)</f>
        <v>$</v>
      </c>
      <c r="X270" s="656">
        <f>+VLOOKUP($L270,Data_Validation!$A:$F,6,0)</f>
        <v>0</v>
      </c>
    </row>
    <row r="271" spans="1:24" ht="15" customHeight="1">
      <c r="A271" s="1052" t="s">
        <v>3675</v>
      </c>
      <c r="B271" s="1052" t="s">
        <v>2199</v>
      </c>
      <c r="C271" s="1054">
        <v>495564.84</v>
      </c>
      <c r="D271" s="1054">
        <v>41455.96</v>
      </c>
      <c r="E271" s="1054">
        <v>537020.80000000005</v>
      </c>
      <c r="F271" s="1052" t="s">
        <v>1110</v>
      </c>
      <c r="G271" s="1052" t="s">
        <v>1069</v>
      </c>
      <c r="H271" s="1031"/>
      <c r="I271" s="1031"/>
      <c r="J271" s="1031"/>
      <c r="K271" s="1031"/>
      <c r="L271" s="653" t="str">
        <f t="shared" si="263"/>
        <v>5703</v>
      </c>
      <c r="M271" s="654" t="str">
        <f t="shared" si="260"/>
        <v>VW P&amp;A - BR - GARANTIE - MCI</v>
      </c>
      <c r="N271" s="655">
        <f>+IF(OR($Q271=Parametres!$G$2,$Q271=Parametres!$G$3),I271,C271)</f>
        <v>495564.84</v>
      </c>
      <c r="O271" s="659">
        <f>+IF(OR($Q271=Parametres!$G$2,$Q271=Parametres!$G$3),J271,D271)</f>
        <v>41455.96</v>
      </c>
      <c r="P271" s="655">
        <f>+IF(OR($Q271=Parametres!$G$2,$Q271=Parametres!$G$3),K271,E271)</f>
        <v>537020.80000000005</v>
      </c>
      <c r="Q271" s="654" t="str">
        <f t="shared" ref="Q271:S271" si="276">+F271</f>
        <v>6-Coût des ventes</v>
      </c>
      <c r="R271" s="653" t="str">
        <f t="shared" si="276"/>
        <v>4703</v>
      </c>
      <c r="S271" s="654">
        <f t="shared" si="276"/>
        <v>0</v>
      </c>
      <c r="T271" s="656" t="str">
        <f>+VLOOKUP($L271,Data_Validation!$A:$D,1,0)</f>
        <v>5703</v>
      </c>
      <c r="U271" s="656" t="str">
        <f>+VLOOKUP($L271,Data_Validation!$A:$D,3,0)</f>
        <v>Pièces</v>
      </c>
      <c r="V271" s="656" t="str">
        <f>+VLOOKUP($L271,Data_Validation!$A:$D,4,0)</f>
        <v>P/A Garantie</v>
      </c>
      <c r="W271" s="656" t="str">
        <f>+VLOOKUP($L271,Data_Validation!$A:$E,5,0)</f>
        <v>$</v>
      </c>
      <c r="X271" s="656">
        <f>+VLOOKUP($L271,Data_Validation!$A:$F,6,0)</f>
        <v>0</v>
      </c>
    </row>
    <row r="272" spans="1:24" ht="15.75" customHeight="1">
      <c r="A272" s="1052" t="s">
        <v>3676</v>
      </c>
      <c r="B272" s="1052" t="s">
        <v>2202</v>
      </c>
      <c r="C272" s="1054">
        <v>332704.98</v>
      </c>
      <c r="D272" s="1054">
        <v>24567.599999999999</v>
      </c>
      <c r="E272" s="1054">
        <v>357272.58</v>
      </c>
      <c r="F272" s="1052" t="s">
        <v>1110</v>
      </c>
      <c r="G272" s="1052" t="s">
        <v>1073</v>
      </c>
      <c r="H272" s="1031"/>
      <c r="I272" s="1033"/>
      <c r="J272" s="1031"/>
      <c r="K272" s="1033"/>
      <c r="L272" s="653" t="str">
        <f t="shared" si="263"/>
        <v>5705</v>
      </c>
      <c r="M272" s="654" t="str">
        <f t="shared" si="260"/>
        <v>VW P&amp;A - BR - INTERNE - MCI</v>
      </c>
      <c r="N272" s="655">
        <f>+IF(OR($Q272=Parametres!$G$2,$Q272=Parametres!$G$3),I272,C272)</f>
        <v>332704.98</v>
      </c>
      <c r="O272" s="659">
        <f>+IF(OR($Q272=Parametres!$G$2,$Q272=Parametres!$G$3),J272,D272)</f>
        <v>24567.599999999999</v>
      </c>
      <c r="P272" s="655">
        <f>+IF(OR($Q272=Parametres!$G$2,$Q272=Parametres!$G$3),K272,E272)</f>
        <v>357272.58</v>
      </c>
      <c r="Q272" s="654" t="str">
        <f t="shared" ref="Q272:S272" si="277">+F272</f>
        <v>6-Coût des ventes</v>
      </c>
      <c r="R272" s="653" t="str">
        <f t="shared" si="277"/>
        <v>4705</v>
      </c>
      <c r="S272" s="654">
        <f t="shared" si="277"/>
        <v>0</v>
      </c>
      <c r="T272" s="656" t="str">
        <f>+VLOOKUP($L272,Data_Validation!$A:$D,1,0)</f>
        <v>5705</v>
      </c>
      <c r="U272" s="656" t="str">
        <f>+VLOOKUP($L272,Data_Validation!$A:$D,3,0)</f>
        <v>Pièces</v>
      </c>
      <c r="V272" s="656" t="str">
        <f>+VLOOKUP($L272,Data_Validation!$A:$D,4,0)</f>
        <v>Ventes Internes</v>
      </c>
      <c r="W272" s="656" t="str">
        <f>+VLOOKUP($L272,Data_Validation!$A:$E,5,0)</f>
        <v>$</v>
      </c>
      <c r="X272" s="656">
        <f>+VLOOKUP($L272,Data_Validation!$A:$F,6,0)</f>
        <v>0</v>
      </c>
    </row>
    <row r="273" spans="1:24" ht="15" customHeight="1">
      <c r="A273" s="1052" t="s">
        <v>3677</v>
      </c>
      <c r="B273" s="1052" t="s">
        <v>2205</v>
      </c>
      <c r="C273" s="1054">
        <v>5848.68</v>
      </c>
      <c r="D273" s="1054">
        <v>68.62</v>
      </c>
      <c r="E273" s="1054">
        <v>5917.3</v>
      </c>
      <c r="F273" s="1052" t="s">
        <v>1110</v>
      </c>
      <c r="G273" s="1052" t="s">
        <v>1076</v>
      </c>
      <c r="H273" s="1031"/>
      <c r="I273" s="1032"/>
      <c r="J273" s="1032"/>
      <c r="K273" s="1032"/>
      <c r="L273" s="653" t="str">
        <f t="shared" si="263"/>
        <v>5706</v>
      </c>
      <c r="M273" s="654" t="str">
        <f t="shared" si="260"/>
        <v>VW P&amp;A - BR - CLIENT - VEB</v>
      </c>
      <c r="N273" s="655">
        <f>+IF(OR($Q273=Parametres!$G$2,$Q273=Parametres!$G$3),I273,C273)</f>
        <v>5848.68</v>
      </c>
      <c r="O273" s="659">
        <f>+IF(OR($Q273=Parametres!$G$2,$Q273=Parametres!$G$3),J273,D273)</f>
        <v>68.62</v>
      </c>
      <c r="P273" s="655">
        <f>+IF(OR($Q273=Parametres!$G$2,$Q273=Parametres!$G$3),K273,E273)</f>
        <v>5917.3</v>
      </c>
      <c r="Q273" s="654" t="str">
        <f t="shared" ref="Q273:S273" si="278">+F273</f>
        <v>6-Coût des ventes</v>
      </c>
      <c r="R273" s="653" t="str">
        <f t="shared" si="278"/>
        <v>4706</v>
      </c>
      <c r="S273" s="654">
        <f t="shared" si="278"/>
        <v>0</v>
      </c>
      <c r="T273" s="656" t="str">
        <f>+VLOOKUP($L273,Data_Validation!$A:$D,1,0)</f>
        <v>5706</v>
      </c>
      <c r="U273" s="656" t="str">
        <f>+VLOOKUP($L273,Data_Validation!$A:$D,3,0)</f>
        <v>Service</v>
      </c>
      <c r="V273" s="656" t="str">
        <f>+VLOOKUP($L273,Data_Validation!$A:$D,4,0)</f>
        <v>M/O Interne</v>
      </c>
      <c r="W273" s="656" t="str">
        <f>+VLOOKUP($L273,Data_Validation!$A:$E,5,0)</f>
        <v>$</v>
      </c>
      <c r="X273" s="656">
        <f>+VLOOKUP($L273,Data_Validation!$A:$F,6,0)</f>
        <v>0</v>
      </c>
    </row>
    <row r="274" spans="1:24" ht="15" customHeight="1">
      <c r="A274" s="1052" t="s">
        <v>1141</v>
      </c>
      <c r="B274" s="1052" t="s">
        <v>2208</v>
      </c>
      <c r="C274" s="1054">
        <v>20099.38</v>
      </c>
      <c r="D274" s="1054">
        <v>1445.54</v>
      </c>
      <c r="E274" s="1054">
        <v>21544.92</v>
      </c>
      <c r="F274" s="1052" t="s">
        <v>1110</v>
      </c>
      <c r="G274" s="1052" t="s">
        <v>1142</v>
      </c>
      <c r="H274" s="1031"/>
      <c r="I274" s="1032"/>
      <c r="J274" s="1032"/>
      <c r="K274" s="1032"/>
      <c r="L274" s="653" t="str">
        <f t="shared" si="263"/>
        <v>5711</v>
      </c>
      <c r="M274" s="654" t="str">
        <f t="shared" si="260"/>
        <v>C/V - AUTRE PIECE/ACC/CARR B.R. CLIENT</v>
      </c>
      <c r="N274" s="655">
        <f>+IF(OR($Q274=Parametres!$G$2,$Q274=Parametres!$G$3),I274,C274)</f>
        <v>20099.38</v>
      </c>
      <c r="O274" s="659">
        <f>+IF(OR($Q274=Parametres!$G$2,$Q274=Parametres!$G$3),J274,D274)</f>
        <v>1445.54</v>
      </c>
      <c r="P274" s="655">
        <f>+IF(OR($Q274=Parametres!$G$2,$Q274=Parametres!$G$3),K274,E274)</f>
        <v>21544.92</v>
      </c>
      <c r="Q274" s="654" t="str">
        <f t="shared" ref="Q274:S274" si="279">+F274</f>
        <v>6-Coût des ventes</v>
      </c>
      <c r="R274" s="653" t="str">
        <f t="shared" si="279"/>
        <v>4711</v>
      </c>
      <c r="S274" s="654">
        <f t="shared" si="279"/>
        <v>0</v>
      </c>
      <c r="T274" s="656" t="str">
        <f>+VLOOKUP($L274,Data_Validation!$A:$D,1,0)</f>
        <v>5711</v>
      </c>
      <c r="U274" s="656" t="str">
        <f>+VLOOKUP($L274,Data_Validation!$A:$D,3,0)</f>
        <v>Pièces</v>
      </c>
      <c r="V274" s="656" t="str">
        <f>+VLOOKUP($L274,Data_Validation!$A:$D,4,0)</f>
        <v>Pièces Ro Clients</v>
      </c>
      <c r="W274" s="656" t="str">
        <f>+VLOOKUP($L274,Data_Validation!$A:$E,5,0)</f>
        <v>$</v>
      </c>
      <c r="X274" s="656">
        <f>+VLOOKUP($L274,Data_Validation!$A:$F,6,0)</f>
        <v>0</v>
      </c>
    </row>
    <row r="275" spans="1:24" ht="15" customHeight="1">
      <c r="A275" s="1052" t="s">
        <v>1143</v>
      </c>
      <c r="B275" s="1052" t="s">
        <v>3387</v>
      </c>
      <c r="C275" s="1054">
        <v>189.83</v>
      </c>
      <c r="D275" s="1054">
        <v>0</v>
      </c>
      <c r="E275" s="1054">
        <v>189.83</v>
      </c>
      <c r="F275" s="1052" t="s">
        <v>1110</v>
      </c>
      <c r="G275" s="1052" t="s">
        <v>3383</v>
      </c>
      <c r="H275" s="1031"/>
      <c r="I275" s="1032"/>
      <c r="J275" s="1032"/>
      <c r="K275" s="1032"/>
      <c r="L275" s="653" t="str">
        <f t="shared" si="263"/>
        <v>5715</v>
      </c>
      <c r="M275" s="654" t="str">
        <f t="shared" si="260"/>
        <v>C/V - AUTRE PIECE/ACC/CARR B.R. INTERNE</v>
      </c>
      <c r="N275" s="655">
        <f>+IF(OR($Q275=Parametres!$G$2,$Q275=Parametres!$G$3),I275,C275)</f>
        <v>189.83</v>
      </c>
      <c r="O275" s="659">
        <f>+IF(OR($Q275=Parametres!$G$2,$Q275=Parametres!$G$3),J275,D275)</f>
        <v>0</v>
      </c>
      <c r="P275" s="655">
        <f>+IF(OR($Q275=Parametres!$G$2,$Q275=Parametres!$G$3),K275,E275)</f>
        <v>189.83</v>
      </c>
      <c r="Q275" s="654" t="str">
        <f t="shared" ref="Q275:S275" si="280">+F275</f>
        <v>6-Coût des ventes</v>
      </c>
      <c r="R275" s="653" t="str">
        <f t="shared" si="280"/>
        <v>4715</v>
      </c>
      <c r="S275" s="654">
        <f t="shared" si="280"/>
        <v>0</v>
      </c>
      <c r="T275" s="656" t="str">
        <f>+VLOOKUP($L275,Data_Validation!$A:$D,1,0)</f>
        <v>5715</v>
      </c>
      <c r="U275" s="656" t="str">
        <f>+VLOOKUP($L275,Data_Validation!$A:$D,3,0)</f>
        <v>Pièces</v>
      </c>
      <c r="V275" s="656" t="str">
        <f>+VLOOKUP($L275,Data_Validation!$A:$D,4,0)</f>
        <v>Ventes Internes</v>
      </c>
      <c r="W275" s="656" t="str">
        <f>+VLOOKUP($L275,Data_Validation!$A:$E,5,0)</f>
        <v>$</v>
      </c>
      <c r="X275" s="656">
        <f>+VLOOKUP($L275,Data_Validation!$A:$F,6,0)</f>
        <v>0</v>
      </c>
    </row>
    <row r="276" spans="1:24" ht="15" customHeight="1">
      <c r="A276" s="1052" t="s">
        <v>3678</v>
      </c>
      <c r="B276" s="1052" t="s">
        <v>2214</v>
      </c>
      <c r="C276" s="1054">
        <v>74159.25</v>
      </c>
      <c r="D276" s="1054">
        <v>2531.7600000000002</v>
      </c>
      <c r="E276" s="1054">
        <v>76691.009999999995</v>
      </c>
      <c r="F276" s="1052" t="s">
        <v>1110</v>
      </c>
      <c r="G276" s="1052" t="s">
        <v>1086</v>
      </c>
      <c r="H276" s="1031"/>
      <c r="I276" s="1032"/>
      <c r="J276" s="1032"/>
      <c r="K276" s="1032"/>
      <c r="L276" s="653" t="str">
        <f t="shared" si="263"/>
        <v>5731</v>
      </c>
      <c r="M276" s="654" t="str">
        <f t="shared" si="260"/>
        <v>VW-P&amp;A-P&amp;BRO-CLIENT - MCI</v>
      </c>
      <c r="N276" s="655">
        <f>+IF(OR($Q276=Parametres!$G$2,$Q276=Parametres!$G$3),I276,C276)</f>
        <v>74159.25</v>
      </c>
      <c r="O276" s="659">
        <f>+IF(OR($Q276=Parametres!$G$2,$Q276=Parametres!$G$3),J276,D276)</f>
        <v>2531.7600000000002</v>
      </c>
      <c r="P276" s="655">
        <f>+IF(OR($Q276=Parametres!$G$2,$Q276=Parametres!$G$3),K276,E276)</f>
        <v>76691.009999999995</v>
      </c>
      <c r="Q276" s="654" t="str">
        <f t="shared" ref="Q276:S276" si="281">+F276</f>
        <v>6-Coût des ventes</v>
      </c>
      <c r="R276" s="653" t="str">
        <f t="shared" si="281"/>
        <v>4731</v>
      </c>
      <c r="S276" s="654">
        <f t="shared" si="281"/>
        <v>0</v>
      </c>
      <c r="T276" s="656" t="str">
        <f>+VLOOKUP($L276,Data_Validation!$A:$D,1,0)</f>
        <v>5731</v>
      </c>
      <c r="U276" s="656" t="str">
        <f>+VLOOKUP($L276,Data_Validation!$A:$D,3,0)</f>
        <v>Pièces</v>
      </c>
      <c r="V276" s="656" t="str">
        <f>+VLOOKUP($L276,Data_Validation!$A:$D,4,0)</f>
        <v>Pièces Ro Carrosserie</v>
      </c>
      <c r="W276" s="656" t="str">
        <f>+VLOOKUP($L276,Data_Validation!$A:$E,5,0)</f>
        <v>$</v>
      </c>
      <c r="X276" s="656">
        <f>+VLOOKUP($L276,Data_Validation!$A:$F,6,0)</f>
        <v>0</v>
      </c>
    </row>
    <row r="277" spans="1:24" ht="15" customHeight="1">
      <c r="A277" s="1052" t="s">
        <v>3679</v>
      </c>
      <c r="B277" s="1052" t="s">
        <v>2217</v>
      </c>
      <c r="C277" s="1054">
        <v>385030.95</v>
      </c>
      <c r="D277" s="1054">
        <v>26802.7</v>
      </c>
      <c r="E277" s="1054">
        <v>411833.65</v>
      </c>
      <c r="F277" s="1052" t="s">
        <v>1110</v>
      </c>
      <c r="G277" s="1052" t="s">
        <v>1090</v>
      </c>
      <c r="H277" s="1031"/>
      <c r="I277" s="1032"/>
      <c r="J277" s="1032"/>
      <c r="K277" s="1032"/>
      <c r="L277" s="653" t="str">
        <f t="shared" si="263"/>
        <v>5733</v>
      </c>
      <c r="M277" s="654" t="str">
        <f t="shared" si="260"/>
        <v>VW-P&amp;A-P&amp;BRO-GARANTIE - MCI</v>
      </c>
      <c r="N277" s="655">
        <f>+IF(OR($Q277=Parametres!$G$2,$Q277=Parametres!$G$3),I277,C277)</f>
        <v>385030.95</v>
      </c>
      <c r="O277" s="659">
        <f>+IF(OR($Q277=Parametres!$G$2,$Q277=Parametres!$G$3),J277,D277)</f>
        <v>26802.7</v>
      </c>
      <c r="P277" s="655">
        <f>+IF(OR($Q277=Parametres!$G$2,$Q277=Parametres!$G$3),K277,E277)</f>
        <v>411833.65</v>
      </c>
      <c r="Q277" s="654" t="str">
        <f t="shared" ref="Q277:S277" si="282">+F277</f>
        <v>6-Coût des ventes</v>
      </c>
      <c r="R277" s="653" t="str">
        <f t="shared" si="282"/>
        <v>4733</v>
      </c>
      <c r="S277" s="654">
        <f t="shared" si="282"/>
        <v>0</v>
      </c>
      <c r="T277" s="656" t="str">
        <f>+VLOOKUP($L277,Data_Validation!$A:$D,1,0)</f>
        <v>5733</v>
      </c>
      <c r="U277" s="656" t="str">
        <f>+VLOOKUP($L277,Data_Validation!$A:$D,3,0)</f>
        <v>Pièces</v>
      </c>
      <c r="V277" s="656" t="str">
        <f>+VLOOKUP($L277,Data_Validation!$A:$D,4,0)</f>
        <v>Pièces Ro Carrosserie</v>
      </c>
      <c r="W277" s="656" t="str">
        <f>+VLOOKUP($L277,Data_Validation!$A:$E,5,0)</f>
        <v>$</v>
      </c>
      <c r="X277" s="656">
        <f>+VLOOKUP($L277,Data_Validation!$A:$F,6,0)</f>
        <v>0</v>
      </c>
    </row>
    <row r="278" spans="1:24" ht="15" customHeight="1">
      <c r="A278" s="1052" t="s">
        <v>3680</v>
      </c>
      <c r="B278" s="1052" t="s">
        <v>2220</v>
      </c>
      <c r="C278" s="1054">
        <v>10014.44</v>
      </c>
      <c r="D278" s="1054">
        <v>194.62</v>
      </c>
      <c r="E278" s="1054">
        <v>10209.06</v>
      </c>
      <c r="F278" s="1052" t="s">
        <v>1110</v>
      </c>
      <c r="G278" s="1052" t="s">
        <v>1094</v>
      </c>
      <c r="H278" s="1031"/>
      <c r="I278" s="1032"/>
      <c r="J278" s="1032"/>
      <c r="K278" s="1032"/>
      <c r="L278" s="653" t="str">
        <f t="shared" si="263"/>
        <v>5735</v>
      </c>
      <c r="M278" s="654" t="str">
        <f t="shared" si="260"/>
        <v>VW-P&amp;A-P&amp;BRO-INTERNE - MCI</v>
      </c>
      <c r="N278" s="655">
        <f>+IF(OR($Q278=Parametres!$G$2,$Q278=Parametres!$G$3),I278,C278)</f>
        <v>10014.44</v>
      </c>
      <c r="O278" s="659">
        <f>+IF(OR($Q278=Parametres!$G$2,$Q278=Parametres!$G$3),J278,D278)</f>
        <v>194.62</v>
      </c>
      <c r="P278" s="655">
        <f>+IF(OR($Q278=Parametres!$G$2,$Q278=Parametres!$G$3),K278,E278)</f>
        <v>10209.06</v>
      </c>
      <c r="Q278" s="654" t="str">
        <f t="shared" ref="Q278:S278" si="283">+F278</f>
        <v>6-Coût des ventes</v>
      </c>
      <c r="R278" s="653" t="str">
        <f t="shared" si="283"/>
        <v>4735</v>
      </c>
      <c r="S278" s="654">
        <f t="shared" si="283"/>
        <v>0</v>
      </c>
      <c r="T278" s="656" t="str">
        <f>+VLOOKUP($L278,Data_Validation!$A:$D,1,0)</f>
        <v>5735</v>
      </c>
      <c r="U278" s="656" t="str">
        <f>+VLOOKUP($L278,Data_Validation!$A:$D,3,0)</f>
        <v>Pièces</v>
      </c>
      <c r="V278" s="656" t="str">
        <f>+VLOOKUP($L278,Data_Validation!$A:$D,4,0)</f>
        <v>Pièces Ro Carrosserie</v>
      </c>
      <c r="W278" s="656" t="str">
        <f>+VLOOKUP($L278,Data_Validation!$A:$E,5,0)</f>
        <v>$</v>
      </c>
      <c r="X278" s="656">
        <f>+VLOOKUP($L278,Data_Validation!$A:$F,6,0)</f>
        <v>0</v>
      </c>
    </row>
    <row r="279" spans="1:24" ht="15.75" customHeight="1">
      <c r="A279" s="1052" t="s">
        <v>1147</v>
      </c>
      <c r="B279" s="1052" t="s">
        <v>2223</v>
      </c>
      <c r="C279" s="1054">
        <v>137674.37</v>
      </c>
      <c r="D279" s="1054">
        <v>10790.48</v>
      </c>
      <c r="E279" s="1054">
        <v>148464.85</v>
      </c>
      <c r="F279" s="1052" t="s">
        <v>1110</v>
      </c>
      <c r="G279" s="1052" t="s">
        <v>1098</v>
      </c>
      <c r="H279" s="1031"/>
      <c r="I279" s="1032"/>
      <c r="J279" s="1032"/>
      <c r="K279" s="1032"/>
      <c r="L279" s="653" t="str">
        <f t="shared" si="263"/>
        <v>5761</v>
      </c>
      <c r="M279" s="654" t="str">
        <f t="shared" si="260"/>
        <v>C/V - P&amp;A VW COMPTOIR - DETAIL</v>
      </c>
      <c r="N279" s="655">
        <f>+IF(OR($Q279=Parametres!$G$2,$Q279=Parametres!$G$3),I279,C279)</f>
        <v>137674.37</v>
      </c>
      <c r="O279" s="659">
        <f>+IF(OR($Q279=Parametres!$G$2,$Q279=Parametres!$G$3),J279,D279)</f>
        <v>10790.48</v>
      </c>
      <c r="P279" s="655">
        <f>+IF(OR($Q279=Parametres!$G$2,$Q279=Parametres!$G$3),K279,E279)</f>
        <v>148464.85</v>
      </c>
      <c r="Q279" s="654" t="str">
        <f t="shared" ref="Q279:S279" si="284">+F279</f>
        <v>6-Coût des ventes</v>
      </c>
      <c r="R279" s="653" t="str">
        <f t="shared" si="284"/>
        <v>4761</v>
      </c>
      <c r="S279" s="654">
        <f t="shared" si="284"/>
        <v>0</v>
      </c>
      <c r="T279" s="656" t="str">
        <f>+VLOOKUP($L279,Data_Validation!$A:$D,1,0)</f>
        <v>5761</v>
      </c>
      <c r="U279" s="656" t="str">
        <f>+VLOOKUP($L279,Data_Validation!$A:$D,3,0)</f>
        <v>Pièces</v>
      </c>
      <c r="V279" s="656" t="str">
        <f>+VLOOKUP($L279,Data_Validation!$A:$D,4,0)</f>
        <v>Ventes Détails</v>
      </c>
      <c r="W279" s="656" t="str">
        <f>+VLOOKUP($L279,Data_Validation!$A:$E,5,0)</f>
        <v>$</v>
      </c>
      <c r="X279" s="656">
        <f>+VLOOKUP($L279,Data_Validation!$A:$F,6,0)</f>
        <v>0</v>
      </c>
    </row>
    <row r="280" spans="1:24" ht="15" customHeight="1">
      <c r="A280" s="1052" t="s">
        <v>1148</v>
      </c>
      <c r="B280" s="1052" t="s">
        <v>2226</v>
      </c>
      <c r="C280" s="1054">
        <v>763062.29</v>
      </c>
      <c r="D280" s="1054">
        <v>71924.28</v>
      </c>
      <c r="E280" s="1054">
        <v>834986.57</v>
      </c>
      <c r="F280" s="1052" t="s">
        <v>1110</v>
      </c>
      <c r="G280" s="1052" t="s">
        <v>1102</v>
      </c>
      <c r="H280" s="1031"/>
      <c r="I280" s="1032"/>
      <c r="J280" s="1032"/>
      <c r="K280" s="1032"/>
      <c r="L280" s="653" t="str">
        <f t="shared" si="263"/>
        <v>5763</v>
      </c>
      <c r="M280" s="654" t="str">
        <f t="shared" si="260"/>
        <v>C/V - P&amp;A VW COMPTOIR GROS - ECHANGE</v>
      </c>
      <c r="N280" s="655">
        <f>+IF(OR($Q280=Parametres!$G$2,$Q280=Parametres!$G$3),I280,C280)</f>
        <v>763062.29</v>
      </c>
      <c r="O280" s="659">
        <f>+IF(OR($Q280=Parametres!$G$2,$Q280=Parametres!$G$3),J280,D280)</f>
        <v>71924.28</v>
      </c>
      <c r="P280" s="655">
        <f>+IF(OR($Q280=Parametres!$G$2,$Q280=Parametres!$G$3),K280,E280)</f>
        <v>834986.57</v>
      </c>
      <c r="Q280" s="654" t="str">
        <f t="shared" ref="Q280:S280" si="285">+F280</f>
        <v>6-Coût des ventes</v>
      </c>
      <c r="R280" s="653" t="str">
        <f t="shared" si="285"/>
        <v>4763</v>
      </c>
      <c r="S280" s="654">
        <f t="shared" si="285"/>
        <v>0</v>
      </c>
      <c r="T280" s="656" t="str">
        <f>+VLOOKUP($L280,Data_Validation!$A:$D,1,0)</f>
        <v>5763</v>
      </c>
      <c r="U280" s="656" t="str">
        <f>+VLOOKUP($L280,Data_Validation!$A:$D,3,0)</f>
        <v>Pièces</v>
      </c>
      <c r="V280" s="656" t="str">
        <f>+VLOOKUP($L280,Data_Validation!$A:$D,4,0)</f>
        <v>Ventes de Gros</v>
      </c>
      <c r="W280" s="656" t="str">
        <f>+VLOOKUP($L280,Data_Validation!$A:$E,5,0)</f>
        <v>$</v>
      </c>
      <c r="X280" s="656">
        <f>+VLOOKUP($L280,Data_Validation!$A:$F,6,0)</f>
        <v>0</v>
      </c>
    </row>
    <row r="281" spans="1:24" ht="15" customHeight="1">
      <c r="A281" s="1052" t="s">
        <v>1149</v>
      </c>
      <c r="B281" s="1052" t="s">
        <v>2229</v>
      </c>
      <c r="C281" s="1054">
        <v>382588.15999999997</v>
      </c>
      <c r="D281" s="1054">
        <v>42461.16</v>
      </c>
      <c r="E281" s="1054">
        <v>425049.32</v>
      </c>
      <c r="F281" s="1052" t="s">
        <v>1110</v>
      </c>
      <c r="G281" s="1052" t="s">
        <v>1106</v>
      </c>
      <c r="H281" s="1031"/>
      <c r="I281" s="1032"/>
      <c r="J281" s="1032"/>
      <c r="K281" s="1032"/>
      <c r="L281" s="653" t="str">
        <f t="shared" si="263"/>
        <v>5781</v>
      </c>
      <c r="M281" s="654" t="str">
        <f t="shared" si="260"/>
        <v>COUT PNEUS</v>
      </c>
      <c r="N281" s="655">
        <f>+IF(OR($Q281=Parametres!$G$2,$Q281=Parametres!$G$3),I281,C281)</f>
        <v>382588.15999999997</v>
      </c>
      <c r="O281" s="659">
        <f>+IF(OR($Q281=Parametres!$G$2,$Q281=Parametres!$G$3),J281,D281)</f>
        <v>42461.16</v>
      </c>
      <c r="P281" s="655">
        <f>+IF(OR($Q281=Parametres!$G$2,$Q281=Parametres!$G$3),K281,E281)</f>
        <v>425049.32</v>
      </c>
      <c r="Q281" s="654" t="str">
        <f t="shared" ref="Q281:S281" si="286">+F281</f>
        <v>6-Coût des ventes</v>
      </c>
      <c r="R281" s="653" t="str">
        <f t="shared" si="286"/>
        <v>4781</v>
      </c>
      <c r="S281" s="654">
        <f t="shared" si="286"/>
        <v>0</v>
      </c>
      <c r="T281" s="656" t="str">
        <f>+VLOOKUP($L281,Data_Validation!$A:$D,1,0)</f>
        <v>5781</v>
      </c>
      <c r="U281" s="656" t="str">
        <f>+VLOOKUP($L281,Data_Validation!$A:$D,3,0)</f>
        <v>Pièces</v>
      </c>
      <c r="V281" s="656" t="str">
        <f>+VLOOKUP($L281,Data_Validation!$A:$D,4,0)</f>
        <v>Ventes Pneus</v>
      </c>
      <c r="W281" s="656" t="str">
        <f>+VLOOKUP($L281,Data_Validation!$A:$E,5,0)</f>
        <v>$</v>
      </c>
      <c r="X281" s="656">
        <f>+VLOOKUP($L281,Data_Validation!$A:$F,6,0)</f>
        <v>0</v>
      </c>
    </row>
    <row r="282" spans="1:24" ht="15" customHeight="1">
      <c r="A282" s="1052" t="s">
        <v>1150</v>
      </c>
      <c r="B282" s="1052" t="s">
        <v>2232</v>
      </c>
      <c r="C282" s="1054">
        <v>7089.96</v>
      </c>
      <c r="D282" s="1054">
        <v>1337.6</v>
      </c>
      <c r="E282" s="1054">
        <v>8427.56</v>
      </c>
      <c r="F282" s="1052" t="s">
        <v>1110</v>
      </c>
      <c r="G282" s="1052" t="s">
        <v>1106</v>
      </c>
      <c r="H282" s="1031"/>
      <c r="I282" s="1031"/>
      <c r="J282" s="1031"/>
      <c r="K282" s="1031"/>
      <c r="L282" s="653" t="str">
        <f t="shared" si="263"/>
        <v>5785</v>
      </c>
      <c r="M282" s="654" t="str">
        <f t="shared" si="260"/>
        <v>C/V - VW PNEUS</v>
      </c>
      <c r="N282" s="655">
        <f>+IF(OR($Q282=Parametres!$G$2,$Q282=Parametres!$G$3),I282,C282)</f>
        <v>7089.96</v>
      </c>
      <c r="O282" s="659">
        <f>+IF(OR($Q282=Parametres!$G$2,$Q282=Parametres!$G$3),J282,D282)</f>
        <v>1337.6</v>
      </c>
      <c r="P282" s="655">
        <f>+IF(OR($Q282=Parametres!$G$2,$Q282=Parametres!$G$3),K282,E282)</f>
        <v>8427.56</v>
      </c>
      <c r="Q282" s="654" t="str">
        <f t="shared" ref="Q282:S282" si="287">+F282</f>
        <v>6-Coût des ventes</v>
      </c>
      <c r="R282" s="653" t="str">
        <f t="shared" si="287"/>
        <v>4781</v>
      </c>
      <c r="S282" s="654">
        <f t="shared" si="287"/>
        <v>0</v>
      </c>
      <c r="T282" s="656" t="str">
        <f>+VLOOKUP($L282,Data_Validation!$A:$D,1,0)</f>
        <v>5785</v>
      </c>
      <c r="U282" s="656" t="str">
        <f>+VLOOKUP($L282,Data_Validation!$A:$D,3,0)</f>
        <v>Pièces</v>
      </c>
      <c r="V282" s="656" t="str">
        <f>+VLOOKUP($L282,Data_Validation!$A:$D,4,0)</f>
        <v>Ventes Pneus</v>
      </c>
      <c r="W282" s="656" t="str">
        <f>+VLOOKUP($L282,Data_Validation!$A:$E,5,0)</f>
        <v>$</v>
      </c>
      <c r="X282" s="656">
        <f>+VLOOKUP($L282,Data_Validation!$A:$F,6,0)</f>
        <v>0</v>
      </c>
    </row>
    <row r="283" spans="1:24" ht="15.75" customHeight="1">
      <c r="A283" s="1052" t="s">
        <v>1151</v>
      </c>
      <c r="B283" s="1052" t="s">
        <v>2237</v>
      </c>
      <c r="C283" s="1054">
        <v>-15645.42</v>
      </c>
      <c r="D283" s="1054">
        <v>-5367.57</v>
      </c>
      <c r="E283" s="1054">
        <v>-21012.99</v>
      </c>
      <c r="F283" s="1052" t="s">
        <v>1110</v>
      </c>
      <c r="G283" s="1052" t="s">
        <v>1152</v>
      </c>
      <c r="H283" s="1031"/>
      <c r="I283" s="1031"/>
      <c r="J283" s="1031"/>
      <c r="K283" s="1031"/>
      <c r="L283" s="653" t="str">
        <f t="shared" si="263"/>
        <v>5796</v>
      </c>
      <c r="M283" s="654" t="str">
        <f t="shared" si="260"/>
        <v>C/V - BONI / ESCPTE PI VW</v>
      </c>
      <c r="N283" s="655">
        <f>+IF(OR($Q283=Parametres!$G$2,$Q283=Parametres!$G$3),I283,C283)</f>
        <v>-15645.42</v>
      </c>
      <c r="O283" s="659">
        <f>+IF(OR($Q283=Parametres!$G$2,$Q283=Parametres!$G$3),J283,D283)</f>
        <v>-5367.57</v>
      </c>
      <c r="P283" s="655">
        <f>+IF(OR($Q283=Parametres!$G$2,$Q283=Parametres!$G$3),K283,E283)</f>
        <v>-21012.99</v>
      </c>
      <c r="Q283" s="654" t="str">
        <f t="shared" ref="Q283:S283" si="288">+F283</f>
        <v>6-Coût des ventes</v>
      </c>
      <c r="R283" s="653" t="str">
        <f t="shared" si="288"/>
        <v>5792</v>
      </c>
      <c r="S283" s="654">
        <f t="shared" si="288"/>
        <v>0</v>
      </c>
      <c r="T283" s="656" t="str">
        <f>+VLOOKUP($L283,Data_Validation!$A:$D,1,0)</f>
        <v>5796</v>
      </c>
      <c r="U283" s="656" t="str">
        <f>+VLOOKUP($L283,Data_Validation!$A:$D,3,0)</f>
        <v>Pièces</v>
      </c>
      <c r="V283" s="656" t="str">
        <f>+VLOOKUP($L283,Data_Validation!$A:$D,4,0)</f>
        <v>Escomptes</v>
      </c>
      <c r="W283" s="656" t="str">
        <f>+VLOOKUP($L283,Data_Validation!$A:$E,5,0)</f>
        <v>$</v>
      </c>
      <c r="X283" s="656">
        <f>+VLOOKUP($L283,Data_Validation!$A:$F,6,0)</f>
        <v>0</v>
      </c>
    </row>
    <row r="284" spans="1:24" ht="15" customHeight="1">
      <c r="A284" s="1052" t="s">
        <v>1153</v>
      </c>
      <c r="B284" s="1052" t="s">
        <v>1155</v>
      </c>
      <c r="C284" s="1054">
        <v>460692.04</v>
      </c>
      <c r="D284" s="1054">
        <v>29910.06</v>
      </c>
      <c r="E284" s="1054">
        <v>490602.1</v>
      </c>
      <c r="F284" s="1052" t="s">
        <v>1154</v>
      </c>
      <c r="G284" s="1052" t="s">
        <v>1155</v>
      </c>
      <c r="H284" s="1031"/>
      <c r="I284" s="1031"/>
      <c r="J284" s="1031"/>
      <c r="K284" s="1031"/>
      <c r="L284" s="653" t="str">
        <f t="shared" si="263"/>
        <v>6101</v>
      </c>
      <c r="M284" s="654" t="str">
        <f t="shared" si="260"/>
        <v>COMMISSION VENDEUR NEUFS</v>
      </c>
      <c r="N284" s="655">
        <f>+IF(OR($Q284=Parametres!$G$2,$Q284=Parametres!$G$3),I284,C284)</f>
        <v>460692.04</v>
      </c>
      <c r="O284" s="659">
        <f>+IF(OR($Q284=Parametres!$G$2,$Q284=Parametres!$G$3),J284,D284)</f>
        <v>29910.06</v>
      </c>
      <c r="P284" s="655">
        <f>+IF(OR($Q284=Parametres!$G$2,$Q284=Parametres!$G$3),K284,E284)</f>
        <v>490602.1</v>
      </c>
      <c r="Q284" s="654" t="str">
        <f t="shared" ref="Q284:S284" si="289">+F284</f>
        <v>7-Dépenses</v>
      </c>
      <c r="R284" s="653" t="str">
        <f t="shared" si="289"/>
        <v>6101</v>
      </c>
      <c r="S284" s="654">
        <f t="shared" si="289"/>
        <v>0</v>
      </c>
      <c r="T284" s="656" t="str">
        <f>+VLOOKUP($L284,Data_Validation!$A:$D,1,0)</f>
        <v>6101</v>
      </c>
      <c r="U284" s="656" t="str">
        <f>+VLOOKUP($L284,Data_Validation!$A:$D,3,0)</f>
        <v>Véhicules neufs</v>
      </c>
      <c r="V284" s="656" t="str">
        <f>+VLOOKUP($L284,Data_Validation!$A:$D,4,0)</f>
        <v>Comm. vendeurs</v>
      </c>
      <c r="W284" s="656" t="str">
        <f>+VLOOKUP($L284,Data_Validation!$A:$E,5,0)</f>
        <v>$</v>
      </c>
      <c r="X284" s="656">
        <f>+VLOOKUP($L284,Data_Validation!$A:$F,6,0)</f>
        <v>0</v>
      </c>
    </row>
    <row r="285" spans="1:24" ht="15" customHeight="1">
      <c r="A285" s="1052" t="s">
        <v>1156</v>
      </c>
      <c r="B285" s="1052" t="s">
        <v>1157</v>
      </c>
      <c r="C285" s="1054">
        <v>196964.34</v>
      </c>
      <c r="D285" s="1054">
        <v>14353.95</v>
      </c>
      <c r="E285" s="1054">
        <v>211318.29</v>
      </c>
      <c r="F285" s="1052" t="s">
        <v>1154</v>
      </c>
      <c r="G285" s="1052" t="s">
        <v>1157</v>
      </c>
      <c r="H285" s="1031"/>
      <c r="I285" s="1031"/>
      <c r="J285" s="1031"/>
      <c r="K285" s="1031"/>
      <c r="L285" s="653" t="str">
        <f t="shared" si="263"/>
        <v>6102</v>
      </c>
      <c r="M285" s="654" t="str">
        <f t="shared" si="260"/>
        <v>RENUMERATION F &amp; I</v>
      </c>
      <c r="N285" s="655">
        <f>+IF(OR($Q285=Parametres!$G$2,$Q285=Parametres!$G$3),I285,C285)</f>
        <v>196964.34</v>
      </c>
      <c r="O285" s="659">
        <f>+IF(OR($Q285=Parametres!$G$2,$Q285=Parametres!$G$3),J285,D285)</f>
        <v>14353.95</v>
      </c>
      <c r="P285" s="655">
        <f>+IF(OR($Q285=Parametres!$G$2,$Q285=Parametres!$G$3),K285,E285)</f>
        <v>211318.29</v>
      </c>
      <c r="Q285" s="654" t="str">
        <f t="shared" ref="Q285:S285" si="290">+F285</f>
        <v>7-Dépenses</v>
      </c>
      <c r="R285" s="653" t="str">
        <f t="shared" si="290"/>
        <v>6102</v>
      </c>
      <c r="S285" s="654">
        <f t="shared" si="290"/>
        <v>0</v>
      </c>
      <c r="T285" s="656" t="str">
        <f>+VLOOKUP($L285,Data_Validation!$A:$D,1,0)</f>
        <v>6102</v>
      </c>
      <c r="U285" s="656" t="str">
        <f>+VLOOKUP($L285,Data_Validation!$A:$D,3,0)</f>
        <v>Véhicules neufs</v>
      </c>
      <c r="V285" s="656" t="str">
        <f>+VLOOKUP($L285,Data_Validation!$A:$D,4,0)</f>
        <v>Comm. F&amp;I</v>
      </c>
      <c r="W285" s="656" t="str">
        <f>+VLOOKUP($L285,Data_Validation!$A:$E,5,0)</f>
        <v>$</v>
      </c>
      <c r="X285" s="656">
        <f>+VLOOKUP($L285,Data_Validation!$A:$F,6,0)</f>
        <v>0</v>
      </c>
    </row>
    <row r="286" spans="1:24" ht="15" customHeight="1">
      <c r="A286" s="1052" t="s">
        <v>1158</v>
      </c>
      <c r="B286" s="1052" t="s">
        <v>1159</v>
      </c>
      <c r="C286" s="1054">
        <v>1055.6600000000001</v>
      </c>
      <c r="D286" s="1054">
        <v>249.5</v>
      </c>
      <c r="E286" s="1054">
        <v>1305.1600000000001</v>
      </c>
      <c r="F286" s="1052" t="s">
        <v>1154</v>
      </c>
      <c r="G286" s="1052" t="s">
        <v>1159</v>
      </c>
      <c r="H286" s="1031"/>
      <c r="I286" s="1031"/>
      <c r="J286" s="1031"/>
      <c r="K286" s="1031"/>
      <c r="L286" s="653" t="str">
        <f t="shared" si="263"/>
        <v>6103</v>
      </c>
      <c r="M286" s="654" t="str">
        <f t="shared" si="260"/>
        <v>RELAT. A LA CLIENTELE &amp; AJUST.</v>
      </c>
      <c r="N286" s="655">
        <f>+IF(OR($Q286=Parametres!$G$2,$Q286=Parametres!$G$3),I286,C286)</f>
        <v>1055.6600000000001</v>
      </c>
      <c r="O286" s="659">
        <f>+IF(OR($Q286=Parametres!$G$2,$Q286=Parametres!$G$3),J286,D286)</f>
        <v>249.5</v>
      </c>
      <c r="P286" s="655">
        <f>+IF(OR($Q286=Parametres!$G$2,$Q286=Parametres!$G$3),K286,E286)</f>
        <v>1305.1600000000001</v>
      </c>
      <c r="Q286" s="654" t="str">
        <f t="shared" ref="Q286:S286" si="291">+F286</f>
        <v>7-Dépenses</v>
      </c>
      <c r="R286" s="653" t="str">
        <f t="shared" si="291"/>
        <v>6103</v>
      </c>
      <c r="S286" s="654">
        <f t="shared" si="291"/>
        <v>0</v>
      </c>
      <c r="T286" s="656" t="str">
        <f>+VLOOKUP($L286,Data_Validation!$A:$D,1,0)</f>
        <v>6103</v>
      </c>
      <c r="U286" s="656" t="str">
        <f>+VLOOKUP($L286,Data_Validation!$A:$D,3,0)</f>
        <v>Véhicules neufs</v>
      </c>
      <c r="V286" s="656" t="str">
        <f>+VLOOKUP($L286,Data_Validation!$A:$D,4,0)</f>
        <v>Service gratuit 1</v>
      </c>
      <c r="W286" s="656" t="str">
        <f>+VLOOKUP($L286,Data_Validation!$A:$E,5,0)</f>
        <v>$</v>
      </c>
      <c r="X286" s="656">
        <f>+VLOOKUP($L286,Data_Validation!$A:$F,6,0)</f>
        <v>0</v>
      </c>
    </row>
    <row r="287" spans="1:24" ht="15.75" customHeight="1">
      <c r="A287" s="1052" t="s">
        <v>1160</v>
      </c>
      <c r="B287" s="1052" t="s">
        <v>1161</v>
      </c>
      <c r="C287" s="1054">
        <v>52787.58</v>
      </c>
      <c r="D287" s="1054">
        <v>3105.58</v>
      </c>
      <c r="E287" s="1054">
        <v>55893.16</v>
      </c>
      <c r="F287" s="1052" t="s">
        <v>1154</v>
      </c>
      <c r="G287" s="1052" t="s">
        <v>1161</v>
      </c>
      <c r="H287" s="1031"/>
      <c r="I287" s="1031"/>
      <c r="J287" s="1031"/>
      <c r="K287" s="1031"/>
      <c r="L287" s="653" t="str">
        <f t="shared" si="263"/>
        <v>6106</v>
      </c>
      <c r="M287" s="654" t="str">
        <f t="shared" si="260"/>
        <v>ENTRETIEN DES STOCKS</v>
      </c>
      <c r="N287" s="655">
        <f>+IF(OR($Q287=Parametres!$G$2,$Q287=Parametres!$G$3),I287,C287)</f>
        <v>52787.58</v>
      </c>
      <c r="O287" s="659">
        <f>+IF(OR($Q287=Parametres!$G$2,$Q287=Parametres!$G$3),J287,D287)</f>
        <v>3105.58</v>
      </c>
      <c r="P287" s="655">
        <f>+IF(OR($Q287=Parametres!$G$2,$Q287=Parametres!$G$3),K287,E287)</f>
        <v>55893.16</v>
      </c>
      <c r="Q287" s="654" t="str">
        <f t="shared" ref="Q287:S287" si="292">+F287</f>
        <v>7-Dépenses</v>
      </c>
      <c r="R287" s="653" t="str">
        <f t="shared" si="292"/>
        <v>6106</v>
      </c>
      <c r="S287" s="654">
        <f t="shared" si="292"/>
        <v>0</v>
      </c>
      <c r="T287" s="656" t="str">
        <f>+VLOOKUP($L287,Data_Validation!$A:$D,1,0)</f>
        <v>6106</v>
      </c>
      <c r="U287" s="656" t="str">
        <f>+VLOOKUP($L287,Data_Validation!$A:$D,3,0)</f>
        <v>Véhicules neufs</v>
      </c>
      <c r="V287" s="656" t="str">
        <f>+VLOOKUP($L287,Data_Validation!$A:$D,4,0)</f>
        <v>Entretien stock</v>
      </c>
      <c r="W287" s="656" t="str">
        <f>+VLOOKUP($L287,Data_Validation!$A:$E,5,0)</f>
        <v>$</v>
      </c>
      <c r="X287" s="656">
        <f>+VLOOKUP($L287,Data_Validation!$A:$F,6,0)</f>
        <v>0</v>
      </c>
    </row>
    <row r="288" spans="1:24" ht="15" customHeight="1">
      <c r="A288" s="1052" t="s">
        <v>1162</v>
      </c>
      <c r="B288" s="1052" t="s">
        <v>1163</v>
      </c>
      <c r="C288" s="1054">
        <v>20315</v>
      </c>
      <c r="D288" s="1054">
        <v>9068.61</v>
      </c>
      <c r="E288" s="1054">
        <v>29383.61</v>
      </c>
      <c r="F288" s="1052" t="s">
        <v>1154</v>
      </c>
      <c r="G288" s="1052" t="s">
        <v>1163</v>
      </c>
      <c r="H288" s="1031"/>
      <c r="I288" s="1031"/>
      <c r="J288" s="1031"/>
      <c r="K288" s="1031"/>
      <c r="L288" s="653" t="str">
        <f t="shared" si="263"/>
        <v>6107</v>
      </c>
      <c r="M288" s="654" t="str">
        <f t="shared" si="260"/>
        <v>INTERET-PLAN DE FINANCEMENT</v>
      </c>
      <c r="N288" s="655">
        <f>+IF(OR($Q288=Parametres!$G$2,$Q288=Parametres!$G$3),I288,C288)</f>
        <v>20315</v>
      </c>
      <c r="O288" s="659">
        <f>+IF(OR($Q288=Parametres!$G$2,$Q288=Parametres!$G$3),J288,D288)</f>
        <v>9068.61</v>
      </c>
      <c r="P288" s="655">
        <f>+IF(OR($Q288=Parametres!$G$2,$Q288=Parametres!$G$3),K288,E288)</f>
        <v>29383.61</v>
      </c>
      <c r="Q288" s="654" t="str">
        <f t="shared" ref="Q288:S288" si="293">+F288</f>
        <v>7-Dépenses</v>
      </c>
      <c r="R288" s="653" t="str">
        <f t="shared" si="293"/>
        <v>6107</v>
      </c>
      <c r="S288" s="654">
        <f t="shared" si="293"/>
        <v>0</v>
      </c>
      <c r="T288" s="656" t="str">
        <f>+VLOOKUP($L288,Data_Validation!$A:$D,1,0)</f>
        <v>6107</v>
      </c>
      <c r="U288" s="656" t="str">
        <f>+VLOOKUP($L288,Data_Validation!$A:$D,3,0)</f>
        <v>Véhicules neufs</v>
      </c>
      <c r="V288" s="656" t="str">
        <f>+VLOOKUP($L288,Data_Validation!$A:$D,4,0)</f>
        <v>Intérêt de gros</v>
      </c>
      <c r="W288" s="656" t="str">
        <f>+VLOOKUP($L288,Data_Validation!$A:$E,5,0)</f>
        <v>$</v>
      </c>
      <c r="X288" s="656">
        <f>+VLOOKUP($L288,Data_Validation!$A:$F,6,0)</f>
        <v>0</v>
      </c>
    </row>
    <row r="289" spans="1:24" ht="15" customHeight="1">
      <c r="A289" s="1052" t="s">
        <v>1164</v>
      </c>
      <c r="B289" s="1052" t="s">
        <v>1165</v>
      </c>
      <c r="C289" s="1054">
        <v>40162.28</v>
      </c>
      <c r="D289" s="1054">
        <v>6194.72</v>
      </c>
      <c r="E289" s="1054">
        <v>46357</v>
      </c>
      <c r="F289" s="1052" t="s">
        <v>1154</v>
      </c>
      <c r="G289" s="1052" t="s">
        <v>1165</v>
      </c>
      <c r="H289" s="1029"/>
      <c r="I289" s="1030"/>
      <c r="J289" s="1030"/>
      <c r="K289" s="1030"/>
      <c r="L289" s="653" t="str">
        <f t="shared" si="263"/>
        <v>6108</v>
      </c>
      <c r="M289" s="654" t="str">
        <f t="shared" si="260"/>
        <v>FRAIS DE LIVRAISON</v>
      </c>
      <c r="N289" s="655">
        <f>+IF(OR($Q289=Parametres!$G$2,$Q289=Parametres!$G$3),I289,C289)</f>
        <v>40162.28</v>
      </c>
      <c r="O289" s="659">
        <f>+IF(OR($Q289=Parametres!$G$2,$Q289=Parametres!$G$3),J289,D289)</f>
        <v>6194.72</v>
      </c>
      <c r="P289" s="655">
        <f>+IF(OR($Q289=Parametres!$G$2,$Q289=Parametres!$G$3),K289,E289)</f>
        <v>46357</v>
      </c>
      <c r="Q289" s="654" t="str">
        <f t="shared" ref="Q289:S289" si="294">+F289</f>
        <v>7-Dépenses</v>
      </c>
      <c r="R289" s="653" t="str">
        <f t="shared" si="294"/>
        <v>6108</v>
      </c>
      <c r="S289" s="654">
        <f t="shared" si="294"/>
        <v>0</v>
      </c>
      <c r="T289" s="656" t="str">
        <f>+VLOOKUP($L289,Data_Validation!$A:$D,1,0)</f>
        <v>6108</v>
      </c>
      <c r="U289" s="656" t="str">
        <f>+VLOOKUP($L289,Data_Validation!$A:$D,3,0)</f>
        <v>Véhicules neufs</v>
      </c>
      <c r="V289" s="656" t="str">
        <f>+VLOOKUP($L289,Data_Validation!$A:$D,4,0)</f>
        <v>Frais de livraison</v>
      </c>
      <c r="W289" s="656" t="str">
        <f>+VLOOKUP($L289,Data_Validation!$A:$E,5,0)</f>
        <v>$</v>
      </c>
      <c r="X289" s="656">
        <f>+VLOOKUP($L289,Data_Validation!$A:$F,6,0)</f>
        <v>0</v>
      </c>
    </row>
    <row r="290" spans="1:24" ht="15" customHeight="1">
      <c r="A290" s="1052" t="s">
        <v>1166</v>
      </c>
      <c r="B290" s="1052" t="s">
        <v>1167</v>
      </c>
      <c r="C290" s="1054">
        <v>169914.96</v>
      </c>
      <c r="D290" s="1054">
        <v>16734.32</v>
      </c>
      <c r="E290" s="1054">
        <v>186649.28</v>
      </c>
      <c r="F290" s="1052" t="s">
        <v>1154</v>
      </c>
      <c r="G290" s="1052" t="s">
        <v>1167</v>
      </c>
      <c r="H290" s="1029"/>
      <c r="I290" s="1030"/>
      <c r="J290" s="1030"/>
      <c r="K290" s="1030"/>
      <c r="L290" s="653" t="str">
        <f t="shared" si="263"/>
        <v>6114</v>
      </c>
      <c r="M290" s="654" t="str">
        <f t="shared" si="260"/>
        <v>PUBLICITE</v>
      </c>
      <c r="N290" s="655">
        <f>+IF(OR($Q290=Parametres!$G$2,$Q290=Parametres!$G$3),I290,C290)</f>
        <v>169914.96</v>
      </c>
      <c r="O290" s="659">
        <f>+IF(OR($Q290=Parametres!$G$2,$Q290=Parametres!$G$3),J290,D290)</f>
        <v>16734.32</v>
      </c>
      <c r="P290" s="655">
        <f>+IF(OR($Q290=Parametres!$G$2,$Q290=Parametres!$G$3),K290,E290)</f>
        <v>186649.28</v>
      </c>
      <c r="Q290" s="654" t="str">
        <f t="shared" ref="Q290:S290" si="295">+F290</f>
        <v>7-Dépenses</v>
      </c>
      <c r="R290" s="653" t="str">
        <f t="shared" si="295"/>
        <v>6114</v>
      </c>
      <c r="S290" s="654">
        <f t="shared" si="295"/>
        <v>0</v>
      </c>
      <c r="T290" s="656" t="str">
        <f>+VLOOKUP($L290,Data_Validation!$A:$D,1,0)</f>
        <v>6114</v>
      </c>
      <c r="U290" s="656" t="str">
        <f>+VLOOKUP($L290,Data_Validation!$A:$D,3,0)</f>
        <v>Véhicules neufs</v>
      </c>
      <c r="V290" s="656" t="str">
        <f>+VLOOKUP($L290,Data_Validation!$A:$D,4,0)</f>
        <v>Publicité 1</v>
      </c>
      <c r="W290" s="656" t="str">
        <f>+VLOOKUP($L290,Data_Validation!$A:$E,5,0)</f>
        <v>$</v>
      </c>
      <c r="X290" s="656">
        <f>+VLOOKUP($L290,Data_Validation!$A:$F,6,0)</f>
        <v>0</v>
      </c>
    </row>
    <row r="291" spans="1:24" ht="15.75" customHeight="1">
      <c r="A291" s="1052" t="s">
        <v>1168</v>
      </c>
      <c r="B291" s="1052" t="s">
        <v>2257</v>
      </c>
      <c r="C291" s="1054">
        <v>-66850</v>
      </c>
      <c r="D291" s="1054">
        <v>-5550</v>
      </c>
      <c r="E291" s="1054">
        <v>-72400</v>
      </c>
      <c r="F291" s="1052" t="s">
        <v>1154</v>
      </c>
      <c r="G291" s="1052" t="s">
        <v>1167</v>
      </c>
      <c r="H291" s="1029"/>
      <c r="I291" s="1030"/>
      <c r="J291" s="1030"/>
      <c r="K291" s="1030"/>
      <c r="L291" s="653" t="str">
        <f t="shared" si="263"/>
        <v>6115</v>
      </c>
      <c r="M291" s="654" t="str">
        <f t="shared" si="260"/>
        <v>CREDIT PUBLICITE NEUF</v>
      </c>
      <c r="N291" s="655">
        <f>+IF(OR($Q291=Parametres!$G$2,$Q291=Parametres!$G$3),I291,C291)</f>
        <v>-66850</v>
      </c>
      <c r="O291" s="659">
        <f>+IF(OR($Q291=Parametres!$G$2,$Q291=Parametres!$G$3),J291,D291)</f>
        <v>-5550</v>
      </c>
      <c r="P291" s="655">
        <f>+IF(OR($Q291=Parametres!$G$2,$Q291=Parametres!$G$3),K291,E291)</f>
        <v>-72400</v>
      </c>
      <c r="Q291" s="654" t="str">
        <f t="shared" ref="Q291:S291" si="296">+F291</f>
        <v>7-Dépenses</v>
      </c>
      <c r="R291" s="653" t="str">
        <f t="shared" si="296"/>
        <v>6114</v>
      </c>
      <c r="S291" s="654">
        <f t="shared" si="296"/>
        <v>0</v>
      </c>
      <c r="T291" s="656" t="str">
        <f>+VLOOKUP($L291,Data_Validation!$A:$D,1,0)</f>
        <v>6115</v>
      </c>
      <c r="U291" s="656" t="str">
        <f>+VLOOKUP($L291,Data_Validation!$A:$D,3,0)</f>
        <v>Véhicules neufs</v>
      </c>
      <c r="V291" s="656" t="str">
        <f>+VLOOKUP($L291,Data_Validation!$A:$D,4,0)</f>
        <v>Publicité 1</v>
      </c>
      <c r="W291" s="656" t="str">
        <f>+VLOOKUP($L291,Data_Validation!$A:$E,5,0)</f>
        <v>$</v>
      </c>
      <c r="X291" s="656">
        <f>+VLOOKUP($L291,Data_Validation!$A:$F,6,0)</f>
        <v>0</v>
      </c>
    </row>
    <row r="292" spans="1:24" ht="15" customHeight="1">
      <c r="A292" s="1052" t="s">
        <v>1169</v>
      </c>
      <c r="B292" s="1052" t="s">
        <v>1170</v>
      </c>
      <c r="C292" s="1054">
        <v>80091.91</v>
      </c>
      <c r="D292" s="1054">
        <v>8369.7099999999991</v>
      </c>
      <c r="E292" s="1054">
        <v>88461.62</v>
      </c>
      <c r="F292" s="1052" t="s">
        <v>1154</v>
      </c>
      <c r="G292" s="1052" t="s">
        <v>1170</v>
      </c>
      <c r="H292" s="1029"/>
      <c r="I292" s="1030"/>
      <c r="J292" s="1030"/>
      <c r="K292" s="1030"/>
      <c r="L292" s="653" t="str">
        <f t="shared" si="263"/>
        <v>6121</v>
      </c>
      <c r="M292" s="654" t="str">
        <f t="shared" si="260"/>
        <v>SALAIRES - PROPRIETAIRES</v>
      </c>
      <c r="N292" s="655">
        <f>+IF(OR($Q292=Parametres!$G$2,$Q292=Parametres!$G$3),I292,C292)</f>
        <v>80091.91</v>
      </c>
      <c r="O292" s="655">
        <f>+IF(OR($Q292=Parametres!$G$2,$Q292=Parametres!$G$3),J292,D292)</f>
        <v>8369.7099999999991</v>
      </c>
      <c r="P292" s="655">
        <f>+IF(OR($Q292=Parametres!$G$2,$Q292=Parametres!$G$3),K292,E292)</f>
        <v>88461.62</v>
      </c>
      <c r="Q292" s="654" t="str">
        <f t="shared" ref="Q292:S292" si="297">+F292</f>
        <v>7-Dépenses</v>
      </c>
      <c r="R292" s="653" t="str">
        <f t="shared" si="297"/>
        <v>6121</v>
      </c>
      <c r="S292" s="654">
        <f t="shared" si="297"/>
        <v>0</v>
      </c>
      <c r="T292" s="656" t="str">
        <f>+VLOOKUP($L292,Data_Validation!$A:$D,1,0)</f>
        <v>6121</v>
      </c>
      <c r="U292" s="656" t="str">
        <f>+VLOOKUP($L292,Data_Validation!$A:$D,3,0)</f>
        <v>Véhicules neufs</v>
      </c>
      <c r="V292" s="656" t="str">
        <f>+VLOOKUP($L292,Data_Validation!$A:$D,4,0)</f>
        <v>Salaires propriétaire</v>
      </c>
      <c r="W292" s="656" t="str">
        <f>+VLOOKUP($L292,Data_Validation!$A:$E,5,0)</f>
        <v>$</v>
      </c>
      <c r="X292" s="656">
        <f>+VLOOKUP($L292,Data_Validation!$A:$F,6,0)</f>
        <v>0</v>
      </c>
    </row>
    <row r="293" spans="1:24" ht="15" customHeight="1">
      <c r="A293" s="1052" t="s">
        <v>1171</v>
      </c>
      <c r="B293" s="1052" t="s">
        <v>1172</v>
      </c>
      <c r="C293" s="1054">
        <v>165503.76999999999</v>
      </c>
      <c r="D293" s="1054">
        <v>13251.53</v>
      </c>
      <c r="E293" s="1054">
        <v>178755.3</v>
      </c>
      <c r="F293" s="1052" t="s">
        <v>1154</v>
      </c>
      <c r="G293" s="1052" t="s">
        <v>1172</v>
      </c>
      <c r="H293" s="1029"/>
      <c r="I293" s="1030"/>
      <c r="J293" s="1030"/>
      <c r="K293" s="1030"/>
      <c r="L293" s="653" t="str">
        <f t="shared" si="263"/>
        <v>6122</v>
      </c>
      <c r="M293" s="654" t="str">
        <f t="shared" si="260"/>
        <v>SAL SUPERVISION / GERANT</v>
      </c>
      <c r="N293" s="655">
        <f>+IF(OR($Q293=Parametres!$G$2,$Q293=Parametres!$G$3),I293,C293)</f>
        <v>165503.76999999999</v>
      </c>
      <c r="O293" s="655">
        <f>+IF(OR($Q293=Parametres!$G$2,$Q293=Parametres!$G$3),J293,D293)</f>
        <v>13251.53</v>
      </c>
      <c r="P293" s="655">
        <f>+IF(OR($Q293=Parametres!$G$2,$Q293=Parametres!$G$3),K293,E293)</f>
        <v>178755.3</v>
      </c>
      <c r="Q293" s="654" t="str">
        <f t="shared" ref="Q293:S293" si="298">+F293</f>
        <v>7-Dépenses</v>
      </c>
      <c r="R293" s="653" t="str">
        <f t="shared" si="298"/>
        <v>6122</v>
      </c>
      <c r="S293" s="654">
        <f t="shared" si="298"/>
        <v>0</v>
      </c>
      <c r="T293" s="656" t="str">
        <f>+VLOOKUP($L293,Data_Validation!$A:$D,1,0)</f>
        <v>6122</v>
      </c>
      <c r="U293" s="656" t="str">
        <f>+VLOOKUP($L293,Data_Validation!$A:$D,3,0)</f>
        <v>Véhicules neufs</v>
      </c>
      <c r="V293" s="656" t="str">
        <f>+VLOOKUP($L293,Data_Validation!$A:$D,4,0)</f>
        <v>Salaires cadres</v>
      </c>
      <c r="W293" s="656" t="str">
        <f>+VLOOKUP($L293,Data_Validation!$A:$E,5,0)</f>
        <v>$</v>
      </c>
      <c r="X293" s="656">
        <f>+VLOOKUP($L293,Data_Validation!$A:$F,6,0)</f>
        <v>0</v>
      </c>
    </row>
    <row r="294" spans="1:24" ht="15" customHeight="1">
      <c r="A294" s="1052" t="s">
        <v>1173</v>
      </c>
      <c r="B294" s="1052" t="s">
        <v>1174</v>
      </c>
      <c r="C294" s="1054">
        <v>85532.85</v>
      </c>
      <c r="D294" s="1054">
        <v>8271.85</v>
      </c>
      <c r="E294" s="1054">
        <v>93804.7</v>
      </c>
      <c r="F294" s="1052" t="s">
        <v>1154</v>
      </c>
      <c r="G294" s="1052" t="s">
        <v>1174</v>
      </c>
      <c r="H294" s="1029"/>
      <c r="I294" s="1030"/>
      <c r="J294" s="1030"/>
      <c r="K294" s="1030"/>
      <c r="L294" s="653" t="str">
        <f t="shared" si="263"/>
        <v>6123</v>
      </c>
      <c r="M294" s="654" t="str">
        <f t="shared" si="260"/>
        <v>SAL. &amp; RENUM. - CLERICAL</v>
      </c>
      <c r="N294" s="655">
        <f>+IF(OR($Q294=Parametres!$G$2,$Q294=Parametres!$G$3),I294,C294)</f>
        <v>85532.85</v>
      </c>
      <c r="O294" s="655">
        <f>+IF(OR($Q294=Parametres!$G$2,$Q294=Parametres!$G$3),J294,D294)</f>
        <v>8271.85</v>
      </c>
      <c r="P294" s="655">
        <f>+IF(OR($Q294=Parametres!$G$2,$Q294=Parametres!$G$3),K294,E294)</f>
        <v>93804.7</v>
      </c>
      <c r="Q294" s="654" t="str">
        <f t="shared" ref="Q294:S294" si="299">+F294</f>
        <v>7-Dépenses</v>
      </c>
      <c r="R294" s="653" t="str">
        <f t="shared" si="299"/>
        <v>6123</v>
      </c>
      <c r="S294" s="654">
        <f t="shared" si="299"/>
        <v>0</v>
      </c>
      <c r="T294" s="656" t="str">
        <f>+VLOOKUP($L294,Data_Validation!$A:$D,1,0)</f>
        <v>6123</v>
      </c>
      <c r="U294" s="656" t="str">
        <f>+VLOOKUP($L294,Data_Validation!$A:$D,3,0)</f>
        <v>Véhicules neufs</v>
      </c>
      <c r="V294" s="656" t="str">
        <f>+VLOOKUP($L294,Data_Validation!$A:$D,4,0)</f>
        <v>Salaires commis</v>
      </c>
      <c r="W294" s="656" t="str">
        <f>+VLOOKUP($L294,Data_Validation!$A:$E,5,0)</f>
        <v>$</v>
      </c>
      <c r="X294" s="656">
        <f>+VLOOKUP($L294,Data_Validation!$A:$F,6,0)</f>
        <v>0</v>
      </c>
    </row>
    <row r="295" spans="1:24" ht="15" customHeight="1">
      <c r="A295" s="1052" t="s">
        <v>1175</v>
      </c>
      <c r="B295" s="1052" t="s">
        <v>1176</v>
      </c>
      <c r="C295" s="1054">
        <v>45852.26</v>
      </c>
      <c r="D295" s="1054">
        <v>6556.67</v>
      </c>
      <c r="E295" s="1054">
        <v>52408.93</v>
      </c>
      <c r="F295" s="1052" t="s">
        <v>1154</v>
      </c>
      <c r="G295" s="1052" t="s">
        <v>1176</v>
      </c>
      <c r="H295" s="1029"/>
      <c r="I295" s="1030"/>
      <c r="J295" s="1030"/>
      <c r="K295" s="1030"/>
      <c r="L295" s="653" t="str">
        <f t="shared" si="263"/>
        <v>6124</v>
      </c>
      <c r="M295" s="654" t="str">
        <f t="shared" si="260"/>
        <v>SALAIRES &amp; RENUM. - AUTRES</v>
      </c>
      <c r="N295" s="655">
        <f>+IF(OR($Q295=Parametres!$G$2,$Q295=Parametres!$G$3),I295,C295)</f>
        <v>45852.26</v>
      </c>
      <c r="O295" s="655">
        <f>+IF(OR($Q295=Parametres!$G$2,$Q295=Parametres!$G$3),J295,D295)</f>
        <v>6556.67</v>
      </c>
      <c r="P295" s="655">
        <f>+IF(OR($Q295=Parametres!$G$2,$Q295=Parametres!$G$3),K295,E295)</f>
        <v>52408.93</v>
      </c>
      <c r="Q295" s="654" t="str">
        <f t="shared" ref="Q295:S295" si="300">+F295</f>
        <v>7-Dépenses</v>
      </c>
      <c r="R295" s="653" t="str">
        <f t="shared" si="300"/>
        <v>6124</v>
      </c>
      <c r="S295" s="654">
        <f t="shared" si="300"/>
        <v>0</v>
      </c>
      <c r="T295" s="656" t="str">
        <f>+VLOOKUP($L295,Data_Validation!$A:$D,1,0)</f>
        <v>6124</v>
      </c>
      <c r="U295" s="656" t="str">
        <f>+VLOOKUP($L295,Data_Validation!$A:$D,3,0)</f>
        <v>Véhicules neufs</v>
      </c>
      <c r="V295" s="656" t="str">
        <f>+VLOOKUP($L295,Data_Validation!$A:$D,4,0)</f>
        <v>Salaires autres</v>
      </c>
      <c r="W295" s="656" t="str">
        <f>+VLOOKUP($L295,Data_Validation!$A:$E,5,0)</f>
        <v>$</v>
      </c>
      <c r="X295" s="656">
        <f>+VLOOKUP($L295,Data_Validation!$A:$F,6,0)</f>
        <v>0</v>
      </c>
    </row>
    <row r="296" spans="1:24" ht="15" customHeight="1">
      <c r="A296" s="1052" t="s">
        <v>1177</v>
      </c>
      <c r="B296" s="1052" t="s">
        <v>1178</v>
      </c>
      <c r="C296" s="1054">
        <v>152615.57</v>
      </c>
      <c r="D296" s="1054">
        <v>33705.11</v>
      </c>
      <c r="E296" s="1054">
        <v>186320.68</v>
      </c>
      <c r="F296" s="1052" t="s">
        <v>1154</v>
      </c>
      <c r="G296" s="1052" t="s">
        <v>1178</v>
      </c>
      <c r="H296" s="1029"/>
      <c r="I296" s="1030"/>
      <c r="J296" s="1030"/>
      <c r="K296" s="1030"/>
      <c r="L296" s="653" t="str">
        <f t="shared" si="263"/>
        <v>6129</v>
      </c>
      <c r="M296" s="654" t="str">
        <f t="shared" si="260"/>
        <v>ABS., VACANCE &amp; SAL. JOURS FER</v>
      </c>
      <c r="N296" s="655">
        <f>+IF(OR($Q296=Parametres!$G$2,$Q296=Parametres!$G$3),I296,C296)</f>
        <v>152615.57</v>
      </c>
      <c r="O296" s="655">
        <f>+IF(OR($Q296=Parametres!$G$2,$Q296=Parametres!$G$3),J296,D296)</f>
        <v>33705.11</v>
      </c>
      <c r="P296" s="655">
        <f>+IF(OR($Q296=Parametres!$G$2,$Q296=Parametres!$G$3),K296,E296)</f>
        <v>186320.68</v>
      </c>
      <c r="Q296" s="654" t="str">
        <f t="shared" ref="Q296:S296" si="301">+F296</f>
        <v>7-Dépenses</v>
      </c>
      <c r="R296" s="653" t="str">
        <f t="shared" si="301"/>
        <v>6129</v>
      </c>
      <c r="S296" s="654">
        <f t="shared" si="301"/>
        <v>0</v>
      </c>
      <c r="T296" s="656" t="str">
        <f>+VLOOKUP($L296,Data_Validation!$A:$D,1,0)</f>
        <v>6129</v>
      </c>
      <c r="U296" s="656" t="str">
        <f>+VLOOKUP($L296,Data_Validation!$A:$D,3,0)</f>
        <v>Véhicules neufs</v>
      </c>
      <c r="V296" s="656" t="str">
        <f>+VLOOKUP($L296,Data_Validation!$A:$D,4,0)</f>
        <v>Salaires en absences</v>
      </c>
      <c r="W296" s="656" t="str">
        <f>+VLOOKUP($L296,Data_Validation!$A:$E,5,0)</f>
        <v>$</v>
      </c>
      <c r="X296" s="656">
        <f>+VLOOKUP($L296,Data_Validation!$A:$F,6,0)</f>
        <v>0</v>
      </c>
    </row>
    <row r="297" spans="1:24" ht="15.75" customHeight="1">
      <c r="A297" s="1052" t="s">
        <v>1179</v>
      </c>
      <c r="B297" s="1052" t="s">
        <v>1180</v>
      </c>
      <c r="C297" s="1054">
        <v>33970.050000000003</v>
      </c>
      <c r="D297" s="1054">
        <v>9053.94</v>
      </c>
      <c r="E297" s="1054">
        <v>43023.99</v>
      </c>
      <c r="F297" s="1052" t="s">
        <v>1154</v>
      </c>
      <c r="G297" s="1052" t="s">
        <v>1180</v>
      </c>
      <c r="H297" s="1029"/>
      <c r="I297" s="1030"/>
      <c r="J297" s="1030"/>
      <c r="K297" s="1030"/>
      <c r="L297" s="653" t="str">
        <f t="shared" si="263"/>
        <v>6131</v>
      </c>
      <c r="M297" s="654" t="str">
        <f t="shared" si="260"/>
        <v>CSST</v>
      </c>
      <c r="N297" s="655">
        <f>+IF(OR($Q297=Parametres!$G$2,$Q297=Parametres!$G$3),I297,C297)</f>
        <v>33970.050000000003</v>
      </c>
      <c r="O297" s="655">
        <f>+IF(OR($Q297=Parametres!$G$2,$Q297=Parametres!$G$3),J297,D297)</f>
        <v>9053.94</v>
      </c>
      <c r="P297" s="655">
        <f>+IF(OR($Q297=Parametres!$G$2,$Q297=Parametres!$G$3),K297,E297)</f>
        <v>43023.99</v>
      </c>
      <c r="Q297" s="654" t="str">
        <f t="shared" ref="Q297:S297" si="302">+F297</f>
        <v>7-Dépenses</v>
      </c>
      <c r="R297" s="653" t="str">
        <f t="shared" si="302"/>
        <v>6131</v>
      </c>
      <c r="S297" s="654">
        <f t="shared" si="302"/>
        <v>0</v>
      </c>
      <c r="T297" s="656" t="str">
        <f>+VLOOKUP($L297,Data_Validation!$A:$D,1,0)</f>
        <v>6131</v>
      </c>
      <c r="U297" s="656" t="str">
        <f>+VLOOKUP($L297,Data_Validation!$A:$D,3,0)</f>
        <v>Véhicules neufs</v>
      </c>
      <c r="V297" s="656" t="str">
        <f>+VLOOKUP($L297,Data_Validation!$A:$D,4,0)</f>
        <v>Csst</v>
      </c>
      <c r="W297" s="656" t="str">
        <f>+VLOOKUP($L297,Data_Validation!$A:$E,5,0)</f>
        <v>$</v>
      </c>
      <c r="X297" s="656">
        <f>+VLOOKUP($L297,Data_Validation!$A:$F,6,0)</f>
        <v>0</v>
      </c>
    </row>
    <row r="298" spans="1:24" ht="15" customHeight="1">
      <c r="A298" s="1052" t="s">
        <v>1181</v>
      </c>
      <c r="B298" s="1052" t="s">
        <v>1182</v>
      </c>
      <c r="C298" s="1054">
        <v>175165.9</v>
      </c>
      <c r="D298" s="1054">
        <v>22415.47</v>
      </c>
      <c r="E298" s="1054">
        <v>197581.37</v>
      </c>
      <c r="F298" s="1052" t="s">
        <v>1154</v>
      </c>
      <c r="G298" s="1052" t="s">
        <v>1182</v>
      </c>
      <c r="H298" s="1029"/>
      <c r="I298" s="1030"/>
      <c r="J298" s="1030"/>
      <c r="K298" s="1030"/>
      <c r="L298" s="653" t="str">
        <f t="shared" si="263"/>
        <v>6132</v>
      </c>
      <c r="M298" s="654" t="str">
        <f t="shared" si="260"/>
        <v>RRQ RAMQ AC</v>
      </c>
      <c r="N298" s="655">
        <f>+IF(OR($Q298=Parametres!$G$2,$Q298=Parametres!$G$3),I298,C298)</f>
        <v>175165.9</v>
      </c>
      <c r="O298" s="655">
        <f>+IF(OR($Q298=Parametres!$G$2,$Q298=Parametres!$G$3),J298,D298)</f>
        <v>22415.47</v>
      </c>
      <c r="P298" s="655">
        <f>+IF(OR($Q298=Parametres!$G$2,$Q298=Parametres!$G$3),K298,E298)</f>
        <v>197581.37</v>
      </c>
      <c r="Q298" s="654" t="str">
        <f t="shared" ref="Q298:S298" si="303">+F298</f>
        <v>7-Dépenses</v>
      </c>
      <c r="R298" s="653" t="str">
        <f t="shared" si="303"/>
        <v>6132</v>
      </c>
      <c r="S298" s="654">
        <f t="shared" si="303"/>
        <v>0</v>
      </c>
      <c r="T298" s="656" t="str">
        <f>+VLOOKUP($L298,Data_Validation!$A:$D,1,0)</f>
        <v>6132</v>
      </c>
      <c r="U298" s="656" t="str">
        <f>+VLOOKUP($L298,Data_Validation!$A:$D,3,0)</f>
        <v>Véhicules neufs</v>
      </c>
      <c r="V298" s="656" t="str">
        <f>+VLOOKUP($L298,Data_Validation!$A:$D,4,0)</f>
        <v>Déduction à la source</v>
      </c>
      <c r="W298" s="656" t="str">
        <f>+VLOOKUP($L298,Data_Validation!$A:$E,5,0)</f>
        <v>$</v>
      </c>
      <c r="X298" s="656">
        <f>+VLOOKUP($L298,Data_Validation!$A:$F,6,0)</f>
        <v>0</v>
      </c>
    </row>
    <row r="299" spans="1:24" ht="15" customHeight="1">
      <c r="A299" s="1052" t="s">
        <v>1183</v>
      </c>
      <c r="B299" s="1052" t="s">
        <v>1184</v>
      </c>
      <c r="C299" s="1054">
        <v>0</v>
      </c>
      <c r="D299" s="1054">
        <v>1484.98</v>
      </c>
      <c r="E299" s="1054">
        <v>1484.98</v>
      </c>
      <c r="F299" s="1052" t="s">
        <v>1154</v>
      </c>
      <c r="G299" s="1052" t="s">
        <v>1184</v>
      </c>
      <c r="H299" s="1029"/>
      <c r="I299" s="1030"/>
      <c r="J299" s="1030"/>
      <c r="K299" s="1030"/>
      <c r="L299" s="653" t="str">
        <f t="shared" si="263"/>
        <v>6133</v>
      </c>
      <c r="M299" s="654" t="str">
        <f t="shared" si="260"/>
        <v>FOND PENSION - NEUF</v>
      </c>
      <c r="N299" s="655">
        <f>+IF(OR($Q299=Parametres!$G$2,$Q299=Parametres!$G$3),I299,C299)</f>
        <v>0</v>
      </c>
      <c r="O299" s="655">
        <f>+IF(OR($Q299=Parametres!$G$2,$Q299=Parametres!$G$3),J299,D299)</f>
        <v>1484.98</v>
      </c>
      <c r="P299" s="655">
        <f>+IF(OR($Q299=Parametres!$G$2,$Q299=Parametres!$G$3),K299,E299)</f>
        <v>1484.98</v>
      </c>
      <c r="Q299" s="654" t="str">
        <f t="shared" ref="Q299:S299" si="304">+F299</f>
        <v>7-Dépenses</v>
      </c>
      <c r="R299" s="653" t="str">
        <f t="shared" si="304"/>
        <v>6133</v>
      </c>
      <c r="S299" s="654">
        <f t="shared" si="304"/>
        <v>0</v>
      </c>
      <c r="T299" s="656" t="str">
        <f>+VLOOKUP($L299,Data_Validation!$A:$D,1,0)</f>
        <v>6133</v>
      </c>
      <c r="U299" s="656" t="str">
        <f>+VLOOKUP($L299,Data_Validation!$A:$D,3,0)</f>
        <v>Véhicules neufs</v>
      </c>
      <c r="V299" s="656" t="str">
        <f>+VLOOKUP($L299,Data_Validation!$A:$D,4,0)</f>
        <v>Bénéfices marginaux</v>
      </c>
      <c r="W299" s="656" t="str">
        <f>+VLOOKUP($L299,Data_Validation!$A:$E,5,0)</f>
        <v>$</v>
      </c>
      <c r="X299" s="656">
        <f>+VLOOKUP($L299,Data_Validation!$A:$F,6,0)</f>
        <v>0</v>
      </c>
    </row>
    <row r="300" spans="1:24" ht="15" customHeight="1">
      <c r="A300" s="1052" t="s">
        <v>1185</v>
      </c>
      <c r="B300" s="1052" t="s">
        <v>1186</v>
      </c>
      <c r="C300" s="1054">
        <v>69862.69</v>
      </c>
      <c r="D300" s="1054">
        <v>5142.59</v>
      </c>
      <c r="E300" s="1054">
        <v>75005.279999999999</v>
      </c>
      <c r="F300" s="1052" t="s">
        <v>1154</v>
      </c>
      <c r="G300" s="1052" t="s">
        <v>1186</v>
      </c>
      <c r="H300" s="1029"/>
      <c r="I300" s="1030"/>
      <c r="J300" s="1030"/>
      <c r="K300" s="1030"/>
      <c r="L300" s="653" t="str">
        <f t="shared" si="263"/>
        <v>6139</v>
      </c>
      <c r="M300" s="654" t="str">
        <f t="shared" si="260"/>
        <v>ASSURANCE GROUPS</v>
      </c>
      <c r="N300" s="655">
        <f>+IF(OR($Q300=Parametres!$G$2,$Q300=Parametres!$G$3),I300,C300)</f>
        <v>69862.69</v>
      </c>
      <c r="O300" s="655">
        <f>+IF(OR($Q300=Parametres!$G$2,$Q300=Parametres!$G$3),J300,D300)</f>
        <v>5142.59</v>
      </c>
      <c r="P300" s="655">
        <f>+IF(OR($Q300=Parametres!$G$2,$Q300=Parametres!$G$3),K300,E300)</f>
        <v>75005.279999999999</v>
      </c>
      <c r="Q300" s="654" t="str">
        <f t="shared" ref="Q300:S300" si="305">+F300</f>
        <v>7-Dépenses</v>
      </c>
      <c r="R300" s="653" t="str">
        <f t="shared" si="305"/>
        <v>6139</v>
      </c>
      <c r="S300" s="654">
        <f t="shared" si="305"/>
        <v>0</v>
      </c>
      <c r="T300" s="656" t="str">
        <f>+VLOOKUP($L300,Data_Validation!$A:$D,1,0)</f>
        <v>6139</v>
      </c>
      <c r="U300" s="656" t="str">
        <f>+VLOOKUP($L300,Data_Validation!$A:$D,3,0)</f>
        <v>Véhicules neufs</v>
      </c>
      <c r="V300" s="656" t="str">
        <f>+VLOOKUP($L300,Data_Validation!$A:$D,4,0)</f>
        <v>Bénéfices marginaux</v>
      </c>
      <c r="W300" s="656" t="str">
        <f>+VLOOKUP($L300,Data_Validation!$A:$E,5,0)</f>
        <v>$</v>
      </c>
      <c r="X300" s="656">
        <f>+VLOOKUP($L300,Data_Validation!$A:$F,6,0)</f>
        <v>0</v>
      </c>
    </row>
    <row r="301" spans="1:24" ht="15.75" customHeight="1">
      <c r="A301" s="1052" t="s">
        <v>1187</v>
      </c>
      <c r="B301" s="1052" t="s">
        <v>1188</v>
      </c>
      <c r="C301" s="1054">
        <v>339.81</v>
      </c>
      <c r="D301" s="1054">
        <v>0</v>
      </c>
      <c r="E301" s="1054">
        <v>339.81</v>
      </c>
      <c r="F301" s="1052" t="s">
        <v>1154</v>
      </c>
      <c r="G301" s="1052" t="s">
        <v>1188</v>
      </c>
      <c r="H301" s="1029"/>
      <c r="I301" s="1030"/>
      <c r="J301" s="1030"/>
      <c r="K301" s="1030"/>
      <c r="L301" s="653" t="str">
        <f t="shared" si="263"/>
        <v>6142</v>
      </c>
      <c r="M301" s="654" t="str">
        <f t="shared" si="260"/>
        <v>FOURNITURES &amp; PETITS OUTILS</v>
      </c>
      <c r="N301" s="655">
        <f>+IF(OR($Q301=Parametres!$G$2,$Q301=Parametres!$G$3),I301,C301)</f>
        <v>339.81</v>
      </c>
      <c r="O301" s="655">
        <f>+IF(OR($Q301=Parametres!$G$2,$Q301=Parametres!$G$3),J301,D301)</f>
        <v>0</v>
      </c>
      <c r="P301" s="655">
        <f>+IF(OR($Q301=Parametres!$G$2,$Q301=Parametres!$G$3),K301,E301)</f>
        <v>339.81</v>
      </c>
      <c r="Q301" s="654" t="str">
        <f t="shared" ref="Q301:S301" si="306">+F301</f>
        <v>7-Dépenses</v>
      </c>
      <c r="R301" s="653" t="str">
        <f t="shared" si="306"/>
        <v>6142</v>
      </c>
      <c r="S301" s="654">
        <f t="shared" si="306"/>
        <v>0</v>
      </c>
      <c r="T301" s="656" t="str">
        <f>+VLOOKUP($L301,Data_Validation!$A:$D,1,0)</f>
        <v>6142</v>
      </c>
      <c r="U301" s="656" t="str">
        <f>+VLOOKUP($L301,Data_Validation!$A:$D,3,0)</f>
        <v>Véhicules neufs</v>
      </c>
      <c r="V301" s="656" t="str">
        <f>+VLOOKUP($L301,Data_Validation!$A:$D,4,0)</f>
        <v>Fournitures autres</v>
      </c>
      <c r="W301" s="656" t="str">
        <f>+VLOOKUP($L301,Data_Validation!$A:$E,5,0)</f>
        <v>$</v>
      </c>
      <c r="X301" s="656">
        <f>+VLOOKUP($L301,Data_Validation!$A:$F,6,0)</f>
        <v>0</v>
      </c>
    </row>
    <row r="302" spans="1:24" ht="15" customHeight="1">
      <c r="A302" s="1052" t="s">
        <v>1189</v>
      </c>
      <c r="B302" s="1052" t="s">
        <v>1190</v>
      </c>
      <c r="C302" s="1054">
        <v>113.99</v>
      </c>
      <c r="D302" s="1054">
        <v>0</v>
      </c>
      <c r="E302" s="1054">
        <v>113.99</v>
      </c>
      <c r="F302" s="1052" t="s">
        <v>1154</v>
      </c>
      <c r="G302" s="1052" t="s">
        <v>1190</v>
      </c>
      <c r="H302" s="1029"/>
      <c r="I302" s="1030"/>
      <c r="J302" s="1030"/>
      <c r="K302" s="1030"/>
      <c r="L302" s="653" t="str">
        <f t="shared" si="263"/>
        <v>6143</v>
      </c>
      <c r="M302" s="654" t="str">
        <f t="shared" si="260"/>
        <v>UNIFORMES &amp; LESSIVE</v>
      </c>
      <c r="N302" s="655">
        <f>+IF(OR($Q302=Parametres!$G$2,$Q302=Parametres!$G$3),I302,C302)</f>
        <v>113.99</v>
      </c>
      <c r="O302" s="655">
        <f>+IF(OR($Q302=Parametres!$G$2,$Q302=Parametres!$G$3),J302,D302)</f>
        <v>0</v>
      </c>
      <c r="P302" s="655">
        <f>+IF(OR($Q302=Parametres!$G$2,$Q302=Parametres!$G$3),K302,E302)</f>
        <v>113.99</v>
      </c>
      <c r="Q302" s="654" t="str">
        <f t="shared" ref="Q302:S302" si="307">+F302</f>
        <v>7-Dépenses</v>
      </c>
      <c r="R302" s="653" t="str">
        <f t="shared" si="307"/>
        <v>6143</v>
      </c>
      <c r="S302" s="654">
        <f t="shared" si="307"/>
        <v>0</v>
      </c>
      <c r="T302" s="656" t="str">
        <f>+VLOOKUP($L302,Data_Validation!$A:$D,1,0)</f>
        <v>6143</v>
      </c>
      <c r="U302" s="656" t="str">
        <f>+VLOOKUP($L302,Data_Validation!$A:$D,3,0)</f>
        <v>Véhicules neufs</v>
      </c>
      <c r="V302" s="656" t="str">
        <f>+VLOOKUP($L302,Data_Validation!$A:$D,4,0)</f>
        <v>Uniformes</v>
      </c>
      <c r="W302" s="656" t="str">
        <f>+VLOOKUP($L302,Data_Validation!$A:$E,5,0)</f>
        <v>$</v>
      </c>
      <c r="X302" s="656">
        <f>+VLOOKUP($L302,Data_Validation!$A:$F,6,0)</f>
        <v>0</v>
      </c>
    </row>
    <row r="303" spans="1:24" ht="15" customHeight="1">
      <c r="A303" s="1052" t="s">
        <v>1191</v>
      </c>
      <c r="B303" s="1052" t="s">
        <v>1192</v>
      </c>
      <c r="C303" s="1054">
        <v>13726.62</v>
      </c>
      <c r="D303" s="1054">
        <v>2965.24</v>
      </c>
      <c r="E303" s="1054">
        <v>16691.86</v>
      </c>
      <c r="F303" s="1052" t="s">
        <v>1154</v>
      </c>
      <c r="G303" s="1052" t="s">
        <v>1192</v>
      </c>
      <c r="H303" s="1029"/>
      <c r="I303" s="1030"/>
      <c r="J303" s="1030"/>
      <c r="K303" s="1030"/>
      <c r="L303" s="653" t="str">
        <f t="shared" si="263"/>
        <v>6144</v>
      </c>
      <c r="M303" s="654" t="str">
        <f t="shared" si="260"/>
        <v>FORMATION</v>
      </c>
      <c r="N303" s="655">
        <f>+IF(OR($Q303=Parametres!$G$2,$Q303=Parametres!$G$3),I303,C303)</f>
        <v>13726.62</v>
      </c>
      <c r="O303" s="655">
        <f>+IF(OR($Q303=Parametres!$G$2,$Q303=Parametres!$G$3),J303,D303)</f>
        <v>2965.24</v>
      </c>
      <c r="P303" s="655">
        <f>+IF(OR($Q303=Parametres!$G$2,$Q303=Parametres!$G$3),K303,E303)</f>
        <v>16691.86</v>
      </c>
      <c r="Q303" s="654" t="str">
        <f t="shared" ref="Q303:S303" si="308">+F303</f>
        <v>7-Dépenses</v>
      </c>
      <c r="R303" s="653" t="str">
        <f t="shared" si="308"/>
        <v>6144</v>
      </c>
      <c r="S303" s="654">
        <f t="shared" si="308"/>
        <v>0</v>
      </c>
      <c r="T303" s="656" t="str">
        <f>+VLOOKUP($L303,Data_Validation!$A:$D,1,0)</f>
        <v>6144</v>
      </c>
      <c r="U303" s="656" t="str">
        <f>+VLOOKUP($L303,Data_Validation!$A:$D,3,0)</f>
        <v>Véhicules neufs</v>
      </c>
      <c r="V303" s="656" t="str">
        <f>+VLOOKUP($L303,Data_Validation!$A:$D,4,0)</f>
        <v>Formation</v>
      </c>
      <c r="W303" s="656" t="str">
        <f>+VLOOKUP($L303,Data_Validation!$A:$E,5,0)</f>
        <v>$</v>
      </c>
      <c r="X303" s="656">
        <f>+VLOOKUP($L303,Data_Validation!$A:$F,6,0)</f>
        <v>0</v>
      </c>
    </row>
    <row r="304" spans="1:24" ht="15" customHeight="1">
      <c r="A304" s="1052" t="s">
        <v>1193</v>
      </c>
      <c r="B304" s="1052" t="s">
        <v>1194</v>
      </c>
      <c r="C304" s="1054">
        <v>91428.6</v>
      </c>
      <c r="D304" s="1054">
        <v>12232.5</v>
      </c>
      <c r="E304" s="1054">
        <v>103661.1</v>
      </c>
      <c r="F304" s="1052" t="s">
        <v>1154</v>
      </c>
      <c r="G304" s="1052" t="s">
        <v>1194</v>
      </c>
      <c r="H304" s="1029"/>
      <c r="I304" s="1030"/>
      <c r="J304" s="1030"/>
      <c r="K304" s="1030"/>
      <c r="L304" s="653" t="str">
        <f t="shared" si="263"/>
        <v>6145</v>
      </c>
      <c r="M304" s="654" t="str">
        <f t="shared" si="260"/>
        <v>VEHICULE DE COMPAGNIE - DEPENS</v>
      </c>
      <c r="N304" s="655">
        <f>+IF(OR($Q304=Parametres!$G$2,$Q304=Parametres!$G$3),I304,C304)</f>
        <v>91428.6</v>
      </c>
      <c r="O304" s="655">
        <f>+IF(OR($Q304=Parametres!$G$2,$Q304=Parametres!$G$3),J304,D304)</f>
        <v>12232.5</v>
      </c>
      <c r="P304" s="655">
        <f>+IF(OR($Q304=Parametres!$G$2,$Q304=Parametres!$G$3),K304,E304)</f>
        <v>103661.1</v>
      </c>
      <c r="Q304" s="654" t="str">
        <f t="shared" ref="Q304:S304" si="309">+F304</f>
        <v>7-Dépenses</v>
      </c>
      <c r="R304" s="653" t="str">
        <f t="shared" si="309"/>
        <v>6145</v>
      </c>
      <c r="S304" s="654">
        <f t="shared" si="309"/>
        <v>0</v>
      </c>
      <c r="T304" s="656" t="str">
        <f>+VLOOKUP($L304,Data_Validation!$A:$D,1,0)</f>
        <v>6145</v>
      </c>
      <c r="U304" s="656" t="str">
        <f>+VLOOKUP($L304,Data_Validation!$A:$D,3,0)</f>
        <v>Véhicules neufs</v>
      </c>
      <c r="V304" s="656" t="str">
        <f>+VLOOKUP($L304,Data_Validation!$A:$D,4,0)</f>
        <v>Frais véhicules de cie</v>
      </c>
      <c r="W304" s="656" t="str">
        <f>+VLOOKUP($L304,Data_Validation!$A:$E,5,0)</f>
        <v>$</v>
      </c>
      <c r="X304" s="656">
        <f>+VLOOKUP($L304,Data_Validation!$A:$F,6,0)</f>
        <v>0</v>
      </c>
    </row>
    <row r="305" spans="1:24" ht="15.75" customHeight="1">
      <c r="A305" s="1052" t="s">
        <v>1195</v>
      </c>
      <c r="B305" s="1052" t="s">
        <v>1196</v>
      </c>
      <c r="C305" s="1054">
        <v>1572.14</v>
      </c>
      <c r="D305" s="1054">
        <v>158.28</v>
      </c>
      <c r="E305" s="1054">
        <v>1730.42</v>
      </c>
      <c r="F305" s="1052" t="s">
        <v>1154</v>
      </c>
      <c r="G305" s="1052" t="s">
        <v>1196</v>
      </c>
      <c r="H305" s="1029"/>
      <c r="I305" s="1030"/>
      <c r="J305" s="1030"/>
      <c r="K305" s="1030"/>
      <c r="L305" s="653" t="str">
        <f t="shared" si="263"/>
        <v>6147</v>
      </c>
      <c r="M305" s="654" t="str">
        <f t="shared" si="260"/>
        <v>FRET/EXPRESS/TRANS. PAR CAMION</v>
      </c>
      <c r="N305" s="655">
        <f>+IF(OR($Q305=Parametres!$G$2,$Q305=Parametres!$G$3),I305,C305)</f>
        <v>1572.14</v>
      </c>
      <c r="O305" s="655">
        <f>+IF(OR($Q305=Parametres!$G$2,$Q305=Parametres!$G$3),J305,D305)</f>
        <v>158.28</v>
      </c>
      <c r="P305" s="655">
        <f>+IF(OR($Q305=Parametres!$G$2,$Q305=Parametres!$G$3),K305,E305)</f>
        <v>1730.42</v>
      </c>
      <c r="Q305" s="654" t="str">
        <f t="shared" ref="Q305:S305" si="310">+F305</f>
        <v>7-Dépenses</v>
      </c>
      <c r="R305" s="653" t="str">
        <f t="shared" si="310"/>
        <v>6147</v>
      </c>
      <c r="S305" s="654">
        <f t="shared" si="310"/>
        <v>0</v>
      </c>
      <c r="T305" s="656" t="str">
        <f>+VLOOKUP($L305,Data_Validation!$A:$D,1,0)</f>
        <v>6147</v>
      </c>
      <c r="U305" s="656" t="str">
        <f>+VLOOKUP($L305,Data_Validation!$A:$D,3,0)</f>
        <v>Véhicules neufs</v>
      </c>
      <c r="V305" s="656" t="str">
        <f>+VLOOKUP($L305,Data_Validation!$A:$D,4,0)</f>
        <v>Frais postaux</v>
      </c>
      <c r="W305" s="656" t="str">
        <f>+VLOOKUP($L305,Data_Validation!$A:$E,5,0)</f>
        <v>$</v>
      </c>
      <c r="X305" s="656">
        <f>+VLOOKUP($L305,Data_Validation!$A:$F,6,0)</f>
        <v>0</v>
      </c>
    </row>
    <row r="306" spans="1:24" ht="15" customHeight="1">
      <c r="A306" s="1052" t="s">
        <v>1197</v>
      </c>
      <c r="B306" s="1052" t="s">
        <v>1198</v>
      </c>
      <c r="C306" s="1054">
        <v>83241.56</v>
      </c>
      <c r="D306" s="1054">
        <v>5935.79</v>
      </c>
      <c r="E306" s="1054">
        <v>89177.35</v>
      </c>
      <c r="F306" s="1052" t="s">
        <v>1154</v>
      </c>
      <c r="G306" s="1052" t="s">
        <v>1198</v>
      </c>
      <c r="H306" s="1029"/>
      <c r="I306" s="1030"/>
      <c r="J306" s="1030"/>
      <c r="K306" s="1030"/>
      <c r="L306" s="653" t="str">
        <f t="shared" si="263"/>
        <v>6151</v>
      </c>
      <c r="M306" s="654" t="str">
        <f t="shared" si="260"/>
        <v>DEP. DU TRAITEMENT DES DONNEES</v>
      </c>
      <c r="N306" s="655">
        <f>+IF(OR($Q306=Parametres!$G$2,$Q306=Parametres!$G$3),I306,C306)</f>
        <v>83241.56</v>
      </c>
      <c r="O306" s="655">
        <f>+IF(OR($Q306=Parametres!$G$2,$Q306=Parametres!$G$3),J306,D306)</f>
        <v>5935.79</v>
      </c>
      <c r="P306" s="655">
        <f>+IF(OR($Q306=Parametres!$G$2,$Q306=Parametres!$G$3),K306,E306)</f>
        <v>89177.35</v>
      </c>
      <c r="Q306" s="654" t="str">
        <f t="shared" ref="Q306:S306" si="311">+F306</f>
        <v>7-Dépenses</v>
      </c>
      <c r="R306" s="653" t="str">
        <f t="shared" si="311"/>
        <v>6151</v>
      </c>
      <c r="S306" s="654">
        <f t="shared" si="311"/>
        <v>0</v>
      </c>
      <c r="T306" s="656" t="str">
        <f>+VLOOKUP($L306,Data_Validation!$A:$D,1,0)</f>
        <v>6151</v>
      </c>
      <c r="U306" s="656" t="str">
        <f>+VLOOKUP($L306,Data_Validation!$A:$D,3,0)</f>
        <v>Véhicules neufs</v>
      </c>
      <c r="V306" s="656" t="str">
        <f>+VLOOKUP($L306,Data_Validation!$A:$D,4,0)</f>
        <v>Informatique</v>
      </c>
      <c r="W306" s="656" t="str">
        <f>+VLOOKUP($L306,Data_Validation!$A:$E,5,0)</f>
        <v>$</v>
      </c>
      <c r="X306" s="656">
        <f>+VLOOKUP($L306,Data_Validation!$A:$F,6,0)</f>
        <v>0</v>
      </c>
    </row>
    <row r="307" spans="1:24" ht="15" customHeight="1">
      <c r="A307" s="1052" t="s">
        <v>1199</v>
      </c>
      <c r="B307" s="1052" t="s">
        <v>1200</v>
      </c>
      <c r="C307" s="1054">
        <v>7650.15</v>
      </c>
      <c r="D307" s="1054">
        <v>942.03</v>
      </c>
      <c r="E307" s="1054">
        <v>8592.18</v>
      </c>
      <c r="F307" s="1052" t="s">
        <v>1154</v>
      </c>
      <c r="G307" s="1052" t="s">
        <v>1200</v>
      </c>
      <c r="H307" s="1029"/>
      <c r="I307" s="1030"/>
      <c r="J307" s="1030"/>
      <c r="K307" s="1030"/>
      <c r="L307" s="653" t="str">
        <f t="shared" si="263"/>
        <v>6152</v>
      </c>
      <c r="M307" s="654" t="str">
        <f t="shared" si="260"/>
        <v>PAPETERIE</v>
      </c>
      <c r="N307" s="655">
        <f>+IF(OR($Q307=Parametres!$G$2,$Q307=Parametres!$G$3),I307,C307)</f>
        <v>7650.15</v>
      </c>
      <c r="O307" s="655">
        <f>+IF(OR($Q307=Parametres!$G$2,$Q307=Parametres!$G$3),J307,D307)</f>
        <v>942.03</v>
      </c>
      <c r="P307" s="655">
        <f>+IF(OR($Q307=Parametres!$G$2,$Q307=Parametres!$G$3),K307,E307)</f>
        <v>8592.18</v>
      </c>
      <c r="Q307" s="654" t="str">
        <f t="shared" ref="Q307:S307" si="312">+F307</f>
        <v>7-Dépenses</v>
      </c>
      <c r="R307" s="653" t="str">
        <f t="shared" si="312"/>
        <v>6152</v>
      </c>
      <c r="S307" s="654">
        <f t="shared" si="312"/>
        <v>0</v>
      </c>
      <c r="T307" s="656" t="str">
        <f>+VLOOKUP($L307,Data_Validation!$A:$D,1,0)</f>
        <v>6152</v>
      </c>
      <c r="U307" s="656" t="str">
        <f>+VLOOKUP($L307,Data_Validation!$A:$D,3,0)</f>
        <v>Véhicules neufs</v>
      </c>
      <c r="V307" s="656" t="str">
        <f>+VLOOKUP($L307,Data_Validation!$A:$D,4,0)</f>
        <v>Papeterie</v>
      </c>
      <c r="W307" s="656" t="str">
        <f>+VLOOKUP($L307,Data_Validation!$A:$E,5,0)</f>
        <v>$</v>
      </c>
      <c r="X307" s="656">
        <f>+VLOOKUP($L307,Data_Validation!$A:$F,6,0)</f>
        <v>0</v>
      </c>
    </row>
    <row r="308" spans="1:24" ht="15" customHeight="1">
      <c r="A308" s="1052" t="s">
        <v>1201</v>
      </c>
      <c r="B308" s="1052" t="s">
        <v>1202</v>
      </c>
      <c r="C308" s="1054">
        <v>2959.06</v>
      </c>
      <c r="D308" s="1054">
        <v>241.05</v>
      </c>
      <c r="E308" s="1054">
        <v>3200.11</v>
      </c>
      <c r="F308" s="1052" t="s">
        <v>1154</v>
      </c>
      <c r="G308" s="1052" t="s">
        <v>1202</v>
      </c>
      <c r="H308" s="1029"/>
      <c r="I308" s="1030"/>
      <c r="J308" s="1030"/>
      <c r="K308" s="1030"/>
      <c r="L308" s="653" t="str">
        <f t="shared" si="263"/>
        <v>6153</v>
      </c>
      <c r="M308" s="654" t="str">
        <f t="shared" si="260"/>
        <v>TELEPHONE ET TELEX</v>
      </c>
      <c r="N308" s="655">
        <f>+IF(OR($Q308=Parametres!$G$2,$Q308=Parametres!$G$3),I308,C308)</f>
        <v>2959.06</v>
      </c>
      <c r="O308" s="655">
        <f>+IF(OR($Q308=Parametres!$G$2,$Q308=Parametres!$G$3),J308,D308)</f>
        <v>241.05</v>
      </c>
      <c r="P308" s="655">
        <f>+IF(OR($Q308=Parametres!$G$2,$Q308=Parametres!$G$3),K308,E308)</f>
        <v>3200.11</v>
      </c>
      <c r="Q308" s="654" t="str">
        <f t="shared" ref="Q308:S308" si="313">+F308</f>
        <v>7-Dépenses</v>
      </c>
      <c r="R308" s="653" t="str">
        <f t="shared" si="313"/>
        <v>6153</v>
      </c>
      <c r="S308" s="654">
        <f t="shared" si="313"/>
        <v>0</v>
      </c>
      <c r="T308" s="656" t="str">
        <f>+VLOOKUP($L308,Data_Validation!$A:$D,1,0)</f>
        <v>6153</v>
      </c>
      <c r="U308" s="656" t="str">
        <f>+VLOOKUP($L308,Data_Validation!$A:$D,3,0)</f>
        <v>Véhicules neufs</v>
      </c>
      <c r="V308" s="656" t="str">
        <f>+VLOOKUP($L308,Data_Validation!$A:$D,4,0)</f>
        <v>Téléphone</v>
      </c>
      <c r="W308" s="656" t="str">
        <f>+VLOOKUP($L308,Data_Validation!$A:$E,5,0)</f>
        <v>$</v>
      </c>
      <c r="X308" s="656">
        <f>+VLOOKUP($L308,Data_Validation!$A:$F,6,0)</f>
        <v>0</v>
      </c>
    </row>
    <row r="309" spans="1:24" ht="15.75" customHeight="1">
      <c r="A309" s="1052" t="s">
        <v>1203</v>
      </c>
      <c r="B309" s="1052" t="s">
        <v>1204</v>
      </c>
      <c r="C309" s="1054">
        <v>2931.35</v>
      </c>
      <c r="D309" s="1054">
        <v>-3.75</v>
      </c>
      <c r="E309" s="1054">
        <v>2927.6</v>
      </c>
      <c r="F309" s="1052" t="s">
        <v>1154</v>
      </c>
      <c r="G309" s="1052" t="s">
        <v>1204</v>
      </c>
      <c r="H309" s="1029"/>
      <c r="I309" s="1030"/>
      <c r="J309" s="1030"/>
      <c r="K309" s="1030"/>
      <c r="L309" s="653" t="str">
        <f t="shared" si="263"/>
        <v>6155</v>
      </c>
      <c r="M309" s="654" t="str">
        <f t="shared" si="260"/>
        <v>DEPENSES DIVERS</v>
      </c>
      <c r="N309" s="655">
        <f>+IF(OR($Q309=Parametres!$G$2,$Q309=Parametres!$G$3),I309,C309)</f>
        <v>2931.35</v>
      </c>
      <c r="O309" s="655">
        <f>+IF(OR($Q309=Parametres!$G$2,$Q309=Parametres!$G$3),J309,D309)</f>
        <v>-3.75</v>
      </c>
      <c r="P309" s="655">
        <f>+IF(OR($Q309=Parametres!$G$2,$Q309=Parametres!$G$3),K309,E309)</f>
        <v>2927.6</v>
      </c>
      <c r="Q309" s="654" t="str">
        <f t="shared" ref="Q309:S309" si="314">+F309</f>
        <v>7-Dépenses</v>
      </c>
      <c r="R309" s="653" t="str">
        <f t="shared" si="314"/>
        <v>6155</v>
      </c>
      <c r="S309" s="654">
        <f t="shared" si="314"/>
        <v>0</v>
      </c>
      <c r="T309" s="656" t="str">
        <f>+VLOOKUP($L309,Data_Validation!$A:$D,1,0)</f>
        <v>6155</v>
      </c>
      <c r="U309" s="656" t="str">
        <f>+VLOOKUP($L309,Data_Validation!$A:$D,3,0)</f>
        <v>Véhicules neufs</v>
      </c>
      <c r="V309" s="656" t="str">
        <f>+VLOOKUP($L309,Data_Validation!$A:$D,4,0)</f>
        <v>Divers</v>
      </c>
      <c r="W309" s="656" t="str">
        <f>+VLOOKUP($L309,Data_Validation!$A:$E,5,0)</f>
        <v>$</v>
      </c>
      <c r="X309" s="656">
        <f>+VLOOKUP($L309,Data_Validation!$A:$F,6,0)</f>
        <v>0</v>
      </c>
    </row>
    <row r="310" spans="1:24" ht="15" customHeight="1">
      <c r="A310" s="1052" t="s">
        <v>1205</v>
      </c>
      <c r="B310" s="1052" t="s">
        <v>1206</v>
      </c>
      <c r="C310" s="1054">
        <v>12492.64</v>
      </c>
      <c r="D310" s="1054">
        <v>862.19</v>
      </c>
      <c r="E310" s="1054">
        <v>13354.83</v>
      </c>
      <c r="F310" s="1052" t="s">
        <v>1154</v>
      </c>
      <c r="G310" s="1052" t="s">
        <v>1206</v>
      </c>
      <c r="H310" s="1029"/>
      <c r="I310" s="1030"/>
      <c r="J310" s="1030"/>
      <c r="K310" s="1030"/>
      <c r="L310" s="653" t="str">
        <f t="shared" si="263"/>
        <v>6156</v>
      </c>
      <c r="M310" s="654" t="str">
        <f t="shared" si="260"/>
        <v>FRAIS REPRESENTATION - NEUF</v>
      </c>
      <c r="N310" s="655">
        <f>+IF(OR($Q310=Parametres!$G$2,$Q310=Parametres!$G$3),I310,C310)</f>
        <v>12492.64</v>
      </c>
      <c r="O310" s="655">
        <f>+IF(OR($Q310=Parametres!$G$2,$Q310=Parametres!$G$3),J310,D310)</f>
        <v>862.19</v>
      </c>
      <c r="P310" s="655">
        <f>+IF(OR($Q310=Parametres!$G$2,$Q310=Parametres!$G$3),K310,E310)</f>
        <v>13354.83</v>
      </c>
      <c r="Q310" s="654" t="str">
        <f t="shared" ref="Q310:S310" si="315">+F310</f>
        <v>7-Dépenses</v>
      </c>
      <c r="R310" s="653" t="str">
        <f t="shared" si="315"/>
        <v>6156</v>
      </c>
      <c r="S310" s="654">
        <f t="shared" si="315"/>
        <v>0</v>
      </c>
      <c r="T310" s="656" t="str">
        <f>+VLOOKUP($L310,Data_Validation!$A:$D,1,0)</f>
        <v>6156</v>
      </c>
      <c r="U310" s="656" t="str">
        <f>+VLOOKUP($L310,Data_Validation!$A:$D,3,0)</f>
        <v>Véhicules neufs</v>
      </c>
      <c r="V310" s="656" t="str">
        <f>+VLOOKUP($L310,Data_Validation!$A:$D,4,0)</f>
        <v>Frais de déplacement</v>
      </c>
      <c r="W310" s="656" t="str">
        <f>+VLOOKUP($L310,Data_Validation!$A:$E,5,0)</f>
        <v>$</v>
      </c>
      <c r="X310" s="656">
        <f>+VLOOKUP($L310,Data_Validation!$A:$F,6,0)</f>
        <v>0</v>
      </c>
    </row>
    <row r="311" spans="1:24" ht="15" customHeight="1">
      <c r="A311" s="1052" t="s">
        <v>1207</v>
      </c>
      <c r="B311" s="1052" t="s">
        <v>3388</v>
      </c>
      <c r="C311" s="1054">
        <v>49147.26</v>
      </c>
      <c r="D311" s="1054">
        <v>-3163.38</v>
      </c>
      <c r="E311" s="1054">
        <v>45983.88</v>
      </c>
      <c r="F311" s="1052" t="s">
        <v>1154</v>
      </c>
      <c r="G311" s="1052" t="s">
        <v>1208</v>
      </c>
      <c r="H311" s="1029"/>
      <c r="I311" s="1030"/>
      <c r="J311" s="1030"/>
      <c r="K311" s="1030"/>
      <c r="L311" s="653" t="str">
        <f t="shared" si="263"/>
        <v>6157</v>
      </c>
      <c r="M311" s="654" t="str">
        <f t="shared" si="260"/>
        <v>FRAIS BANCAIRES - NEUF</v>
      </c>
      <c r="N311" s="655">
        <f>+IF(OR($Q311=Parametres!$G$2,$Q311=Parametres!$G$3),I311,C311)</f>
        <v>49147.26</v>
      </c>
      <c r="O311" s="655">
        <f>+IF(OR($Q311=Parametres!$G$2,$Q311=Parametres!$G$3),J311,D311)</f>
        <v>-3163.38</v>
      </c>
      <c r="P311" s="655">
        <f>+IF(OR($Q311=Parametres!$G$2,$Q311=Parametres!$G$3),K311,E311)</f>
        <v>45983.88</v>
      </c>
      <c r="Q311" s="654" t="str">
        <f t="shared" ref="Q311:S311" si="316">+F311</f>
        <v>7-Dépenses</v>
      </c>
      <c r="R311" s="653" t="str">
        <f t="shared" si="316"/>
        <v>615</v>
      </c>
      <c r="S311" s="654">
        <f t="shared" si="316"/>
        <v>0</v>
      </c>
      <c r="T311" s="656" t="str">
        <f>+VLOOKUP($L311,Data_Validation!$A:$D,1,0)</f>
        <v>6157</v>
      </c>
      <c r="U311" s="656" t="str">
        <f>+VLOOKUP($L311,Data_Validation!$A:$D,3,0)</f>
        <v>Véhicules neufs</v>
      </c>
      <c r="V311" s="656" t="str">
        <f>+VLOOKUP($L311,Data_Validation!$A:$D,4,0)</f>
        <v>Frais bancaires</v>
      </c>
      <c r="W311" s="656" t="str">
        <f>+VLOOKUP($L311,Data_Validation!$A:$E,5,0)</f>
        <v>$</v>
      </c>
      <c r="X311" s="656">
        <f>+VLOOKUP($L311,Data_Validation!$A:$F,6,0)</f>
        <v>0</v>
      </c>
    </row>
    <row r="312" spans="1:24" ht="15" customHeight="1">
      <c r="A312" s="1052" t="s">
        <v>1209</v>
      </c>
      <c r="B312" s="1052" t="s">
        <v>1210</v>
      </c>
      <c r="C312" s="1054">
        <v>74595.070000000007</v>
      </c>
      <c r="D312" s="1054">
        <v>6386.01</v>
      </c>
      <c r="E312" s="1054">
        <v>80981.08</v>
      </c>
      <c r="F312" s="1052" t="s">
        <v>1154</v>
      </c>
      <c r="G312" s="1052" t="s">
        <v>1210</v>
      </c>
      <c r="H312" s="1029"/>
      <c r="I312" s="1030"/>
      <c r="J312" s="1030"/>
      <c r="K312" s="1030"/>
      <c r="L312" s="653" t="str">
        <f t="shared" si="263"/>
        <v>6159</v>
      </c>
      <c r="M312" s="654" t="str">
        <f t="shared" si="260"/>
        <v>SERVICE EXTERIEUR</v>
      </c>
      <c r="N312" s="655">
        <f>+IF(OR($Q312=Parametres!$G$2,$Q312=Parametres!$G$3),I312,C312)</f>
        <v>74595.070000000007</v>
      </c>
      <c r="O312" s="655">
        <f>+IF(OR($Q312=Parametres!$G$2,$Q312=Parametres!$G$3),J312,D312)</f>
        <v>6386.01</v>
      </c>
      <c r="P312" s="655">
        <f>+IF(OR($Q312=Parametres!$G$2,$Q312=Parametres!$G$3),K312,E312)</f>
        <v>80981.08</v>
      </c>
      <c r="Q312" s="654" t="str">
        <f t="shared" ref="Q312:S312" si="317">+F312</f>
        <v>7-Dépenses</v>
      </c>
      <c r="R312" s="653" t="str">
        <f t="shared" si="317"/>
        <v>6159</v>
      </c>
      <c r="S312" s="654">
        <f t="shared" si="317"/>
        <v>0</v>
      </c>
      <c r="T312" s="656" t="str">
        <f>+VLOOKUP($L312,Data_Validation!$A:$D,1,0)</f>
        <v>6159</v>
      </c>
      <c r="U312" s="656" t="str">
        <f>+VLOOKUP($L312,Data_Validation!$A:$D,3,0)</f>
        <v>Véhicules neufs</v>
      </c>
      <c r="V312" s="656" t="str">
        <f>+VLOOKUP($L312,Data_Validation!$A:$D,4,0)</f>
        <v>Services extérieurs</v>
      </c>
      <c r="W312" s="656" t="str">
        <f>+VLOOKUP($L312,Data_Validation!$A:$E,5,0)</f>
        <v>$</v>
      </c>
      <c r="X312" s="656">
        <f>+VLOOKUP($L312,Data_Validation!$A:$F,6,0)</f>
        <v>0</v>
      </c>
    </row>
    <row r="313" spans="1:24" ht="15" customHeight="1">
      <c r="A313" s="1052" t="s">
        <v>1211</v>
      </c>
      <c r="B313" s="1052" t="s">
        <v>1212</v>
      </c>
      <c r="C313" s="1054">
        <v>15187.04</v>
      </c>
      <c r="D313" s="1054">
        <v>1380.64</v>
      </c>
      <c r="E313" s="1054">
        <v>16567.68</v>
      </c>
      <c r="F313" s="1052" t="s">
        <v>1154</v>
      </c>
      <c r="G313" s="1052" t="s">
        <v>1212</v>
      </c>
      <c r="H313" s="1029"/>
      <c r="I313" s="1030"/>
      <c r="J313" s="1030"/>
      <c r="K313" s="1030"/>
      <c r="L313" s="653" t="str">
        <f t="shared" si="263"/>
        <v>6161</v>
      </c>
      <c r="M313" s="654" t="str">
        <f t="shared" si="260"/>
        <v>DEPRECIATION EQUIP. &amp; FIXTURES</v>
      </c>
      <c r="N313" s="655">
        <f>+IF(OR($Q313=Parametres!$G$2,$Q313=Parametres!$G$3),I313,C313)</f>
        <v>15187.04</v>
      </c>
      <c r="O313" s="655">
        <f>+IF(OR($Q313=Parametres!$G$2,$Q313=Parametres!$G$3),J313,D313)</f>
        <v>1380.64</v>
      </c>
      <c r="P313" s="655">
        <f>+IF(OR($Q313=Parametres!$G$2,$Q313=Parametres!$G$3),K313,E313)</f>
        <v>16567.68</v>
      </c>
      <c r="Q313" s="654" t="str">
        <f t="shared" ref="Q313:S313" si="318">+F313</f>
        <v>7-Dépenses</v>
      </c>
      <c r="R313" s="653" t="str">
        <f t="shared" si="318"/>
        <v>6161</v>
      </c>
      <c r="S313" s="654">
        <f t="shared" si="318"/>
        <v>0</v>
      </c>
      <c r="T313" s="656" t="str">
        <f>+VLOOKUP($L313,Data_Validation!$A:$D,1,0)</f>
        <v>6161</v>
      </c>
      <c r="U313" s="656" t="str">
        <f>+VLOOKUP($L313,Data_Validation!$A:$D,3,0)</f>
        <v>Véhicules neufs</v>
      </c>
      <c r="V313" s="656" t="str">
        <f>+VLOOKUP($L313,Data_Validation!$A:$D,4,0)</f>
        <v>Amortissement</v>
      </c>
      <c r="W313" s="656" t="str">
        <f>+VLOOKUP($L313,Data_Validation!$A:$E,5,0)</f>
        <v>$</v>
      </c>
      <c r="X313" s="656">
        <f>+VLOOKUP($L313,Data_Validation!$A:$F,6,0)</f>
        <v>0</v>
      </c>
    </row>
    <row r="314" spans="1:24" ht="15" customHeight="1">
      <c r="A314" s="1052" t="s">
        <v>1213</v>
      </c>
      <c r="B314" s="1052" t="s">
        <v>1214</v>
      </c>
      <c r="C314" s="1054">
        <v>8906.51</v>
      </c>
      <c r="D314" s="1054">
        <v>297.87</v>
      </c>
      <c r="E314" s="1054">
        <v>9204.3799999999992</v>
      </c>
      <c r="F314" s="1052" t="s">
        <v>1154</v>
      </c>
      <c r="G314" s="1052" t="s">
        <v>1214</v>
      </c>
      <c r="H314" s="1029"/>
      <c r="I314" s="1030"/>
      <c r="J314" s="1030"/>
      <c r="K314" s="1030"/>
      <c r="L314" s="653" t="str">
        <f t="shared" si="263"/>
        <v>6181</v>
      </c>
      <c r="M314" s="654" t="str">
        <f t="shared" si="260"/>
        <v>ELECTRICITE CHAUFFAGE</v>
      </c>
      <c r="N314" s="655">
        <f>+IF(OR($Q314=Parametres!$G$2,$Q314=Parametres!$G$3),I314,C314)</f>
        <v>8906.51</v>
      </c>
      <c r="O314" s="655">
        <f>+IF(OR($Q314=Parametres!$G$2,$Q314=Parametres!$G$3),J314,D314)</f>
        <v>297.87</v>
      </c>
      <c r="P314" s="655">
        <f>+IF(OR($Q314=Parametres!$G$2,$Q314=Parametres!$G$3),K314,E314)</f>
        <v>9204.3799999999992</v>
      </c>
      <c r="Q314" s="654" t="str">
        <f t="shared" ref="Q314:S314" si="319">+F314</f>
        <v>7-Dépenses</v>
      </c>
      <c r="R314" s="653" t="str">
        <f t="shared" si="319"/>
        <v>6181</v>
      </c>
      <c r="S314" s="654">
        <f t="shared" si="319"/>
        <v>0</v>
      </c>
      <c r="T314" s="656" t="str">
        <f>+VLOOKUP($L314,Data_Validation!$A:$D,1,0)</f>
        <v>6181</v>
      </c>
      <c r="U314" s="656" t="str">
        <f>+VLOOKUP($L314,Data_Validation!$A:$D,3,0)</f>
        <v>Véhicules neufs</v>
      </c>
      <c r="V314" s="656" t="str">
        <f>+VLOOKUP($L314,Data_Validation!$A:$D,4,0)</f>
        <v>Chauffage, éclairage</v>
      </c>
      <c r="W314" s="656" t="str">
        <f>+VLOOKUP($L314,Data_Validation!$A:$E,5,0)</f>
        <v>$</v>
      </c>
      <c r="X314" s="656">
        <f>+VLOOKUP($L314,Data_Validation!$A:$F,6,0)</f>
        <v>0</v>
      </c>
    </row>
    <row r="315" spans="1:24" ht="15" customHeight="1">
      <c r="A315" s="1052" t="s">
        <v>1215</v>
      </c>
      <c r="B315" s="1052" t="s">
        <v>1216</v>
      </c>
      <c r="C315" s="1054">
        <v>91520</v>
      </c>
      <c r="D315" s="1054">
        <v>8320</v>
      </c>
      <c r="E315" s="1054">
        <v>99840</v>
      </c>
      <c r="F315" s="1052" t="s">
        <v>1154</v>
      </c>
      <c r="G315" s="1052" t="s">
        <v>1216</v>
      </c>
      <c r="H315" s="1029"/>
      <c r="I315" s="1030"/>
      <c r="J315" s="1030"/>
      <c r="K315" s="1030"/>
      <c r="L315" s="653" t="str">
        <f t="shared" si="263"/>
        <v>6182</v>
      </c>
      <c r="M315" s="654" t="str">
        <f t="shared" si="260"/>
        <v>LOYER NEUFS</v>
      </c>
      <c r="N315" s="655">
        <f>+IF(OR($Q315=Parametres!$G$2,$Q315=Parametres!$G$3),I315,C315)</f>
        <v>91520</v>
      </c>
      <c r="O315" s="655">
        <f>+IF(OR($Q315=Parametres!$G$2,$Q315=Parametres!$G$3),J315,D315)</f>
        <v>8320</v>
      </c>
      <c r="P315" s="655">
        <f>+IF(OR($Q315=Parametres!$G$2,$Q315=Parametres!$G$3),K315,E315)</f>
        <v>99840</v>
      </c>
      <c r="Q315" s="654" t="str">
        <f t="shared" ref="Q315:S315" si="320">+F315</f>
        <v>7-Dépenses</v>
      </c>
      <c r="R315" s="653" t="str">
        <f t="shared" si="320"/>
        <v>6182</v>
      </c>
      <c r="S315" s="654">
        <f t="shared" si="320"/>
        <v>0</v>
      </c>
      <c r="T315" s="656" t="str">
        <f>+VLOOKUP($L315,Data_Validation!$A:$D,1,0)</f>
        <v>6182</v>
      </c>
      <c r="U315" s="656" t="str">
        <f>+VLOOKUP($L315,Data_Validation!$A:$D,3,0)</f>
        <v>Véhicules neufs</v>
      </c>
      <c r="V315" s="656" t="str">
        <f>+VLOOKUP($L315,Data_Validation!$A:$D,4,0)</f>
        <v>Loyer</v>
      </c>
      <c r="W315" s="656" t="str">
        <f>+VLOOKUP($L315,Data_Validation!$A:$E,5,0)</f>
        <v>$</v>
      </c>
      <c r="X315" s="656">
        <f>+VLOOKUP($L315,Data_Validation!$A:$F,6,0)</f>
        <v>0</v>
      </c>
    </row>
    <row r="316" spans="1:24" ht="15" customHeight="1">
      <c r="A316" s="1052" t="s">
        <v>1217</v>
      </c>
      <c r="B316" s="1052" t="s">
        <v>1218</v>
      </c>
      <c r="C316" s="1054">
        <v>15033.92</v>
      </c>
      <c r="D316" s="1054">
        <v>1366.72</v>
      </c>
      <c r="E316" s="1054">
        <v>16400.64</v>
      </c>
      <c r="F316" s="1052" t="s">
        <v>1154</v>
      </c>
      <c r="G316" s="1052" t="s">
        <v>1218</v>
      </c>
      <c r="H316" s="1029"/>
      <c r="I316" s="1030"/>
      <c r="J316" s="1030"/>
      <c r="K316" s="1030"/>
      <c r="L316" s="653" t="str">
        <f t="shared" si="263"/>
        <v>6186</v>
      </c>
      <c r="M316" s="654" t="str">
        <f t="shared" si="260"/>
        <v>ASSURANCE BATIMENT</v>
      </c>
      <c r="N316" s="655">
        <f>+IF(OR($Q316=Parametres!$G$2,$Q316=Parametres!$G$3),I316,C316)</f>
        <v>15033.92</v>
      </c>
      <c r="O316" s="655">
        <f>+IF(OR($Q316=Parametres!$G$2,$Q316=Parametres!$G$3),J316,D316)</f>
        <v>1366.72</v>
      </c>
      <c r="P316" s="655">
        <f>+IF(OR($Q316=Parametres!$G$2,$Q316=Parametres!$G$3),K316,E316)</f>
        <v>16400.64</v>
      </c>
      <c r="Q316" s="654" t="str">
        <f t="shared" ref="Q316:S316" si="321">+F316</f>
        <v>7-Dépenses</v>
      </c>
      <c r="R316" s="653" t="str">
        <f t="shared" si="321"/>
        <v>6186</v>
      </c>
      <c r="S316" s="654">
        <f t="shared" si="321"/>
        <v>0</v>
      </c>
      <c r="T316" s="656" t="str">
        <f>+VLOOKUP($L316,Data_Validation!$A:$D,1,0)</f>
        <v>6186</v>
      </c>
      <c r="U316" s="656" t="str">
        <f>+VLOOKUP($L316,Data_Validation!$A:$D,3,0)</f>
        <v>Véhicules neufs</v>
      </c>
      <c r="V316" s="656" t="str">
        <f>+VLOOKUP($L316,Data_Validation!$A:$D,4,0)</f>
        <v>Assurances</v>
      </c>
      <c r="W316" s="656" t="str">
        <f>+VLOOKUP($L316,Data_Validation!$A:$E,5,0)</f>
        <v>$</v>
      </c>
      <c r="X316" s="656">
        <f>+VLOOKUP($L316,Data_Validation!$A:$F,6,0)</f>
        <v>0</v>
      </c>
    </row>
    <row r="317" spans="1:24" ht="15" customHeight="1">
      <c r="A317" s="1052" t="s">
        <v>1219</v>
      </c>
      <c r="B317" s="1052" t="s">
        <v>1220</v>
      </c>
      <c r="C317" s="1054">
        <v>17353.599999999999</v>
      </c>
      <c r="D317" s="1054">
        <v>529.92999999999995</v>
      </c>
      <c r="E317" s="1054">
        <v>17883.53</v>
      </c>
      <c r="F317" s="1052" t="s">
        <v>1154</v>
      </c>
      <c r="G317" s="1052" t="s">
        <v>1220</v>
      </c>
      <c r="H317" s="1029"/>
      <c r="I317" s="1030"/>
      <c r="J317" s="1030"/>
      <c r="K317" s="1030"/>
      <c r="L317" s="653" t="str">
        <f t="shared" si="263"/>
        <v>6187</v>
      </c>
      <c r="M317" s="654" t="str">
        <f t="shared" si="260"/>
        <v>TAXE SUR PROPRIETE</v>
      </c>
      <c r="N317" s="655">
        <f>+IF(OR($Q317=Parametres!$G$2,$Q317=Parametres!$G$3),I317,C317)</f>
        <v>17353.599999999999</v>
      </c>
      <c r="O317" s="655">
        <f>+IF(OR($Q317=Parametres!$G$2,$Q317=Parametres!$G$3),J317,D317)</f>
        <v>529.92999999999995</v>
      </c>
      <c r="P317" s="655">
        <f>+IF(OR($Q317=Parametres!$G$2,$Q317=Parametres!$G$3),K317,E317)</f>
        <v>17883.53</v>
      </c>
      <c r="Q317" s="654" t="str">
        <f t="shared" ref="Q317:S317" si="322">+F317</f>
        <v>7-Dépenses</v>
      </c>
      <c r="R317" s="653" t="str">
        <f t="shared" si="322"/>
        <v>6187</v>
      </c>
      <c r="S317" s="654">
        <f t="shared" si="322"/>
        <v>0</v>
      </c>
      <c r="T317" s="656" t="str">
        <f>+VLOOKUP($L317,Data_Validation!$A:$D,1,0)</f>
        <v>6187</v>
      </c>
      <c r="U317" s="656" t="str">
        <f>+VLOOKUP($L317,Data_Validation!$A:$D,3,0)</f>
        <v>Véhicules neufs</v>
      </c>
      <c r="V317" s="656" t="str">
        <f>+VLOOKUP($L317,Data_Validation!$A:$D,4,0)</f>
        <v>Taxes foncières</v>
      </c>
      <c r="W317" s="656" t="str">
        <f>+VLOOKUP($L317,Data_Validation!$A:$E,5,0)</f>
        <v>$</v>
      </c>
      <c r="X317" s="656">
        <f>+VLOOKUP($L317,Data_Validation!$A:$F,6,0)</f>
        <v>0</v>
      </c>
    </row>
    <row r="318" spans="1:24" ht="15.75" customHeight="1">
      <c r="A318" s="1052" t="s">
        <v>1221</v>
      </c>
      <c r="B318" s="1052" t="s">
        <v>1222</v>
      </c>
      <c r="C318" s="1054">
        <v>11545.6</v>
      </c>
      <c r="D318" s="1054">
        <v>1049.5999999999999</v>
      </c>
      <c r="E318" s="1054">
        <v>12595.2</v>
      </c>
      <c r="F318" s="1052" t="s">
        <v>1154</v>
      </c>
      <c r="G318" s="1052" t="s">
        <v>1222</v>
      </c>
      <c r="H318" s="1029"/>
      <c r="I318" s="1030"/>
      <c r="J318" s="1030"/>
      <c r="K318" s="1030"/>
      <c r="L318" s="653" t="str">
        <f t="shared" si="263"/>
        <v>6193</v>
      </c>
      <c r="M318" s="654" t="str">
        <f t="shared" si="260"/>
        <v>TAXES AUTRES PERMIS LICENCE</v>
      </c>
      <c r="N318" s="655">
        <f>+IF(OR($Q318=Parametres!$G$2,$Q318=Parametres!$G$3),I318,C318)</f>
        <v>11545.6</v>
      </c>
      <c r="O318" s="655">
        <f>+IF(OR($Q318=Parametres!$G$2,$Q318=Parametres!$G$3),J318,D318)</f>
        <v>1049.5999999999999</v>
      </c>
      <c r="P318" s="655">
        <f>+IF(OR($Q318=Parametres!$G$2,$Q318=Parametres!$G$3),K318,E318)</f>
        <v>12595.2</v>
      </c>
      <c r="Q318" s="654" t="str">
        <f t="shared" ref="Q318:S318" si="323">+F318</f>
        <v>7-Dépenses</v>
      </c>
      <c r="R318" s="653" t="str">
        <f t="shared" si="323"/>
        <v>6193</v>
      </c>
      <c r="S318" s="654">
        <f t="shared" si="323"/>
        <v>0</v>
      </c>
      <c r="T318" s="656" t="str">
        <f>+VLOOKUP($L318,Data_Validation!$A:$D,1,0)</f>
        <v>6193</v>
      </c>
      <c r="U318" s="656" t="str">
        <f>+VLOOKUP($L318,Data_Validation!$A:$D,3,0)</f>
        <v>Véhicules neufs</v>
      </c>
      <c r="V318" s="656" t="str">
        <f>+VLOOKUP($L318,Data_Validation!$A:$D,4,0)</f>
        <v>Taxes d`affaires</v>
      </c>
      <c r="W318" s="656" t="str">
        <f>+VLOOKUP($L318,Data_Validation!$A:$E,5,0)</f>
        <v>$</v>
      </c>
      <c r="X318" s="656">
        <f>+VLOOKUP($L318,Data_Validation!$A:$F,6,0)</f>
        <v>0</v>
      </c>
    </row>
    <row r="319" spans="1:24" ht="15" customHeight="1">
      <c r="A319" s="1052" t="s">
        <v>1223</v>
      </c>
      <c r="B319" s="1052" t="s">
        <v>1224</v>
      </c>
      <c r="C319" s="1054">
        <v>21554.17</v>
      </c>
      <c r="D319" s="1054">
        <v>1959.47</v>
      </c>
      <c r="E319" s="1054">
        <v>23513.64</v>
      </c>
      <c r="F319" s="1052" t="s">
        <v>1154</v>
      </c>
      <c r="G319" s="1052" t="s">
        <v>1224</v>
      </c>
      <c r="H319" s="1029"/>
      <c r="I319" s="1030"/>
      <c r="J319" s="1030"/>
      <c r="K319" s="1030"/>
      <c r="L319" s="653" t="str">
        <f t="shared" si="263"/>
        <v>6194</v>
      </c>
      <c r="M319" s="654" t="str">
        <f t="shared" si="260"/>
        <v>HONORAIRES PROFESSIONNELS</v>
      </c>
      <c r="N319" s="655">
        <f>+IF(OR($Q319=Parametres!$G$2,$Q319=Parametres!$G$3),I319,C319)</f>
        <v>21554.17</v>
      </c>
      <c r="O319" s="655">
        <f>+IF(OR($Q319=Parametres!$G$2,$Q319=Parametres!$G$3),J319,D319)</f>
        <v>1959.47</v>
      </c>
      <c r="P319" s="655">
        <f>+IF(OR($Q319=Parametres!$G$2,$Q319=Parametres!$G$3),K319,E319)</f>
        <v>23513.64</v>
      </c>
      <c r="Q319" s="654" t="str">
        <f t="shared" ref="Q319:S319" si="324">+F319</f>
        <v>7-Dépenses</v>
      </c>
      <c r="R319" s="653" t="str">
        <f t="shared" si="324"/>
        <v>6194</v>
      </c>
      <c r="S319" s="654">
        <f t="shared" si="324"/>
        <v>0</v>
      </c>
      <c r="T319" s="656" t="str">
        <f>+VLOOKUP($L319,Data_Validation!$A:$D,1,0)</f>
        <v>6194</v>
      </c>
      <c r="U319" s="656" t="str">
        <f>+VLOOKUP($L319,Data_Validation!$A:$D,3,0)</f>
        <v>Véhicules neufs</v>
      </c>
      <c r="V319" s="656" t="str">
        <f>+VLOOKUP($L319,Data_Validation!$A:$D,4,0)</f>
        <v>Honoraires</v>
      </c>
      <c r="W319" s="656" t="str">
        <f>+VLOOKUP($L319,Data_Validation!$A:$E,5,0)</f>
        <v>$</v>
      </c>
      <c r="X319" s="656">
        <f>+VLOOKUP($L319,Data_Validation!$A:$F,6,0)</f>
        <v>0</v>
      </c>
    </row>
    <row r="320" spans="1:24" ht="15" customHeight="1">
      <c r="A320" s="1052" t="s">
        <v>1225</v>
      </c>
      <c r="B320" s="1052" t="s">
        <v>2319</v>
      </c>
      <c r="C320" s="1054">
        <v>276749.90000000002</v>
      </c>
      <c r="D320" s="1054">
        <v>10925.41</v>
      </c>
      <c r="E320" s="1054">
        <v>287675.31</v>
      </c>
      <c r="F320" s="1052" t="s">
        <v>1154</v>
      </c>
      <c r="G320" s="1052" t="s">
        <v>1155</v>
      </c>
      <c r="H320" s="1029"/>
      <c r="I320" s="1030"/>
      <c r="J320" s="1030"/>
      <c r="K320" s="1030"/>
      <c r="L320" s="653" t="str">
        <f t="shared" si="263"/>
        <v>6201</v>
      </c>
      <c r="M320" s="654" t="str">
        <f t="shared" si="260"/>
        <v>COMMISSION USAGES</v>
      </c>
      <c r="N320" s="655">
        <f>+IF(OR($Q320=Parametres!$G$2,$Q320=Parametres!$G$3),I320,C320)</f>
        <v>276749.90000000002</v>
      </c>
      <c r="O320" s="655">
        <f>+IF(OR($Q320=Parametres!$G$2,$Q320=Parametres!$G$3),J320,D320)</f>
        <v>10925.41</v>
      </c>
      <c r="P320" s="655">
        <f>+IF(OR($Q320=Parametres!$G$2,$Q320=Parametres!$G$3),K320,E320)</f>
        <v>287675.31</v>
      </c>
      <c r="Q320" s="654" t="str">
        <f t="shared" ref="Q320:S320" si="325">+F320</f>
        <v>7-Dépenses</v>
      </c>
      <c r="R320" s="653" t="str">
        <f t="shared" si="325"/>
        <v>6101</v>
      </c>
      <c r="S320" s="654">
        <f t="shared" si="325"/>
        <v>0</v>
      </c>
      <c r="T320" s="656" t="str">
        <f>+VLOOKUP($L320,Data_Validation!$A:$D,1,0)</f>
        <v>6201</v>
      </c>
      <c r="U320" s="656" t="str">
        <f>+VLOOKUP($L320,Data_Validation!$A:$D,3,0)</f>
        <v>Véhicules usagés</v>
      </c>
      <c r="V320" s="656" t="str">
        <f>+VLOOKUP($L320,Data_Validation!$A:$D,4,0)</f>
        <v>Comm. vendeurs</v>
      </c>
      <c r="W320" s="656" t="str">
        <f>+VLOOKUP($L320,Data_Validation!$A:$E,5,0)</f>
        <v>$</v>
      </c>
      <c r="X320" s="656">
        <f>+VLOOKUP($L320,Data_Validation!$A:$F,6,0)</f>
        <v>0</v>
      </c>
    </row>
    <row r="321" spans="1:24" ht="15" customHeight="1">
      <c r="A321" s="1052" t="s">
        <v>1156</v>
      </c>
      <c r="B321" s="1052" t="s">
        <v>2322</v>
      </c>
      <c r="C321" s="1054">
        <v>244478.97</v>
      </c>
      <c r="D321" s="1054">
        <v>13256.64</v>
      </c>
      <c r="E321" s="1054">
        <v>257735.61</v>
      </c>
      <c r="F321" s="1052" t="s">
        <v>1154</v>
      </c>
      <c r="G321" s="1052" t="s">
        <v>1157</v>
      </c>
      <c r="H321" s="1029"/>
      <c r="I321" s="1030"/>
      <c r="J321" s="1030"/>
      <c r="K321" s="1030"/>
      <c r="L321" s="653" t="str">
        <f t="shared" si="263"/>
        <v>6202</v>
      </c>
      <c r="M321" s="654" t="str">
        <f t="shared" si="260"/>
        <v>RENUMERATION F &amp; I</v>
      </c>
      <c r="N321" s="655">
        <f>+IF(OR($Q321=Parametres!$G$2,$Q321=Parametres!$G$3),I321,C321)</f>
        <v>244478.97</v>
      </c>
      <c r="O321" s="655">
        <f>+IF(OR($Q321=Parametres!$G$2,$Q321=Parametres!$G$3),J321,D321)</f>
        <v>13256.64</v>
      </c>
      <c r="P321" s="655">
        <f>+IF(OR($Q321=Parametres!$G$2,$Q321=Parametres!$G$3),K321,E321)</f>
        <v>257735.61</v>
      </c>
      <c r="Q321" s="654" t="str">
        <f t="shared" ref="Q321:S321" si="326">+F321</f>
        <v>7-Dépenses</v>
      </c>
      <c r="R321" s="653" t="str">
        <f t="shared" si="326"/>
        <v>6102</v>
      </c>
      <c r="S321" s="654">
        <f t="shared" si="326"/>
        <v>0</v>
      </c>
      <c r="T321" s="656" t="str">
        <f>+VLOOKUP($L321,Data_Validation!$A:$D,1,0)</f>
        <v>6202</v>
      </c>
      <c r="U321" s="656" t="str">
        <f>+VLOOKUP($L321,Data_Validation!$A:$D,3,0)</f>
        <v>Véhicules usagés</v>
      </c>
      <c r="V321" s="656" t="str">
        <f>+VLOOKUP($L321,Data_Validation!$A:$D,4,0)</f>
        <v>Comm. F&amp;I</v>
      </c>
      <c r="W321" s="656" t="str">
        <f>+VLOOKUP($L321,Data_Validation!$A:$E,5,0)</f>
        <v>$</v>
      </c>
      <c r="X321" s="656">
        <f>+VLOOKUP($L321,Data_Validation!$A:$F,6,0)</f>
        <v>0</v>
      </c>
    </row>
    <row r="322" spans="1:24" ht="15.75" customHeight="1">
      <c r="A322" s="1052" t="s">
        <v>1226</v>
      </c>
      <c r="B322" s="1052" t="s">
        <v>2325</v>
      </c>
      <c r="C322" s="1054">
        <v>1812.09</v>
      </c>
      <c r="D322" s="1054">
        <v>0</v>
      </c>
      <c r="E322" s="1054">
        <v>1812.09</v>
      </c>
      <c r="F322" s="1052" t="s">
        <v>1154</v>
      </c>
      <c r="G322" s="1052" t="s">
        <v>1159</v>
      </c>
      <c r="H322" s="1029"/>
      <c r="I322" s="1030"/>
      <c r="J322" s="1030"/>
      <c r="K322" s="1030"/>
      <c r="L322" s="653" t="str">
        <f t="shared" si="263"/>
        <v>6203</v>
      </c>
      <c r="M322" s="654" t="str">
        <f t="shared" si="260"/>
        <v>RELAT. A LA CLIENTELLE &amp; AJUST</v>
      </c>
      <c r="N322" s="655">
        <f>+IF(OR($Q322=Parametres!$G$2,$Q322=Parametres!$G$3),I322,C322)</f>
        <v>1812.09</v>
      </c>
      <c r="O322" s="655">
        <f>+IF(OR($Q322=Parametres!$G$2,$Q322=Parametres!$G$3),J322,D322)</f>
        <v>0</v>
      </c>
      <c r="P322" s="655">
        <f>+IF(OR($Q322=Parametres!$G$2,$Q322=Parametres!$G$3),K322,E322)</f>
        <v>1812.09</v>
      </c>
      <c r="Q322" s="654" t="str">
        <f t="shared" ref="Q322:S322" si="327">+F322</f>
        <v>7-Dépenses</v>
      </c>
      <c r="R322" s="653" t="str">
        <f t="shared" si="327"/>
        <v>6103</v>
      </c>
      <c r="S322" s="654">
        <f t="shared" si="327"/>
        <v>0</v>
      </c>
      <c r="T322" s="656" t="str">
        <f>+VLOOKUP($L322,Data_Validation!$A:$D,1,0)</f>
        <v>6203</v>
      </c>
      <c r="U322" s="656" t="str">
        <f>+VLOOKUP($L322,Data_Validation!$A:$D,3,0)</f>
        <v>Véhicules usagés</v>
      </c>
      <c r="V322" s="656" t="str">
        <f>+VLOOKUP($L322,Data_Validation!$A:$D,4,0)</f>
        <v>Service gratuit 1</v>
      </c>
      <c r="W322" s="656" t="str">
        <f>+VLOOKUP($L322,Data_Validation!$A:$E,5,0)</f>
        <v>$</v>
      </c>
      <c r="X322" s="656">
        <f>+VLOOKUP($L322,Data_Validation!$A:$F,6,0)</f>
        <v>0</v>
      </c>
    </row>
    <row r="323" spans="1:24" ht="15" customHeight="1">
      <c r="A323" s="1052" t="s">
        <v>1160</v>
      </c>
      <c r="B323" s="1052" t="s">
        <v>2328</v>
      </c>
      <c r="C323" s="1054">
        <v>51151.41</v>
      </c>
      <c r="D323" s="1054">
        <v>4374.82</v>
      </c>
      <c r="E323" s="1054">
        <v>55526.23</v>
      </c>
      <c r="F323" s="1052" t="s">
        <v>1154</v>
      </c>
      <c r="G323" s="1052" t="s">
        <v>1161</v>
      </c>
      <c r="H323" s="1029"/>
      <c r="I323" s="1030"/>
      <c r="J323" s="1030"/>
      <c r="K323" s="1030"/>
      <c r="L323" s="653" t="str">
        <f t="shared" ref="L323:L386" si="328">TEXT(B323,0)</f>
        <v>6206</v>
      </c>
      <c r="M323" s="654" t="str">
        <f t="shared" si="260"/>
        <v>ENTRETIEN DES STOCKS</v>
      </c>
      <c r="N323" s="655">
        <f>+IF(OR($Q323=Parametres!$G$2,$Q323=Parametres!$G$3),I323,C323)</f>
        <v>51151.41</v>
      </c>
      <c r="O323" s="655">
        <f>+IF(OR($Q323=Parametres!$G$2,$Q323=Parametres!$G$3),J323,D323)</f>
        <v>4374.82</v>
      </c>
      <c r="P323" s="655">
        <f>+IF(OR($Q323=Parametres!$G$2,$Q323=Parametres!$G$3),K323,E323)</f>
        <v>55526.23</v>
      </c>
      <c r="Q323" s="654" t="str">
        <f t="shared" ref="Q323:S323" si="329">+F323</f>
        <v>7-Dépenses</v>
      </c>
      <c r="R323" s="653" t="str">
        <f t="shared" si="329"/>
        <v>6106</v>
      </c>
      <c r="S323" s="654">
        <f t="shared" si="329"/>
        <v>0</v>
      </c>
      <c r="T323" s="656" t="str">
        <f>+VLOOKUP($L323,Data_Validation!$A:$D,1,0)</f>
        <v>6206</v>
      </c>
      <c r="U323" s="656" t="str">
        <f>+VLOOKUP($L323,Data_Validation!$A:$D,3,0)</f>
        <v>Véhicules usagés</v>
      </c>
      <c r="V323" s="656" t="str">
        <f>+VLOOKUP($L323,Data_Validation!$A:$D,4,0)</f>
        <v>Entretien stock</v>
      </c>
      <c r="W323" s="656" t="str">
        <f>+VLOOKUP($L323,Data_Validation!$A:$E,5,0)</f>
        <v>$</v>
      </c>
      <c r="X323" s="656">
        <f>+VLOOKUP($L323,Data_Validation!$A:$F,6,0)</f>
        <v>0</v>
      </c>
    </row>
    <row r="324" spans="1:24" ht="15" customHeight="1">
      <c r="A324" s="1052" t="s">
        <v>1162</v>
      </c>
      <c r="B324" s="1052" t="s">
        <v>2331</v>
      </c>
      <c r="C324" s="1054">
        <v>28976.73</v>
      </c>
      <c r="D324" s="1054">
        <v>9450.74</v>
      </c>
      <c r="E324" s="1054">
        <v>38427.47</v>
      </c>
      <c r="F324" s="1052" t="s">
        <v>1154</v>
      </c>
      <c r="G324" s="1052" t="s">
        <v>1163</v>
      </c>
      <c r="H324" s="1029"/>
      <c r="I324" s="1030"/>
      <c r="J324" s="1030"/>
      <c r="K324" s="1030"/>
      <c r="L324" s="653" t="str">
        <f t="shared" si="328"/>
        <v>6207</v>
      </c>
      <c r="M324" s="654" t="str">
        <f t="shared" si="260"/>
        <v>INTERET-PLAN DE FINANCEMENT</v>
      </c>
      <c r="N324" s="655">
        <f>+IF(OR($Q324=Parametres!$G$2,$Q324=Parametres!$G$3),I324,C324)</f>
        <v>28976.73</v>
      </c>
      <c r="O324" s="655">
        <f>+IF(OR($Q324=Parametres!$G$2,$Q324=Parametres!$G$3),J324,D324)</f>
        <v>9450.74</v>
      </c>
      <c r="P324" s="655">
        <f>+IF(OR($Q324=Parametres!$G$2,$Q324=Parametres!$G$3),K324,E324)</f>
        <v>38427.47</v>
      </c>
      <c r="Q324" s="654" t="str">
        <f t="shared" ref="Q324:S324" si="330">+F324</f>
        <v>7-Dépenses</v>
      </c>
      <c r="R324" s="653" t="str">
        <f t="shared" si="330"/>
        <v>6107</v>
      </c>
      <c r="S324" s="654">
        <f t="shared" si="330"/>
        <v>0</v>
      </c>
      <c r="T324" s="656" t="str">
        <f>+VLOOKUP($L324,Data_Validation!$A:$D,1,0)</f>
        <v>6207</v>
      </c>
      <c r="U324" s="656" t="str">
        <f>+VLOOKUP($L324,Data_Validation!$A:$D,3,0)</f>
        <v>Véhicules usagés</v>
      </c>
      <c r="V324" s="656" t="str">
        <f>+VLOOKUP($L324,Data_Validation!$A:$D,4,0)</f>
        <v>Intérêt de gros</v>
      </c>
      <c r="W324" s="656" t="str">
        <f>+VLOOKUP($L324,Data_Validation!$A:$E,5,0)</f>
        <v>$</v>
      </c>
      <c r="X324" s="656">
        <f>+VLOOKUP($L324,Data_Validation!$A:$F,6,0)</f>
        <v>0</v>
      </c>
    </row>
    <row r="325" spans="1:24" ht="15" customHeight="1">
      <c r="A325" s="1052" t="s">
        <v>1164</v>
      </c>
      <c r="B325" s="1052" t="s">
        <v>2334</v>
      </c>
      <c r="C325" s="1054">
        <v>7787.54</v>
      </c>
      <c r="D325" s="1054">
        <v>2310.11</v>
      </c>
      <c r="E325" s="1054">
        <v>10097.65</v>
      </c>
      <c r="F325" s="1052" t="s">
        <v>1154</v>
      </c>
      <c r="G325" s="1052" t="s">
        <v>1165</v>
      </c>
      <c r="H325" s="1029"/>
      <c r="I325" s="1030"/>
      <c r="J325" s="1030"/>
      <c r="K325" s="1030"/>
      <c r="L325" s="653" t="str">
        <f t="shared" si="328"/>
        <v>6208</v>
      </c>
      <c r="M325" s="654" t="str">
        <f t="shared" si="260"/>
        <v>FRAIS DE LIVRAISON</v>
      </c>
      <c r="N325" s="655">
        <f>+IF(OR($Q325=Parametres!$G$2,$Q325=Parametres!$G$3),I325,C325)</f>
        <v>7787.54</v>
      </c>
      <c r="O325" s="655">
        <f>+IF(OR($Q325=Parametres!$G$2,$Q325=Parametres!$G$3),J325,D325)</f>
        <v>2310.11</v>
      </c>
      <c r="P325" s="655">
        <f>+IF(OR($Q325=Parametres!$G$2,$Q325=Parametres!$G$3),K325,E325)</f>
        <v>10097.65</v>
      </c>
      <c r="Q325" s="654" t="str">
        <f t="shared" ref="Q325:S325" si="331">+F325</f>
        <v>7-Dépenses</v>
      </c>
      <c r="R325" s="653" t="str">
        <f t="shared" si="331"/>
        <v>6108</v>
      </c>
      <c r="S325" s="654">
        <f t="shared" si="331"/>
        <v>0</v>
      </c>
      <c r="T325" s="656" t="str">
        <f>+VLOOKUP($L325,Data_Validation!$A:$D,1,0)</f>
        <v>6208</v>
      </c>
      <c r="U325" s="656" t="str">
        <f>+VLOOKUP($L325,Data_Validation!$A:$D,3,0)</f>
        <v>Véhicules usagés</v>
      </c>
      <c r="V325" s="656" t="str">
        <f>+VLOOKUP($L325,Data_Validation!$A:$D,4,0)</f>
        <v>Frais de livraison</v>
      </c>
      <c r="W325" s="656" t="str">
        <f>+VLOOKUP($L325,Data_Validation!$A:$E,5,0)</f>
        <v>$</v>
      </c>
      <c r="X325" s="656">
        <f>+VLOOKUP($L325,Data_Validation!$A:$F,6,0)</f>
        <v>0</v>
      </c>
    </row>
    <row r="326" spans="1:24" ht="15" customHeight="1">
      <c r="A326" s="1052" t="s">
        <v>1166</v>
      </c>
      <c r="B326" s="1052" t="s">
        <v>2340</v>
      </c>
      <c r="C326" s="1054">
        <v>97727.83</v>
      </c>
      <c r="D326" s="1054">
        <v>11744.93</v>
      </c>
      <c r="E326" s="1054">
        <v>109472.76</v>
      </c>
      <c r="F326" s="1052" t="s">
        <v>1154</v>
      </c>
      <c r="G326" s="1052" t="s">
        <v>1167</v>
      </c>
      <c r="H326" s="1029"/>
      <c r="I326" s="1030"/>
      <c r="J326" s="1030"/>
      <c r="K326" s="1030"/>
      <c r="L326" s="653" t="str">
        <f t="shared" si="328"/>
        <v>6214</v>
      </c>
      <c r="M326" s="654" t="str">
        <f t="shared" si="260"/>
        <v>PUBLICITE</v>
      </c>
      <c r="N326" s="655">
        <f>+IF(OR($Q326=Parametres!$G$2,$Q326=Parametres!$G$3),I326,C326)</f>
        <v>97727.83</v>
      </c>
      <c r="O326" s="655">
        <f>+IF(OR($Q326=Parametres!$G$2,$Q326=Parametres!$G$3),J326,D326)</f>
        <v>11744.93</v>
      </c>
      <c r="P326" s="655">
        <f>+IF(OR($Q326=Parametres!$G$2,$Q326=Parametres!$G$3),K326,E326)</f>
        <v>109472.76</v>
      </c>
      <c r="Q326" s="654" t="str">
        <f t="shared" ref="Q326:S326" si="332">+F326</f>
        <v>7-Dépenses</v>
      </c>
      <c r="R326" s="653" t="str">
        <f t="shared" si="332"/>
        <v>6114</v>
      </c>
      <c r="S326" s="654">
        <f t="shared" si="332"/>
        <v>0</v>
      </c>
      <c r="T326" s="656" t="str">
        <f>+VLOOKUP($L326,Data_Validation!$A:$D,1,0)</f>
        <v>6214</v>
      </c>
      <c r="U326" s="656" t="str">
        <f>+VLOOKUP($L326,Data_Validation!$A:$D,3,0)</f>
        <v>Véhicules usagés</v>
      </c>
      <c r="V326" s="656" t="str">
        <f>+VLOOKUP($L326,Data_Validation!$A:$D,4,0)</f>
        <v>Publicité 1</v>
      </c>
      <c r="W326" s="656" t="str">
        <f>+VLOOKUP($L326,Data_Validation!$A:$E,5,0)</f>
        <v>$</v>
      </c>
      <c r="X326" s="656">
        <f>+VLOOKUP($L326,Data_Validation!$A:$F,6,0)</f>
        <v>0</v>
      </c>
    </row>
    <row r="327" spans="1:24" ht="15.75" customHeight="1">
      <c r="A327" s="1052" t="s">
        <v>1227</v>
      </c>
      <c r="B327" s="1052" t="s">
        <v>2343</v>
      </c>
      <c r="C327" s="1054">
        <v>-35300</v>
      </c>
      <c r="D327" s="1054">
        <v>-2400</v>
      </c>
      <c r="E327" s="1054">
        <v>-37700</v>
      </c>
      <c r="F327" s="1052" t="s">
        <v>1154</v>
      </c>
      <c r="G327" s="1052" t="s">
        <v>1167</v>
      </c>
      <c r="H327" s="1029"/>
      <c r="I327" s="1030"/>
      <c r="J327" s="1030"/>
      <c r="K327" s="1030"/>
      <c r="L327" s="653" t="str">
        <f t="shared" si="328"/>
        <v>6215</v>
      </c>
      <c r="M327" s="654" t="str">
        <f t="shared" si="260"/>
        <v>CREDIT PUBLICITE USAGES</v>
      </c>
      <c r="N327" s="655">
        <f>+IF(OR($Q327=Parametres!$G$2,$Q327=Parametres!$G$3),I327,C327)</f>
        <v>-35300</v>
      </c>
      <c r="O327" s="655">
        <f>+IF(OR($Q327=Parametres!$G$2,$Q327=Parametres!$G$3),J327,D327)</f>
        <v>-2400</v>
      </c>
      <c r="P327" s="655">
        <f>+IF(OR($Q327=Parametres!$G$2,$Q327=Parametres!$G$3),K327,E327)</f>
        <v>-37700</v>
      </c>
      <c r="Q327" s="654" t="str">
        <f t="shared" ref="Q327:S327" si="333">+F327</f>
        <v>7-Dépenses</v>
      </c>
      <c r="R327" s="653" t="str">
        <f t="shared" si="333"/>
        <v>6114</v>
      </c>
      <c r="S327" s="654">
        <f t="shared" si="333"/>
        <v>0</v>
      </c>
      <c r="T327" s="656" t="str">
        <f>+VLOOKUP($L327,Data_Validation!$A:$D,1,0)</f>
        <v>6215</v>
      </c>
      <c r="U327" s="656" t="str">
        <f>+VLOOKUP($L327,Data_Validation!$A:$D,3,0)</f>
        <v>Véhicules usagés</v>
      </c>
      <c r="V327" s="656" t="str">
        <f>+VLOOKUP($L327,Data_Validation!$A:$D,4,0)</f>
        <v>Publicité 1</v>
      </c>
      <c r="W327" s="656" t="str">
        <f>+VLOOKUP($L327,Data_Validation!$A:$E,5,0)</f>
        <v>$</v>
      </c>
      <c r="X327" s="656">
        <f>+VLOOKUP($L327,Data_Validation!$A:$F,6,0)</f>
        <v>0</v>
      </c>
    </row>
    <row r="328" spans="1:24" ht="15" customHeight="1">
      <c r="A328" s="1052" t="s">
        <v>1169</v>
      </c>
      <c r="B328" s="1052" t="s">
        <v>2349</v>
      </c>
      <c r="C328" s="1054">
        <v>17798.060000000001</v>
      </c>
      <c r="D328" s="1054">
        <v>1859.92</v>
      </c>
      <c r="E328" s="1054">
        <v>19657.98</v>
      </c>
      <c r="F328" s="1052" t="s">
        <v>1154</v>
      </c>
      <c r="G328" s="1052" t="s">
        <v>1170</v>
      </c>
      <c r="H328" s="1029"/>
      <c r="I328" s="1030"/>
      <c r="J328" s="1030"/>
      <c r="K328" s="1030"/>
      <c r="L328" s="653" t="str">
        <f t="shared" si="328"/>
        <v>6221</v>
      </c>
      <c r="M328" s="654" t="str">
        <f t="shared" si="260"/>
        <v>SALAIRES - PROPRIETAIRES</v>
      </c>
      <c r="N328" s="655">
        <f>+IF(OR($Q328=Parametres!$G$2,$Q328=Parametres!$G$3),I328,C328)</f>
        <v>17798.060000000001</v>
      </c>
      <c r="O328" s="655">
        <f>+IF(OR($Q328=Parametres!$G$2,$Q328=Parametres!$G$3),J328,D328)</f>
        <v>1859.92</v>
      </c>
      <c r="P328" s="655">
        <f>+IF(OR($Q328=Parametres!$G$2,$Q328=Parametres!$G$3),K328,E328)</f>
        <v>19657.98</v>
      </c>
      <c r="Q328" s="654" t="str">
        <f t="shared" ref="Q328:S328" si="334">+F328</f>
        <v>7-Dépenses</v>
      </c>
      <c r="R328" s="653" t="str">
        <f t="shared" si="334"/>
        <v>6121</v>
      </c>
      <c r="S328" s="654">
        <f t="shared" si="334"/>
        <v>0</v>
      </c>
      <c r="T328" s="656" t="str">
        <f>+VLOOKUP($L328,Data_Validation!$A:$D,1,0)</f>
        <v>6221</v>
      </c>
      <c r="U328" s="656" t="str">
        <f>+VLOOKUP($L328,Data_Validation!$A:$D,3,0)</f>
        <v>Véhicules usagés</v>
      </c>
      <c r="V328" s="656" t="str">
        <f>+VLOOKUP($L328,Data_Validation!$A:$D,4,0)</f>
        <v>Salaires propriétaire</v>
      </c>
      <c r="W328" s="656" t="str">
        <f>+VLOOKUP($L328,Data_Validation!$A:$E,5,0)</f>
        <v>$</v>
      </c>
      <c r="X328" s="656">
        <f>+VLOOKUP($L328,Data_Validation!$A:$F,6,0)</f>
        <v>0</v>
      </c>
    </row>
    <row r="329" spans="1:24" ht="15" customHeight="1">
      <c r="A329" s="1052" t="s">
        <v>1171</v>
      </c>
      <c r="B329" s="1052" t="s">
        <v>2352</v>
      </c>
      <c r="C329" s="1054">
        <v>108665.56</v>
      </c>
      <c r="D329" s="1054">
        <v>7995.62</v>
      </c>
      <c r="E329" s="1054">
        <v>116661.18</v>
      </c>
      <c r="F329" s="1052" t="s">
        <v>1154</v>
      </c>
      <c r="G329" s="1052" t="s">
        <v>1172</v>
      </c>
      <c r="H329" s="1029"/>
      <c r="I329" s="1030"/>
      <c r="J329" s="1030"/>
      <c r="K329" s="1030"/>
      <c r="L329" s="653" t="str">
        <f t="shared" si="328"/>
        <v>6222</v>
      </c>
      <c r="M329" s="654" t="str">
        <f t="shared" si="260"/>
        <v>SAL SUPERVISION / GERANT</v>
      </c>
      <c r="N329" s="655">
        <f>+IF(OR($Q329=Parametres!$G$2,$Q329=Parametres!$G$3),I329,C329)</f>
        <v>108665.56</v>
      </c>
      <c r="O329" s="655">
        <f>+IF(OR($Q329=Parametres!$G$2,$Q329=Parametres!$G$3),J329,D329)</f>
        <v>7995.62</v>
      </c>
      <c r="P329" s="655">
        <f>+IF(OR($Q329=Parametres!$G$2,$Q329=Parametres!$G$3),K329,E329)</f>
        <v>116661.18</v>
      </c>
      <c r="Q329" s="654" t="str">
        <f t="shared" ref="Q329:S329" si="335">+F329</f>
        <v>7-Dépenses</v>
      </c>
      <c r="R329" s="653" t="str">
        <f t="shared" si="335"/>
        <v>6122</v>
      </c>
      <c r="S329" s="654">
        <f t="shared" si="335"/>
        <v>0</v>
      </c>
      <c r="T329" s="656" t="str">
        <f>+VLOOKUP($L329,Data_Validation!$A:$D,1,0)</f>
        <v>6222</v>
      </c>
      <c r="U329" s="656" t="str">
        <f>+VLOOKUP($L329,Data_Validation!$A:$D,3,0)</f>
        <v>Véhicules usagés</v>
      </c>
      <c r="V329" s="656" t="str">
        <f>+VLOOKUP($L329,Data_Validation!$A:$D,4,0)</f>
        <v>Salaires cadres</v>
      </c>
      <c r="W329" s="656" t="str">
        <f>+VLOOKUP($L329,Data_Validation!$A:$E,5,0)</f>
        <v>$</v>
      </c>
      <c r="X329" s="656">
        <f>+VLOOKUP($L329,Data_Validation!$A:$F,6,0)</f>
        <v>0</v>
      </c>
    </row>
    <row r="330" spans="1:24" ht="15" customHeight="1">
      <c r="A330" s="1052" t="s">
        <v>1173</v>
      </c>
      <c r="B330" s="1052" t="s">
        <v>2355</v>
      </c>
      <c r="C330" s="1054">
        <v>19007.28</v>
      </c>
      <c r="D330" s="1054">
        <v>2858.19</v>
      </c>
      <c r="E330" s="1054">
        <v>21865.47</v>
      </c>
      <c r="F330" s="1052" t="s">
        <v>1154</v>
      </c>
      <c r="G330" s="1052" t="s">
        <v>1174</v>
      </c>
      <c r="H330" s="1029"/>
      <c r="I330" s="1030"/>
      <c r="J330" s="1030"/>
      <c r="K330" s="1030"/>
      <c r="L330" s="653" t="str">
        <f t="shared" si="328"/>
        <v>6223</v>
      </c>
      <c r="M330" s="654" t="str">
        <f t="shared" si="260"/>
        <v>SAL. &amp; RENUM. - CLERICAL</v>
      </c>
      <c r="N330" s="655">
        <f>+IF(OR($Q330=Parametres!$G$2,$Q330=Parametres!$G$3),I330,C330)</f>
        <v>19007.28</v>
      </c>
      <c r="O330" s="655">
        <f>+IF(OR($Q330=Parametres!$G$2,$Q330=Parametres!$G$3),J330,D330)</f>
        <v>2858.19</v>
      </c>
      <c r="P330" s="655">
        <f>+IF(OR($Q330=Parametres!$G$2,$Q330=Parametres!$G$3),K330,E330)</f>
        <v>21865.47</v>
      </c>
      <c r="Q330" s="654" t="str">
        <f t="shared" ref="Q330:S330" si="336">+F330</f>
        <v>7-Dépenses</v>
      </c>
      <c r="R330" s="653" t="str">
        <f t="shared" si="336"/>
        <v>6123</v>
      </c>
      <c r="S330" s="654">
        <f t="shared" si="336"/>
        <v>0</v>
      </c>
      <c r="T330" s="656" t="str">
        <f>+VLOOKUP($L330,Data_Validation!$A:$D,1,0)</f>
        <v>6223</v>
      </c>
      <c r="U330" s="656" t="str">
        <f>+VLOOKUP($L330,Data_Validation!$A:$D,3,0)</f>
        <v>Véhicules usagés</v>
      </c>
      <c r="V330" s="656" t="str">
        <f>+VLOOKUP($L330,Data_Validation!$A:$D,4,0)</f>
        <v>Salaires commis</v>
      </c>
      <c r="W330" s="656" t="str">
        <f>+VLOOKUP($L330,Data_Validation!$A:$E,5,0)</f>
        <v>$</v>
      </c>
      <c r="X330" s="656">
        <f>+VLOOKUP($L330,Data_Validation!$A:$F,6,0)</f>
        <v>0</v>
      </c>
    </row>
    <row r="331" spans="1:24" ht="15" customHeight="1">
      <c r="A331" s="1052" t="s">
        <v>1228</v>
      </c>
      <c r="B331" s="1052" t="s">
        <v>2358</v>
      </c>
      <c r="C331" s="1054">
        <v>83330.259999999995</v>
      </c>
      <c r="D331" s="1054">
        <v>8410.67</v>
      </c>
      <c r="E331" s="1054">
        <v>91740.93</v>
      </c>
      <c r="F331" s="1052" t="s">
        <v>1154</v>
      </c>
      <c r="G331" s="1052" t="s">
        <v>1176</v>
      </c>
      <c r="H331" s="1029"/>
      <c r="I331" s="1030"/>
      <c r="J331" s="1030"/>
      <c r="K331" s="1030"/>
      <c r="L331" s="653" t="str">
        <f t="shared" si="328"/>
        <v>6224</v>
      </c>
      <c r="M331" s="654" t="str">
        <f t="shared" si="260"/>
        <v>SALAIRE &amp; RENUM. - AUTRES</v>
      </c>
      <c r="N331" s="655">
        <f>+IF(OR($Q331=Parametres!$G$2,$Q331=Parametres!$G$3),I331,C331)</f>
        <v>83330.259999999995</v>
      </c>
      <c r="O331" s="655">
        <f>+IF(OR($Q331=Parametres!$G$2,$Q331=Parametres!$G$3),J331,D331)</f>
        <v>8410.67</v>
      </c>
      <c r="P331" s="655">
        <f>+IF(OR($Q331=Parametres!$G$2,$Q331=Parametres!$G$3),K331,E331)</f>
        <v>91740.93</v>
      </c>
      <c r="Q331" s="654" t="str">
        <f t="shared" ref="Q331:S331" si="337">+F331</f>
        <v>7-Dépenses</v>
      </c>
      <c r="R331" s="653" t="str">
        <f t="shared" si="337"/>
        <v>6124</v>
      </c>
      <c r="S331" s="654">
        <f t="shared" si="337"/>
        <v>0</v>
      </c>
      <c r="T331" s="656" t="str">
        <f>+VLOOKUP($L331,Data_Validation!$A:$D,1,0)</f>
        <v>6224</v>
      </c>
      <c r="U331" s="656" t="str">
        <f>+VLOOKUP($L331,Data_Validation!$A:$D,3,0)</f>
        <v>Véhicules usagés</v>
      </c>
      <c r="V331" s="656" t="str">
        <f>+VLOOKUP($L331,Data_Validation!$A:$D,4,0)</f>
        <v>Salaires autres</v>
      </c>
      <c r="W331" s="656" t="str">
        <f>+VLOOKUP($L331,Data_Validation!$A:$E,5,0)</f>
        <v>$</v>
      </c>
      <c r="X331" s="656">
        <f>+VLOOKUP($L331,Data_Validation!$A:$F,6,0)</f>
        <v>0</v>
      </c>
    </row>
    <row r="332" spans="1:24" ht="15" customHeight="1">
      <c r="A332" s="1052" t="s">
        <v>1229</v>
      </c>
      <c r="B332" s="1052" t="s">
        <v>2359</v>
      </c>
      <c r="C332" s="1054">
        <v>40448.980000000003</v>
      </c>
      <c r="D332" s="1054">
        <v>8469.86</v>
      </c>
      <c r="E332" s="1054">
        <v>48918.84</v>
      </c>
      <c r="F332" s="1052" t="s">
        <v>1154</v>
      </c>
      <c r="G332" s="1052" t="s">
        <v>1178</v>
      </c>
      <c r="H332" s="1029"/>
      <c r="I332" s="1030"/>
      <c r="J332" s="1030"/>
      <c r="K332" s="1030"/>
      <c r="L332" s="653" t="str">
        <f t="shared" si="328"/>
        <v>6229</v>
      </c>
      <c r="M332" s="654" t="str">
        <f t="shared" si="260"/>
        <v>ABS.,VACANCES &amp; SAL. JOURS FER</v>
      </c>
      <c r="N332" s="655">
        <f>+IF(OR($Q332=Parametres!$G$2,$Q332=Parametres!$G$3),I332,C332)</f>
        <v>40448.980000000003</v>
      </c>
      <c r="O332" s="655">
        <f>+IF(OR($Q332=Parametres!$G$2,$Q332=Parametres!$G$3),J332,D332)</f>
        <v>8469.86</v>
      </c>
      <c r="P332" s="655">
        <f>+IF(OR($Q332=Parametres!$G$2,$Q332=Parametres!$G$3),K332,E332)</f>
        <v>48918.84</v>
      </c>
      <c r="Q332" s="654" t="str">
        <f t="shared" ref="Q332:S332" si="338">+F332</f>
        <v>7-Dépenses</v>
      </c>
      <c r="R332" s="653" t="str">
        <f t="shared" si="338"/>
        <v>6129</v>
      </c>
      <c r="S332" s="654">
        <f t="shared" si="338"/>
        <v>0</v>
      </c>
      <c r="T332" s="656" t="str">
        <f>+VLOOKUP($L332,Data_Validation!$A:$D,1,0)</f>
        <v>6229</v>
      </c>
      <c r="U332" s="656" t="str">
        <f>+VLOOKUP($L332,Data_Validation!$A:$D,3,0)</f>
        <v>Véhicules usagés</v>
      </c>
      <c r="V332" s="656" t="str">
        <f>+VLOOKUP($L332,Data_Validation!$A:$D,4,0)</f>
        <v>Salaires en absences</v>
      </c>
      <c r="W332" s="656" t="str">
        <f>+VLOOKUP($L332,Data_Validation!$A:$E,5,0)</f>
        <v>$</v>
      </c>
      <c r="X332" s="656">
        <f>+VLOOKUP($L332,Data_Validation!$A:$F,6,0)</f>
        <v>0</v>
      </c>
    </row>
    <row r="333" spans="1:24" ht="15.75" customHeight="1">
      <c r="A333" s="1052" t="s">
        <v>1179</v>
      </c>
      <c r="B333" s="1052" t="s">
        <v>2362</v>
      </c>
      <c r="C333" s="1054">
        <v>17573.97</v>
      </c>
      <c r="D333" s="1054">
        <v>4570.97</v>
      </c>
      <c r="E333" s="1054">
        <v>22144.94</v>
      </c>
      <c r="F333" s="1052" t="s">
        <v>1154</v>
      </c>
      <c r="G333" s="1052" t="s">
        <v>1180</v>
      </c>
      <c r="H333" s="1029"/>
      <c r="I333" s="1030"/>
      <c r="J333" s="1030"/>
      <c r="K333" s="1030"/>
      <c r="L333" s="653" t="str">
        <f t="shared" si="328"/>
        <v>6231</v>
      </c>
      <c r="M333" s="654" t="str">
        <f t="shared" si="260"/>
        <v>CSST</v>
      </c>
      <c r="N333" s="655">
        <f>+IF(OR($Q333=Parametres!$G$2,$Q333=Parametres!$G$3),I333,C333)</f>
        <v>17573.97</v>
      </c>
      <c r="O333" s="655">
        <f>+IF(OR($Q333=Parametres!$G$2,$Q333=Parametres!$G$3),J333,D333)</f>
        <v>4570.97</v>
      </c>
      <c r="P333" s="655">
        <f>+IF(OR($Q333=Parametres!$G$2,$Q333=Parametres!$G$3),K333,E333)</f>
        <v>22144.94</v>
      </c>
      <c r="Q333" s="654" t="str">
        <f t="shared" ref="Q333:S333" si="339">+F333</f>
        <v>7-Dépenses</v>
      </c>
      <c r="R333" s="653" t="str">
        <f t="shared" si="339"/>
        <v>6131</v>
      </c>
      <c r="S333" s="654">
        <f t="shared" si="339"/>
        <v>0</v>
      </c>
      <c r="T333" s="656" t="str">
        <f>+VLOOKUP($L333,Data_Validation!$A:$D,1,0)</f>
        <v>6231</v>
      </c>
      <c r="U333" s="656" t="str">
        <f>+VLOOKUP($L333,Data_Validation!$A:$D,3,0)</f>
        <v>Véhicules usagés</v>
      </c>
      <c r="V333" s="656" t="str">
        <f>+VLOOKUP($L333,Data_Validation!$A:$D,4,0)</f>
        <v>Csst</v>
      </c>
      <c r="W333" s="656" t="str">
        <f>+VLOOKUP($L333,Data_Validation!$A:$E,5,0)</f>
        <v>$</v>
      </c>
      <c r="X333" s="656">
        <f>+VLOOKUP($L333,Data_Validation!$A:$F,6,0)</f>
        <v>0</v>
      </c>
    </row>
    <row r="334" spans="1:24" ht="15.75" customHeight="1">
      <c r="A334" s="1052" t="s">
        <v>1181</v>
      </c>
      <c r="B334" s="1052" t="s">
        <v>2365</v>
      </c>
      <c r="C334" s="1054">
        <v>47352.15</v>
      </c>
      <c r="D334" s="1054">
        <v>6702.32</v>
      </c>
      <c r="E334" s="1054">
        <v>54054.47</v>
      </c>
      <c r="F334" s="1052" t="s">
        <v>1154</v>
      </c>
      <c r="G334" s="1052" t="s">
        <v>1182</v>
      </c>
      <c r="H334" s="1029"/>
      <c r="I334" s="1030"/>
      <c r="J334" s="1030"/>
      <c r="K334" s="1030"/>
      <c r="L334" s="653" t="str">
        <f t="shared" si="328"/>
        <v>6232</v>
      </c>
      <c r="M334" s="654" t="str">
        <f t="shared" si="260"/>
        <v>RRQ RAMQ AC</v>
      </c>
      <c r="N334" s="655">
        <f>+IF(OR($Q334=Parametres!$G$2,$Q334=Parametres!$G$3),I334,C334)</f>
        <v>47352.15</v>
      </c>
      <c r="O334" s="655">
        <f>+IF(OR($Q334=Parametres!$G$2,$Q334=Parametres!$G$3),J334,D334)</f>
        <v>6702.32</v>
      </c>
      <c r="P334" s="655">
        <f>+IF(OR($Q334=Parametres!$G$2,$Q334=Parametres!$G$3),K334,E334)</f>
        <v>54054.47</v>
      </c>
      <c r="Q334" s="654" t="str">
        <f t="shared" ref="Q334:S334" si="340">+F334</f>
        <v>7-Dépenses</v>
      </c>
      <c r="R334" s="653" t="str">
        <f t="shared" si="340"/>
        <v>6132</v>
      </c>
      <c r="S334" s="654">
        <f t="shared" si="340"/>
        <v>0</v>
      </c>
      <c r="T334" s="656" t="str">
        <f>+VLOOKUP($L334,Data_Validation!$A:$D,1,0)</f>
        <v>6232</v>
      </c>
      <c r="U334" s="656" t="str">
        <f>+VLOOKUP($L334,Data_Validation!$A:$D,3,0)</f>
        <v>Véhicules usagés</v>
      </c>
      <c r="V334" s="656" t="str">
        <f>+VLOOKUP($L334,Data_Validation!$A:$D,4,0)</f>
        <v>Déduction à la source</v>
      </c>
      <c r="W334" s="656" t="str">
        <f>+VLOOKUP($L334,Data_Validation!$A:$E,5,0)</f>
        <v>$</v>
      </c>
      <c r="X334" s="656">
        <f>+VLOOKUP($L334,Data_Validation!$A:$F,6,0)</f>
        <v>0</v>
      </c>
    </row>
    <row r="335" spans="1:24" ht="15" customHeight="1">
      <c r="A335" s="1052" t="s">
        <v>1230</v>
      </c>
      <c r="B335" s="1052" t="s">
        <v>3390</v>
      </c>
      <c r="C335" s="1054">
        <v>0</v>
      </c>
      <c r="D335" s="1054">
        <v>267.44</v>
      </c>
      <c r="E335" s="1054">
        <v>267.44</v>
      </c>
      <c r="F335" s="1052" t="s">
        <v>1154</v>
      </c>
      <c r="G335" s="1052" t="s">
        <v>1184</v>
      </c>
      <c r="H335" s="1029"/>
      <c r="I335" s="1030"/>
      <c r="J335" s="1030"/>
      <c r="K335" s="1030"/>
      <c r="L335" s="653" t="str">
        <f t="shared" si="328"/>
        <v>6233</v>
      </c>
      <c r="M335" s="654" t="str">
        <f t="shared" si="260"/>
        <v>FOND PENSION - USAGE</v>
      </c>
      <c r="N335" s="655">
        <f>+IF(OR($Q335=Parametres!$G$2,$Q335=Parametres!$G$3),I335,C335)</f>
        <v>0</v>
      </c>
      <c r="O335" s="655">
        <f>+IF(OR($Q335=Parametres!$G$2,$Q335=Parametres!$G$3),J335,D335)</f>
        <v>267.44</v>
      </c>
      <c r="P335" s="655">
        <f>+IF(OR($Q335=Parametres!$G$2,$Q335=Parametres!$G$3),K335,E335)</f>
        <v>267.44</v>
      </c>
      <c r="Q335" s="654" t="str">
        <f t="shared" ref="Q335:S335" si="341">+F335</f>
        <v>7-Dépenses</v>
      </c>
      <c r="R335" s="653" t="str">
        <f t="shared" si="341"/>
        <v>6133</v>
      </c>
      <c r="S335" s="654">
        <f t="shared" si="341"/>
        <v>0</v>
      </c>
      <c r="T335" s="656" t="str">
        <f>+VLOOKUP($L335,Data_Validation!$A:$D,1,0)</f>
        <v>6233</v>
      </c>
      <c r="U335" s="656" t="str">
        <f>+VLOOKUP($L335,Data_Validation!$A:$D,3,0)</f>
        <v>Véhicules usagés</v>
      </c>
      <c r="V335" s="656" t="str">
        <f>+VLOOKUP($L335,Data_Validation!$A:$D,4,0)</f>
        <v>Bénéfices marginaux</v>
      </c>
      <c r="W335" s="656" t="str">
        <f>+VLOOKUP($L335,Data_Validation!$A:$E,5,0)</f>
        <v>$</v>
      </c>
      <c r="X335" s="656">
        <f>+VLOOKUP($L335,Data_Validation!$A:$F,6,0)</f>
        <v>0</v>
      </c>
    </row>
    <row r="336" spans="1:24" ht="15" customHeight="1">
      <c r="A336" s="1052" t="s">
        <v>1231</v>
      </c>
      <c r="B336" s="1052" t="s">
        <v>2368</v>
      </c>
      <c r="C336" s="1054">
        <v>31408.639999999999</v>
      </c>
      <c r="D336" s="1054">
        <v>1869.15</v>
      </c>
      <c r="E336" s="1054">
        <v>33277.79</v>
      </c>
      <c r="F336" s="1052" t="s">
        <v>1154</v>
      </c>
      <c r="G336" s="1052" t="s">
        <v>1186</v>
      </c>
      <c r="H336" s="1029"/>
      <c r="I336" s="1030"/>
      <c r="J336" s="1030"/>
      <c r="K336" s="1030"/>
      <c r="L336" s="653" t="str">
        <f t="shared" si="328"/>
        <v>6239</v>
      </c>
      <c r="M336" s="654" t="str">
        <f t="shared" si="260"/>
        <v>ASSURANCE GROUPE</v>
      </c>
      <c r="N336" s="655">
        <f>+IF(OR($Q336=Parametres!$G$2,$Q336=Parametres!$G$3),I336,C336)</f>
        <v>31408.639999999999</v>
      </c>
      <c r="O336" s="655">
        <f>+IF(OR($Q336=Parametres!$G$2,$Q336=Parametres!$G$3),J336,D336)</f>
        <v>1869.15</v>
      </c>
      <c r="P336" s="655">
        <f>+IF(OR($Q336=Parametres!$G$2,$Q336=Parametres!$G$3),K336,E336)</f>
        <v>33277.79</v>
      </c>
      <c r="Q336" s="654" t="str">
        <f t="shared" ref="Q336:S336" si="342">+F336</f>
        <v>7-Dépenses</v>
      </c>
      <c r="R336" s="653" t="str">
        <f t="shared" si="342"/>
        <v>6139</v>
      </c>
      <c r="S336" s="654">
        <f t="shared" si="342"/>
        <v>0</v>
      </c>
      <c r="T336" s="656" t="str">
        <f>+VLOOKUP($L336,Data_Validation!$A:$D,1,0)</f>
        <v>6239</v>
      </c>
      <c r="U336" s="656" t="str">
        <f>+VLOOKUP($L336,Data_Validation!$A:$D,3,0)</f>
        <v>Véhicules usagés</v>
      </c>
      <c r="V336" s="656" t="str">
        <f>+VLOOKUP($L336,Data_Validation!$A:$D,4,0)</f>
        <v>Bénéfices marginaux</v>
      </c>
      <c r="W336" s="656" t="str">
        <f>+VLOOKUP($L336,Data_Validation!$A:$E,5,0)</f>
        <v>$</v>
      </c>
      <c r="X336" s="656">
        <f>+VLOOKUP($L336,Data_Validation!$A:$F,6,0)</f>
        <v>0</v>
      </c>
    </row>
    <row r="337" spans="1:24" ht="15" customHeight="1">
      <c r="A337" s="1052" t="s">
        <v>1187</v>
      </c>
      <c r="B337" s="1052" t="s">
        <v>2374</v>
      </c>
      <c r="C337" s="1054">
        <v>1707.74</v>
      </c>
      <c r="D337" s="1054">
        <v>0</v>
      </c>
      <c r="E337" s="1054">
        <v>1707.74</v>
      </c>
      <c r="F337" s="1052" t="s">
        <v>1154</v>
      </c>
      <c r="G337" s="1052" t="s">
        <v>1188</v>
      </c>
      <c r="H337" s="1029"/>
      <c r="I337" s="1031"/>
      <c r="J337" s="1031"/>
      <c r="K337" s="1031"/>
      <c r="L337" s="653" t="str">
        <f t="shared" si="328"/>
        <v>6242</v>
      </c>
      <c r="M337" s="654" t="str">
        <f t="shared" si="260"/>
        <v>FOURNITURES &amp; PETITS OUTILS</v>
      </c>
      <c r="N337" s="655">
        <f>+IF(OR($Q337=Parametres!$G$2,$Q337=Parametres!$G$3),I337,C337)</f>
        <v>1707.74</v>
      </c>
      <c r="O337" s="655">
        <f>+IF(OR($Q337=Parametres!$G$2,$Q337=Parametres!$G$3),J337,D337)</f>
        <v>0</v>
      </c>
      <c r="P337" s="655">
        <f>+IF(OR($Q337=Parametres!$G$2,$Q337=Parametres!$G$3),K337,E337)</f>
        <v>1707.74</v>
      </c>
      <c r="Q337" s="654" t="str">
        <f t="shared" ref="Q337:S337" si="343">+F337</f>
        <v>7-Dépenses</v>
      </c>
      <c r="R337" s="653" t="str">
        <f t="shared" si="343"/>
        <v>6142</v>
      </c>
      <c r="S337" s="654">
        <f t="shared" si="343"/>
        <v>0</v>
      </c>
      <c r="T337" s="656" t="str">
        <f>+VLOOKUP($L337,Data_Validation!$A:$D,1,0)</f>
        <v>6242</v>
      </c>
      <c r="U337" s="656" t="str">
        <f>+VLOOKUP($L337,Data_Validation!$A:$D,3,0)</f>
        <v>Véhicules usagés</v>
      </c>
      <c r="V337" s="656" t="str">
        <f>+VLOOKUP($L337,Data_Validation!$A:$D,4,0)</f>
        <v>Fournitures autres</v>
      </c>
      <c r="W337" s="656" t="str">
        <f>+VLOOKUP($L337,Data_Validation!$A:$E,5,0)</f>
        <v>$</v>
      </c>
      <c r="X337" s="656">
        <f>+VLOOKUP($L337,Data_Validation!$A:$F,6,0)</f>
        <v>0</v>
      </c>
    </row>
    <row r="338" spans="1:24" ht="15.75" customHeight="1">
      <c r="A338" s="1052" t="s">
        <v>1191</v>
      </c>
      <c r="B338" s="1052" t="s">
        <v>2379</v>
      </c>
      <c r="C338" s="1054">
        <v>2291.85</v>
      </c>
      <c r="D338" s="1054">
        <v>1249.67</v>
      </c>
      <c r="E338" s="1054">
        <v>3541.52</v>
      </c>
      <c r="F338" s="1052" t="s">
        <v>1154</v>
      </c>
      <c r="G338" s="1052" t="s">
        <v>1192</v>
      </c>
      <c r="H338" s="1029"/>
      <c r="I338" s="1031"/>
      <c r="J338" s="1031"/>
      <c r="K338" s="1031"/>
      <c r="L338" s="653" t="str">
        <f t="shared" si="328"/>
        <v>6244</v>
      </c>
      <c r="M338" s="654" t="str">
        <f t="shared" si="260"/>
        <v>FORMATION</v>
      </c>
      <c r="N338" s="655">
        <f>+IF(OR($Q338=Parametres!$G$2,$Q338=Parametres!$G$3),I338,C338)</f>
        <v>2291.85</v>
      </c>
      <c r="O338" s="655">
        <f>+IF(OR($Q338=Parametres!$G$2,$Q338=Parametres!$G$3),J338,D338)</f>
        <v>1249.67</v>
      </c>
      <c r="P338" s="655">
        <f>+IF(OR($Q338=Parametres!$G$2,$Q338=Parametres!$G$3),K338,E338)</f>
        <v>3541.52</v>
      </c>
      <c r="Q338" s="654" t="str">
        <f t="shared" ref="Q338:S338" si="344">+F338</f>
        <v>7-Dépenses</v>
      </c>
      <c r="R338" s="653" t="str">
        <f t="shared" si="344"/>
        <v>6144</v>
      </c>
      <c r="S338" s="654">
        <f t="shared" si="344"/>
        <v>0</v>
      </c>
      <c r="T338" s="656" t="str">
        <f>+VLOOKUP($L338,Data_Validation!$A:$D,1,0)</f>
        <v>6244</v>
      </c>
      <c r="U338" s="656" t="str">
        <f>+VLOOKUP($L338,Data_Validation!$A:$D,3,0)</f>
        <v>Véhicules usagés</v>
      </c>
      <c r="V338" s="656" t="str">
        <f>+VLOOKUP($L338,Data_Validation!$A:$D,4,0)</f>
        <v>Formation</v>
      </c>
      <c r="W338" s="656" t="str">
        <f>+VLOOKUP($L338,Data_Validation!$A:$E,5,0)</f>
        <v>$</v>
      </c>
      <c r="X338" s="656">
        <f>+VLOOKUP($L338,Data_Validation!$A:$F,6,0)</f>
        <v>0</v>
      </c>
    </row>
    <row r="339" spans="1:24" ht="15" customHeight="1">
      <c r="A339" s="1052" t="s">
        <v>1193</v>
      </c>
      <c r="B339" s="1052" t="s">
        <v>2382</v>
      </c>
      <c r="C339" s="1054">
        <v>2438.73</v>
      </c>
      <c r="D339" s="1054">
        <v>1106.7</v>
      </c>
      <c r="E339" s="1054">
        <v>3545.43</v>
      </c>
      <c r="F339" s="1052" t="s">
        <v>1154</v>
      </c>
      <c r="G339" s="1052" t="s">
        <v>1194</v>
      </c>
      <c r="H339" s="1029"/>
      <c r="I339" s="1031"/>
      <c r="J339" s="1031"/>
      <c r="K339" s="1031"/>
      <c r="L339" s="653" t="str">
        <f t="shared" si="328"/>
        <v>6245</v>
      </c>
      <c r="M339" s="654" t="str">
        <f t="shared" si="260"/>
        <v>VEHICULE DE COMPAGNIE - DEPENS</v>
      </c>
      <c r="N339" s="655">
        <f>+IF(OR($Q339=Parametres!$G$2,$Q339=Parametres!$G$3),I339,C339)</f>
        <v>2438.73</v>
      </c>
      <c r="O339" s="655">
        <f>+IF(OR($Q339=Parametres!$G$2,$Q339=Parametres!$G$3),J339,D339)</f>
        <v>1106.7</v>
      </c>
      <c r="P339" s="655">
        <f>+IF(OR($Q339=Parametres!$G$2,$Q339=Parametres!$G$3),K339,E339)</f>
        <v>3545.43</v>
      </c>
      <c r="Q339" s="654" t="str">
        <f t="shared" ref="Q339:S339" si="345">+F339</f>
        <v>7-Dépenses</v>
      </c>
      <c r="R339" s="653" t="str">
        <f t="shared" si="345"/>
        <v>6145</v>
      </c>
      <c r="S339" s="654">
        <f t="shared" si="345"/>
        <v>0</v>
      </c>
      <c r="T339" s="656" t="str">
        <f>+VLOOKUP($L339,Data_Validation!$A:$D,1,0)</f>
        <v>6245</v>
      </c>
      <c r="U339" s="656" t="str">
        <f>+VLOOKUP($L339,Data_Validation!$A:$D,3,0)</f>
        <v>Véhicules usagés</v>
      </c>
      <c r="V339" s="656" t="str">
        <f>+VLOOKUP($L339,Data_Validation!$A:$D,4,0)</f>
        <v>Frais véhicules de cie</v>
      </c>
      <c r="W339" s="656" t="str">
        <f>+VLOOKUP($L339,Data_Validation!$A:$E,5,0)</f>
        <v>$</v>
      </c>
      <c r="X339" s="656">
        <f>+VLOOKUP($L339,Data_Validation!$A:$F,6,0)</f>
        <v>0</v>
      </c>
    </row>
    <row r="340" spans="1:24" ht="15" customHeight="1">
      <c r="A340" s="1052" t="s">
        <v>1195</v>
      </c>
      <c r="B340" s="1052" t="s">
        <v>2385</v>
      </c>
      <c r="C340" s="1054">
        <v>772.4</v>
      </c>
      <c r="D340" s="1054">
        <v>59.36</v>
      </c>
      <c r="E340" s="1054">
        <v>831.76</v>
      </c>
      <c r="F340" s="1052" t="s">
        <v>1154</v>
      </c>
      <c r="G340" s="1052" t="s">
        <v>1196</v>
      </c>
      <c r="H340" s="1029"/>
      <c r="I340" s="1031"/>
      <c r="J340" s="1031"/>
      <c r="K340" s="1031"/>
      <c r="L340" s="653" t="str">
        <f t="shared" si="328"/>
        <v>6247</v>
      </c>
      <c r="M340" s="654" t="str">
        <f t="shared" si="260"/>
        <v>FRET/EXPRESS/TRANS. PAR CAMION</v>
      </c>
      <c r="N340" s="655">
        <f>+IF(OR($Q340=Parametres!$G$2,$Q340=Parametres!$G$3),I340,C340)</f>
        <v>772.4</v>
      </c>
      <c r="O340" s="655">
        <f>+IF(OR($Q340=Parametres!$G$2,$Q340=Parametres!$G$3),J340,D340)</f>
        <v>59.36</v>
      </c>
      <c r="P340" s="655">
        <f>+IF(OR($Q340=Parametres!$G$2,$Q340=Parametres!$G$3),K340,E340)</f>
        <v>831.76</v>
      </c>
      <c r="Q340" s="654" t="str">
        <f t="shared" ref="Q340:S340" si="346">+F340</f>
        <v>7-Dépenses</v>
      </c>
      <c r="R340" s="653" t="str">
        <f t="shared" si="346"/>
        <v>6147</v>
      </c>
      <c r="S340" s="654">
        <f t="shared" si="346"/>
        <v>0</v>
      </c>
      <c r="T340" s="656" t="str">
        <f>+VLOOKUP($L340,Data_Validation!$A:$D,1,0)</f>
        <v>6247</v>
      </c>
      <c r="U340" s="656" t="str">
        <f>+VLOOKUP($L340,Data_Validation!$A:$D,3,0)</f>
        <v>Véhicules usagés</v>
      </c>
      <c r="V340" s="656" t="str">
        <f>+VLOOKUP($L340,Data_Validation!$A:$D,4,0)</f>
        <v>Frais postaux</v>
      </c>
      <c r="W340" s="656" t="str">
        <f>+VLOOKUP($L340,Data_Validation!$A:$E,5,0)</f>
        <v>$</v>
      </c>
      <c r="X340" s="656">
        <f>+VLOOKUP($L340,Data_Validation!$A:$F,6,0)</f>
        <v>0</v>
      </c>
    </row>
    <row r="341" spans="1:24" ht="15" customHeight="1">
      <c r="A341" s="1052" t="s">
        <v>1197</v>
      </c>
      <c r="B341" s="1052" t="s">
        <v>2388</v>
      </c>
      <c r="C341" s="1054">
        <v>32409.72</v>
      </c>
      <c r="D341" s="1054">
        <v>3407.82</v>
      </c>
      <c r="E341" s="1054">
        <v>35817.54</v>
      </c>
      <c r="F341" s="1052" t="s">
        <v>1154</v>
      </c>
      <c r="G341" s="1052" t="s">
        <v>1198</v>
      </c>
      <c r="H341" s="1029"/>
      <c r="I341" s="1032"/>
      <c r="J341" s="1032"/>
      <c r="K341" s="1032"/>
      <c r="L341" s="653" t="str">
        <f t="shared" si="328"/>
        <v>6251</v>
      </c>
      <c r="M341" s="654" t="str">
        <f t="shared" si="260"/>
        <v>DEP. DU TRAITEMENT DES DONNEES</v>
      </c>
      <c r="N341" s="655">
        <f>+IF(OR($Q341=Parametres!$G$2,$Q341=Parametres!$G$3),I341,C341)</f>
        <v>32409.72</v>
      </c>
      <c r="O341" s="655">
        <f>+IF(OR($Q341=Parametres!$G$2,$Q341=Parametres!$G$3),J341,D341)</f>
        <v>3407.82</v>
      </c>
      <c r="P341" s="655">
        <f>+IF(OR($Q341=Parametres!$G$2,$Q341=Parametres!$G$3),K341,E341)</f>
        <v>35817.54</v>
      </c>
      <c r="Q341" s="654" t="str">
        <f t="shared" ref="Q341:S341" si="347">+F341</f>
        <v>7-Dépenses</v>
      </c>
      <c r="R341" s="653" t="str">
        <f t="shared" si="347"/>
        <v>6151</v>
      </c>
      <c r="S341" s="654">
        <f t="shared" si="347"/>
        <v>0</v>
      </c>
      <c r="T341" s="656" t="str">
        <f>+VLOOKUP($L341,Data_Validation!$A:$D,1,0)</f>
        <v>6251</v>
      </c>
      <c r="U341" s="656" t="str">
        <f>+VLOOKUP($L341,Data_Validation!$A:$D,3,0)</f>
        <v>Véhicules usagés</v>
      </c>
      <c r="V341" s="656" t="str">
        <f>+VLOOKUP($L341,Data_Validation!$A:$D,4,0)</f>
        <v>Informatique</v>
      </c>
      <c r="W341" s="656" t="str">
        <f>+VLOOKUP($L341,Data_Validation!$A:$E,5,0)</f>
        <v>$</v>
      </c>
      <c r="X341" s="656">
        <f>+VLOOKUP($L341,Data_Validation!$A:$F,6,0)</f>
        <v>0</v>
      </c>
    </row>
    <row r="342" spans="1:24" ht="15" customHeight="1">
      <c r="A342" s="1052" t="s">
        <v>1199</v>
      </c>
      <c r="B342" s="1052" t="s">
        <v>2391</v>
      </c>
      <c r="C342" s="1054">
        <v>2868.84</v>
      </c>
      <c r="D342" s="1054">
        <v>353.27</v>
      </c>
      <c r="E342" s="1054">
        <v>3222.11</v>
      </c>
      <c r="F342" s="1052" t="s">
        <v>1154</v>
      </c>
      <c r="G342" s="1052" t="s">
        <v>1200</v>
      </c>
      <c r="H342" s="1029"/>
      <c r="I342" s="1032"/>
      <c r="J342" s="1032"/>
      <c r="K342" s="1032"/>
      <c r="L342" s="653" t="str">
        <f t="shared" si="328"/>
        <v>6252</v>
      </c>
      <c r="M342" s="654" t="str">
        <f t="shared" si="260"/>
        <v>PAPETERIE</v>
      </c>
      <c r="N342" s="655">
        <f>+IF(OR($Q342=Parametres!$G$2,$Q342=Parametres!$G$3),I342,C342)</f>
        <v>2868.84</v>
      </c>
      <c r="O342" s="655">
        <f>+IF(OR($Q342=Parametres!$G$2,$Q342=Parametres!$G$3),J342,D342)</f>
        <v>353.27</v>
      </c>
      <c r="P342" s="655">
        <f>+IF(OR($Q342=Parametres!$G$2,$Q342=Parametres!$G$3),K342,E342)</f>
        <v>3222.11</v>
      </c>
      <c r="Q342" s="654" t="str">
        <f t="shared" ref="Q342:S342" si="348">+F342</f>
        <v>7-Dépenses</v>
      </c>
      <c r="R342" s="653" t="str">
        <f t="shared" si="348"/>
        <v>6152</v>
      </c>
      <c r="S342" s="654">
        <f t="shared" si="348"/>
        <v>0</v>
      </c>
      <c r="T342" s="656" t="str">
        <f>+VLOOKUP($L342,Data_Validation!$A:$D,1,0)</f>
        <v>6252</v>
      </c>
      <c r="U342" s="656" t="str">
        <f>+VLOOKUP($L342,Data_Validation!$A:$D,3,0)</f>
        <v>Véhicules usagés</v>
      </c>
      <c r="V342" s="656" t="str">
        <f>+VLOOKUP($L342,Data_Validation!$A:$D,4,0)</f>
        <v>Papeterie</v>
      </c>
      <c r="W342" s="656" t="str">
        <f>+VLOOKUP($L342,Data_Validation!$A:$E,5,0)</f>
        <v>$</v>
      </c>
      <c r="X342" s="656">
        <f>+VLOOKUP($L342,Data_Validation!$A:$F,6,0)</f>
        <v>0</v>
      </c>
    </row>
    <row r="343" spans="1:24" ht="15.75" customHeight="1">
      <c r="A343" s="1052" t="s">
        <v>1201</v>
      </c>
      <c r="B343" s="1052" t="s">
        <v>2394</v>
      </c>
      <c r="C343" s="1054">
        <v>562.15</v>
      </c>
      <c r="D343" s="1054">
        <v>109.4</v>
      </c>
      <c r="E343" s="1054">
        <v>671.55</v>
      </c>
      <c r="F343" s="1052" t="s">
        <v>1154</v>
      </c>
      <c r="G343" s="1052" t="s">
        <v>1202</v>
      </c>
      <c r="H343" s="1029"/>
      <c r="I343" s="1032"/>
      <c r="J343" s="1032"/>
      <c r="K343" s="1032"/>
      <c r="L343" s="653" t="str">
        <f t="shared" si="328"/>
        <v>6253</v>
      </c>
      <c r="M343" s="654" t="str">
        <f t="shared" si="260"/>
        <v>TELEPHONE ET TELEX</v>
      </c>
      <c r="N343" s="655">
        <f>+IF(OR($Q343=Parametres!$G$2,$Q343=Parametres!$G$3),I343,C343)</f>
        <v>562.15</v>
      </c>
      <c r="O343" s="655">
        <f>+IF(OR($Q343=Parametres!$G$2,$Q343=Parametres!$G$3),J343,D343)</f>
        <v>109.4</v>
      </c>
      <c r="P343" s="655">
        <f>+IF(OR($Q343=Parametres!$G$2,$Q343=Parametres!$G$3),K343,E343)</f>
        <v>671.55</v>
      </c>
      <c r="Q343" s="654" t="str">
        <f t="shared" ref="Q343:S343" si="349">+F343</f>
        <v>7-Dépenses</v>
      </c>
      <c r="R343" s="653" t="str">
        <f t="shared" si="349"/>
        <v>6153</v>
      </c>
      <c r="S343" s="654">
        <f t="shared" si="349"/>
        <v>0</v>
      </c>
      <c r="T343" s="656" t="str">
        <f>+VLOOKUP($L343,Data_Validation!$A:$D,1,0)</f>
        <v>6253</v>
      </c>
      <c r="U343" s="656" t="str">
        <f>+VLOOKUP($L343,Data_Validation!$A:$D,3,0)</f>
        <v>Véhicules usagés</v>
      </c>
      <c r="V343" s="656" t="str">
        <f>+VLOOKUP($L343,Data_Validation!$A:$D,4,0)</f>
        <v>Téléphone</v>
      </c>
      <c r="W343" s="656" t="str">
        <f>+VLOOKUP($L343,Data_Validation!$A:$E,5,0)</f>
        <v>$</v>
      </c>
      <c r="X343" s="656">
        <f>+VLOOKUP($L343,Data_Validation!$A:$F,6,0)</f>
        <v>0</v>
      </c>
    </row>
    <row r="344" spans="1:24" ht="15" customHeight="1">
      <c r="A344" s="1052" t="s">
        <v>1203</v>
      </c>
      <c r="B344" s="1052" t="s">
        <v>2397</v>
      </c>
      <c r="C344" s="1054">
        <v>1099.24</v>
      </c>
      <c r="D344" s="1054">
        <v>-1.41</v>
      </c>
      <c r="E344" s="1054">
        <v>1097.83</v>
      </c>
      <c r="F344" s="1052" t="s">
        <v>1154</v>
      </c>
      <c r="G344" s="1052" t="s">
        <v>1204</v>
      </c>
      <c r="H344" s="1029"/>
      <c r="I344" s="1032"/>
      <c r="J344" s="1032"/>
      <c r="K344" s="1032"/>
      <c r="L344" s="653" t="str">
        <f t="shared" si="328"/>
        <v>6255</v>
      </c>
      <c r="M344" s="654" t="str">
        <f t="shared" si="260"/>
        <v>DEPENSES DIVERS</v>
      </c>
      <c r="N344" s="655">
        <f>+IF(OR($Q344=Parametres!$G$2,$Q344=Parametres!$G$3),I344,C344)</f>
        <v>1099.24</v>
      </c>
      <c r="O344" s="655">
        <f>+IF(OR($Q344=Parametres!$G$2,$Q344=Parametres!$G$3),J344,D344)</f>
        <v>-1.41</v>
      </c>
      <c r="P344" s="655">
        <f>+IF(OR($Q344=Parametres!$G$2,$Q344=Parametres!$G$3),K344,E344)</f>
        <v>1097.83</v>
      </c>
      <c r="Q344" s="654" t="str">
        <f t="shared" ref="Q344:S344" si="350">+F344</f>
        <v>7-Dépenses</v>
      </c>
      <c r="R344" s="653" t="str">
        <f t="shared" si="350"/>
        <v>6155</v>
      </c>
      <c r="S344" s="654">
        <f t="shared" si="350"/>
        <v>0</v>
      </c>
      <c r="T344" s="656" t="str">
        <f>+VLOOKUP($L344,Data_Validation!$A:$D,1,0)</f>
        <v>6255</v>
      </c>
      <c r="U344" s="656" t="str">
        <f>+VLOOKUP($L344,Data_Validation!$A:$D,3,0)</f>
        <v>Véhicules usagés</v>
      </c>
      <c r="V344" s="656" t="str">
        <f>+VLOOKUP($L344,Data_Validation!$A:$D,4,0)</f>
        <v>Divers</v>
      </c>
      <c r="W344" s="656" t="str">
        <f>+VLOOKUP($L344,Data_Validation!$A:$E,5,0)</f>
        <v>$</v>
      </c>
      <c r="X344" s="656">
        <f>+VLOOKUP($L344,Data_Validation!$A:$F,6,0)</f>
        <v>0</v>
      </c>
    </row>
    <row r="345" spans="1:24" ht="15" customHeight="1">
      <c r="A345" s="1052" t="s">
        <v>1232</v>
      </c>
      <c r="B345" s="1052" t="s">
        <v>2400</v>
      </c>
      <c r="C345" s="1054">
        <v>4273.12</v>
      </c>
      <c r="D345" s="1054">
        <v>456.83</v>
      </c>
      <c r="E345" s="1054">
        <v>4729.95</v>
      </c>
      <c r="F345" s="1052" t="s">
        <v>1154</v>
      </c>
      <c r="G345" s="1052" t="s">
        <v>1206</v>
      </c>
      <c r="H345" s="1029"/>
      <c r="I345" s="1032"/>
      <c r="J345" s="1032"/>
      <c r="K345" s="1032"/>
      <c r="L345" s="653" t="str">
        <f t="shared" si="328"/>
        <v>6256</v>
      </c>
      <c r="M345" s="654" t="str">
        <f t="shared" si="260"/>
        <v>FRAIS REPRESENTATION - USAGE</v>
      </c>
      <c r="N345" s="655">
        <f>+IF(OR($Q345=Parametres!$G$2,$Q345=Parametres!$G$3),I345,C345)</f>
        <v>4273.12</v>
      </c>
      <c r="O345" s="655">
        <f>+IF(OR($Q345=Parametres!$G$2,$Q345=Parametres!$G$3),J345,D345)</f>
        <v>456.83</v>
      </c>
      <c r="P345" s="655">
        <f>+IF(OR($Q345=Parametres!$G$2,$Q345=Parametres!$G$3),K345,E345)</f>
        <v>4729.95</v>
      </c>
      <c r="Q345" s="654" t="str">
        <f t="shared" ref="Q345:S345" si="351">+F345</f>
        <v>7-Dépenses</v>
      </c>
      <c r="R345" s="653" t="str">
        <f t="shared" si="351"/>
        <v>6156</v>
      </c>
      <c r="S345" s="654">
        <f t="shared" si="351"/>
        <v>0</v>
      </c>
      <c r="T345" s="656" t="str">
        <f>+VLOOKUP($L345,Data_Validation!$A:$D,1,0)</f>
        <v>6256</v>
      </c>
      <c r="U345" s="656" t="str">
        <f>+VLOOKUP($L345,Data_Validation!$A:$D,3,0)</f>
        <v>Véhicules usagés</v>
      </c>
      <c r="V345" s="656" t="str">
        <f>+VLOOKUP($L345,Data_Validation!$A:$D,4,0)</f>
        <v>Frais de déplacement</v>
      </c>
      <c r="W345" s="656" t="str">
        <f>+VLOOKUP($L345,Data_Validation!$A:$E,5,0)</f>
        <v>$</v>
      </c>
      <c r="X345" s="656">
        <f>+VLOOKUP($L345,Data_Validation!$A:$F,6,0)</f>
        <v>0</v>
      </c>
    </row>
    <row r="346" spans="1:24" ht="15" customHeight="1">
      <c r="A346" s="1052" t="s">
        <v>1233</v>
      </c>
      <c r="B346" s="1052" t="s">
        <v>3391</v>
      </c>
      <c r="C346" s="1054">
        <v>13171.01</v>
      </c>
      <c r="D346" s="1054">
        <v>-3375.5</v>
      </c>
      <c r="E346" s="1054">
        <v>9795.51</v>
      </c>
      <c r="F346" s="1052" t="s">
        <v>1154</v>
      </c>
      <c r="G346" s="1052" t="s">
        <v>1234</v>
      </c>
      <c r="H346" s="1029"/>
      <c r="I346" s="1032"/>
      <c r="J346" s="1032"/>
      <c r="K346" s="1032"/>
      <c r="L346" s="653" t="str">
        <f t="shared" si="328"/>
        <v>6257</v>
      </c>
      <c r="M346" s="654" t="str">
        <f t="shared" si="260"/>
        <v>FRAIS BANCAIRES - USAGE</v>
      </c>
      <c r="N346" s="655">
        <f>+IF(OR($Q346=Parametres!$G$2,$Q346=Parametres!$G$3),I346,C346)</f>
        <v>13171.01</v>
      </c>
      <c r="O346" s="655">
        <f>+IF(OR($Q346=Parametres!$G$2,$Q346=Parametres!$G$3),J346,D346)</f>
        <v>-3375.5</v>
      </c>
      <c r="P346" s="655">
        <f>+IF(OR($Q346=Parametres!$G$2,$Q346=Parametres!$G$3),K346,E346)</f>
        <v>9795.51</v>
      </c>
      <c r="Q346" s="654" t="str">
        <f t="shared" ref="Q346:S346" si="352">+F346</f>
        <v>7-Dépenses</v>
      </c>
      <c r="R346" s="653" t="str">
        <f t="shared" si="352"/>
        <v>625</v>
      </c>
      <c r="S346" s="654">
        <f t="shared" si="352"/>
        <v>0</v>
      </c>
      <c r="T346" s="656" t="str">
        <f>+VLOOKUP($L346,Data_Validation!$A:$D,1,0)</f>
        <v>6257</v>
      </c>
      <c r="U346" s="656" t="str">
        <f>+VLOOKUP($L346,Data_Validation!$A:$D,3,0)</f>
        <v>Véhicules usagés</v>
      </c>
      <c r="V346" s="656" t="str">
        <f>+VLOOKUP($L346,Data_Validation!$A:$D,4,0)</f>
        <v>Frais bancaires</v>
      </c>
      <c r="W346" s="656" t="str">
        <f>+VLOOKUP($L346,Data_Validation!$A:$E,5,0)</f>
        <v>$</v>
      </c>
      <c r="X346" s="656">
        <f>+VLOOKUP($L346,Data_Validation!$A:$F,6,0)</f>
        <v>0</v>
      </c>
    </row>
    <row r="347" spans="1:24" ht="15.75" customHeight="1">
      <c r="A347" s="1052" t="s">
        <v>1209</v>
      </c>
      <c r="B347" s="1052" t="s">
        <v>2403</v>
      </c>
      <c r="C347" s="1054">
        <v>11775.24</v>
      </c>
      <c r="D347" s="1054">
        <v>923.2</v>
      </c>
      <c r="E347" s="1054">
        <v>12698.44</v>
      </c>
      <c r="F347" s="1052" t="s">
        <v>1154</v>
      </c>
      <c r="G347" s="1052" t="s">
        <v>1210</v>
      </c>
      <c r="H347" s="1029"/>
      <c r="I347" s="1032"/>
      <c r="J347" s="1032"/>
      <c r="K347" s="1032"/>
      <c r="L347" s="653" t="str">
        <f t="shared" si="328"/>
        <v>6259</v>
      </c>
      <c r="M347" s="654" t="str">
        <f t="shared" si="260"/>
        <v>SERVICE EXTERIEUR</v>
      </c>
      <c r="N347" s="655">
        <f>+IF(OR($Q347=Parametres!$G$2,$Q347=Parametres!$G$3),I347,C347)</f>
        <v>11775.24</v>
      </c>
      <c r="O347" s="655">
        <f>+IF(OR($Q347=Parametres!$G$2,$Q347=Parametres!$G$3),J347,D347)</f>
        <v>923.2</v>
      </c>
      <c r="P347" s="655">
        <f>+IF(OR($Q347=Parametres!$G$2,$Q347=Parametres!$G$3),K347,E347)</f>
        <v>12698.44</v>
      </c>
      <c r="Q347" s="654" t="str">
        <f t="shared" ref="Q347:S347" si="353">+F347</f>
        <v>7-Dépenses</v>
      </c>
      <c r="R347" s="653" t="str">
        <f t="shared" si="353"/>
        <v>6159</v>
      </c>
      <c r="S347" s="654">
        <f t="shared" si="353"/>
        <v>0</v>
      </c>
      <c r="T347" s="656" t="str">
        <f>+VLOOKUP($L347,Data_Validation!$A:$D,1,0)</f>
        <v>6259</v>
      </c>
      <c r="U347" s="656" t="str">
        <f>+VLOOKUP($L347,Data_Validation!$A:$D,3,0)</f>
        <v>Véhicules usagés</v>
      </c>
      <c r="V347" s="656" t="str">
        <f>+VLOOKUP($L347,Data_Validation!$A:$D,4,0)</f>
        <v>Services extérieurs</v>
      </c>
      <c r="W347" s="656" t="str">
        <f>+VLOOKUP($L347,Data_Validation!$A:$E,5,0)</f>
        <v>$</v>
      </c>
      <c r="X347" s="656">
        <f>+VLOOKUP($L347,Data_Validation!$A:$F,6,0)</f>
        <v>0</v>
      </c>
    </row>
    <row r="348" spans="1:24" ht="15" customHeight="1">
      <c r="A348" s="1052" t="s">
        <v>1211</v>
      </c>
      <c r="B348" s="1052" t="s">
        <v>2406</v>
      </c>
      <c r="C348" s="1054">
        <v>5695.14</v>
      </c>
      <c r="D348" s="1054">
        <v>517.74</v>
      </c>
      <c r="E348" s="1054">
        <v>6212.88</v>
      </c>
      <c r="F348" s="1052" t="s">
        <v>1154</v>
      </c>
      <c r="G348" s="1052" t="s">
        <v>1212</v>
      </c>
      <c r="H348" s="1029"/>
      <c r="I348" s="1032"/>
      <c r="J348" s="1032"/>
      <c r="K348" s="1032"/>
      <c r="L348" s="653" t="str">
        <f t="shared" si="328"/>
        <v>6261</v>
      </c>
      <c r="M348" s="654" t="str">
        <f t="shared" si="260"/>
        <v>DEPRECIATION EQUIP. &amp; FIXTURES</v>
      </c>
      <c r="N348" s="655">
        <f>+IF(OR($Q348=Parametres!$G$2,$Q348=Parametres!$G$3),I348,C348)</f>
        <v>5695.14</v>
      </c>
      <c r="O348" s="655">
        <f>+IF(OR($Q348=Parametres!$G$2,$Q348=Parametres!$G$3),J348,D348)</f>
        <v>517.74</v>
      </c>
      <c r="P348" s="655">
        <f>+IF(OR($Q348=Parametres!$G$2,$Q348=Parametres!$G$3),K348,E348)</f>
        <v>6212.88</v>
      </c>
      <c r="Q348" s="654" t="str">
        <f t="shared" ref="Q348:S348" si="354">+F348</f>
        <v>7-Dépenses</v>
      </c>
      <c r="R348" s="653" t="str">
        <f t="shared" si="354"/>
        <v>6161</v>
      </c>
      <c r="S348" s="654">
        <f t="shared" si="354"/>
        <v>0</v>
      </c>
      <c r="T348" s="656" t="str">
        <f>+VLOOKUP($L348,Data_Validation!$A:$D,1,0)</f>
        <v>6261</v>
      </c>
      <c r="U348" s="656" t="str">
        <f>+VLOOKUP($L348,Data_Validation!$A:$D,3,0)</f>
        <v>Véhicules usagés</v>
      </c>
      <c r="V348" s="656" t="str">
        <f>+VLOOKUP($L348,Data_Validation!$A:$D,4,0)</f>
        <v>Amortissement</v>
      </c>
      <c r="W348" s="656" t="str">
        <f>+VLOOKUP($L348,Data_Validation!$A:$E,5,0)</f>
        <v>$</v>
      </c>
      <c r="X348" s="656">
        <f>+VLOOKUP($L348,Data_Validation!$A:$F,6,0)</f>
        <v>0</v>
      </c>
    </row>
    <row r="349" spans="1:24" ht="15" customHeight="1">
      <c r="A349" s="1052" t="s">
        <v>1235</v>
      </c>
      <c r="B349" s="1052" t="s">
        <v>2412</v>
      </c>
      <c r="C349" s="1054">
        <v>3339.93</v>
      </c>
      <c r="D349" s="1054">
        <v>111.7</v>
      </c>
      <c r="E349" s="1054">
        <v>3451.63</v>
      </c>
      <c r="F349" s="1052" t="s">
        <v>1154</v>
      </c>
      <c r="G349" s="1052" t="s">
        <v>1214</v>
      </c>
      <c r="H349" s="1029"/>
      <c r="I349" s="1032"/>
      <c r="J349" s="1032"/>
      <c r="K349" s="1032"/>
      <c r="L349" s="653" t="str">
        <f t="shared" si="328"/>
        <v>6281</v>
      </c>
      <c r="M349" s="654" t="str">
        <f t="shared" si="260"/>
        <v>CHAUFFAGE,ELECTRICITE,EAU-USAGE</v>
      </c>
      <c r="N349" s="655">
        <f>+IF(OR($Q349=Parametres!$G$2,$Q349=Parametres!$G$3),I349,C349)</f>
        <v>3339.93</v>
      </c>
      <c r="O349" s="655">
        <f>+IF(OR($Q349=Parametres!$G$2,$Q349=Parametres!$G$3),J349,D349)</f>
        <v>111.7</v>
      </c>
      <c r="P349" s="655">
        <f>+IF(OR($Q349=Parametres!$G$2,$Q349=Parametres!$G$3),K349,E349)</f>
        <v>3451.63</v>
      </c>
      <c r="Q349" s="654" t="str">
        <f t="shared" ref="Q349:S349" si="355">+F349</f>
        <v>7-Dépenses</v>
      </c>
      <c r="R349" s="653" t="str">
        <f t="shared" si="355"/>
        <v>6181</v>
      </c>
      <c r="S349" s="654">
        <f t="shared" si="355"/>
        <v>0</v>
      </c>
      <c r="T349" s="656" t="str">
        <f>+VLOOKUP($L349,Data_Validation!$A:$D,1,0)</f>
        <v>6281</v>
      </c>
      <c r="U349" s="656" t="str">
        <f>+VLOOKUP($L349,Data_Validation!$A:$D,3,0)</f>
        <v>Véhicules usagés</v>
      </c>
      <c r="V349" s="656" t="str">
        <f>+VLOOKUP($L349,Data_Validation!$A:$D,4,0)</f>
        <v>Chauffage, éclairage</v>
      </c>
      <c r="W349" s="656" t="str">
        <f>+VLOOKUP($L349,Data_Validation!$A:$E,5,0)</f>
        <v>$</v>
      </c>
      <c r="X349" s="656">
        <f>+VLOOKUP($L349,Data_Validation!$A:$F,6,0)</f>
        <v>0</v>
      </c>
    </row>
    <row r="350" spans="1:24" ht="15" customHeight="1">
      <c r="A350" s="1052" t="s">
        <v>1236</v>
      </c>
      <c r="B350" s="1052" t="s">
        <v>2415</v>
      </c>
      <c r="C350" s="1054">
        <v>34320</v>
      </c>
      <c r="D350" s="1054">
        <v>3120</v>
      </c>
      <c r="E350" s="1054">
        <v>37440</v>
      </c>
      <c r="F350" s="1052" t="s">
        <v>1154</v>
      </c>
      <c r="G350" s="1052" t="s">
        <v>1216</v>
      </c>
      <c r="H350" s="1029"/>
      <c r="I350" s="1032"/>
      <c r="J350" s="1032"/>
      <c r="K350" s="1032"/>
      <c r="L350" s="653" t="str">
        <f t="shared" si="328"/>
        <v>6282</v>
      </c>
      <c r="M350" s="654" t="str">
        <f t="shared" si="260"/>
        <v>LOYER - USAGE</v>
      </c>
      <c r="N350" s="655">
        <f>+IF(OR($Q350=Parametres!$G$2,$Q350=Parametres!$G$3),I350,C350)</f>
        <v>34320</v>
      </c>
      <c r="O350" s="655">
        <f>+IF(OR($Q350=Parametres!$G$2,$Q350=Parametres!$G$3),J350,D350)</f>
        <v>3120</v>
      </c>
      <c r="P350" s="655">
        <f>+IF(OR($Q350=Parametres!$G$2,$Q350=Parametres!$G$3),K350,E350)</f>
        <v>37440</v>
      </c>
      <c r="Q350" s="654" t="str">
        <f t="shared" ref="Q350:S350" si="356">+F350</f>
        <v>7-Dépenses</v>
      </c>
      <c r="R350" s="653" t="str">
        <f t="shared" si="356"/>
        <v>6182</v>
      </c>
      <c r="S350" s="654">
        <f t="shared" si="356"/>
        <v>0</v>
      </c>
      <c r="T350" s="656" t="str">
        <f>+VLOOKUP($L350,Data_Validation!$A:$D,1,0)</f>
        <v>6282</v>
      </c>
      <c r="U350" s="656" t="str">
        <f>+VLOOKUP($L350,Data_Validation!$A:$D,3,0)</f>
        <v>Véhicules usagés</v>
      </c>
      <c r="V350" s="656" t="str">
        <f>+VLOOKUP($L350,Data_Validation!$A:$D,4,0)</f>
        <v>Loyer</v>
      </c>
      <c r="W350" s="656" t="str">
        <f>+VLOOKUP($L350,Data_Validation!$A:$E,5,0)</f>
        <v>$</v>
      </c>
      <c r="X350" s="656">
        <f>+VLOOKUP($L350,Data_Validation!$A:$F,6,0)</f>
        <v>0</v>
      </c>
    </row>
    <row r="351" spans="1:24" ht="15" customHeight="1">
      <c r="A351" s="1052" t="s">
        <v>1237</v>
      </c>
      <c r="B351" s="1052" t="s">
        <v>2418</v>
      </c>
      <c r="C351" s="1054">
        <v>5637.72</v>
      </c>
      <c r="D351" s="1054">
        <v>512.52</v>
      </c>
      <c r="E351" s="1054">
        <v>6150.24</v>
      </c>
      <c r="F351" s="1052" t="s">
        <v>1154</v>
      </c>
      <c r="G351" s="1052" t="s">
        <v>1218</v>
      </c>
      <c r="H351" s="1029"/>
      <c r="I351" s="1032"/>
      <c r="J351" s="1032"/>
      <c r="K351" s="1032"/>
      <c r="L351" s="653" t="str">
        <f t="shared" si="328"/>
        <v>6286</v>
      </c>
      <c r="M351" s="654" t="str">
        <f t="shared" si="260"/>
        <v>ASSURANCE BATISSE &amp; AMEL.-USAGE</v>
      </c>
      <c r="N351" s="655">
        <f>+IF(OR($Q351=Parametres!$G$2,$Q351=Parametres!$G$3),I351,C351)</f>
        <v>5637.72</v>
      </c>
      <c r="O351" s="655">
        <f>+IF(OR($Q351=Parametres!$G$2,$Q351=Parametres!$G$3),J351,D351)</f>
        <v>512.52</v>
      </c>
      <c r="P351" s="655">
        <f>+IF(OR($Q351=Parametres!$G$2,$Q351=Parametres!$G$3),K351,E351)</f>
        <v>6150.24</v>
      </c>
      <c r="Q351" s="654" t="str">
        <f t="shared" ref="Q351:S351" si="357">+F351</f>
        <v>7-Dépenses</v>
      </c>
      <c r="R351" s="653" t="str">
        <f t="shared" si="357"/>
        <v>6186</v>
      </c>
      <c r="S351" s="654">
        <f t="shared" si="357"/>
        <v>0</v>
      </c>
      <c r="T351" s="656" t="str">
        <f>+VLOOKUP($L351,Data_Validation!$A:$D,1,0)</f>
        <v>6286</v>
      </c>
      <c r="U351" s="656" t="str">
        <f>+VLOOKUP($L351,Data_Validation!$A:$D,3,0)</f>
        <v>Véhicules usagés</v>
      </c>
      <c r="V351" s="656" t="str">
        <f>+VLOOKUP($L351,Data_Validation!$A:$D,4,0)</f>
        <v>Assurances</v>
      </c>
      <c r="W351" s="656" t="str">
        <f>+VLOOKUP($L351,Data_Validation!$A:$E,5,0)</f>
        <v>$</v>
      </c>
      <c r="X351" s="656">
        <f>+VLOOKUP($L351,Data_Validation!$A:$F,6,0)</f>
        <v>0</v>
      </c>
    </row>
    <row r="352" spans="1:24" ht="15.75" customHeight="1">
      <c r="A352" s="1052" t="s">
        <v>1238</v>
      </c>
      <c r="B352" s="1052" t="s">
        <v>2421</v>
      </c>
      <c r="C352" s="1054">
        <v>6507.6</v>
      </c>
      <c r="D352" s="1054">
        <v>198.72</v>
      </c>
      <c r="E352" s="1054">
        <v>6706.32</v>
      </c>
      <c r="F352" s="1052" t="s">
        <v>1154</v>
      </c>
      <c r="G352" s="1052" t="s">
        <v>1220</v>
      </c>
      <c r="H352" s="1029"/>
      <c r="I352" s="1032"/>
      <c r="J352" s="1032"/>
      <c r="K352" s="1032"/>
      <c r="L352" s="653" t="str">
        <f t="shared" si="328"/>
        <v>6287</v>
      </c>
      <c r="M352" s="654" t="str">
        <f t="shared" si="260"/>
        <v>TAXES FONCIERES - USAGE</v>
      </c>
      <c r="N352" s="655">
        <f>+IF(OR($Q352=Parametres!$G$2,$Q352=Parametres!$G$3),I352,C352)</f>
        <v>6507.6</v>
      </c>
      <c r="O352" s="655">
        <f>+IF(OR($Q352=Parametres!$G$2,$Q352=Parametres!$G$3),J352,D352)</f>
        <v>198.72</v>
      </c>
      <c r="P352" s="655">
        <f>+IF(OR($Q352=Parametres!$G$2,$Q352=Parametres!$G$3),K352,E352)</f>
        <v>6706.32</v>
      </c>
      <c r="Q352" s="654" t="str">
        <f t="shared" ref="Q352:S352" si="358">+F352</f>
        <v>7-Dépenses</v>
      </c>
      <c r="R352" s="653" t="str">
        <f t="shared" si="358"/>
        <v>6187</v>
      </c>
      <c r="S352" s="654">
        <f t="shared" si="358"/>
        <v>0</v>
      </c>
      <c r="T352" s="656" t="str">
        <f>+VLOOKUP($L352,Data_Validation!$A:$D,1,0)</f>
        <v>6287</v>
      </c>
      <c r="U352" s="656" t="str">
        <f>+VLOOKUP($L352,Data_Validation!$A:$D,3,0)</f>
        <v>Véhicules usagés</v>
      </c>
      <c r="V352" s="656" t="str">
        <f>+VLOOKUP($L352,Data_Validation!$A:$D,4,0)</f>
        <v>Taxes foncières</v>
      </c>
      <c r="W352" s="656" t="str">
        <f>+VLOOKUP($L352,Data_Validation!$A:$E,5,0)</f>
        <v>$</v>
      </c>
      <c r="X352" s="656">
        <f>+VLOOKUP($L352,Data_Validation!$A:$F,6,0)</f>
        <v>0</v>
      </c>
    </row>
    <row r="353" spans="1:24" ht="15" customHeight="1">
      <c r="A353" s="1052" t="s">
        <v>1239</v>
      </c>
      <c r="B353" s="1052" t="s">
        <v>2424</v>
      </c>
      <c r="C353" s="1054">
        <v>4329.6000000000004</v>
      </c>
      <c r="D353" s="1054">
        <v>393.6</v>
      </c>
      <c r="E353" s="1054">
        <v>4723.2</v>
      </c>
      <c r="F353" s="1052" t="s">
        <v>1154</v>
      </c>
      <c r="G353" s="1052" t="s">
        <v>1222</v>
      </c>
      <c r="H353" s="1029"/>
      <c r="I353" s="1032"/>
      <c r="J353" s="1032"/>
      <c r="K353" s="1032"/>
      <c r="L353" s="653" t="str">
        <f t="shared" si="328"/>
        <v>6293</v>
      </c>
      <c r="M353" s="654" t="str">
        <f t="shared" si="260"/>
        <v>AUTRE TAXES - USAGES</v>
      </c>
      <c r="N353" s="655">
        <f>+IF(OR($Q353=Parametres!$G$2,$Q353=Parametres!$G$3),I353,C353)</f>
        <v>4329.6000000000004</v>
      </c>
      <c r="O353" s="655">
        <f>+IF(OR($Q353=Parametres!$G$2,$Q353=Parametres!$G$3),J353,D353)</f>
        <v>393.6</v>
      </c>
      <c r="P353" s="655">
        <f>+IF(OR($Q353=Parametres!$G$2,$Q353=Parametres!$G$3),K353,E353)</f>
        <v>4723.2</v>
      </c>
      <c r="Q353" s="654" t="str">
        <f t="shared" ref="Q353:S353" si="359">+F353</f>
        <v>7-Dépenses</v>
      </c>
      <c r="R353" s="653" t="str">
        <f t="shared" si="359"/>
        <v>6193</v>
      </c>
      <c r="S353" s="654">
        <f t="shared" si="359"/>
        <v>0</v>
      </c>
      <c r="T353" s="656" t="str">
        <f>+VLOOKUP($L353,Data_Validation!$A:$D,1,0)</f>
        <v>6293</v>
      </c>
      <c r="U353" s="656" t="str">
        <f>+VLOOKUP($L353,Data_Validation!$A:$D,3,0)</f>
        <v>Véhicules usagés</v>
      </c>
      <c r="V353" s="656" t="str">
        <f>+VLOOKUP($L353,Data_Validation!$A:$D,4,0)</f>
        <v>Taxes d`affaires</v>
      </c>
      <c r="W353" s="656" t="str">
        <f>+VLOOKUP($L353,Data_Validation!$A:$E,5,0)</f>
        <v>$</v>
      </c>
      <c r="X353" s="656">
        <f>+VLOOKUP($L353,Data_Validation!$A:$F,6,0)</f>
        <v>0</v>
      </c>
    </row>
    <row r="354" spans="1:24" ht="15" customHeight="1">
      <c r="A354" s="1052" t="s">
        <v>1240</v>
      </c>
      <c r="B354" s="1052" t="s">
        <v>2427</v>
      </c>
      <c r="C354" s="1054">
        <v>8082.8</v>
      </c>
      <c r="D354" s="1054">
        <v>734.8</v>
      </c>
      <c r="E354" s="1054">
        <v>8817.6</v>
      </c>
      <c r="F354" s="1052" t="s">
        <v>1154</v>
      </c>
      <c r="G354" s="1052" t="s">
        <v>1224</v>
      </c>
      <c r="H354" s="1029"/>
      <c r="I354" s="1032"/>
      <c r="J354" s="1032"/>
      <c r="K354" s="1032"/>
      <c r="L354" s="653" t="str">
        <f t="shared" si="328"/>
        <v>6294</v>
      </c>
      <c r="M354" s="654" t="str">
        <f t="shared" si="260"/>
        <v>FRAIS PROFESSIONNEL-USAGE</v>
      </c>
      <c r="N354" s="655">
        <f>+IF(OR($Q354=Parametres!$G$2,$Q354=Parametres!$G$3),I354,C354)</f>
        <v>8082.8</v>
      </c>
      <c r="O354" s="655">
        <f>+IF(OR($Q354=Parametres!$G$2,$Q354=Parametres!$G$3),J354,D354)</f>
        <v>734.8</v>
      </c>
      <c r="P354" s="655">
        <f>+IF(OR($Q354=Parametres!$G$2,$Q354=Parametres!$G$3),K354,E354)</f>
        <v>8817.6</v>
      </c>
      <c r="Q354" s="654" t="str">
        <f t="shared" ref="Q354:S354" si="360">+F354</f>
        <v>7-Dépenses</v>
      </c>
      <c r="R354" s="653" t="str">
        <f t="shared" si="360"/>
        <v>6194</v>
      </c>
      <c r="S354" s="654">
        <f t="shared" si="360"/>
        <v>0</v>
      </c>
      <c r="T354" s="656" t="str">
        <f>+VLOOKUP($L354,Data_Validation!$A:$D,1,0)</f>
        <v>6294</v>
      </c>
      <c r="U354" s="656" t="str">
        <f>+VLOOKUP($L354,Data_Validation!$A:$D,3,0)</f>
        <v>Véhicules usagés</v>
      </c>
      <c r="V354" s="656" t="str">
        <f>+VLOOKUP($L354,Data_Validation!$A:$D,4,0)</f>
        <v>Honoraires</v>
      </c>
      <c r="W354" s="656" t="str">
        <f>+VLOOKUP($L354,Data_Validation!$A:$E,5,0)</f>
        <v>$</v>
      </c>
      <c r="X354" s="656">
        <f>+VLOOKUP($L354,Data_Validation!$A:$F,6,0)</f>
        <v>0</v>
      </c>
    </row>
    <row r="355" spans="1:24" ht="15" customHeight="1">
      <c r="A355" s="1052" t="s">
        <v>1241</v>
      </c>
      <c r="B355" s="1052" t="s">
        <v>2430</v>
      </c>
      <c r="C355" s="1054">
        <v>31136.54</v>
      </c>
      <c r="D355" s="1054">
        <v>3968.13</v>
      </c>
      <c r="E355" s="1054">
        <v>35104.67</v>
      </c>
      <c r="F355" s="1052" t="s">
        <v>1154</v>
      </c>
      <c r="G355" s="1052" t="s">
        <v>1242</v>
      </c>
      <c r="H355" s="1029"/>
      <c r="I355" s="1032"/>
      <c r="J355" s="1032"/>
      <c r="K355" s="1032"/>
      <c r="L355" s="653" t="str">
        <f t="shared" si="328"/>
        <v>6403</v>
      </c>
      <c r="M355" s="654" t="str">
        <f t="shared" si="260"/>
        <v>RELAT. A LA CLIENTELE &amp; AJUST</v>
      </c>
      <c r="N355" s="655">
        <f>+IF(OR($Q355=Parametres!$G$2,$Q355=Parametres!$G$3),I355,C355)</f>
        <v>31136.54</v>
      </c>
      <c r="O355" s="655">
        <f>+IF(OR($Q355=Parametres!$G$2,$Q355=Parametres!$G$3),J355,D355)</f>
        <v>3968.13</v>
      </c>
      <c r="P355" s="655">
        <f>+IF(OR($Q355=Parametres!$G$2,$Q355=Parametres!$G$3),K355,E355)</f>
        <v>35104.67</v>
      </c>
      <c r="Q355" s="654" t="str">
        <f t="shared" ref="Q355:S355" si="361">+F355</f>
        <v>7-Dépenses</v>
      </c>
      <c r="R355" s="653" t="str">
        <f t="shared" si="361"/>
        <v>6112</v>
      </c>
      <c r="S355" s="654">
        <f t="shared" si="361"/>
        <v>0</v>
      </c>
      <c r="T355" s="656" t="str">
        <f>+VLOOKUP($L355,Data_Validation!$A:$D,1,0)</f>
        <v>6403</v>
      </c>
      <c r="U355" s="656" t="str">
        <f>+VLOOKUP($L355,Data_Validation!$A:$D,3,0)</f>
        <v>Service</v>
      </c>
      <c r="V355" s="656" t="str">
        <f>+VLOOKUP($L355,Data_Validation!$A:$D,4,0)</f>
        <v>Service gratuit 2</v>
      </c>
      <c r="W355" s="656" t="str">
        <f>+VLOOKUP($L355,Data_Validation!$A:$E,5,0)</f>
        <v>$</v>
      </c>
      <c r="X355" s="656">
        <f>+VLOOKUP($L355,Data_Validation!$A:$F,6,0)</f>
        <v>0</v>
      </c>
    </row>
    <row r="356" spans="1:24" ht="15" customHeight="1">
      <c r="A356" s="1052" t="s">
        <v>1243</v>
      </c>
      <c r="B356" s="1052" t="s">
        <v>2433</v>
      </c>
      <c r="C356" s="1054">
        <v>701.93</v>
      </c>
      <c r="D356" s="1054">
        <v>-22.28</v>
      </c>
      <c r="E356" s="1054">
        <v>679.65</v>
      </c>
      <c r="F356" s="1052" t="s">
        <v>1154</v>
      </c>
      <c r="G356" s="1052" t="s">
        <v>1242</v>
      </c>
      <c r="H356" s="1029"/>
      <c r="I356" s="1032"/>
      <c r="J356" s="1032"/>
      <c r="K356" s="1032"/>
      <c r="L356" s="653" t="str">
        <f t="shared" si="328"/>
        <v>6412</v>
      </c>
      <c r="M356" s="654" t="str">
        <f t="shared" si="260"/>
        <v>AUTORISATION &amp; GAR./VEH. USA</v>
      </c>
      <c r="N356" s="655">
        <f>+IF(OR($Q356=Parametres!$G$2,$Q356=Parametres!$G$3),I356,C356)</f>
        <v>701.93</v>
      </c>
      <c r="O356" s="655">
        <f>+IF(OR($Q356=Parametres!$G$2,$Q356=Parametres!$G$3),J356,D356)</f>
        <v>-22.28</v>
      </c>
      <c r="P356" s="655">
        <f>+IF(OR($Q356=Parametres!$G$2,$Q356=Parametres!$G$3),K356,E356)</f>
        <v>679.65</v>
      </c>
      <c r="Q356" s="654" t="str">
        <f t="shared" ref="Q356:S356" si="362">+F356</f>
        <v>7-Dépenses</v>
      </c>
      <c r="R356" s="653" t="str">
        <f t="shared" si="362"/>
        <v>6112</v>
      </c>
      <c r="S356" s="654">
        <f t="shared" si="362"/>
        <v>0</v>
      </c>
      <c r="T356" s="656" t="str">
        <f>+VLOOKUP($L356,Data_Validation!$A:$D,1,0)</f>
        <v>6412</v>
      </c>
      <c r="U356" s="656" t="str">
        <f>+VLOOKUP($L356,Data_Validation!$A:$D,3,0)</f>
        <v>Service</v>
      </c>
      <c r="V356" s="656" t="str">
        <f>+VLOOKUP($L356,Data_Validation!$A:$D,4,0)</f>
        <v>Service gratuit 2</v>
      </c>
      <c r="W356" s="656" t="str">
        <f>+VLOOKUP($L356,Data_Validation!$A:$E,5,0)</f>
        <v>$</v>
      </c>
      <c r="X356" s="656">
        <f>+VLOOKUP($L356,Data_Validation!$A:$F,6,0)</f>
        <v>0</v>
      </c>
    </row>
    <row r="357" spans="1:24" ht="15" customHeight="1">
      <c r="A357" s="1052" t="s">
        <v>1166</v>
      </c>
      <c r="B357" s="1052" t="s">
        <v>2436</v>
      </c>
      <c r="C357" s="1054">
        <v>122101.18</v>
      </c>
      <c r="D357" s="1054">
        <v>10808.55</v>
      </c>
      <c r="E357" s="1054">
        <v>132909.73000000001</v>
      </c>
      <c r="F357" s="1052" t="s">
        <v>1154</v>
      </c>
      <c r="G357" s="1052" t="s">
        <v>1167</v>
      </c>
      <c r="H357" s="1029"/>
      <c r="I357" s="1032"/>
      <c r="J357" s="1032"/>
      <c r="K357" s="1032"/>
      <c r="L357" s="653" t="str">
        <f t="shared" si="328"/>
        <v>6414</v>
      </c>
      <c r="M357" s="654" t="str">
        <f t="shared" si="260"/>
        <v>PUBLICITE</v>
      </c>
      <c r="N357" s="655">
        <f>+IF(OR($Q357=Parametres!$G$2,$Q357=Parametres!$G$3),I357,C357)</f>
        <v>122101.18</v>
      </c>
      <c r="O357" s="655">
        <f>+IF(OR($Q357=Parametres!$G$2,$Q357=Parametres!$G$3),J357,D357)</f>
        <v>10808.55</v>
      </c>
      <c r="P357" s="655">
        <f>+IF(OR($Q357=Parametres!$G$2,$Q357=Parametres!$G$3),K357,E357)</f>
        <v>132909.73000000001</v>
      </c>
      <c r="Q357" s="654" t="str">
        <f t="shared" ref="Q357:S357" si="363">+F357</f>
        <v>7-Dépenses</v>
      </c>
      <c r="R357" s="653" t="str">
        <f t="shared" si="363"/>
        <v>6114</v>
      </c>
      <c r="S357" s="654">
        <f t="shared" si="363"/>
        <v>0</v>
      </c>
      <c r="T357" s="656" t="str">
        <f>+VLOOKUP($L357,Data_Validation!$A:$D,1,0)</f>
        <v>6414</v>
      </c>
      <c r="U357" s="656" t="str">
        <f>+VLOOKUP($L357,Data_Validation!$A:$D,3,0)</f>
        <v>Service</v>
      </c>
      <c r="V357" s="656" t="str">
        <f>+VLOOKUP($L357,Data_Validation!$A:$D,4,0)</f>
        <v>Publicité 2</v>
      </c>
      <c r="W357" s="656" t="str">
        <f>+VLOOKUP($L357,Data_Validation!$A:$E,5,0)</f>
        <v>$</v>
      </c>
      <c r="X357" s="656">
        <f>+VLOOKUP($L357,Data_Validation!$A:$F,6,0)</f>
        <v>0</v>
      </c>
    </row>
    <row r="358" spans="1:24" ht="15.75" customHeight="1">
      <c r="A358" s="1052" t="s">
        <v>1169</v>
      </c>
      <c r="B358" s="1052" t="s">
        <v>2439</v>
      </c>
      <c r="C358" s="1054">
        <v>40046.239999999998</v>
      </c>
      <c r="D358" s="1054">
        <v>4184.87</v>
      </c>
      <c r="E358" s="1054">
        <v>44231.11</v>
      </c>
      <c r="F358" s="1052" t="s">
        <v>1154</v>
      </c>
      <c r="G358" s="1052" t="s">
        <v>1170</v>
      </c>
      <c r="H358" s="1029"/>
      <c r="I358" s="1032"/>
      <c r="J358" s="1032"/>
      <c r="K358" s="1032"/>
      <c r="L358" s="653" t="str">
        <f t="shared" si="328"/>
        <v>6421</v>
      </c>
      <c r="M358" s="654" t="str">
        <f t="shared" si="260"/>
        <v>SALAIRES - PROPRIETAIRES</v>
      </c>
      <c r="N358" s="655">
        <f>+IF(OR($Q358=Parametres!$G$2,$Q358=Parametres!$G$3),I358,C358)</f>
        <v>40046.239999999998</v>
      </c>
      <c r="O358" s="655">
        <f>+IF(OR($Q358=Parametres!$G$2,$Q358=Parametres!$G$3),J358,D358)</f>
        <v>4184.87</v>
      </c>
      <c r="P358" s="655">
        <f>+IF(OR($Q358=Parametres!$G$2,$Q358=Parametres!$G$3),K358,E358)</f>
        <v>44231.11</v>
      </c>
      <c r="Q358" s="654" t="str">
        <f t="shared" ref="Q358:S358" si="364">+F358</f>
        <v>7-Dépenses</v>
      </c>
      <c r="R358" s="653" t="str">
        <f t="shared" si="364"/>
        <v>6121</v>
      </c>
      <c r="S358" s="654">
        <f t="shared" si="364"/>
        <v>0</v>
      </c>
      <c r="T358" s="656" t="str">
        <f>+VLOOKUP($L358,Data_Validation!$A:$D,1,0)</f>
        <v>6421</v>
      </c>
      <c r="U358" s="656" t="str">
        <f>+VLOOKUP($L358,Data_Validation!$A:$D,3,0)</f>
        <v>Service</v>
      </c>
      <c r="V358" s="656" t="str">
        <f>+VLOOKUP($L358,Data_Validation!$A:$D,4,0)</f>
        <v>Salaires propriétaire</v>
      </c>
      <c r="W358" s="656" t="str">
        <f>+VLOOKUP($L358,Data_Validation!$A:$E,5,0)</f>
        <v>$</v>
      </c>
      <c r="X358" s="656">
        <f>+VLOOKUP($L358,Data_Validation!$A:$F,6,0)</f>
        <v>0</v>
      </c>
    </row>
    <row r="359" spans="1:24" ht="15" customHeight="1">
      <c r="A359" s="1052" t="s">
        <v>1171</v>
      </c>
      <c r="B359" s="1052" t="s">
        <v>2442</v>
      </c>
      <c r="C359" s="1054">
        <v>108686.24</v>
      </c>
      <c r="D359" s="1054">
        <v>10130.92</v>
      </c>
      <c r="E359" s="1054">
        <v>118817.16</v>
      </c>
      <c r="F359" s="1052" t="s">
        <v>1154</v>
      </c>
      <c r="G359" s="1052" t="s">
        <v>1172</v>
      </c>
      <c r="H359" s="1029"/>
      <c r="I359" s="1032"/>
      <c r="J359" s="1032"/>
      <c r="K359" s="1032"/>
      <c r="L359" s="653" t="str">
        <f t="shared" si="328"/>
        <v>6422</v>
      </c>
      <c r="M359" s="654" t="str">
        <f t="shared" si="260"/>
        <v>SAL SUPERVISION / GERANT</v>
      </c>
      <c r="N359" s="655">
        <f>+IF(OR($Q359=Parametres!$G$2,$Q359=Parametres!$G$3),I359,C359)</f>
        <v>108686.24</v>
      </c>
      <c r="O359" s="655">
        <f>+IF(OR($Q359=Parametres!$G$2,$Q359=Parametres!$G$3),J359,D359)</f>
        <v>10130.92</v>
      </c>
      <c r="P359" s="655">
        <f>+IF(OR($Q359=Parametres!$G$2,$Q359=Parametres!$G$3),K359,E359)</f>
        <v>118817.16</v>
      </c>
      <c r="Q359" s="654" t="str">
        <f t="shared" ref="Q359:S359" si="365">+F359</f>
        <v>7-Dépenses</v>
      </c>
      <c r="R359" s="653" t="str">
        <f t="shared" si="365"/>
        <v>6122</v>
      </c>
      <c r="S359" s="654">
        <f t="shared" si="365"/>
        <v>0</v>
      </c>
      <c r="T359" s="656" t="str">
        <f>+VLOOKUP($L359,Data_Validation!$A:$D,1,0)</f>
        <v>6422</v>
      </c>
      <c r="U359" s="656" t="str">
        <f>+VLOOKUP($L359,Data_Validation!$A:$D,3,0)</f>
        <v>Service</v>
      </c>
      <c r="V359" s="656" t="str">
        <f>+VLOOKUP($L359,Data_Validation!$A:$D,4,0)</f>
        <v>Salaires cadres</v>
      </c>
      <c r="W359" s="656" t="str">
        <f>+VLOOKUP($L359,Data_Validation!$A:$E,5,0)</f>
        <v>$</v>
      </c>
      <c r="X359" s="656">
        <f>+VLOOKUP($L359,Data_Validation!$A:$F,6,0)</f>
        <v>0</v>
      </c>
    </row>
    <row r="360" spans="1:24" ht="15" customHeight="1">
      <c r="A360" s="1052" t="s">
        <v>1244</v>
      </c>
      <c r="B360" s="1052" t="s">
        <v>2445</v>
      </c>
      <c r="C360" s="1054">
        <v>86725.91</v>
      </c>
      <c r="D360" s="1054">
        <v>7284.98</v>
      </c>
      <c r="E360" s="1054">
        <v>94010.89</v>
      </c>
      <c r="F360" s="1052" t="s">
        <v>1154</v>
      </c>
      <c r="G360" s="1052" t="s">
        <v>1174</v>
      </c>
      <c r="H360" s="1029"/>
      <c r="I360" s="1032"/>
      <c r="J360" s="1032"/>
      <c r="K360" s="1032"/>
      <c r="L360" s="653" t="str">
        <f t="shared" si="328"/>
        <v>6423</v>
      </c>
      <c r="M360" s="654" t="str">
        <f t="shared" si="260"/>
        <v>SAL. &amp; RENUM. CLERICAL</v>
      </c>
      <c r="N360" s="655">
        <f>+IF(OR($Q360=Parametres!$G$2,$Q360=Parametres!$G$3),I360,C360)</f>
        <v>86725.91</v>
      </c>
      <c r="O360" s="655">
        <f>+IF(OR($Q360=Parametres!$G$2,$Q360=Parametres!$G$3),J360,D360)</f>
        <v>7284.98</v>
      </c>
      <c r="P360" s="655">
        <f>+IF(OR($Q360=Parametres!$G$2,$Q360=Parametres!$G$3),K360,E360)</f>
        <v>94010.89</v>
      </c>
      <c r="Q360" s="654" t="str">
        <f t="shared" ref="Q360:S360" si="366">+F360</f>
        <v>7-Dépenses</v>
      </c>
      <c r="R360" s="653" t="str">
        <f t="shared" si="366"/>
        <v>6123</v>
      </c>
      <c r="S360" s="654">
        <f t="shared" si="366"/>
        <v>0</v>
      </c>
      <c r="T360" s="656" t="str">
        <f>+VLOOKUP($L360,Data_Validation!$A:$D,1,0)</f>
        <v>6423</v>
      </c>
      <c r="U360" s="656" t="str">
        <f>+VLOOKUP($L360,Data_Validation!$A:$D,3,0)</f>
        <v>Service</v>
      </c>
      <c r="V360" s="656" t="str">
        <f>+VLOOKUP($L360,Data_Validation!$A:$D,4,0)</f>
        <v>Salaires commis</v>
      </c>
      <c r="W360" s="656" t="str">
        <f>+VLOOKUP($L360,Data_Validation!$A:$E,5,0)</f>
        <v>$</v>
      </c>
      <c r="X360" s="656">
        <f>+VLOOKUP($L360,Data_Validation!$A:$F,6,0)</f>
        <v>0</v>
      </c>
    </row>
    <row r="361" spans="1:24" ht="15" customHeight="1">
      <c r="A361" s="1052" t="s">
        <v>1175</v>
      </c>
      <c r="B361" s="1052" t="s">
        <v>2448</v>
      </c>
      <c r="C361" s="1054">
        <v>222448.85</v>
      </c>
      <c r="D361" s="1054">
        <v>15114.01</v>
      </c>
      <c r="E361" s="1054">
        <v>237562.86</v>
      </c>
      <c r="F361" s="1052" t="s">
        <v>1154</v>
      </c>
      <c r="G361" s="1052" t="s">
        <v>1176</v>
      </c>
      <c r="H361" s="1029"/>
      <c r="I361" s="1032"/>
      <c r="J361" s="1032"/>
      <c r="K361" s="1032"/>
      <c r="L361" s="653" t="str">
        <f t="shared" si="328"/>
        <v>6424</v>
      </c>
      <c r="M361" s="654" t="str">
        <f t="shared" si="260"/>
        <v>SALAIRES &amp; RENUM. - AUTRES</v>
      </c>
      <c r="N361" s="655">
        <f>+IF(OR($Q361=Parametres!$G$2,$Q361=Parametres!$G$3),I361,C361)</f>
        <v>222448.85</v>
      </c>
      <c r="O361" s="655">
        <f>+IF(OR($Q361=Parametres!$G$2,$Q361=Parametres!$G$3),J361,D361)</f>
        <v>15114.01</v>
      </c>
      <c r="P361" s="655">
        <f>+IF(OR($Q361=Parametres!$G$2,$Q361=Parametres!$G$3),K361,E361)</f>
        <v>237562.86</v>
      </c>
      <c r="Q361" s="654" t="str">
        <f t="shared" ref="Q361:S361" si="367">+F361</f>
        <v>7-Dépenses</v>
      </c>
      <c r="R361" s="653" t="str">
        <f t="shared" si="367"/>
        <v>6124</v>
      </c>
      <c r="S361" s="654">
        <f t="shared" si="367"/>
        <v>0</v>
      </c>
      <c r="T361" s="656" t="str">
        <f>+VLOOKUP($L361,Data_Validation!$A:$D,1,0)</f>
        <v>6424</v>
      </c>
      <c r="U361" s="656" t="str">
        <f>+VLOOKUP($L361,Data_Validation!$A:$D,3,0)</f>
        <v>Service</v>
      </c>
      <c r="V361" s="656" t="str">
        <f>+VLOOKUP($L361,Data_Validation!$A:$D,4,0)</f>
        <v>Salaires autres</v>
      </c>
      <c r="W361" s="656" t="str">
        <f>+VLOOKUP($L361,Data_Validation!$A:$E,5,0)</f>
        <v>$</v>
      </c>
      <c r="X361" s="656">
        <f>+VLOOKUP($L361,Data_Validation!$A:$F,6,0)</f>
        <v>0</v>
      </c>
    </row>
    <row r="362" spans="1:24" ht="15.75" customHeight="1">
      <c r="A362" s="1052" t="s">
        <v>1245</v>
      </c>
      <c r="B362" s="1052" t="s">
        <v>2451</v>
      </c>
      <c r="C362" s="1054">
        <v>320279.23</v>
      </c>
      <c r="D362" s="1054">
        <v>34633.07</v>
      </c>
      <c r="E362" s="1054">
        <v>354912.3</v>
      </c>
      <c r="F362" s="1052" t="s">
        <v>1154</v>
      </c>
      <c r="G362" s="1052" t="s">
        <v>1246</v>
      </c>
      <c r="H362" s="1029"/>
      <c r="I362" s="1032"/>
      <c r="J362" s="1032"/>
      <c r="K362" s="1032"/>
      <c r="L362" s="653" t="str">
        <f t="shared" si="328"/>
        <v>6425</v>
      </c>
      <c r="M362" s="654" t="str">
        <f t="shared" si="260"/>
        <v>SALAIRE SPECIALISTES</v>
      </c>
      <c r="N362" s="655">
        <f>+IF(OR($Q362=Parametres!$G$2,$Q362=Parametres!$G$3),I362,C362)</f>
        <v>320279.23</v>
      </c>
      <c r="O362" s="655">
        <f>+IF(OR($Q362=Parametres!$G$2,$Q362=Parametres!$G$3),J362,D362)</f>
        <v>34633.07</v>
      </c>
      <c r="P362" s="655">
        <f>+IF(OR($Q362=Parametres!$G$2,$Q362=Parametres!$G$3),K362,E362)</f>
        <v>354912.3</v>
      </c>
      <c r="Q362" s="654" t="str">
        <f t="shared" ref="Q362:S362" si="368">+F362</f>
        <v>7-Dépenses</v>
      </c>
      <c r="R362" s="653" t="str">
        <f t="shared" si="368"/>
        <v>6125</v>
      </c>
      <c r="S362" s="654">
        <f t="shared" si="368"/>
        <v>0</v>
      </c>
      <c r="T362" s="656" t="str">
        <f>+VLOOKUP($L362,Data_Validation!$A:$D,1,0)</f>
        <v>6425</v>
      </c>
      <c r="U362" s="656" t="str">
        <f>+VLOOKUP($L362,Data_Validation!$A:$D,3,0)</f>
        <v>Service</v>
      </c>
      <c r="V362" s="656" t="str">
        <f>+VLOOKUP($L362,Data_Validation!$A:$D,4,0)</f>
        <v>Salaires spécialistes</v>
      </c>
      <c r="W362" s="656" t="str">
        <f>+VLOOKUP($L362,Data_Validation!$A:$E,5,0)</f>
        <v>$</v>
      </c>
      <c r="X362" s="656">
        <f>+VLOOKUP($L362,Data_Validation!$A:$F,6,0)</f>
        <v>0</v>
      </c>
    </row>
    <row r="363" spans="1:24" ht="15.75" customHeight="1">
      <c r="A363" s="1052" t="s">
        <v>1247</v>
      </c>
      <c r="B363" s="1052" t="s">
        <v>2454</v>
      </c>
      <c r="C363" s="1054">
        <v>168727.9</v>
      </c>
      <c r="D363" s="1054">
        <v>40715.89</v>
      </c>
      <c r="E363" s="1054">
        <v>209443.79</v>
      </c>
      <c r="F363" s="1052" t="s">
        <v>1154</v>
      </c>
      <c r="G363" s="1052" t="s">
        <v>1178</v>
      </c>
      <c r="H363" s="1029"/>
      <c r="I363" s="1032"/>
      <c r="J363" s="1032"/>
      <c r="K363" s="1032"/>
      <c r="L363" s="653" t="str">
        <f t="shared" si="328"/>
        <v>6429</v>
      </c>
      <c r="M363" s="654" t="str">
        <f t="shared" si="260"/>
        <v>SAL.,VACANCE, &amp; SAL. JOURS FER</v>
      </c>
      <c r="N363" s="655">
        <f>+IF(OR($Q363=Parametres!$G$2,$Q363=Parametres!$G$3),I363,C363)</f>
        <v>168727.9</v>
      </c>
      <c r="O363" s="655">
        <f>+IF(OR($Q363=Parametres!$G$2,$Q363=Parametres!$G$3),J363,D363)</f>
        <v>40715.89</v>
      </c>
      <c r="P363" s="655">
        <f>+IF(OR($Q363=Parametres!$G$2,$Q363=Parametres!$G$3),K363,E363)</f>
        <v>209443.79</v>
      </c>
      <c r="Q363" s="654" t="str">
        <f t="shared" ref="Q363:S363" si="369">+F363</f>
        <v>7-Dépenses</v>
      </c>
      <c r="R363" s="653" t="str">
        <f t="shared" si="369"/>
        <v>6129</v>
      </c>
      <c r="S363" s="654">
        <f t="shared" si="369"/>
        <v>0</v>
      </c>
      <c r="T363" s="656" t="str">
        <f>+VLOOKUP($L363,Data_Validation!$A:$D,1,0)</f>
        <v>6429</v>
      </c>
      <c r="U363" s="656" t="str">
        <f>+VLOOKUP($L363,Data_Validation!$A:$D,3,0)</f>
        <v>Service</v>
      </c>
      <c r="V363" s="656" t="str">
        <f>+VLOOKUP($L363,Data_Validation!$A:$D,4,0)</f>
        <v>Salaires en absences</v>
      </c>
      <c r="W363" s="656" t="str">
        <f>+VLOOKUP($L363,Data_Validation!$A:$E,5,0)</f>
        <v>$</v>
      </c>
      <c r="X363" s="656">
        <f>+VLOOKUP($L363,Data_Validation!$A:$F,6,0)</f>
        <v>0</v>
      </c>
    </row>
    <row r="364" spans="1:24" ht="15" customHeight="1">
      <c r="A364" s="1052" t="s">
        <v>1179</v>
      </c>
      <c r="B364" s="1052" t="s">
        <v>2457</v>
      </c>
      <c r="C364" s="1054">
        <v>50044.19</v>
      </c>
      <c r="D364" s="1054">
        <v>13474.23</v>
      </c>
      <c r="E364" s="1054">
        <v>63518.42</v>
      </c>
      <c r="F364" s="1052" t="s">
        <v>1154</v>
      </c>
      <c r="G364" s="1052" t="s">
        <v>1180</v>
      </c>
      <c r="H364" s="1029"/>
      <c r="I364" s="1032"/>
      <c r="J364" s="1032"/>
      <c r="K364" s="1032"/>
      <c r="L364" s="653" t="str">
        <f t="shared" si="328"/>
        <v>6431</v>
      </c>
      <c r="M364" s="654" t="str">
        <f t="shared" si="260"/>
        <v>CSST</v>
      </c>
      <c r="N364" s="655">
        <f>+IF(OR($Q364=Parametres!$G$2,$Q364=Parametres!$G$3),I364,C364)</f>
        <v>50044.19</v>
      </c>
      <c r="O364" s="655">
        <f>+IF(OR($Q364=Parametres!$G$2,$Q364=Parametres!$G$3),J364,D364)</f>
        <v>13474.23</v>
      </c>
      <c r="P364" s="655">
        <f>+IF(OR($Q364=Parametres!$G$2,$Q364=Parametres!$G$3),K364,E364)</f>
        <v>63518.42</v>
      </c>
      <c r="Q364" s="654" t="str">
        <f t="shared" ref="Q364:S364" si="370">+F364</f>
        <v>7-Dépenses</v>
      </c>
      <c r="R364" s="653" t="str">
        <f t="shared" si="370"/>
        <v>6131</v>
      </c>
      <c r="S364" s="654">
        <f t="shared" si="370"/>
        <v>0</v>
      </c>
      <c r="T364" s="656" t="str">
        <f>+VLOOKUP($L364,Data_Validation!$A:$D,1,0)</f>
        <v>6431</v>
      </c>
      <c r="U364" s="656" t="str">
        <f>+VLOOKUP($L364,Data_Validation!$A:$D,3,0)</f>
        <v>Service</v>
      </c>
      <c r="V364" s="656" t="str">
        <f>+VLOOKUP($L364,Data_Validation!$A:$D,4,0)</f>
        <v>Csst</v>
      </c>
      <c r="W364" s="656" t="str">
        <f>+VLOOKUP($L364,Data_Validation!$A:$E,5,0)</f>
        <v>$</v>
      </c>
      <c r="X364" s="656">
        <f>+VLOOKUP($L364,Data_Validation!$A:$F,6,0)</f>
        <v>0</v>
      </c>
    </row>
    <row r="365" spans="1:24" ht="15" customHeight="1">
      <c r="A365" s="1052" t="s">
        <v>1181</v>
      </c>
      <c r="B365" s="1052" t="s">
        <v>2460</v>
      </c>
      <c r="C365" s="1054">
        <v>178263.07</v>
      </c>
      <c r="D365" s="1054">
        <v>21128.01</v>
      </c>
      <c r="E365" s="1054">
        <v>199391.08</v>
      </c>
      <c r="F365" s="1052" t="s">
        <v>1154</v>
      </c>
      <c r="G365" s="1052" t="s">
        <v>1182</v>
      </c>
      <c r="H365" s="1029"/>
      <c r="I365" s="1032"/>
      <c r="J365" s="1032"/>
      <c r="K365" s="1032"/>
      <c r="L365" s="653" t="str">
        <f t="shared" si="328"/>
        <v>6432</v>
      </c>
      <c r="M365" s="654" t="str">
        <f t="shared" si="260"/>
        <v>RRQ RAMQ AC</v>
      </c>
      <c r="N365" s="655">
        <f>+IF(OR($Q365=Parametres!$G$2,$Q365=Parametres!$G$3),I365,C365)</f>
        <v>178263.07</v>
      </c>
      <c r="O365" s="655">
        <f>+IF(OR($Q365=Parametres!$G$2,$Q365=Parametres!$G$3),J365,D365)</f>
        <v>21128.01</v>
      </c>
      <c r="P365" s="655">
        <f>+IF(OR($Q365=Parametres!$G$2,$Q365=Parametres!$G$3),K365,E365)</f>
        <v>199391.08</v>
      </c>
      <c r="Q365" s="654" t="str">
        <f t="shared" ref="Q365:S365" si="371">+F365</f>
        <v>7-Dépenses</v>
      </c>
      <c r="R365" s="653" t="str">
        <f t="shared" si="371"/>
        <v>6132</v>
      </c>
      <c r="S365" s="654">
        <f t="shared" si="371"/>
        <v>0</v>
      </c>
      <c r="T365" s="656" t="str">
        <f>+VLOOKUP($L365,Data_Validation!$A:$D,1,0)</f>
        <v>6432</v>
      </c>
      <c r="U365" s="656" t="str">
        <f>+VLOOKUP($L365,Data_Validation!$A:$D,3,0)</f>
        <v>Service</v>
      </c>
      <c r="V365" s="656" t="str">
        <f>+VLOOKUP($L365,Data_Validation!$A:$D,4,0)</f>
        <v>Déduction à la source</v>
      </c>
      <c r="W365" s="656" t="str">
        <f>+VLOOKUP($L365,Data_Validation!$A:$E,5,0)</f>
        <v>$</v>
      </c>
      <c r="X365" s="656">
        <f>+VLOOKUP($L365,Data_Validation!$A:$F,6,0)</f>
        <v>0</v>
      </c>
    </row>
    <row r="366" spans="1:24" ht="15" customHeight="1">
      <c r="A366" s="1052" t="s">
        <v>1248</v>
      </c>
      <c r="B366" s="1052" t="s">
        <v>2463</v>
      </c>
      <c r="C366" s="1054">
        <v>3194.34</v>
      </c>
      <c r="D366" s="1054">
        <v>2880.8</v>
      </c>
      <c r="E366" s="1054">
        <v>6075.14</v>
      </c>
      <c r="F366" s="1052" t="s">
        <v>1154</v>
      </c>
      <c r="G366" s="1052" t="s">
        <v>1184</v>
      </c>
      <c r="H366" s="1029"/>
      <c r="I366" s="1032"/>
      <c r="J366" s="1032"/>
      <c r="K366" s="1032"/>
      <c r="L366" s="653" t="str">
        <f t="shared" si="328"/>
        <v>6433</v>
      </c>
      <c r="M366" s="654" t="str">
        <f t="shared" si="260"/>
        <v>FOND PENSION - SERVICE</v>
      </c>
      <c r="N366" s="655">
        <f>+IF(OR($Q366=Parametres!$G$2,$Q366=Parametres!$G$3),I366,C366)</f>
        <v>3194.34</v>
      </c>
      <c r="O366" s="655">
        <f>+IF(OR($Q366=Parametres!$G$2,$Q366=Parametres!$G$3),J366,D366)</f>
        <v>2880.8</v>
      </c>
      <c r="P366" s="655">
        <f>+IF(OR($Q366=Parametres!$G$2,$Q366=Parametres!$G$3),K366,E366)</f>
        <v>6075.14</v>
      </c>
      <c r="Q366" s="654" t="str">
        <f t="shared" ref="Q366:S366" si="372">+F366</f>
        <v>7-Dépenses</v>
      </c>
      <c r="R366" s="653" t="str">
        <f t="shared" si="372"/>
        <v>6133</v>
      </c>
      <c r="S366" s="654">
        <f t="shared" si="372"/>
        <v>0</v>
      </c>
      <c r="T366" s="656" t="str">
        <f>+VLOOKUP($L366,Data_Validation!$A:$D,1,0)</f>
        <v>6433</v>
      </c>
      <c r="U366" s="656" t="str">
        <f>+VLOOKUP($L366,Data_Validation!$A:$D,3,0)</f>
        <v>Service</v>
      </c>
      <c r="V366" s="656" t="str">
        <f>+VLOOKUP($L366,Data_Validation!$A:$D,4,0)</f>
        <v>Bénéfices marginaux</v>
      </c>
      <c r="W366" s="656" t="str">
        <f>+VLOOKUP($L366,Data_Validation!$A:$E,5,0)</f>
        <v>$</v>
      </c>
      <c r="X366" s="656">
        <f>+VLOOKUP($L366,Data_Validation!$A:$F,6,0)</f>
        <v>0</v>
      </c>
    </row>
    <row r="367" spans="1:24" ht="15" customHeight="1">
      <c r="A367" s="1052" t="s">
        <v>1231</v>
      </c>
      <c r="B367" s="1052" t="s">
        <v>2466</v>
      </c>
      <c r="C367" s="1054">
        <v>60907.26</v>
      </c>
      <c r="D367" s="1054">
        <v>5108.53</v>
      </c>
      <c r="E367" s="1054">
        <v>66015.789999999994</v>
      </c>
      <c r="F367" s="1052" t="s">
        <v>1154</v>
      </c>
      <c r="G367" s="1052" t="s">
        <v>1186</v>
      </c>
      <c r="H367" s="1029"/>
      <c r="I367" s="1032"/>
      <c r="J367" s="1032"/>
      <c r="K367" s="1032"/>
      <c r="L367" s="653" t="str">
        <f t="shared" si="328"/>
        <v>6439</v>
      </c>
      <c r="M367" s="654" t="str">
        <f t="shared" si="260"/>
        <v>ASSURANCE GROUPE</v>
      </c>
      <c r="N367" s="655">
        <f>+IF(OR($Q367=Parametres!$G$2,$Q367=Parametres!$G$3),I367,C367)</f>
        <v>60907.26</v>
      </c>
      <c r="O367" s="655">
        <f>+IF(OR($Q367=Parametres!$G$2,$Q367=Parametres!$G$3),J367,D367)</f>
        <v>5108.53</v>
      </c>
      <c r="P367" s="655">
        <f>+IF(OR($Q367=Parametres!$G$2,$Q367=Parametres!$G$3),K367,E367)</f>
        <v>66015.789999999994</v>
      </c>
      <c r="Q367" s="654" t="str">
        <f t="shared" ref="Q367:S367" si="373">+F367</f>
        <v>7-Dépenses</v>
      </c>
      <c r="R367" s="653" t="str">
        <f t="shared" si="373"/>
        <v>6139</v>
      </c>
      <c r="S367" s="654">
        <f t="shared" si="373"/>
        <v>0</v>
      </c>
      <c r="T367" s="656" t="str">
        <f>+VLOOKUP($L367,Data_Validation!$A:$D,1,0)</f>
        <v>6439</v>
      </c>
      <c r="U367" s="656" t="str">
        <f>+VLOOKUP($L367,Data_Validation!$A:$D,3,0)</f>
        <v>Service</v>
      </c>
      <c r="V367" s="656" t="str">
        <f>+VLOOKUP($L367,Data_Validation!$A:$D,4,0)</f>
        <v>Bénéfices marginaux</v>
      </c>
      <c r="W367" s="656" t="str">
        <f>+VLOOKUP($L367,Data_Validation!$A:$E,5,0)</f>
        <v>$</v>
      </c>
      <c r="X367" s="656">
        <f>+VLOOKUP($L367,Data_Validation!$A:$F,6,0)</f>
        <v>0</v>
      </c>
    </row>
    <row r="368" spans="1:24" ht="15" customHeight="1">
      <c r="A368" s="1052" t="s">
        <v>1249</v>
      </c>
      <c r="B368" s="1052" t="s">
        <v>2472</v>
      </c>
      <c r="C368" s="1054">
        <v>7526.67</v>
      </c>
      <c r="D368" s="1054">
        <v>253.25</v>
      </c>
      <c r="E368" s="1054">
        <v>7779.92</v>
      </c>
      <c r="F368" s="1052" t="s">
        <v>1154</v>
      </c>
      <c r="G368" s="1052" t="s">
        <v>1242</v>
      </c>
      <c r="H368" s="1029"/>
      <c r="I368" s="1032"/>
      <c r="J368" s="1032"/>
      <c r="K368" s="1032"/>
      <c r="L368" s="653" t="str">
        <f t="shared" si="328"/>
        <v>6441</v>
      </c>
      <c r="M368" s="654" t="str">
        <f t="shared" si="260"/>
        <v>RETOURS</v>
      </c>
      <c r="N368" s="655">
        <f>+IF(OR($Q368=Parametres!$G$2,$Q368=Parametres!$G$3),I368,C368)</f>
        <v>7526.67</v>
      </c>
      <c r="O368" s="655">
        <f>+IF(OR($Q368=Parametres!$G$2,$Q368=Parametres!$G$3),J368,D368)</f>
        <v>253.25</v>
      </c>
      <c r="P368" s="655">
        <f>+IF(OR($Q368=Parametres!$G$2,$Q368=Parametres!$G$3),K368,E368)</f>
        <v>7779.92</v>
      </c>
      <c r="Q368" s="654" t="str">
        <f t="shared" ref="Q368:S368" si="374">+F368</f>
        <v>7-Dépenses</v>
      </c>
      <c r="R368" s="653" t="str">
        <f t="shared" si="374"/>
        <v>6112</v>
      </c>
      <c r="S368" s="654">
        <f t="shared" si="374"/>
        <v>0</v>
      </c>
      <c r="T368" s="656" t="str">
        <f>+VLOOKUP($L368,Data_Validation!$A:$D,1,0)</f>
        <v>6441</v>
      </c>
      <c r="U368" s="656" t="str">
        <f>+VLOOKUP($L368,Data_Validation!$A:$D,3,0)</f>
        <v>Service</v>
      </c>
      <c r="V368" s="656" t="str">
        <f>+VLOOKUP($L368,Data_Validation!$A:$D,4,0)</f>
        <v>Service gratuit 2</v>
      </c>
      <c r="W368" s="656" t="str">
        <f>+VLOOKUP($L368,Data_Validation!$A:$E,5,0)</f>
        <v>$</v>
      </c>
      <c r="X368" s="656">
        <f>+VLOOKUP($L368,Data_Validation!$A:$F,6,0)</f>
        <v>0</v>
      </c>
    </row>
    <row r="369" spans="1:24" ht="15.75" customHeight="1">
      <c r="A369" s="1052" t="s">
        <v>1187</v>
      </c>
      <c r="B369" s="1052" t="s">
        <v>2475</v>
      </c>
      <c r="C369" s="1054">
        <v>24618.91</v>
      </c>
      <c r="D369" s="1054">
        <v>3022.65</v>
      </c>
      <c r="E369" s="1054">
        <v>27641.56</v>
      </c>
      <c r="F369" s="1052" t="s">
        <v>1154</v>
      </c>
      <c r="G369" s="1052" t="s">
        <v>1188</v>
      </c>
      <c r="H369" s="1029"/>
      <c r="I369" s="1032"/>
      <c r="J369" s="1032"/>
      <c r="K369" s="1032"/>
      <c r="L369" s="653" t="str">
        <f t="shared" si="328"/>
        <v>6442</v>
      </c>
      <c r="M369" s="654" t="str">
        <f t="shared" si="260"/>
        <v>FOURNITURES &amp; PETITS OUTILS</v>
      </c>
      <c r="N369" s="655">
        <f>+IF(OR($Q369=Parametres!$G$2,$Q369=Parametres!$G$3),I369,C369)</f>
        <v>24618.91</v>
      </c>
      <c r="O369" s="655">
        <f>+IF(OR($Q369=Parametres!$G$2,$Q369=Parametres!$G$3),J369,D369)</f>
        <v>3022.65</v>
      </c>
      <c r="P369" s="655">
        <f>+IF(OR($Q369=Parametres!$G$2,$Q369=Parametres!$G$3),K369,E369)</f>
        <v>27641.56</v>
      </c>
      <c r="Q369" s="654" t="str">
        <f t="shared" ref="Q369:S369" si="375">+F369</f>
        <v>7-Dépenses</v>
      </c>
      <c r="R369" s="653" t="str">
        <f t="shared" si="375"/>
        <v>6142</v>
      </c>
      <c r="S369" s="654">
        <f t="shared" si="375"/>
        <v>0</v>
      </c>
      <c r="T369" s="656" t="str">
        <f>+VLOOKUP($L369,Data_Validation!$A:$D,1,0)</f>
        <v>6442</v>
      </c>
      <c r="U369" s="656" t="str">
        <f>+VLOOKUP($L369,Data_Validation!$A:$D,3,0)</f>
        <v>Service</v>
      </c>
      <c r="V369" s="656" t="str">
        <f>+VLOOKUP($L369,Data_Validation!$A:$D,4,0)</f>
        <v>Fournitures autres</v>
      </c>
      <c r="W369" s="656" t="str">
        <f>+VLOOKUP($L369,Data_Validation!$A:$E,5,0)</f>
        <v>$</v>
      </c>
      <c r="X369" s="656">
        <f>+VLOOKUP($L369,Data_Validation!$A:$F,6,0)</f>
        <v>0</v>
      </c>
    </row>
    <row r="370" spans="1:24" ht="15" customHeight="1">
      <c r="A370" s="1052" t="s">
        <v>1189</v>
      </c>
      <c r="B370" s="1052" t="s">
        <v>2478</v>
      </c>
      <c r="C370" s="1054">
        <v>13842.34</v>
      </c>
      <c r="D370" s="1054">
        <v>852.51</v>
      </c>
      <c r="E370" s="1054">
        <v>14694.85</v>
      </c>
      <c r="F370" s="1052" t="s">
        <v>1154</v>
      </c>
      <c r="G370" s="1052" t="s">
        <v>1190</v>
      </c>
      <c r="H370" s="1029"/>
      <c r="I370" s="1032"/>
      <c r="J370" s="1032"/>
      <c r="K370" s="1032"/>
      <c r="L370" s="653" t="str">
        <f t="shared" si="328"/>
        <v>6443</v>
      </c>
      <c r="M370" s="654" t="str">
        <f t="shared" si="260"/>
        <v>UNIFORMES &amp; LESSIVE</v>
      </c>
      <c r="N370" s="655">
        <f>+IF(OR($Q370=Parametres!$G$2,$Q370=Parametres!$G$3),I370,C370)</f>
        <v>13842.34</v>
      </c>
      <c r="O370" s="655">
        <f>+IF(OR($Q370=Parametres!$G$2,$Q370=Parametres!$G$3),J370,D370)</f>
        <v>852.51</v>
      </c>
      <c r="P370" s="655">
        <f>+IF(OR($Q370=Parametres!$G$2,$Q370=Parametres!$G$3),K370,E370)</f>
        <v>14694.85</v>
      </c>
      <c r="Q370" s="654" t="str">
        <f t="shared" ref="Q370:S370" si="376">+F370</f>
        <v>7-Dépenses</v>
      </c>
      <c r="R370" s="653" t="str">
        <f t="shared" si="376"/>
        <v>6143</v>
      </c>
      <c r="S370" s="654">
        <f t="shared" si="376"/>
        <v>0</v>
      </c>
      <c r="T370" s="656" t="str">
        <f>+VLOOKUP($L370,Data_Validation!$A:$D,1,0)</f>
        <v>6443</v>
      </c>
      <c r="U370" s="656" t="str">
        <f>+VLOOKUP($L370,Data_Validation!$A:$D,3,0)</f>
        <v>Service</v>
      </c>
      <c r="V370" s="656" t="str">
        <f>+VLOOKUP($L370,Data_Validation!$A:$D,4,0)</f>
        <v>Uniformes</v>
      </c>
      <c r="W370" s="656" t="str">
        <f>+VLOOKUP($L370,Data_Validation!$A:$E,5,0)</f>
        <v>$</v>
      </c>
      <c r="X370" s="656">
        <f>+VLOOKUP($L370,Data_Validation!$A:$F,6,0)</f>
        <v>0</v>
      </c>
    </row>
    <row r="371" spans="1:24" ht="15" customHeight="1">
      <c r="A371" s="1052" t="s">
        <v>1191</v>
      </c>
      <c r="B371" s="1052" t="s">
        <v>2481</v>
      </c>
      <c r="C371" s="1054">
        <v>14620.18</v>
      </c>
      <c r="D371" s="1054">
        <v>705.24</v>
      </c>
      <c r="E371" s="1054">
        <v>15325.42</v>
      </c>
      <c r="F371" s="1052" t="s">
        <v>1154</v>
      </c>
      <c r="G371" s="1052" t="s">
        <v>1192</v>
      </c>
      <c r="H371" s="1029"/>
      <c r="I371" s="1032"/>
      <c r="J371" s="1032"/>
      <c r="K371" s="1032"/>
      <c r="L371" s="653" t="str">
        <f t="shared" si="328"/>
        <v>6444</v>
      </c>
      <c r="M371" s="654" t="str">
        <f t="shared" si="260"/>
        <v>FORMATION</v>
      </c>
      <c r="N371" s="655">
        <f>+IF(OR($Q371=Parametres!$G$2,$Q371=Parametres!$G$3),I371,C371)</f>
        <v>14620.18</v>
      </c>
      <c r="O371" s="655">
        <f>+IF(OR($Q371=Parametres!$G$2,$Q371=Parametres!$G$3),J371,D371)</f>
        <v>705.24</v>
      </c>
      <c r="P371" s="655">
        <f>+IF(OR($Q371=Parametres!$G$2,$Q371=Parametres!$G$3),K371,E371)</f>
        <v>15325.42</v>
      </c>
      <c r="Q371" s="654" t="str">
        <f t="shared" ref="Q371:S371" si="377">+F371</f>
        <v>7-Dépenses</v>
      </c>
      <c r="R371" s="653" t="str">
        <f t="shared" si="377"/>
        <v>6144</v>
      </c>
      <c r="S371" s="654">
        <f t="shared" si="377"/>
        <v>0</v>
      </c>
      <c r="T371" s="656" t="str">
        <f>+VLOOKUP($L371,Data_Validation!$A:$D,1,0)</f>
        <v>6444</v>
      </c>
      <c r="U371" s="656" t="str">
        <f>+VLOOKUP($L371,Data_Validation!$A:$D,3,0)</f>
        <v>Service</v>
      </c>
      <c r="V371" s="656" t="str">
        <f>+VLOOKUP($L371,Data_Validation!$A:$D,4,0)</f>
        <v>Formation</v>
      </c>
      <c r="W371" s="656" t="str">
        <f>+VLOOKUP($L371,Data_Validation!$A:$E,5,0)</f>
        <v>$</v>
      </c>
      <c r="X371" s="656">
        <f>+VLOOKUP($L371,Data_Validation!$A:$F,6,0)</f>
        <v>0</v>
      </c>
    </row>
    <row r="372" spans="1:24" ht="15" customHeight="1">
      <c r="A372" s="1052" t="s">
        <v>1250</v>
      </c>
      <c r="B372" s="1052" t="s">
        <v>2484</v>
      </c>
      <c r="C372" s="1054">
        <v>147830.10999999999</v>
      </c>
      <c r="D372" s="1054">
        <v>18216.68</v>
      </c>
      <c r="E372" s="1054">
        <v>166046.79</v>
      </c>
      <c r="F372" s="1052" t="s">
        <v>1154</v>
      </c>
      <c r="G372" s="1052" t="s">
        <v>1194</v>
      </c>
      <c r="H372" s="1029"/>
      <c r="I372" s="1032"/>
      <c r="J372" s="1032"/>
      <c r="K372" s="1032"/>
      <c r="L372" s="653" t="str">
        <f t="shared" si="328"/>
        <v>6445</v>
      </c>
      <c r="M372" s="654" t="str">
        <f t="shared" si="260"/>
        <v>LOCATION COURTOISIE</v>
      </c>
      <c r="N372" s="655">
        <f>+IF(OR($Q372=Parametres!$G$2,$Q372=Parametres!$G$3),I372,C372)</f>
        <v>147830.10999999999</v>
      </c>
      <c r="O372" s="655">
        <f>+IF(OR($Q372=Parametres!$G$2,$Q372=Parametres!$G$3),J372,D372)</f>
        <v>18216.68</v>
      </c>
      <c r="P372" s="655">
        <f>+IF(OR($Q372=Parametres!$G$2,$Q372=Parametres!$G$3),K372,E372)</f>
        <v>166046.79</v>
      </c>
      <c r="Q372" s="654" t="str">
        <f t="shared" ref="Q372:S372" si="378">+F372</f>
        <v>7-Dépenses</v>
      </c>
      <c r="R372" s="653" t="str">
        <f t="shared" si="378"/>
        <v>6145</v>
      </c>
      <c r="S372" s="654">
        <f t="shared" si="378"/>
        <v>0</v>
      </c>
      <c r="T372" s="656" t="str">
        <f>+VLOOKUP($L372,Data_Validation!$A:$D,1,0)</f>
        <v>6445</v>
      </c>
      <c r="U372" s="656" t="str">
        <f>+VLOOKUP($L372,Data_Validation!$A:$D,3,0)</f>
        <v>Service</v>
      </c>
      <c r="V372" s="656" t="str">
        <f>+VLOOKUP($L372,Data_Validation!$A:$D,4,0)</f>
        <v>Frais véhicules de cie</v>
      </c>
      <c r="W372" s="656" t="str">
        <f>+VLOOKUP($L372,Data_Validation!$A:$E,5,0)</f>
        <v>$</v>
      </c>
      <c r="X372" s="656">
        <f>+VLOOKUP($L372,Data_Validation!$A:$F,6,0)</f>
        <v>0</v>
      </c>
    </row>
    <row r="373" spans="1:24" ht="15" customHeight="1">
      <c r="A373" s="1052" t="s">
        <v>1195</v>
      </c>
      <c r="B373" s="1052" t="s">
        <v>2487</v>
      </c>
      <c r="C373" s="1054">
        <v>1179.08</v>
      </c>
      <c r="D373" s="1054">
        <v>118.7</v>
      </c>
      <c r="E373" s="1054">
        <v>1297.78</v>
      </c>
      <c r="F373" s="1052" t="s">
        <v>1154</v>
      </c>
      <c r="G373" s="1052" t="s">
        <v>1196</v>
      </c>
      <c r="H373" s="1029"/>
      <c r="I373" s="1032"/>
      <c r="J373" s="1032"/>
      <c r="K373" s="1032"/>
      <c r="L373" s="653" t="str">
        <f t="shared" si="328"/>
        <v>6447</v>
      </c>
      <c r="M373" s="654" t="str">
        <f t="shared" si="260"/>
        <v>FRET/EXPRESS/TRANS. PAR CAMION</v>
      </c>
      <c r="N373" s="655">
        <f>+IF(OR($Q373=Parametres!$G$2,$Q373=Parametres!$G$3),I373,C373)</f>
        <v>1179.08</v>
      </c>
      <c r="O373" s="655">
        <f>+IF(OR($Q373=Parametres!$G$2,$Q373=Parametres!$G$3),J373,D373)</f>
        <v>118.7</v>
      </c>
      <c r="P373" s="655">
        <f>+IF(OR($Q373=Parametres!$G$2,$Q373=Parametres!$G$3),K373,E373)</f>
        <v>1297.78</v>
      </c>
      <c r="Q373" s="654" t="str">
        <f t="shared" ref="Q373:S373" si="379">+F373</f>
        <v>7-Dépenses</v>
      </c>
      <c r="R373" s="653" t="str">
        <f t="shared" si="379"/>
        <v>6147</v>
      </c>
      <c r="S373" s="654">
        <f t="shared" si="379"/>
        <v>0</v>
      </c>
      <c r="T373" s="656" t="str">
        <f>+VLOOKUP($L373,Data_Validation!$A:$D,1,0)</f>
        <v>6447</v>
      </c>
      <c r="U373" s="656" t="str">
        <f>+VLOOKUP($L373,Data_Validation!$A:$D,3,0)</f>
        <v>Service</v>
      </c>
      <c r="V373" s="656" t="str">
        <f>+VLOOKUP($L373,Data_Validation!$A:$D,4,0)</f>
        <v>Frais postaux</v>
      </c>
      <c r="W373" s="656" t="str">
        <f>+VLOOKUP($L373,Data_Validation!$A:$E,5,0)</f>
        <v>$</v>
      </c>
      <c r="X373" s="656">
        <f>+VLOOKUP($L373,Data_Validation!$A:$F,6,0)</f>
        <v>0</v>
      </c>
    </row>
    <row r="374" spans="1:24" ht="15.75" customHeight="1">
      <c r="A374" s="1052" t="s">
        <v>1197</v>
      </c>
      <c r="B374" s="1052" t="s">
        <v>2490</v>
      </c>
      <c r="C374" s="1054">
        <v>47346.34</v>
      </c>
      <c r="D374" s="1054">
        <v>3672.37</v>
      </c>
      <c r="E374" s="1054">
        <v>51018.71</v>
      </c>
      <c r="F374" s="1052" t="s">
        <v>1154</v>
      </c>
      <c r="G374" s="1052" t="s">
        <v>1198</v>
      </c>
      <c r="H374" s="1029"/>
      <c r="I374" s="1032"/>
      <c r="J374" s="1032"/>
      <c r="K374" s="1032"/>
      <c r="L374" s="653" t="str">
        <f t="shared" si="328"/>
        <v>6451</v>
      </c>
      <c r="M374" s="654" t="str">
        <f t="shared" si="260"/>
        <v>DEP. DU TRAITEMENT DES DONNEES</v>
      </c>
      <c r="N374" s="655">
        <f>+IF(OR($Q374=Parametres!$G$2,$Q374=Parametres!$G$3),I374,C374)</f>
        <v>47346.34</v>
      </c>
      <c r="O374" s="655">
        <f>+IF(OR($Q374=Parametres!$G$2,$Q374=Parametres!$G$3),J374,D374)</f>
        <v>3672.37</v>
      </c>
      <c r="P374" s="655">
        <f>+IF(OR($Q374=Parametres!$G$2,$Q374=Parametres!$G$3),K374,E374)</f>
        <v>51018.71</v>
      </c>
      <c r="Q374" s="654" t="str">
        <f t="shared" ref="Q374:S374" si="380">+F374</f>
        <v>7-Dépenses</v>
      </c>
      <c r="R374" s="653" t="str">
        <f t="shared" si="380"/>
        <v>6151</v>
      </c>
      <c r="S374" s="654">
        <f t="shared" si="380"/>
        <v>0</v>
      </c>
      <c r="T374" s="656" t="str">
        <f>+VLOOKUP($L374,Data_Validation!$A:$D,1,0)</f>
        <v>6451</v>
      </c>
      <c r="U374" s="656" t="str">
        <f>+VLOOKUP($L374,Data_Validation!$A:$D,3,0)</f>
        <v>Service</v>
      </c>
      <c r="V374" s="656" t="str">
        <f>+VLOOKUP($L374,Data_Validation!$A:$D,4,0)</f>
        <v>Informatique</v>
      </c>
      <c r="W374" s="656" t="str">
        <f>+VLOOKUP($L374,Data_Validation!$A:$E,5,0)</f>
        <v>$</v>
      </c>
      <c r="X374" s="656">
        <f>+VLOOKUP($L374,Data_Validation!$A:$F,6,0)</f>
        <v>0</v>
      </c>
    </row>
    <row r="375" spans="1:24" ht="15" customHeight="1">
      <c r="A375" s="1052" t="s">
        <v>1199</v>
      </c>
      <c r="B375" s="1052" t="s">
        <v>2493</v>
      </c>
      <c r="C375" s="1054">
        <v>8002.42</v>
      </c>
      <c r="D375" s="1054">
        <v>706.52</v>
      </c>
      <c r="E375" s="1054">
        <v>8708.94</v>
      </c>
      <c r="F375" s="1052" t="s">
        <v>1154</v>
      </c>
      <c r="G375" s="1052" t="s">
        <v>1200</v>
      </c>
      <c r="H375" s="1029"/>
      <c r="I375" s="1032"/>
      <c r="J375" s="1032"/>
      <c r="K375" s="1032"/>
      <c r="L375" s="653" t="str">
        <f t="shared" si="328"/>
        <v>6452</v>
      </c>
      <c r="M375" s="654" t="str">
        <f t="shared" si="260"/>
        <v>PAPETERIE</v>
      </c>
      <c r="N375" s="655">
        <f>+IF(OR($Q375=Parametres!$G$2,$Q375=Parametres!$G$3),I375,C375)</f>
        <v>8002.42</v>
      </c>
      <c r="O375" s="655">
        <f>+IF(OR($Q375=Parametres!$G$2,$Q375=Parametres!$G$3),J375,D375)</f>
        <v>706.52</v>
      </c>
      <c r="P375" s="655">
        <f>+IF(OR($Q375=Parametres!$G$2,$Q375=Parametres!$G$3),K375,E375)</f>
        <v>8708.94</v>
      </c>
      <c r="Q375" s="654" t="str">
        <f t="shared" ref="Q375:S375" si="381">+F375</f>
        <v>7-Dépenses</v>
      </c>
      <c r="R375" s="653" t="str">
        <f t="shared" si="381"/>
        <v>6152</v>
      </c>
      <c r="S375" s="654">
        <f t="shared" si="381"/>
        <v>0</v>
      </c>
      <c r="T375" s="656" t="str">
        <f>+VLOOKUP($L375,Data_Validation!$A:$D,1,0)</f>
        <v>6452</v>
      </c>
      <c r="U375" s="656" t="str">
        <f>+VLOOKUP($L375,Data_Validation!$A:$D,3,0)</f>
        <v>Service</v>
      </c>
      <c r="V375" s="656" t="str">
        <f>+VLOOKUP($L375,Data_Validation!$A:$D,4,0)</f>
        <v>Papeterie</v>
      </c>
      <c r="W375" s="656" t="str">
        <f>+VLOOKUP($L375,Data_Validation!$A:$E,5,0)</f>
        <v>$</v>
      </c>
      <c r="X375" s="656">
        <f>+VLOOKUP($L375,Data_Validation!$A:$F,6,0)</f>
        <v>0</v>
      </c>
    </row>
    <row r="376" spans="1:24" ht="15" customHeight="1">
      <c r="A376" s="1052" t="s">
        <v>1201</v>
      </c>
      <c r="B376" s="1052" t="s">
        <v>2496</v>
      </c>
      <c r="C376" s="1054">
        <v>2872.32</v>
      </c>
      <c r="D376" s="1054">
        <v>183.61</v>
      </c>
      <c r="E376" s="1054">
        <v>3055.93</v>
      </c>
      <c r="F376" s="1052" t="s">
        <v>1154</v>
      </c>
      <c r="G376" s="1052" t="s">
        <v>1202</v>
      </c>
      <c r="H376" s="1029"/>
      <c r="I376" s="1032"/>
      <c r="J376" s="1032"/>
      <c r="K376" s="1032"/>
      <c r="L376" s="653" t="str">
        <f t="shared" si="328"/>
        <v>6453</v>
      </c>
      <c r="M376" s="654" t="str">
        <f t="shared" si="260"/>
        <v>TELEPHONE ET TELEX</v>
      </c>
      <c r="N376" s="655">
        <f>+IF(OR($Q376=Parametres!$G$2,$Q376=Parametres!$G$3),I376,C376)</f>
        <v>2872.32</v>
      </c>
      <c r="O376" s="655">
        <f>+IF(OR($Q376=Parametres!$G$2,$Q376=Parametres!$G$3),J376,D376)</f>
        <v>183.61</v>
      </c>
      <c r="P376" s="655">
        <f>+IF(OR($Q376=Parametres!$G$2,$Q376=Parametres!$G$3),K376,E376)</f>
        <v>3055.93</v>
      </c>
      <c r="Q376" s="654" t="str">
        <f t="shared" ref="Q376:S376" si="382">+F376</f>
        <v>7-Dépenses</v>
      </c>
      <c r="R376" s="653" t="str">
        <f t="shared" si="382"/>
        <v>6153</v>
      </c>
      <c r="S376" s="654">
        <f t="shared" si="382"/>
        <v>0</v>
      </c>
      <c r="T376" s="656" t="str">
        <f>+VLOOKUP($L376,Data_Validation!$A:$D,1,0)</f>
        <v>6453</v>
      </c>
      <c r="U376" s="656" t="str">
        <f>+VLOOKUP($L376,Data_Validation!$A:$D,3,0)</f>
        <v>Service</v>
      </c>
      <c r="V376" s="656" t="str">
        <f>+VLOOKUP($L376,Data_Validation!$A:$D,4,0)</f>
        <v>Téléphone</v>
      </c>
      <c r="W376" s="656" t="str">
        <f>+VLOOKUP($L376,Data_Validation!$A:$E,5,0)</f>
        <v>$</v>
      </c>
      <c r="X376" s="656">
        <f>+VLOOKUP($L376,Data_Validation!$A:$F,6,0)</f>
        <v>0</v>
      </c>
    </row>
    <row r="377" spans="1:24" ht="15" customHeight="1">
      <c r="A377" s="1052" t="s">
        <v>1203</v>
      </c>
      <c r="B377" s="1052" t="s">
        <v>2499</v>
      </c>
      <c r="C377" s="1054">
        <v>2198.48</v>
      </c>
      <c r="D377" s="1054">
        <v>198.38</v>
      </c>
      <c r="E377" s="1054">
        <v>2396.86</v>
      </c>
      <c r="F377" s="1052" t="s">
        <v>1154</v>
      </c>
      <c r="G377" s="1052" t="s">
        <v>1204</v>
      </c>
      <c r="H377" s="1029"/>
      <c r="I377" s="1032"/>
      <c r="J377" s="1032"/>
      <c r="K377" s="1032"/>
      <c r="L377" s="653" t="str">
        <f t="shared" si="328"/>
        <v>6455</v>
      </c>
      <c r="M377" s="654" t="str">
        <f t="shared" si="260"/>
        <v>DEPENSES DIVERS</v>
      </c>
      <c r="N377" s="655">
        <f>+IF(OR($Q377=Parametres!$G$2,$Q377=Parametres!$G$3),I377,C377)</f>
        <v>2198.48</v>
      </c>
      <c r="O377" s="655">
        <f>+IF(OR($Q377=Parametres!$G$2,$Q377=Parametres!$G$3),J377,D377)</f>
        <v>198.38</v>
      </c>
      <c r="P377" s="655">
        <f>+IF(OR($Q377=Parametres!$G$2,$Q377=Parametres!$G$3),K377,E377)</f>
        <v>2396.86</v>
      </c>
      <c r="Q377" s="654" t="str">
        <f t="shared" ref="Q377:S377" si="383">+F377</f>
        <v>7-Dépenses</v>
      </c>
      <c r="R377" s="653" t="str">
        <f t="shared" si="383"/>
        <v>6155</v>
      </c>
      <c r="S377" s="654">
        <f t="shared" si="383"/>
        <v>0</v>
      </c>
      <c r="T377" s="656" t="str">
        <f>+VLOOKUP($L377,Data_Validation!$A:$D,1,0)</f>
        <v>6455</v>
      </c>
      <c r="U377" s="656" t="str">
        <f>+VLOOKUP($L377,Data_Validation!$A:$D,3,0)</f>
        <v>Service</v>
      </c>
      <c r="V377" s="656" t="str">
        <f>+VLOOKUP($L377,Data_Validation!$A:$D,4,0)</f>
        <v>Divers</v>
      </c>
      <c r="W377" s="656" t="str">
        <f>+VLOOKUP($L377,Data_Validation!$A:$E,5,0)</f>
        <v>$</v>
      </c>
      <c r="X377" s="656">
        <f>+VLOOKUP($L377,Data_Validation!$A:$F,6,0)</f>
        <v>0</v>
      </c>
    </row>
    <row r="378" spans="1:24" ht="15" customHeight="1">
      <c r="A378" s="1052" t="s">
        <v>1251</v>
      </c>
      <c r="B378" s="1052" t="s">
        <v>2502</v>
      </c>
      <c r="C378" s="1054">
        <v>12345.83</v>
      </c>
      <c r="D378" s="1054">
        <v>961.16</v>
      </c>
      <c r="E378" s="1054">
        <v>13306.99</v>
      </c>
      <c r="F378" s="1052" t="s">
        <v>1154</v>
      </c>
      <c r="G378" s="1052" t="s">
        <v>1206</v>
      </c>
      <c r="H378" s="1029"/>
      <c r="I378" s="1032"/>
      <c r="J378" s="1032"/>
      <c r="K378" s="1032"/>
      <c r="L378" s="653" t="str">
        <f t="shared" si="328"/>
        <v>6456</v>
      </c>
      <c r="M378" s="654" t="str">
        <f t="shared" si="260"/>
        <v>FRAIS REPRESENTATION - SERVICE</v>
      </c>
      <c r="N378" s="655">
        <f>+IF(OR($Q378=Parametres!$G$2,$Q378=Parametres!$G$3),I378,C378)</f>
        <v>12345.83</v>
      </c>
      <c r="O378" s="655">
        <f>+IF(OR($Q378=Parametres!$G$2,$Q378=Parametres!$G$3),J378,D378)</f>
        <v>961.16</v>
      </c>
      <c r="P378" s="655">
        <f>+IF(OR($Q378=Parametres!$G$2,$Q378=Parametres!$G$3),K378,E378)</f>
        <v>13306.99</v>
      </c>
      <c r="Q378" s="654" t="str">
        <f t="shared" ref="Q378:S378" si="384">+F378</f>
        <v>7-Dépenses</v>
      </c>
      <c r="R378" s="653" t="str">
        <f t="shared" si="384"/>
        <v>6156</v>
      </c>
      <c r="S378" s="654">
        <f t="shared" si="384"/>
        <v>0</v>
      </c>
      <c r="T378" s="656" t="str">
        <f>+VLOOKUP($L378,Data_Validation!$A:$D,1,0)</f>
        <v>6456</v>
      </c>
      <c r="U378" s="656" t="str">
        <f>+VLOOKUP($L378,Data_Validation!$A:$D,3,0)</f>
        <v>Service</v>
      </c>
      <c r="V378" s="656" t="str">
        <f>+VLOOKUP($L378,Data_Validation!$A:$D,4,0)</f>
        <v>Frais de déplacement</v>
      </c>
      <c r="W378" s="656" t="str">
        <f>+VLOOKUP($L378,Data_Validation!$A:$E,5,0)</f>
        <v>$</v>
      </c>
      <c r="X378" s="656">
        <f>+VLOOKUP($L378,Data_Validation!$A:$F,6,0)</f>
        <v>0</v>
      </c>
    </row>
    <row r="379" spans="1:24" ht="15.75" customHeight="1">
      <c r="A379" s="1052" t="s">
        <v>1252</v>
      </c>
      <c r="B379" s="1052" t="s">
        <v>3394</v>
      </c>
      <c r="C379" s="1054">
        <v>20065.53</v>
      </c>
      <c r="D379" s="1054">
        <v>1834.29</v>
      </c>
      <c r="E379" s="1054">
        <v>21899.82</v>
      </c>
      <c r="F379" s="1052" t="s">
        <v>1154</v>
      </c>
      <c r="G379" s="1052" t="s">
        <v>1253</v>
      </c>
      <c r="H379" s="1029"/>
      <c r="I379" s="1032"/>
      <c r="J379" s="1032"/>
      <c r="K379" s="1032"/>
      <c r="L379" s="653" t="str">
        <f t="shared" si="328"/>
        <v>6457</v>
      </c>
      <c r="M379" s="654" t="str">
        <f t="shared" si="260"/>
        <v>FRAIS BANCAIRES - SERVICE</v>
      </c>
      <c r="N379" s="655">
        <f>+IF(OR($Q379=Parametres!$G$2,$Q379=Parametres!$G$3),I379,C379)</f>
        <v>20065.53</v>
      </c>
      <c r="O379" s="655">
        <f>+IF(OR($Q379=Parametres!$G$2,$Q379=Parametres!$G$3),J379,D379)</f>
        <v>1834.29</v>
      </c>
      <c r="P379" s="655">
        <f>+IF(OR($Q379=Parametres!$G$2,$Q379=Parametres!$G$3),K379,E379)</f>
        <v>21899.82</v>
      </c>
      <c r="Q379" s="654" t="str">
        <f t="shared" ref="Q379:S379" si="385">+F379</f>
        <v>7-Dépenses</v>
      </c>
      <c r="R379" s="653" t="str">
        <f t="shared" si="385"/>
        <v>645</v>
      </c>
      <c r="S379" s="654">
        <f t="shared" si="385"/>
        <v>0</v>
      </c>
      <c r="T379" s="656" t="str">
        <f>+VLOOKUP($L379,Data_Validation!$A:$D,1,0)</f>
        <v>6457</v>
      </c>
      <c r="U379" s="656" t="str">
        <f>+VLOOKUP($L379,Data_Validation!$A:$D,3,0)</f>
        <v>Service</v>
      </c>
      <c r="V379" s="656" t="str">
        <f>+VLOOKUP($L379,Data_Validation!$A:$D,4,0)</f>
        <v>Frais bancaires</v>
      </c>
      <c r="W379" s="656" t="str">
        <f>+VLOOKUP($L379,Data_Validation!$A:$E,5,0)</f>
        <v>$</v>
      </c>
      <c r="X379" s="656">
        <f>+VLOOKUP($L379,Data_Validation!$A:$F,6,0)</f>
        <v>0</v>
      </c>
    </row>
    <row r="380" spans="1:24" ht="15" customHeight="1">
      <c r="A380" s="1052" t="s">
        <v>1209</v>
      </c>
      <c r="B380" s="1052" t="s">
        <v>2505</v>
      </c>
      <c r="C380" s="1054">
        <v>24793.53</v>
      </c>
      <c r="D380" s="1054">
        <v>2398.16</v>
      </c>
      <c r="E380" s="1054">
        <v>27191.69</v>
      </c>
      <c r="F380" s="1052" t="s">
        <v>1154</v>
      </c>
      <c r="G380" s="1052" t="s">
        <v>1210</v>
      </c>
      <c r="H380" s="1029"/>
      <c r="I380" s="1032"/>
      <c r="J380" s="1032"/>
      <c r="K380" s="1032"/>
      <c r="L380" s="653" t="str">
        <f t="shared" si="328"/>
        <v>6459</v>
      </c>
      <c r="M380" s="654" t="str">
        <f t="shared" si="260"/>
        <v>SERVICE EXTERIEUR</v>
      </c>
      <c r="N380" s="655">
        <f>+IF(OR($Q380=Parametres!$G$2,$Q380=Parametres!$G$3),I380,C380)</f>
        <v>24793.53</v>
      </c>
      <c r="O380" s="655">
        <f>+IF(OR($Q380=Parametres!$G$2,$Q380=Parametres!$G$3),J380,D380)</f>
        <v>2398.16</v>
      </c>
      <c r="P380" s="655">
        <f>+IF(OR($Q380=Parametres!$G$2,$Q380=Parametres!$G$3),K380,E380)</f>
        <v>27191.69</v>
      </c>
      <c r="Q380" s="654" t="str">
        <f t="shared" ref="Q380:S380" si="386">+F380</f>
        <v>7-Dépenses</v>
      </c>
      <c r="R380" s="653" t="str">
        <f t="shared" si="386"/>
        <v>6159</v>
      </c>
      <c r="S380" s="654">
        <f t="shared" si="386"/>
        <v>0</v>
      </c>
      <c r="T380" s="656" t="str">
        <f>+VLOOKUP($L380,Data_Validation!$A:$D,1,0)</f>
        <v>6459</v>
      </c>
      <c r="U380" s="656" t="str">
        <f>+VLOOKUP($L380,Data_Validation!$A:$D,3,0)</f>
        <v>Service</v>
      </c>
      <c r="V380" s="656" t="str">
        <f>+VLOOKUP($L380,Data_Validation!$A:$D,4,0)</f>
        <v>Services extérieurs</v>
      </c>
      <c r="W380" s="656" t="str">
        <f>+VLOOKUP($L380,Data_Validation!$A:$E,5,0)</f>
        <v>$</v>
      </c>
      <c r="X380" s="656">
        <f>+VLOOKUP($L380,Data_Validation!$A:$F,6,0)</f>
        <v>0</v>
      </c>
    </row>
    <row r="381" spans="1:24" ht="15" customHeight="1">
      <c r="A381" s="1052" t="s">
        <v>1211</v>
      </c>
      <c r="B381" s="1052" t="s">
        <v>2508</v>
      </c>
      <c r="C381" s="1054">
        <v>11390.28</v>
      </c>
      <c r="D381" s="1054">
        <v>1035.48</v>
      </c>
      <c r="E381" s="1054">
        <v>12425.76</v>
      </c>
      <c r="F381" s="1052" t="s">
        <v>1154</v>
      </c>
      <c r="G381" s="1052" t="s">
        <v>1212</v>
      </c>
      <c r="H381" s="1029"/>
      <c r="I381" s="1032"/>
      <c r="J381" s="1032"/>
      <c r="K381" s="1032"/>
      <c r="L381" s="653" t="str">
        <f t="shared" si="328"/>
        <v>6461</v>
      </c>
      <c r="M381" s="654" t="str">
        <f t="shared" si="260"/>
        <v>DEPRECIATION EQUIP. &amp; FIXTURES</v>
      </c>
      <c r="N381" s="655">
        <f>+IF(OR($Q381=Parametres!$G$2,$Q381=Parametres!$G$3),I381,C381)</f>
        <v>11390.28</v>
      </c>
      <c r="O381" s="655">
        <f>+IF(OR($Q381=Parametres!$G$2,$Q381=Parametres!$G$3),J381,D381)</f>
        <v>1035.48</v>
      </c>
      <c r="P381" s="655">
        <f>+IF(OR($Q381=Parametres!$G$2,$Q381=Parametres!$G$3),K381,E381)</f>
        <v>12425.76</v>
      </c>
      <c r="Q381" s="654" t="str">
        <f t="shared" ref="Q381:S381" si="387">+F381</f>
        <v>7-Dépenses</v>
      </c>
      <c r="R381" s="653" t="str">
        <f t="shared" si="387"/>
        <v>6161</v>
      </c>
      <c r="S381" s="654">
        <f t="shared" si="387"/>
        <v>0</v>
      </c>
      <c r="T381" s="656" t="str">
        <f>+VLOOKUP($L381,Data_Validation!$A:$D,1,0)</f>
        <v>6461</v>
      </c>
      <c r="U381" s="656" t="str">
        <f>+VLOOKUP($L381,Data_Validation!$A:$D,3,0)</f>
        <v>Service</v>
      </c>
      <c r="V381" s="656" t="str">
        <f>+VLOOKUP($L381,Data_Validation!$A:$D,4,0)</f>
        <v>Amortissement</v>
      </c>
      <c r="W381" s="656" t="str">
        <f>+VLOOKUP($L381,Data_Validation!$A:$E,5,0)</f>
        <v>$</v>
      </c>
      <c r="X381" s="656">
        <f>+VLOOKUP($L381,Data_Validation!$A:$F,6,0)</f>
        <v>0</v>
      </c>
    </row>
    <row r="382" spans="1:24" ht="15" customHeight="1">
      <c r="A382" s="1052" t="s">
        <v>1254</v>
      </c>
      <c r="B382" s="1052" t="s">
        <v>2514</v>
      </c>
      <c r="C382" s="1054">
        <v>17496.59</v>
      </c>
      <c r="D382" s="1054">
        <v>1186.6300000000001</v>
      </c>
      <c r="E382" s="1054">
        <v>18683.22</v>
      </c>
      <c r="F382" s="1052" t="s">
        <v>1154</v>
      </c>
      <c r="G382" s="1052" t="s">
        <v>1255</v>
      </c>
      <c r="H382" s="1029"/>
      <c r="I382" s="1032"/>
      <c r="J382" s="1032"/>
      <c r="K382" s="1032"/>
      <c r="L382" s="653" t="str">
        <f t="shared" si="328"/>
        <v>6463</v>
      </c>
      <c r="M382" s="654" t="str">
        <f t="shared" si="260"/>
        <v>REPARATION &amp; ENT. - EQUIP.</v>
      </c>
      <c r="N382" s="655">
        <f>+IF(OR($Q382=Parametres!$G$2,$Q382=Parametres!$G$3),I382,C382)</f>
        <v>17496.59</v>
      </c>
      <c r="O382" s="655">
        <f>+IF(OR($Q382=Parametres!$G$2,$Q382=Parametres!$G$3),J382,D382)</f>
        <v>1186.6300000000001</v>
      </c>
      <c r="P382" s="655">
        <f>+IF(OR($Q382=Parametres!$G$2,$Q382=Parametres!$G$3),K382,E382)</f>
        <v>18683.22</v>
      </c>
      <c r="Q382" s="654" t="str">
        <f t="shared" ref="Q382:S382" si="388">+F382</f>
        <v>7-Dépenses</v>
      </c>
      <c r="R382" s="653" t="str">
        <f t="shared" si="388"/>
        <v>6163</v>
      </c>
      <c r="S382" s="654">
        <f t="shared" si="388"/>
        <v>0</v>
      </c>
      <c r="T382" s="656" t="str">
        <f>+VLOOKUP($L382,Data_Validation!$A:$D,1,0)</f>
        <v>6463</v>
      </c>
      <c r="U382" s="656" t="str">
        <f>+VLOOKUP($L382,Data_Validation!$A:$D,3,0)</f>
        <v>Service</v>
      </c>
      <c r="V382" s="656" t="str">
        <f>+VLOOKUP($L382,Data_Validation!$A:$D,4,0)</f>
        <v>Réparation équipement</v>
      </c>
      <c r="W382" s="656" t="str">
        <f>+VLOOKUP($L382,Data_Validation!$A:$E,5,0)</f>
        <v>$</v>
      </c>
      <c r="X382" s="656">
        <f>+VLOOKUP($L382,Data_Validation!$A:$F,6,0)</f>
        <v>0</v>
      </c>
    </row>
    <row r="383" spans="1:24" ht="15.75" customHeight="1">
      <c r="A383" s="1052" t="s">
        <v>1256</v>
      </c>
      <c r="B383" s="1052" t="s">
        <v>2517</v>
      </c>
      <c r="C383" s="1054">
        <v>6679.89</v>
      </c>
      <c r="D383" s="1054">
        <v>223.4</v>
      </c>
      <c r="E383" s="1054">
        <v>6903.29</v>
      </c>
      <c r="F383" s="1052" t="s">
        <v>1154</v>
      </c>
      <c r="G383" s="1052" t="s">
        <v>1214</v>
      </c>
      <c r="H383" s="1029"/>
      <c r="I383" s="1032"/>
      <c r="J383" s="1032"/>
      <c r="K383" s="1032"/>
      <c r="L383" s="653" t="str">
        <f t="shared" si="328"/>
        <v>6481</v>
      </c>
      <c r="M383" s="654" t="str">
        <f t="shared" si="260"/>
        <v>CHAUFFAGE,ELECTRICITE,EAU-SERVICE</v>
      </c>
      <c r="N383" s="655">
        <f>+IF(OR($Q383=Parametres!$G$2,$Q383=Parametres!$G$3),I383,C383)</f>
        <v>6679.89</v>
      </c>
      <c r="O383" s="655">
        <f>+IF(OR($Q383=Parametres!$G$2,$Q383=Parametres!$G$3),J383,D383)</f>
        <v>223.4</v>
      </c>
      <c r="P383" s="655">
        <f>+IF(OR($Q383=Parametres!$G$2,$Q383=Parametres!$G$3),K383,E383)</f>
        <v>6903.29</v>
      </c>
      <c r="Q383" s="654" t="str">
        <f t="shared" ref="Q383:S383" si="389">+F383</f>
        <v>7-Dépenses</v>
      </c>
      <c r="R383" s="653" t="str">
        <f t="shared" si="389"/>
        <v>6181</v>
      </c>
      <c r="S383" s="654">
        <f t="shared" si="389"/>
        <v>0</v>
      </c>
      <c r="T383" s="656" t="str">
        <f>+VLOOKUP($L383,Data_Validation!$A:$D,1,0)</f>
        <v>6481</v>
      </c>
      <c r="U383" s="656" t="str">
        <f>+VLOOKUP($L383,Data_Validation!$A:$D,3,0)</f>
        <v>Service</v>
      </c>
      <c r="V383" s="656" t="str">
        <f>+VLOOKUP($L383,Data_Validation!$A:$D,4,0)</f>
        <v>Chauffage, éclairage</v>
      </c>
      <c r="W383" s="656" t="str">
        <f>+VLOOKUP($L383,Data_Validation!$A:$E,5,0)</f>
        <v>$</v>
      </c>
      <c r="X383" s="656">
        <f>+VLOOKUP($L383,Data_Validation!$A:$F,6,0)</f>
        <v>0</v>
      </c>
    </row>
    <row r="384" spans="1:24" ht="15" customHeight="1">
      <c r="A384" s="1052" t="s">
        <v>1257</v>
      </c>
      <c r="B384" s="1052" t="s">
        <v>2520</v>
      </c>
      <c r="C384" s="1054">
        <v>68640</v>
      </c>
      <c r="D384" s="1054">
        <v>6240</v>
      </c>
      <c r="E384" s="1054">
        <v>74880</v>
      </c>
      <c r="F384" s="1052" t="s">
        <v>1154</v>
      </c>
      <c r="G384" s="1052" t="s">
        <v>1216</v>
      </c>
      <c r="H384" s="1029"/>
      <c r="I384" s="1032"/>
      <c r="J384" s="1032"/>
      <c r="K384" s="1032"/>
      <c r="L384" s="653" t="str">
        <f t="shared" si="328"/>
        <v>6482</v>
      </c>
      <c r="M384" s="654" t="str">
        <f t="shared" si="260"/>
        <v>LOYER - SERVICE</v>
      </c>
      <c r="N384" s="655">
        <f>+IF(OR($Q384=Parametres!$G$2,$Q384=Parametres!$G$3),I384,C384)</f>
        <v>68640</v>
      </c>
      <c r="O384" s="655">
        <f>+IF(OR($Q384=Parametres!$G$2,$Q384=Parametres!$G$3),J384,D384)</f>
        <v>6240</v>
      </c>
      <c r="P384" s="655">
        <f>+IF(OR($Q384=Parametres!$G$2,$Q384=Parametres!$G$3),K384,E384)</f>
        <v>74880</v>
      </c>
      <c r="Q384" s="654" t="str">
        <f t="shared" ref="Q384:S384" si="390">+F384</f>
        <v>7-Dépenses</v>
      </c>
      <c r="R384" s="653" t="str">
        <f t="shared" si="390"/>
        <v>6182</v>
      </c>
      <c r="S384" s="654">
        <f t="shared" si="390"/>
        <v>0</v>
      </c>
      <c r="T384" s="656" t="str">
        <f>+VLOOKUP($L384,Data_Validation!$A:$D,1,0)</f>
        <v>6482</v>
      </c>
      <c r="U384" s="656" t="str">
        <f>+VLOOKUP($L384,Data_Validation!$A:$D,3,0)</f>
        <v>Service</v>
      </c>
      <c r="V384" s="656" t="str">
        <f>+VLOOKUP($L384,Data_Validation!$A:$D,4,0)</f>
        <v>Loyer</v>
      </c>
      <c r="W384" s="656" t="str">
        <f>+VLOOKUP($L384,Data_Validation!$A:$E,5,0)</f>
        <v>$</v>
      </c>
      <c r="X384" s="656">
        <f>+VLOOKUP($L384,Data_Validation!$A:$F,6,0)</f>
        <v>0</v>
      </c>
    </row>
    <row r="385" spans="1:24" ht="15" customHeight="1">
      <c r="A385" s="1052" t="s">
        <v>1258</v>
      </c>
      <c r="B385" s="1052" t="s">
        <v>2523</v>
      </c>
      <c r="C385" s="1054">
        <v>11275.44</v>
      </c>
      <c r="D385" s="1054">
        <v>1025.04</v>
      </c>
      <c r="E385" s="1054">
        <v>12300.48</v>
      </c>
      <c r="F385" s="1052" t="s">
        <v>1154</v>
      </c>
      <c r="G385" s="1052" t="s">
        <v>1218</v>
      </c>
      <c r="H385" s="1029"/>
      <c r="I385" s="1032"/>
      <c r="J385" s="1032"/>
      <c r="K385" s="1032"/>
      <c r="L385" s="653" t="str">
        <f t="shared" si="328"/>
        <v>6486</v>
      </c>
      <c r="M385" s="654" t="str">
        <f t="shared" si="260"/>
        <v>ASSURANCE BATISSE &amp; AMEL.-SERVICE</v>
      </c>
      <c r="N385" s="655">
        <f>+IF(OR($Q385=Parametres!$G$2,$Q385=Parametres!$G$3),I385,C385)</f>
        <v>11275.44</v>
      </c>
      <c r="O385" s="655">
        <f>+IF(OR($Q385=Parametres!$G$2,$Q385=Parametres!$G$3),J385,D385)</f>
        <v>1025.04</v>
      </c>
      <c r="P385" s="655">
        <f>+IF(OR($Q385=Parametres!$G$2,$Q385=Parametres!$G$3),K385,E385)</f>
        <v>12300.48</v>
      </c>
      <c r="Q385" s="654" t="str">
        <f t="shared" ref="Q385:S385" si="391">+F385</f>
        <v>7-Dépenses</v>
      </c>
      <c r="R385" s="653" t="str">
        <f t="shared" si="391"/>
        <v>6186</v>
      </c>
      <c r="S385" s="654">
        <f t="shared" si="391"/>
        <v>0</v>
      </c>
      <c r="T385" s="656" t="str">
        <f>+VLOOKUP($L385,Data_Validation!$A:$D,1,0)</f>
        <v>6486</v>
      </c>
      <c r="U385" s="656" t="str">
        <f>+VLOOKUP($L385,Data_Validation!$A:$D,3,0)</f>
        <v>Service</v>
      </c>
      <c r="V385" s="656" t="str">
        <f>+VLOOKUP($L385,Data_Validation!$A:$D,4,0)</f>
        <v>Assurances</v>
      </c>
      <c r="W385" s="656" t="str">
        <f>+VLOOKUP($L385,Data_Validation!$A:$E,5,0)</f>
        <v>$</v>
      </c>
      <c r="X385" s="656">
        <f>+VLOOKUP($L385,Data_Validation!$A:$F,6,0)</f>
        <v>0</v>
      </c>
    </row>
    <row r="386" spans="1:24" ht="15" customHeight="1">
      <c r="A386" s="1052" t="s">
        <v>1259</v>
      </c>
      <c r="B386" s="1052" t="s">
        <v>2526</v>
      </c>
      <c r="C386" s="1054">
        <v>13015.2</v>
      </c>
      <c r="D386" s="1054">
        <v>397.45</v>
      </c>
      <c r="E386" s="1054">
        <v>13412.65</v>
      </c>
      <c r="F386" s="1052" t="s">
        <v>1154</v>
      </c>
      <c r="G386" s="1052" t="s">
        <v>1220</v>
      </c>
      <c r="H386" s="1029"/>
      <c r="I386" s="1032"/>
      <c r="J386" s="1032"/>
      <c r="K386" s="1032"/>
      <c r="L386" s="653" t="str">
        <f t="shared" si="328"/>
        <v>6487</v>
      </c>
      <c r="M386" s="654" t="str">
        <f t="shared" si="260"/>
        <v>TAXES FONCIERES - SERVICE</v>
      </c>
      <c r="N386" s="655">
        <f>+IF(OR($Q386=Parametres!$G$2,$Q386=Parametres!$G$3),I386,C386)</f>
        <v>13015.2</v>
      </c>
      <c r="O386" s="655">
        <f>+IF(OR($Q386=Parametres!$G$2,$Q386=Parametres!$G$3),J386,D386)</f>
        <v>397.45</v>
      </c>
      <c r="P386" s="655">
        <f>+IF(OR($Q386=Parametres!$G$2,$Q386=Parametres!$G$3),K386,E386)</f>
        <v>13412.65</v>
      </c>
      <c r="Q386" s="654" t="str">
        <f t="shared" ref="Q386:S386" si="392">+F386</f>
        <v>7-Dépenses</v>
      </c>
      <c r="R386" s="653" t="str">
        <f t="shared" si="392"/>
        <v>6187</v>
      </c>
      <c r="S386" s="654">
        <f t="shared" si="392"/>
        <v>0</v>
      </c>
      <c r="T386" s="656" t="str">
        <f>+VLOOKUP($L386,Data_Validation!$A:$D,1,0)</f>
        <v>6487</v>
      </c>
      <c r="U386" s="656" t="str">
        <f>+VLOOKUP($L386,Data_Validation!$A:$D,3,0)</f>
        <v>Service</v>
      </c>
      <c r="V386" s="656" t="str">
        <f>+VLOOKUP($L386,Data_Validation!$A:$D,4,0)</f>
        <v>Taxes foncières</v>
      </c>
      <c r="W386" s="656" t="str">
        <f>+VLOOKUP($L386,Data_Validation!$A:$E,5,0)</f>
        <v>$</v>
      </c>
      <c r="X386" s="656">
        <f>+VLOOKUP($L386,Data_Validation!$A:$F,6,0)</f>
        <v>0</v>
      </c>
    </row>
    <row r="387" spans="1:24" ht="15.75" customHeight="1">
      <c r="A387" s="1052" t="s">
        <v>1260</v>
      </c>
      <c r="B387" s="1052" t="s">
        <v>2529</v>
      </c>
      <c r="C387" s="1054">
        <v>8659.2000000000007</v>
      </c>
      <c r="D387" s="1054">
        <v>787.2</v>
      </c>
      <c r="E387" s="1054">
        <v>9446.4</v>
      </c>
      <c r="F387" s="1052" t="s">
        <v>1154</v>
      </c>
      <c r="G387" s="1052" t="s">
        <v>1222</v>
      </c>
      <c r="H387" s="1029"/>
      <c r="I387" s="1032"/>
      <c r="J387" s="1032"/>
      <c r="K387" s="1032"/>
      <c r="L387" s="653" t="str">
        <f t="shared" ref="L387:L450" si="393">TEXT(B387,0)</f>
        <v>6493</v>
      </c>
      <c r="M387" s="654" t="str">
        <f t="shared" si="260"/>
        <v>AUTRE TAXES-SERVICE</v>
      </c>
      <c r="N387" s="655">
        <f>+IF(OR($Q387=Parametres!$G$2,$Q387=Parametres!$G$3),I387,C387)</f>
        <v>8659.2000000000007</v>
      </c>
      <c r="O387" s="655">
        <f>+IF(OR($Q387=Parametres!$G$2,$Q387=Parametres!$G$3),J387,D387)</f>
        <v>787.2</v>
      </c>
      <c r="P387" s="655">
        <f>+IF(OR($Q387=Parametres!$G$2,$Q387=Parametres!$G$3),K387,E387)</f>
        <v>9446.4</v>
      </c>
      <c r="Q387" s="654" t="str">
        <f t="shared" ref="Q387:S387" si="394">+F387</f>
        <v>7-Dépenses</v>
      </c>
      <c r="R387" s="653" t="str">
        <f t="shared" si="394"/>
        <v>6193</v>
      </c>
      <c r="S387" s="654">
        <f t="shared" si="394"/>
        <v>0</v>
      </c>
      <c r="T387" s="656" t="str">
        <f>+VLOOKUP($L387,Data_Validation!$A:$D,1,0)</f>
        <v>6493</v>
      </c>
      <c r="U387" s="656" t="str">
        <f>+VLOOKUP($L387,Data_Validation!$A:$D,3,0)</f>
        <v>Service</v>
      </c>
      <c r="V387" s="656" t="str">
        <f>+VLOOKUP($L387,Data_Validation!$A:$D,4,0)</f>
        <v>Taxes d`affaires</v>
      </c>
      <c r="W387" s="656" t="str">
        <f>+VLOOKUP($L387,Data_Validation!$A:$E,5,0)</f>
        <v>$</v>
      </c>
      <c r="X387" s="656">
        <f>+VLOOKUP($L387,Data_Validation!$A:$F,6,0)</f>
        <v>0</v>
      </c>
    </row>
    <row r="388" spans="1:24" ht="15" customHeight="1">
      <c r="A388" s="1052" t="s">
        <v>1261</v>
      </c>
      <c r="B388" s="1052" t="s">
        <v>2532</v>
      </c>
      <c r="C388" s="1054">
        <v>16409.599999999999</v>
      </c>
      <c r="D388" s="1054">
        <v>1469.6</v>
      </c>
      <c r="E388" s="1054">
        <v>17879.2</v>
      </c>
      <c r="F388" s="1052" t="s">
        <v>1154</v>
      </c>
      <c r="G388" s="1052" t="s">
        <v>1224</v>
      </c>
      <c r="H388" s="1029"/>
      <c r="I388" s="1032"/>
      <c r="J388" s="1032"/>
      <c r="K388" s="1032"/>
      <c r="L388" s="653" t="str">
        <f t="shared" si="393"/>
        <v>6494</v>
      </c>
      <c r="M388" s="654" t="str">
        <f t="shared" si="260"/>
        <v>FRAIS PROFESSIONNEL-SERVICE</v>
      </c>
      <c r="N388" s="655">
        <f>+IF(OR($Q388=Parametres!$G$2,$Q388=Parametres!$G$3),I388,C388)</f>
        <v>16409.599999999999</v>
      </c>
      <c r="O388" s="655">
        <f>+IF(OR($Q388=Parametres!$G$2,$Q388=Parametres!$G$3),J388,D388)</f>
        <v>1469.6</v>
      </c>
      <c r="P388" s="655">
        <f>+IF(OR($Q388=Parametres!$G$2,$Q388=Parametres!$G$3),K388,E388)</f>
        <v>17879.2</v>
      </c>
      <c r="Q388" s="654" t="str">
        <f t="shared" ref="Q388:S388" si="395">+F388</f>
        <v>7-Dépenses</v>
      </c>
      <c r="R388" s="653" t="str">
        <f t="shared" si="395"/>
        <v>6194</v>
      </c>
      <c r="S388" s="654">
        <f t="shared" si="395"/>
        <v>0</v>
      </c>
      <c r="T388" s="656" t="str">
        <f>+VLOOKUP($L388,Data_Validation!$A:$D,1,0)</f>
        <v>6494</v>
      </c>
      <c r="U388" s="656" t="str">
        <f>+VLOOKUP($L388,Data_Validation!$A:$D,3,0)</f>
        <v>Service</v>
      </c>
      <c r="V388" s="656" t="str">
        <f>+VLOOKUP($L388,Data_Validation!$A:$D,4,0)</f>
        <v>Honoraires</v>
      </c>
      <c r="W388" s="656" t="str">
        <f>+VLOOKUP($L388,Data_Validation!$A:$E,5,0)</f>
        <v>$</v>
      </c>
      <c r="X388" s="656">
        <f>+VLOOKUP($L388,Data_Validation!$A:$F,6,0)</f>
        <v>0</v>
      </c>
    </row>
    <row r="389" spans="1:24" ht="15" customHeight="1">
      <c r="A389" s="1052" t="s">
        <v>1262</v>
      </c>
      <c r="B389" s="1052" t="s">
        <v>3396</v>
      </c>
      <c r="C389" s="1054">
        <v>326.92</v>
      </c>
      <c r="D389" s="1054">
        <v>0</v>
      </c>
      <c r="E389" s="1054">
        <v>326.92</v>
      </c>
      <c r="F389" s="1052" t="s">
        <v>1154</v>
      </c>
      <c r="G389" s="1052" t="s">
        <v>1263</v>
      </c>
      <c r="H389" s="1029"/>
      <c r="I389" s="1032"/>
      <c r="J389" s="1032"/>
      <c r="K389" s="1032"/>
      <c r="L389" s="653" t="str">
        <f t="shared" si="393"/>
        <v>6496</v>
      </c>
      <c r="M389" s="654" t="str">
        <f t="shared" si="260"/>
        <v>MAUVAISES CREANCES - SERVICE</v>
      </c>
      <c r="N389" s="655">
        <f>+IF(OR($Q389=Parametres!$G$2,$Q389=Parametres!$G$3),I389,C389)</f>
        <v>326.92</v>
      </c>
      <c r="O389" s="655">
        <f>+IF(OR($Q389=Parametres!$G$2,$Q389=Parametres!$G$3),J389,D389)</f>
        <v>0</v>
      </c>
      <c r="P389" s="655">
        <f>+IF(OR($Q389=Parametres!$G$2,$Q389=Parametres!$G$3),K389,E389)</f>
        <v>326.92</v>
      </c>
      <c r="Q389" s="654" t="str">
        <f t="shared" ref="Q389:S389" si="396">+F389</f>
        <v>7-Dépenses</v>
      </c>
      <c r="R389" s="653" t="str">
        <f t="shared" si="396"/>
        <v>6196</v>
      </c>
      <c r="S389" s="654">
        <f t="shared" si="396"/>
        <v>0</v>
      </c>
      <c r="T389" s="656" t="str">
        <f>+VLOOKUP($L389,Data_Validation!$A:$D,1,0)</f>
        <v>6496</v>
      </c>
      <c r="U389" s="656" t="str">
        <f>+VLOOKUP($L389,Data_Validation!$A:$D,3,0)</f>
        <v>Service</v>
      </c>
      <c r="V389" s="656" t="str">
        <f>+VLOOKUP($L389,Data_Validation!$A:$D,4,0)</f>
        <v>Divers</v>
      </c>
      <c r="W389" s="656" t="str">
        <f>+VLOOKUP($L389,Data_Validation!$A:$E,5,0)</f>
        <v>$</v>
      </c>
      <c r="X389" s="656">
        <f>+VLOOKUP($L389,Data_Validation!$A:$F,6,0)</f>
        <v>0</v>
      </c>
    </row>
    <row r="390" spans="1:24" ht="15" customHeight="1">
      <c r="A390" s="1052" t="s">
        <v>1158</v>
      </c>
      <c r="B390" s="1052" t="s">
        <v>2535</v>
      </c>
      <c r="C390" s="1054">
        <v>4867.87</v>
      </c>
      <c r="D390" s="1054">
        <v>1987.13</v>
      </c>
      <c r="E390" s="1054">
        <v>6855</v>
      </c>
      <c r="F390" s="1052" t="s">
        <v>1154</v>
      </c>
      <c r="G390" s="1052" t="s">
        <v>1242</v>
      </c>
      <c r="H390" s="1029"/>
      <c r="I390" s="1032"/>
      <c r="J390" s="1032"/>
      <c r="K390" s="1032"/>
      <c r="L390" s="653" t="str">
        <f t="shared" si="393"/>
        <v>6503</v>
      </c>
      <c r="M390" s="654" t="str">
        <f t="shared" si="260"/>
        <v>RELAT. A LA CLIENTELE &amp; AJUST.</v>
      </c>
      <c r="N390" s="655">
        <f>+IF(OR($Q390=Parametres!$G$2,$Q390=Parametres!$G$3),I390,C390)</f>
        <v>4867.87</v>
      </c>
      <c r="O390" s="655">
        <f>+IF(OR($Q390=Parametres!$G$2,$Q390=Parametres!$G$3),J390,D390)</f>
        <v>1987.13</v>
      </c>
      <c r="P390" s="655">
        <f>+IF(OR($Q390=Parametres!$G$2,$Q390=Parametres!$G$3),K390,E390)</f>
        <v>6855</v>
      </c>
      <c r="Q390" s="654" t="str">
        <f t="shared" ref="Q390:S390" si="397">+F390</f>
        <v>7-Dépenses</v>
      </c>
      <c r="R390" s="653" t="str">
        <f t="shared" si="397"/>
        <v>6112</v>
      </c>
      <c r="S390" s="654">
        <f t="shared" si="397"/>
        <v>0</v>
      </c>
      <c r="T390" s="656" t="str">
        <f>+VLOOKUP($L390,Data_Validation!$A:$D,1,0)</f>
        <v>6503</v>
      </c>
      <c r="U390" s="656" t="str">
        <f>+VLOOKUP($L390,Data_Validation!$A:$D,3,0)</f>
        <v>Carrosserie</v>
      </c>
      <c r="V390" s="656" t="str">
        <f>+VLOOKUP($L390,Data_Validation!$A:$D,4,0)</f>
        <v>Service gratuit 2</v>
      </c>
      <c r="W390" s="656" t="str">
        <f>+VLOOKUP($L390,Data_Validation!$A:$E,5,0)</f>
        <v>$</v>
      </c>
      <c r="X390" s="656">
        <f>+VLOOKUP($L390,Data_Validation!$A:$F,6,0)</f>
        <v>0</v>
      </c>
    </row>
    <row r="391" spans="1:24" ht="15.75" customHeight="1">
      <c r="A391" s="1052" t="s">
        <v>1166</v>
      </c>
      <c r="B391" s="1052" t="s">
        <v>2541</v>
      </c>
      <c r="C391" s="1054">
        <v>264.8</v>
      </c>
      <c r="D391" s="1054">
        <v>0.09</v>
      </c>
      <c r="E391" s="1054">
        <v>264.89</v>
      </c>
      <c r="F391" s="1052" t="s">
        <v>1154</v>
      </c>
      <c r="G391" s="1052" t="s">
        <v>1167</v>
      </c>
      <c r="H391" s="1029"/>
      <c r="I391" s="1032"/>
      <c r="J391" s="1032"/>
      <c r="K391" s="1032"/>
      <c r="L391" s="653" t="str">
        <f t="shared" si="393"/>
        <v>6514</v>
      </c>
      <c r="M391" s="654" t="str">
        <f t="shared" si="260"/>
        <v>PUBLICITE</v>
      </c>
      <c r="N391" s="655">
        <f>+IF(OR($Q391=Parametres!$G$2,$Q391=Parametres!$G$3),I391,C391)</f>
        <v>264.8</v>
      </c>
      <c r="O391" s="655">
        <f>+IF(OR($Q391=Parametres!$G$2,$Q391=Parametres!$G$3),J391,D391)</f>
        <v>0.09</v>
      </c>
      <c r="P391" s="655">
        <f>+IF(OR($Q391=Parametres!$G$2,$Q391=Parametres!$G$3),K391,E391)</f>
        <v>264.89</v>
      </c>
      <c r="Q391" s="654" t="str">
        <f t="shared" ref="Q391:S391" si="398">+F391</f>
        <v>7-Dépenses</v>
      </c>
      <c r="R391" s="653" t="str">
        <f t="shared" si="398"/>
        <v>6114</v>
      </c>
      <c r="S391" s="654">
        <f t="shared" si="398"/>
        <v>0</v>
      </c>
      <c r="T391" s="656" t="str">
        <f>+VLOOKUP($L391,Data_Validation!$A:$D,1,0)</f>
        <v>6514</v>
      </c>
      <c r="U391" s="656" t="str">
        <f>+VLOOKUP($L391,Data_Validation!$A:$D,3,0)</f>
        <v>Carrosserie</v>
      </c>
      <c r="V391" s="656" t="str">
        <f>+VLOOKUP($L391,Data_Validation!$A:$D,4,0)</f>
        <v>Publicité 2</v>
      </c>
      <c r="W391" s="656" t="str">
        <f>+VLOOKUP($L391,Data_Validation!$A:$E,5,0)</f>
        <v>$</v>
      </c>
      <c r="X391" s="656">
        <f>+VLOOKUP($L391,Data_Validation!$A:$F,6,0)</f>
        <v>0</v>
      </c>
    </row>
    <row r="392" spans="1:24" ht="15" customHeight="1">
      <c r="A392" s="1052" t="s">
        <v>1169</v>
      </c>
      <c r="B392" s="1052" t="s">
        <v>2547</v>
      </c>
      <c r="C392" s="1054">
        <v>4449.6899999999996</v>
      </c>
      <c r="D392" s="1054">
        <v>464.99</v>
      </c>
      <c r="E392" s="1054">
        <v>4914.68</v>
      </c>
      <c r="F392" s="1052" t="s">
        <v>1154</v>
      </c>
      <c r="G392" s="1052" t="s">
        <v>1170</v>
      </c>
      <c r="H392" s="1029"/>
      <c r="I392" s="1032"/>
      <c r="J392" s="1032"/>
      <c r="K392" s="1032"/>
      <c r="L392" s="653" t="str">
        <f t="shared" si="393"/>
        <v>6521</v>
      </c>
      <c r="M392" s="654" t="str">
        <f t="shared" si="260"/>
        <v>SALAIRES - PROPRIETAIRES</v>
      </c>
      <c r="N392" s="655">
        <f>+IF(OR($Q392=Parametres!$G$2,$Q392=Parametres!$G$3),I392,C392)</f>
        <v>4449.6899999999996</v>
      </c>
      <c r="O392" s="655">
        <f>+IF(OR($Q392=Parametres!$G$2,$Q392=Parametres!$G$3),J392,D392)</f>
        <v>464.99</v>
      </c>
      <c r="P392" s="655">
        <f>+IF(OR($Q392=Parametres!$G$2,$Q392=Parametres!$G$3),K392,E392)</f>
        <v>4914.68</v>
      </c>
      <c r="Q392" s="654" t="str">
        <f t="shared" ref="Q392:S392" si="399">+F392</f>
        <v>7-Dépenses</v>
      </c>
      <c r="R392" s="653" t="str">
        <f t="shared" si="399"/>
        <v>6121</v>
      </c>
      <c r="S392" s="654">
        <f t="shared" si="399"/>
        <v>0</v>
      </c>
      <c r="T392" s="656" t="str">
        <f>+VLOOKUP($L392,Data_Validation!$A:$D,1,0)</f>
        <v>6521</v>
      </c>
      <c r="U392" s="656" t="str">
        <f>+VLOOKUP($L392,Data_Validation!$A:$D,3,0)</f>
        <v>Carrosserie</v>
      </c>
      <c r="V392" s="656" t="str">
        <f>+VLOOKUP($L392,Data_Validation!$A:$D,4,0)</f>
        <v>Salaires propriétaire</v>
      </c>
      <c r="W392" s="656" t="str">
        <f>+VLOOKUP($L392,Data_Validation!$A:$E,5,0)</f>
        <v>$</v>
      </c>
      <c r="X392" s="656">
        <f>+VLOOKUP($L392,Data_Validation!$A:$F,6,0)</f>
        <v>0</v>
      </c>
    </row>
    <row r="393" spans="1:24" ht="15" customHeight="1">
      <c r="A393" s="1052" t="s">
        <v>1171</v>
      </c>
      <c r="B393" s="1052" t="s">
        <v>2550</v>
      </c>
      <c r="C393" s="1054">
        <v>10420.68</v>
      </c>
      <c r="D393" s="1054">
        <v>901.88</v>
      </c>
      <c r="E393" s="1054">
        <v>11322.56</v>
      </c>
      <c r="F393" s="1052" t="s">
        <v>1154</v>
      </c>
      <c r="G393" s="1052" t="s">
        <v>1172</v>
      </c>
      <c r="H393" s="1029"/>
      <c r="I393" s="1032"/>
      <c r="J393" s="1032"/>
      <c r="K393" s="1032"/>
      <c r="L393" s="653" t="str">
        <f t="shared" si="393"/>
        <v>6522</v>
      </c>
      <c r="M393" s="654" t="str">
        <f t="shared" si="260"/>
        <v>SAL SUPERVISION / GERANT</v>
      </c>
      <c r="N393" s="655">
        <f>+IF(OR($Q393=Parametres!$G$2,$Q393=Parametres!$G$3),I393,C393)</f>
        <v>10420.68</v>
      </c>
      <c r="O393" s="655">
        <f>+IF(OR($Q393=Parametres!$G$2,$Q393=Parametres!$G$3),J393,D393)</f>
        <v>901.88</v>
      </c>
      <c r="P393" s="655">
        <f>+IF(OR($Q393=Parametres!$G$2,$Q393=Parametres!$G$3),K393,E393)</f>
        <v>11322.56</v>
      </c>
      <c r="Q393" s="654" t="str">
        <f t="shared" ref="Q393:S393" si="400">+F393</f>
        <v>7-Dépenses</v>
      </c>
      <c r="R393" s="653" t="str">
        <f t="shared" si="400"/>
        <v>6122</v>
      </c>
      <c r="S393" s="654">
        <f t="shared" si="400"/>
        <v>0</v>
      </c>
      <c r="T393" s="656" t="str">
        <f>+VLOOKUP($L393,Data_Validation!$A:$D,1,0)</f>
        <v>6522</v>
      </c>
      <c r="U393" s="656" t="str">
        <f>+VLOOKUP($L393,Data_Validation!$A:$D,3,0)</f>
        <v>Carrosserie</v>
      </c>
      <c r="V393" s="656" t="str">
        <f>+VLOOKUP($L393,Data_Validation!$A:$D,4,0)</f>
        <v>Salaires cadres</v>
      </c>
      <c r="W393" s="656" t="str">
        <f>+VLOOKUP($L393,Data_Validation!$A:$E,5,0)</f>
        <v>$</v>
      </c>
      <c r="X393" s="656">
        <f>+VLOOKUP($L393,Data_Validation!$A:$F,6,0)</f>
        <v>0</v>
      </c>
    </row>
    <row r="394" spans="1:24" ht="15" customHeight="1">
      <c r="A394" s="1052" t="s">
        <v>1244</v>
      </c>
      <c r="B394" s="1052" t="s">
        <v>2553</v>
      </c>
      <c r="C394" s="1054">
        <v>4751.8599999999997</v>
      </c>
      <c r="D394" s="1054">
        <v>1093.06</v>
      </c>
      <c r="E394" s="1054">
        <v>5844.92</v>
      </c>
      <c r="F394" s="1052" t="s">
        <v>1154</v>
      </c>
      <c r="G394" s="1052" t="s">
        <v>1174</v>
      </c>
      <c r="H394" s="1029"/>
      <c r="I394" s="1032"/>
      <c r="J394" s="1032"/>
      <c r="K394" s="1032"/>
      <c r="L394" s="653" t="str">
        <f t="shared" si="393"/>
        <v>6523</v>
      </c>
      <c r="M394" s="654" t="str">
        <f t="shared" si="260"/>
        <v>SAL. &amp; RENUM. CLERICAL</v>
      </c>
      <c r="N394" s="655">
        <f>+IF(OR($Q394=Parametres!$G$2,$Q394=Parametres!$G$3),I394,C394)</f>
        <v>4751.8599999999997</v>
      </c>
      <c r="O394" s="655">
        <f>+IF(OR($Q394=Parametres!$G$2,$Q394=Parametres!$G$3),J394,D394)</f>
        <v>1093.06</v>
      </c>
      <c r="P394" s="655">
        <f>+IF(OR($Q394=Parametres!$G$2,$Q394=Parametres!$G$3),K394,E394)</f>
        <v>5844.92</v>
      </c>
      <c r="Q394" s="654" t="str">
        <f t="shared" ref="Q394:S394" si="401">+F394</f>
        <v>7-Dépenses</v>
      </c>
      <c r="R394" s="653" t="str">
        <f t="shared" si="401"/>
        <v>6123</v>
      </c>
      <c r="S394" s="654">
        <f t="shared" si="401"/>
        <v>0</v>
      </c>
      <c r="T394" s="656" t="str">
        <f>+VLOOKUP($L394,Data_Validation!$A:$D,1,0)</f>
        <v>6523</v>
      </c>
      <c r="U394" s="656" t="str">
        <f>+VLOOKUP($L394,Data_Validation!$A:$D,3,0)</f>
        <v>Carrosserie</v>
      </c>
      <c r="V394" s="656" t="str">
        <f>+VLOOKUP($L394,Data_Validation!$A:$D,4,0)</f>
        <v>Salaires commis</v>
      </c>
      <c r="W394" s="656" t="str">
        <f>+VLOOKUP($L394,Data_Validation!$A:$E,5,0)</f>
        <v>$</v>
      </c>
      <c r="X394" s="656">
        <f>+VLOOKUP($L394,Data_Validation!$A:$F,6,0)</f>
        <v>0</v>
      </c>
    </row>
    <row r="395" spans="1:24" ht="15.75" customHeight="1">
      <c r="A395" s="1052" t="s">
        <v>1175</v>
      </c>
      <c r="B395" s="1052" t="s">
        <v>2556</v>
      </c>
      <c r="C395" s="1054">
        <v>4798.2</v>
      </c>
      <c r="D395" s="1054">
        <v>0.83</v>
      </c>
      <c r="E395" s="1054">
        <v>4799.03</v>
      </c>
      <c r="F395" s="1052" t="s">
        <v>1154</v>
      </c>
      <c r="G395" s="1052" t="s">
        <v>1176</v>
      </c>
      <c r="H395" s="1029"/>
      <c r="I395" s="1032"/>
      <c r="J395" s="1032"/>
      <c r="K395" s="1032"/>
      <c r="L395" s="653" t="str">
        <f t="shared" si="393"/>
        <v>6524</v>
      </c>
      <c r="M395" s="654" t="str">
        <f t="shared" si="260"/>
        <v>SALAIRES &amp; RENUM. - AUTRES</v>
      </c>
      <c r="N395" s="655">
        <f>+IF(OR($Q395=Parametres!$G$2,$Q395=Parametres!$G$3),I395,C395)</f>
        <v>4798.2</v>
      </c>
      <c r="O395" s="655">
        <f>+IF(OR($Q395=Parametres!$G$2,$Q395=Parametres!$G$3),J395,D395)</f>
        <v>0.83</v>
      </c>
      <c r="P395" s="655">
        <f>+IF(OR($Q395=Parametres!$G$2,$Q395=Parametres!$G$3),K395,E395)</f>
        <v>4799.03</v>
      </c>
      <c r="Q395" s="654" t="str">
        <f t="shared" ref="Q395:S395" si="402">+F395</f>
        <v>7-Dépenses</v>
      </c>
      <c r="R395" s="653" t="str">
        <f t="shared" si="402"/>
        <v>6124</v>
      </c>
      <c r="S395" s="654">
        <f t="shared" si="402"/>
        <v>0</v>
      </c>
      <c r="T395" s="656" t="str">
        <f>+VLOOKUP($L395,Data_Validation!$A:$D,1,0)</f>
        <v>6524</v>
      </c>
      <c r="U395" s="656" t="str">
        <f>+VLOOKUP($L395,Data_Validation!$A:$D,3,0)</f>
        <v>Carrosserie</v>
      </c>
      <c r="V395" s="656" t="str">
        <f>+VLOOKUP($L395,Data_Validation!$A:$D,4,0)</f>
        <v>Salaires autres</v>
      </c>
      <c r="W395" s="656" t="str">
        <f>+VLOOKUP($L395,Data_Validation!$A:$E,5,0)</f>
        <v>$</v>
      </c>
      <c r="X395" s="656">
        <f>+VLOOKUP($L395,Data_Validation!$A:$F,6,0)</f>
        <v>0</v>
      </c>
    </row>
    <row r="396" spans="1:24" ht="15" customHeight="1">
      <c r="A396" s="1052" t="s">
        <v>1245</v>
      </c>
      <c r="B396" s="1052" t="s">
        <v>2559</v>
      </c>
      <c r="C396" s="1054">
        <v>43101.17</v>
      </c>
      <c r="D396" s="1054">
        <v>1713.86</v>
      </c>
      <c r="E396" s="1054">
        <v>44815.03</v>
      </c>
      <c r="F396" s="1052" t="s">
        <v>1154</v>
      </c>
      <c r="G396" s="1052" t="s">
        <v>1246</v>
      </c>
      <c r="H396" s="1029"/>
      <c r="I396" s="1032"/>
      <c r="J396" s="1032"/>
      <c r="K396" s="1032"/>
      <c r="L396" s="653" t="str">
        <f t="shared" si="393"/>
        <v>6525</v>
      </c>
      <c r="M396" s="654" t="str">
        <f t="shared" si="260"/>
        <v>SALAIRE SPECIALISTES</v>
      </c>
      <c r="N396" s="655">
        <f>+IF(OR($Q396=Parametres!$G$2,$Q396=Parametres!$G$3),I396,C396)</f>
        <v>43101.17</v>
      </c>
      <c r="O396" s="655">
        <f>+IF(OR($Q396=Parametres!$G$2,$Q396=Parametres!$G$3),J396,D396)</f>
        <v>1713.86</v>
      </c>
      <c r="P396" s="655">
        <f>+IF(OR($Q396=Parametres!$G$2,$Q396=Parametres!$G$3),K396,E396)</f>
        <v>44815.03</v>
      </c>
      <c r="Q396" s="654" t="str">
        <f t="shared" ref="Q396:S396" si="403">+F396</f>
        <v>7-Dépenses</v>
      </c>
      <c r="R396" s="653" t="str">
        <f t="shared" si="403"/>
        <v>6125</v>
      </c>
      <c r="S396" s="654">
        <f t="shared" si="403"/>
        <v>0</v>
      </c>
      <c r="T396" s="656" t="str">
        <f>+VLOOKUP($L396,Data_Validation!$A:$D,1,0)</f>
        <v>6525</v>
      </c>
      <c r="U396" s="656" t="str">
        <f>+VLOOKUP($L396,Data_Validation!$A:$D,3,0)</f>
        <v>Carrosserie</v>
      </c>
      <c r="V396" s="656" t="str">
        <f>+VLOOKUP($L396,Data_Validation!$A:$D,4,0)</f>
        <v>Salaires spécialistes</v>
      </c>
      <c r="W396" s="656" t="str">
        <f>+VLOOKUP($L396,Data_Validation!$A:$E,5,0)</f>
        <v>$</v>
      </c>
      <c r="X396" s="656">
        <f>+VLOOKUP($L396,Data_Validation!$A:$F,6,0)</f>
        <v>0</v>
      </c>
    </row>
    <row r="397" spans="1:24" ht="15" customHeight="1">
      <c r="A397" s="1052" t="s">
        <v>1229</v>
      </c>
      <c r="B397" s="1052" t="s">
        <v>2562</v>
      </c>
      <c r="C397" s="1054">
        <v>7570.51</v>
      </c>
      <c r="D397" s="1054">
        <v>1911.82</v>
      </c>
      <c r="E397" s="1054">
        <v>9482.33</v>
      </c>
      <c r="F397" s="1052" t="s">
        <v>1154</v>
      </c>
      <c r="G397" s="1052" t="s">
        <v>1178</v>
      </c>
      <c r="H397" s="1029"/>
      <c r="I397" s="1032"/>
      <c r="J397" s="1032"/>
      <c r="K397" s="1032"/>
      <c r="L397" s="653" t="str">
        <f t="shared" si="393"/>
        <v>6529</v>
      </c>
      <c r="M397" s="654" t="str">
        <f t="shared" si="260"/>
        <v>ABS.,VACANCES &amp; SAL. JOURS FER</v>
      </c>
      <c r="N397" s="655">
        <f>+IF(OR($Q397=Parametres!$G$2,$Q397=Parametres!$G$3),I397,C397)</f>
        <v>7570.51</v>
      </c>
      <c r="O397" s="655">
        <f>+IF(OR($Q397=Parametres!$G$2,$Q397=Parametres!$G$3),J397,D397)</f>
        <v>1911.82</v>
      </c>
      <c r="P397" s="655">
        <f>+IF(OR($Q397=Parametres!$G$2,$Q397=Parametres!$G$3),K397,E397)</f>
        <v>9482.33</v>
      </c>
      <c r="Q397" s="654" t="str">
        <f t="shared" ref="Q397:S397" si="404">+F397</f>
        <v>7-Dépenses</v>
      </c>
      <c r="R397" s="653" t="str">
        <f t="shared" si="404"/>
        <v>6129</v>
      </c>
      <c r="S397" s="654">
        <f t="shared" si="404"/>
        <v>0</v>
      </c>
      <c r="T397" s="656" t="str">
        <f>+VLOOKUP($L397,Data_Validation!$A:$D,1,0)</f>
        <v>6529</v>
      </c>
      <c r="U397" s="656" t="str">
        <f>+VLOOKUP($L397,Data_Validation!$A:$D,3,0)</f>
        <v>Carrosserie</v>
      </c>
      <c r="V397" s="656" t="str">
        <f>+VLOOKUP($L397,Data_Validation!$A:$D,4,0)</f>
        <v>Salaires en absences</v>
      </c>
      <c r="W397" s="656" t="str">
        <f>+VLOOKUP($L397,Data_Validation!$A:$E,5,0)</f>
        <v>$</v>
      </c>
      <c r="X397" s="656">
        <f>+VLOOKUP($L397,Data_Validation!$A:$F,6,0)</f>
        <v>0</v>
      </c>
    </row>
    <row r="398" spans="1:24" ht="15" customHeight="1">
      <c r="A398" s="1052" t="s">
        <v>1179</v>
      </c>
      <c r="B398" s="1052" t="s">
        <v>2565</v>
      </c>
      <c r="C398" s="1054">
        <v>3076.99</v>
      </c>
      <c r="D398" s="1054">
        <v>792.61</v>
      </c>
      <c r="E398" s="1054">
        <v>3869.6</v>
      </c>
      <c r="F398" s="1052" t="s">
        <v>1154</v>
      </c>
      <c r="G398" s="1052" t="s">
        <v>1180</v>
      </c>
      <c r="H398" s="1029"/>
      <c r="I398" s="1032"/>
      <c r="J398" s="1032"/>
      <c r="K398" s="1032"/>
      <c r="L398" s="653" t="str">
        <f t="shared" si="393"/>
        <v>6531</v>
      </c>
      <c r="M398" s="654" t="str">
        <f t="shared" si="260"/>
        <v>CSST</v>
      </c>
      <c r="N398" s="655">
        <f>+IF(OR($Q398=Parametres!$G$2,$Q398=Parametres!$G$3),I398,C398)</f>
        <v>3076.99</v>
      </c>
      <c r="O398" s="655">
        <f>+IF(OR($Q398=Parametres!$G$2,$Q398=Parametres!$G$3),J398,D398)</f>
        <v>792.61</v>
      </c>
      <c r="P398" s="655">
        <f>+IF(OR($Q398=Parametres!$G$2,$Q398=Parametres!$G$3),K398,E398)</f>
        <v>3869.6</v>
      </c>
      <c r="Q398" s="654" t="str">
        <f t="shared" ref="Q398:S398" si="405">+F398</f>
        <v>7-Dépenses</v>
      </c>
      <c r="R398" s="653" t="str">
        <f t="shared" si="405"/>
        <v>6131</v>
      </c>
      <c r="S398" s="654">
        <f t="shared" si="405"/>
        <v>0</v>
      </c>
      <c r="T398" s="656" t="str">
        <f>+VLOOKUP($L398,Data_Validation!$A:$D,1,0)</f>
        <v>6531</v>
      </c>
      <c r="U398" s="656" t="str">
        <f>+VLOOKUP($L398,Data_Validation!$A:$D,3,0)</f>
        <v>Carrosserie</v>
      </c>
      <c r="V398" s="656" t="str">
        <f>+VLOOKUP($L398,Data_Validation!$A:$D,4,0)</f>
        <v>Csst</v>
      </c>
      <c r="W398" s="656" t="str">
        <f>+VLOOKUP($L398,Data_Validation!$A:$E,5,0)</f>
        <v>$</v>
      </c>
      <c r="X398" s="656">
        <f>+VLOOKUP($L398,Data_Validation!$A:$F,6,0)</f>
        <v>0</v>
      </c>
    </row>
    <row r="399" spans="1:24" ht="15.75" customHeight="1">
      <c r="A399" s="1052" t="s">
        <v>1181</v>
      </c>
      <c r="B399" s="1052" t="s">
        <v>2568</v>
      </c>
      <c r="C399" s="1054">
        <v>17061.650000000001</v>
      </c>
      <c r="D399" s="1054">
        <v>3312.66</v>
      </c>
      <c r="E399" s="1054">
        <v>20374.310000000001</v>
      </c>
      <c r="F399" s="1052" t="s">
        <v>1154</v>
      </c>
      <c r="G399" s="1052" t="s">
        <v>1182</v>
      </c>
      <c r="H399" s="1029"/>
      <c r="I399" s="1032"/>
      <c r="J399" s="1032"/>
      <c r="K399" s="1032"/>
      <c r="L399" s="653" t="str">
        <f t="shared" si="393"/>
        <v>6532</v>
      </c>
      <c r="M399" s="654" t="str">
        <f t="shared" si="260"/>
        <v>RRQ RAMQ AC</v>
      </c>
      <c r="N399" s="655">
        <f>+IF(OR($Q399=Parametres!$G$2,$Q399=Parametres!$G$3),I399,C399)</f>
        <v>17061.650000000001</v>
      </c>
      <c r="O399" s="655">
        <f>+IF(OR($Q399=Parametres!$G$2,$Q399=Parametres!$G$3),J399,D399)</f>
        <v>3312.66</v>
      </c>
      <c r="P399" s="655">
        <f>+IF(OR($Q399=Parametres!$G$2,$Q399=Parametres!$G$3),K399,E399)</f>
        <v>20374.310000000001</v>
      </c>
      <c r="Q399" s="654" t="str">
        <f t="shared" ref="Q399:S399" si="406">+F399</f>
        <v>7-Dépenses</v>
      </c>
      <c r="R399" s="653" t="str">
        <f t="shared" si="406"/>
        <v>6132</v>
      </c>
      <c r="S399" s="654">
        <f t="shared" si="406"/>
        <v>0</v>
      </c>
      <c r="T399" s="656" t="str">
        <f>+VLOOKUP($L399,Data_Validation!$A:$D,1,0)</f>
        <v>6532</v>
      </c>
      <c r="U399" s="656" t="str">
        <f>+VLOOKUP($L399,Data_Validation!$A:$D,3,0)</f>
        <v>Carrosserie</v>
      </c>
      <c r="V399" s="656" t="str">
        <f>+VLOOKUP($L399,Data_Validation!$A:$D,4,0)</f>
        <v>Déduction à la source</v>
      </c>
      <c r="W399" s="656" t="str">
        <f>+VLOOKUP($L399,Data_Validation!$A:$E,5,0)</f>
        <v>$</v>
      </c>
      <c r="X399" s="656">
        <f>+VLOOKUP($L399,Data_Validation!$A:$F,6,0)</f>
        <v>0</v>
      </c>
    </row>
    <row r="400" spans="1:24" ht="15" customHeight="1">
      <c r="A400" s="1052" t="s">
        <v>1264</v>
      </c>
      <c r="B400" s="1052" t="s">
        <v>3397</v>
      </c>
      <c r="C400" s="1054">
        <v>0</v>
      </c>
      <c r="D400" s="1054">
        <v>69.39</v>
      </c>
      <c r="E400" s="1054">
        <v>69.39</v>
      </c>
      <c r="F400" s="1052" t="s">
        <v>1154</v>
      </c>
      <c r="G400" s="1052" t="s">
        <v>1184</v>
      </c>
      <c r="H400" s="1029"/>
      <c r="I400" s="1032"/>
      <c r="J400" s="1032"/>
      <c r="K400" s="1032"/>
      <c r="L400" s="653" t="str">
        <f t="shared" si="393"/>
        <v>6533</v>
      </c>
      <c r="M400" s="654" t="str">
        <f t="shared" si="260"/>
        <v>FOND PENSION - CARROSSERIE</v>
      </c>
      <c r="N400" s="655">
        <f>+IF(OR($Q400=Parametres!$G$2,$Q400=Parametres!$G$3),I400,C400)</f>
        <v>0</v>
      </c>
      <c r="O400" s="655">
        <f>+IF(OR($Q400=Parametres!$G$2,$Q400=Parametres!$G$3),J400,D400)</f>
        <v>69.39</v>
      </c>
      <c r="P400" s="655">
        <f>+IF(OR($Q400=Parametres!$G$2,$Q400=Parametres!$G$3),K400,E400)</f>
        <v>69.39</v>
      </c>
      <c r="Q400" s="654" t="str">
        <f t="shared" ref="Q400:S400" si="407">+F400</f>
        <v>7-Dépenses</v>
      </c>
      <c r="R400" s="653" t="str">
        <f t="shared" si="407"/>
        <v>6133</v>
      </c>
      <c r="S400" s="654">
        <f t="shared" si="407"/>
        <v>0</v>
      </c>
      <c r="T400" s="656" t="str">
        <f>+VLOOKUP($L400,Data_Validation!$A:$D,1,0)</f>
        <v>6533</v>
      </c>
      <c r="U400" s="656" t="str">
        <f>+VLOOKUP($L400,Data_Validation!$A:$D,3,0)</f>
        <v>Carrosserie</v>
      </c>
      <c r="V400" s="656" t="str">
        <f>+VLOOKUP($L400,Data_Validation!$A:$D,4,0)</f>
        <v>Bénéfices marginaux</v>
      </c>
      <c r="W400" s="656" t="str">
        <f>+VLOOKUP($L400,Data_Validation!$A:$E,5,0)</f>
        <v>$</v>
      </c>
      <c r="X400" s="656">
        <f>+VLOOKUP($L400,Data_Validation!$A:$F,6,0)</f>
        <v>0</v>
      </c>
    </row>
    <row r="401" spans="1:24" ht="15" customHeight="1">
      <c r="A401" s="1052" t="s">
        <v>1231</v>
      </c>
      <c r="B401" s="1052" t="s">
        <v>2571</v>
      </c>
      <c r="C401" s="1054">
        <v>13891.64</v>
      </c>
      <c r="D401" s="1054">
        <v>967.02</v>
      </c>
      <c r="E401" s="1054">
        <v>14858.66</v>
      </c>
      <c r="F401" s="1052" t="s">
        <v>1154</v>
      </c>
      <c r="G401" s="1052" t="s">
        <v>1186</v>
      </c>
      <c r="H401" s="1029"/>
      <c r="I401" s="1032"/>
      <c r="J401" s="1032"/>
      <c r="K401" s="1032"/>
      <c r="L401" s="653" t="str">
        <f t="shared" si="393"/>
        <v>6539</v>
      </c>
      <c r="M401" s="654" t="str">
        <f t="shared" si="260"/>
        <v>ASSURANCE GROUPE</v>
      </c>
      <c r="N401" s="655">
        <f>+IF(OR($Q401=Parametres!$G$2,$Q401=Parametres!$G$3),I401,C401)</f>
        <v>13891.64</v>
      </c>
      <c r="O401" s="655">
        <f>+IF(OR($Q401=Parametres!$G$2,$Q401=Parametres!$G$3),J401,D401)</f>
        <v>967.02</v>
      </c>
      <c r="P401" s="655">
        <f>+IF(OR($Q401=Parametres!$G$2,$Q401=Parametres!$G$3),K401,E401)</f>
        <v>14858.66</v>
      </c>
      <c r="Q401" s="654" t="str">
        <f t="shared" ref="Q401:S401" si="408">+F401</f>
        <v>7-Dépenses</v>
      </c>
      <c r="R401" s="653" t="str">
        <f t="shared" si="408"/>
        <v>6139</v>
      </c>
      <c r="S401" s="654">
        <f t="shared" si="408"/>
        <v>0</v>
      </c>
      <c r="T401" s="656" t="str">
        <f>+VLOOKUP($L401,Data_Validation!$A:$D,1,0)</f>
        <v>6539</v>
      </c>
      <c r="U401" s="656" t="str">
        <f>+VLOOKUP($L401,Data_Validation!$A:$D,3,0)</f>
        <v>Carrosserie</v>
      </c>
      <c r="V401" s="656" t="str">
        <f>+VLOOKUP($L401,Data_Validation!$A:$D,4,0)</f>
        <v>Bénéfices marginaux</v>
      </c>
      <c r="W401" s="656" t="str">
        <f>+VLOOKUP($L401,Data_Validation!$A:$E,5,0)</f>
        <v>$</v>
      </c>
      <c r="X401" s="656">
        <f>+VLOOKUP($L401,Data_Validation!$A:$F,6,0)</f>
        <v>0</v>
      </c>
    </row>
    <row r="402" spans="1:24" ht="15" customHeight="1">
      <c r="A402" s="1052" t="s">
        <v>1187</v>
      </c>
      <c r="B402" s="1052" t="s">
        <v>2577</v>
      </c>
      <c r="C402" s="1054">
        <v>71.010000000000005</v>
      </c>
      <c r="D402" s="1054">
        <v>0</v>
      </c>
      <c r="E402" s="1054">
        <v>71.010000000000005</v>
      </c>
      <c r="F402" s="1052" t="s">
        <v>1154</v>
      </c>
      <c r="G402" s="1052" t="s">
        <v>1188</v>
      </c>
      <c r="H402" s="1029"/>
      <c r="I402" s="1032"/>
      <c r="J402" s="1032"/>
      <c r="K402" s="1032"/>
      <c r="L402" s="653" t="str">
        <f t="shared" si="393"/>
        <v>6542</v>
      </c>
      <c r="M402" s="654" t="str">
        <f t="shared" si="260"/>
        <v>FOURNITURES &amp; PETITS OUTILS</v>
      </c>
      <c r="N402" s="655">
        <f>+IF(OR($Q402=Parametres!$G$2,$Q402=Parametres!$G$3),I402,C402)</f>
        <v>71.010000000000005</v>
      </c>
      <c r="O402" s="655">
        <f>+IF(OR($Q402=Parametres!$G$2,$Q402=Parametres!$G$3),J402,D402)</f>
        <v>0</v>
      </c>
      <c r="P402" s="655">
        <f>+IF(OR($Q402=Parametres!$G$2,$Q402=Parametres!$G$3),K402,E402)</f>
        <v>71.010000000000005</v>
      </c>
      <c r="Q402" s="654" t="str">
        <f t="shared" ref="Q402:S402" si="409">+F402</f>
        <v>7-Dépenses</v>
      </c>
      <c r="R402" s="653" t="str">
        <f t="shared" si="409"/>
        <v>6142</v>
      </c>
      <c r="S402" s="654">
        <f t="shared" si="409"/>
        <v>0</v>
      </c>
      <c r="T402" s="656" t="str">
        <f>+VLOOKUP($L402,Data_Validation!$A:$D,1,0)</f>
        <v>6542</v>
      </c>
      <c r="U402" s="656" t="str">
        <f>+VLOOKUP($L402,Data_Validation!$A:$D,3,0)</f>
        <v>Carrosserie</v>
      </c>
      <c r="V402" s="656" t="str">
        <f>+VLOOKUP($L402,Data_Validation!$A:$D,4,0)</f>
        <v>Fournitures autres</v>
      </c>
      <c r="W402" s="656" t="str">
        <f>+VLOOKUP($L402,Data_Validation!$A:$E,5,0)</f>
        <v>$</v>
      </c>
      <c r="X402" s="656">
        <f>+VLOOKUP($L402,Data_Validation!$A:$F,6,0)</f>
        <v>0</v>
      </c>
    </row>
    <row r="403" spans="1:24" ht="15.75" customHeight="1">
      <c r="A403" s="1052" t="s">
        <v>1191</v>
      </c>
      <c r="B403" s="1052" t="s">
        <v>2583</v>
      </c>
      <c r="C403" s="1054">
        <v>645.66999999999996</v>
      </c>
      <c r="D403" s="1054">
        <v>151.47</v>
      </c>
      <c r="E403" s="1054">
        <v>797.14</v>
      </c>
      <c r="F403" s="1052" t="s">
        <v>1154</v>
      </c>
      <c r="G403" s="1052" t="s">
        <v>1192</v>
      </c>
      <c r="H403" s="1029"/>
      <c r="I403" s="1032"/>
      <c r="J403" s="1032"/>
      <c r="K403" s="1032"/>
      <c r="L403" s="653" t="str">
        <f t="shared" si="393"/>
        <v>6544</v>
      </c>
      <c r="M403" s="654" t="str">
        <f t="shared" si="260"/>
        <v>FORMATION</v>
      </c>
      <c r="N403" s="655">
        <f>+IF(OR($Q403=Parametres!$G$2,$Q403=Parametres!$G$3),I403,C403)</f>
        <v>645.66999999999996</v>
      </c>
      <c r="O403" s="655">
        <f>+IF(OR($Q403=Parametres!$G$2,$Q403=Parametres!$G$3),J403,D403)</f>
        <v>151.47</v>
      </c>
      <c r="P403" s="655">
        <f>+IF(OR($Q403=Parametres!$G$2,$Q403=Parametres!$G$3),K403,E403)</f>
        <v>797.14</v>
      </c>
      <c r="Q403" s="654" t="str">
        <f t="shared" ref="Q403:S403" si="410">+F403</f>
        <v>7-Dépenses</v>
      </c>
      <c r="R403" s="653" t="str">
        <f t="shared" si="410"/>
        <v>6144</v>
      </c>
      <c r="S403" s="654">
        <f t="shared" si="410"/>
        <v>0</v>
      </c>
      <c r="T403" s="656" t="str">
        <f>+VLOOKUP($L403,Data_Validation!$A:$D,1,0)</f>
        <v>6544</v>
      </c>
      <c r="U403" s="656" t="str">
        <f>+VLOOKUP($L403,Data_Validation!$A:$D,3,0)</f>
        <v>Carrosserie</v>
      </c>
      <c r="V403" s="656" t="str">
        <f>+VLOOKUP($L403,Data_Validation!$A:$D,4,0)</f>
        <v>Formation</v>
      </c>
      <c r="W403" s="656" t="str">
        <f>+VLOOKUP($L403,Data_Validation!$A:$E,5,0)</f>
        <v>$</v>
      </c>
      <c r="X403" s="656">
        <f>+VLOOKUP($L403,Data_Validation!$A:$F,6,0)</f>
        <v>0</v>
      </c>
    </row>
    <row r="404" spans="1:24" ht="15" customHeight="1">
      <c r="A404" s="1052" t="s">
        <v>1193</v>
      </c>
      <c r="B404" s="1052" t="s">
        <v>2586</v>
      </c>
      <c r="C404" s="1054">
        <v>5989.78</v>
      </c>
      <c r="D404" s="1054">
        <v>1413.08</v>
      </c>
      <c r="E404" s="1054">
        <v>7402.86</v>
      </c>
      <c r="F404" s="1052" t="s">
        <v>1154</v>
      </c>
      <c r="G404" s="1052" t="s">
        <v>1194</v>
      </c>
      <c r="H404" s="1029"/>
      <c r="I404" s="1032"/>
      <c r="J404" s="1032"/>
      <c r="K404" s="1032"/>
      <c r="L404" s="653" t="str">
        <f t="shared" si="393"/>
        <v>6545</v>
      </c>
      <c r="M404" s="654" t="str">
        <f t="shared" si="260"/>
        <v>VEHICULE DE COMPAGNIE - DEPENS</v>
      </c>
      <c r="N404" s="655">
        <f>+IF(OR($Q404=Parametres!$G$2,$Q404=Parametres!$G$3),I404,C404)</f>
        <v>5989.78</v>
      </c>
      <c r="O404" s="655">
        <f>+IF(OR($Q404=Parametres!$G$2,$Q404=Parametres!$G$3),J404,D404)</f>
        <v>1413.08</v>
      </c>
      <c r="P404" s="655">
        <f>+IF(OR($Q404=Parametres!$G$2,$Q404=Parametres!$G$3),K404,E404)</f>
        <v>7402.86</v>
      </c>
      <c r="Q404" s="654" t="str">
        <f t="shared" ref="Q404:S404" si="411">+F404</f>
        <v>7-Dépenses</v>
      </c>
      <c r="R404" s="653" t="str">
        <f t="shared" si="411"/>
        <v>6145</v>
      </c>
      <c r="S404" s="654">
        <f t="shared" si="411"/>
        <v>0</v>
      </c>
      <c r="T404" s="656" t="str">
        <f>+VLOOKUP($L404,Data_Validation!$A:$D,1,0)</f>
        <v>6545</v>
      </c>
      <c r="U404" s="656" t="str">
        <f>+VLOOKUP($L404,Data_Validation!$A:$D,3,0)</f>
        <v>Carrosserie</v>
      </c>
      <c r="V404" s="656" t="str">
        <f>+VLOOKUP($L404,Data_Validation!$A:$D,4,0)</f>
        <v>Frais véhicules de cie</v>
      </c>
      <c r="W404" s="656" t="str">
        <f>+VLOOKUP($L404,Data_Validation!$A:$E,5,0)</f>
        <v>$</v>
      </c>
      <c r="X404" s="656">
        <f>+VLOOKUP($L404,Data_Validation!$A:$F,6,0)</f>
        <v>0</v>
      </c>
    </row>
    <row r="405" spans="1:24" ht="15" customHeight="1">
      <c r="A405" s="1052" t="s">
        <v>1195</v>
      </c>
      <c r="B405" s="1052" t="s">
        <v>2589</v>
      </c>
      <c r="C405" s="1054">
        <v>343.91</v>
      </c>
      <c r="D405" s="1054">
        <v>34.619999999999997</v>
      </c>
      <c r="E405" s="1054">
        <v>378.53</v>
      </c>
      <c r="F405" s="1052" t="s">
        <v>1154</v>
      </c>
      <c r="G405" s="1052" t="s">
        <v>1196</v>
      </c>
      <c r="H405" s="1029"/>
      <c r="I405" s="1032"/>
      <c r="J405" s="1032"/>
      <c r="K405" s="1032"/>
      <c r="L405" s="653" t="str">
        <f t="shared" si="393"/>
        <v>6547</v>
      </c>
      <c r="M405" s="654" t="str">
        <f t="shared" si="260"/>
        <v>FRET/EXPRESS/TRANS. PAR CAMION</v>
      </c>
      <c r="N405" s="655">
        <f>+IF(OR($Q405=Parametres!$G$2,$Q405=Parametres!$G$3),I405,C405)</f>
        <v>343.91</v>
      </c>
      <c r="O405" s="655">
        <f>+IF(OR($Q405=Parametres!$G$2,$Q405=Parametres!$G$3),J405,D405)</f>
        <v>34.619999999999997</v>
      </c>
      <c r="P405" s="655">
        <f>+IF(OR($Q405=Parametres!$G$2,$Q405=Parametres!$G$3),K405,E405)</f>
        <v>378.53</v>
      </c>
      <c r="Q405" s="654" t="str">
        <f t="shared" ref="Q405:S405" si="412">+F405</f>
        <v>7-Dépenses</v>
      </c>
      <c r="R405" s="653" t="str">
        <f t="shared" si="412"/>
        <v>6147</v>
      </c>
      <c r="S405" s="654">
        <f t="shared" si="412"/>
        <v>0</v>
      </c>
      <c r="T405" s="656" t="str">
        <f>+VLOOKUP($L405,Data_Validation!$A:$D,1,0)</f>
        <v>6547</v>
      </c>
      <c r="U405" s="656" t="str">
        <f>+VLOOKUP($L405,Data_Validation!$A:$D,3,0)</f>
        <v>Carrosserie</v>
      </c>
      <c r="V405" s="656" t="str">
        <f>+VLOOKUP($L405,Data_Validation!$A:$D,4,0)</f>
        <v>Frais postaux</v>
      </c>
      <c r="W405" s="656" t="str">
        <f>+VLOOKUP($L405,Data_Validation!$A:$E,5,0)</f>
        <v>$</v>
      </c>
      <c r="X405" s="656">
        <f>+VLOOKUP($L405,Data_Validation!$A:$F,6,0)</f>
        <v>0</v>
      </c>
    </row>
    <row r="406" spans="1:24" ht="15" customHeight="1">
      <c r="A406" s="1052" t="s">
        <v>1197</v>
      </c>
      <c r="B406" s="1052" t="s">
        <v>2594</v>
      </c>
      <c r="C406" s="1054">
        <v>15576.16</v>
      </c>
      <c r="D406" s="1054">
        <v>1539.65</v>
      </c>
      <c r="E406" s="1054">
        <v>17115.810000000001</v>
      </c>
      <c r="F406" s="1052" t="s">
        <v>1154</v>
      </c>
      <c r="G406" s="1052" t="s">
        <v>1198</v>
      </c>
      <c r="H406" s="1029"/>
      <c r="I406" s="1032"/>
      <c r="J406" s="1032"/>
      <c r="K406" s="1032"/>
      <c r="L406" s="653" t="str">
        <f t="shared" si="393"/>
        <v>6551</v>
      </c>
      <c r="M406" s="654" t="str">
        <f t="shared" si="260"/>
        <v>DEP. DU TRAITEMENT DES DONNEES</v>
      </c>
      <c r="N406" s="655">
        <f>+IF(OR($Q406=Parametres!$G$2,$Q406=Parametres!$G$3),I406,C406)</f>
        <v>15576.16</v>
      </c>
      <c r="O406" s="655">
        <f>+IF(OR($Q406=Parametres!$G$2,$Q406=Parametres!$G$3),J406,D406)</f>
        <v>1539.65</v>
      </c>
      <c r="P406" s="655">
        <f>+IF(OR($Q406=Parametres!$G$2,$Q406=Parametres!$G$3),K406,E406)</f>
        <v>17115.810000000001</v>
      </c>
      <c r="Q406" s="654" t="str">
        <f t="shared" ref="Q406:S406" si="413">+F406</f>
        <v>7-Dépenses</v>
      </c>
      <c r="R406" s="653" t="str">
        <f t="shared" si="413"/>
        <v>6151</v>
      </c>
      <c r="S406" s="654">
        <f t="shared" si="413"/>
        <v>0</v>
      </c>
      <c r="T406" s="656" t="str">
        <f>+VLOOKUP($L406,Data_Validation!$A:$D,1,0)</f>
        <v>6551</v>
      </c>
      <c r="U406" s="656" t="str">
        <f>+VLOOKUP($L406,Data_Validation!$A:$D,3,0)</f>
        <v>Carrosserie</v>
      </c>
      <c r="V406" s="656" t="str">
        <f>+VLOOKUP($L406,Data_Validation!$A:$D,4,0)</f>
        <v>Informatique</v>
      </c>
      <c r="W406" s="656" t="str">
        <f>+VLOOKUP($L406,Data_Validation!$A:$E,5,0)</f>
        <v>$</v>
      </c>
      <c r="X406" s="656">
        <f>+VLOOKUP($L406,Data_Validation!$A:$F,6,0)</f>
        <v>0</v>
      </c>
    </row>
    <row r="407" spans="1:24" ht="15.75" customHeight="1">
      <c r="A407" s="1052" t="s">
        <v>1199</v>
      </c>
      <c r="B407" s="1052" t="s">
        <v>2597</v>
      </c>
      <c r="C407" s="1054">
        <v>1673.49</v>
      </c>
      <c r="D407" s="1054">
        <v>206.08</v>
      </c>
      <c r="E407" s="1054">
        <v>1879.57</v>
      </c>
      <c r="F407" s="1052" t="s">
        <v>1154</v>
      </c>
      <c r="G407" s="1052" t="s">
        <v>1200</v>
      </c>
      <c r="H407" s="1029"/>
      <c r="I407" s="1032"/>
      <c r="J407" s="1032"/>
      <c r="K407" s="1032"/>
      <c r="L407" s="653" t="str">
        <f t="shared" si="393"/>
        <v>6552</v>
      </c>
      <c r="M407" s="654" t="str">
        <f t="shared" si="260"/>
        <v>PAPETERIE</v>
      </c>
      <c r="N407" s="655">
        <f>+IF(OR($Q407=Parametres!$G$2,$Q407=Parametres!$G$3),I407,C407)</f>
        <v>1673.49</v>
      </c>
      <c r="O407" s="655">
        <f>+IF(OR($Q407=Parametres!$G$2,$Q407=Parametres!$G$3),J407,D407)</f>
        <v>206.08</v>
      </c>
      <c r="P407" s="655">
        <f>+IF(OR($Q407=Parametres!$G$2,$Q407=Parametres!$G$3),K407,E407)</f>
        <v>1879.57</v>
      </c>
      <c r="Q407" s="654" t="str">
        <f t="shared" ref="Q407:S407" si="414">+F407</f>
        <v>7-Dépenses</v>
      </c>
      <c r="R407" s="653" t="str">
        <f t="shared" si="414"/>
        <v>6152</v>
      </c>
      <c r="S407" s="654">
        <f t="shared" si="414"/>
        <v>0</v>
      </c>
      <c r="T407" s="656" t="str">
        <f>+VLOOKUP($L407,Data_Validation!$A:$D,1,0)</f>
        <v>6552</v>
      </c>
      <c r="U407" s="656" t="str">
        <f>+VLOOKUP($L407,Data_Validation!$A:$D,3,0)</f>
        <v>Carrosserie</v>
      </c>
      <c r="V407" s="656" t="str">
        <f>+VLOOKUP($L407,Data_Validation!$A:$D,4,0)</f>
        <v>Papeterie</v>
      </c>
      <c r="W407" s="656" t="str">
        <f>+VLOOKUP($L407,Data_Validation!$A:$E,5,0)</f>
        <v>$</v>
      </c>
      <c r="X407" s="656">
        <f>+VLOOKUP($L407,Data_Validation!$A:$F,6,0)</f>
        <v>0</v>
      </c>
    </row>
    <row r="408" spans="1:24" ht="15" customHeight="1">
      <c r="A408" s="1052" t="s">
        <v>1201</v>
      </c>
      <c r="B408" s="1052" t="s">
        <v>2600</v>
      </c>
      <c r="C408" s="1054">
        <v>532.5</v>
      </c>
      <c r="D408" s="1054">
        <v>22.77</v>
      </c>
      <c r="E408" s="1054">
        <v>555.27</v>
      </c>
      <c r="F408" s="1052" t="s">
        <v>1154</v>
      </c>
      <c r="G408" s="1052" t="s">
        <v>1202</v>
      </c>
      <c r="H408" s="1029"/>
      <c r="I408" s="1032"/>
      <c r="J408" s="1032"/>
      <c r="K408" s="1032"/>
      <c r="L408" s="653" t="str">
        <f t="shared" si="393"/>
        <v>6553</v>
      </c>
      <c r="M408" s="654" t="str">
        <f t="shared" si="260"/>
        <v>TELEPHONE ET TELEX</v>
      </c>
      <c r="N408" s="655">
        <f>+IF(OR($Q408=Parametres!$G$2,$Q408=Parametres!$G$3),I408,C408)</f>
        <v>532.5</v>
      </c>
      <c r="O408" s="655">
        <f>+IF(OR($Q408=Parametres!$G$2,$Q408=Parametres!$G$3),J408,D408)</f>
        <v>22.77</v>
      </c>
      <c r="P408" s="655">
        <f>+IF(OR($Q408=Parametres!$G$2,$Q408=Parametres!$G$3),K408,E408)</f>
        <v>555.27</v>
      </c>
      <c r="Q408" s="654" t="str">
        <f t="shared" ref="Q408:S408" si="415">+F408</f>
        <v>7-Dépenses</v>
      </c>
      <c r="R408" s="653" t="str">
        <f t="shared" si="415"/>
        <v>6153</v>
      </c>
      <c r="S408" s="654">
        <f t="shared" si="415"/>
        <v>0</v>
      </c>
      <c r="T408" s="656" t="str">
        <f>+VLOOKUP($L408,Data_Validation!$A:$D,1,0)</f>
        <v>6553</v>
      </c>
      <c r="U408" s="656" t="str">
        <f>+VLOOKUP($L408,Data_Validation!$A:$D,3,0)</f>
        <v>Carrosserie</v>
      </c>
      <c r="V408" s="656" t="str">
        <f>+VLOOKUP($L408,Data_Validation!$A:$D,4,0)</f>
        <v>Téléphone</v>
      </c>
      <c r="W408" s="656" t="str">
        <f>+VLOOKUP($L408,Data_Validation!$A:$E,5,0)</f>
        <v>$</v>
      </c>
      <c r="X408" s="656">
        <f>+VLOOKUP($L408,Data_Validation!$A:$F,6,0)</f>
        <v>0</v>
      </c>
    </row>
    <row r="409" spans="1:24" ht="15" customHeight="1">
      <c r="A409" s="1052" t="s">
        <v>1203</v>
      </c>
      <c r="B409" s="1052" t="s">
        <v>2603</v>
      </c>
      <c r="C409" s="1054">
        <v>641.25</v>
      </c>
      <c r="D409" s="1054">
        <v>-0.82</v>
      </c>
      <c r="E409" s="1054">
        <v>640.42999999999995</v>
      </c>
      <c r="F409" s="1052" t="s">
        <v>1154</v>
      </c>
      <c r="G409" s="1052" t="s">
        <v>1204</v>
      </c>
      <c r="H409" s="1029"/>
      <c r="I409" s="1032"/>
      <c r="J409" s="1032"/>
      <c r="K409" s="1032"/>
      <c r="L409" s="653" t="str">
        <f t="shared" si="393"/>
        <v>6555</v>
      </c>
      <c r="M409" s="654" t="str">
        <f t="shared" si="260"/>
        <v>DEPENSES DIVERS</v>
      </c>
      <c r="N409" s="655">
        <f>+IF(OR($Q409=Parametres!$G$2,$Q409=Parametres!$G$3),I409,C409)</f>
        <v>641.25</v>
      </c>
      <c r="O409" s="655">
        <f>+IF(OR($Q409=Parametres!$G$2,$Q409=Parametres!$G$3),J409,D409)</f>
        <v>-0.82</v>
      </c>
      <c r="P409" s="655">
        <f>+IF(OR($Q409=Parametres!$G$2,$Q409=Parametres!$G$3),K409,E409)</f>
        <v>640.42999999999995</v>
      </c>
      <c r="Q409" s="654" t="str">
        <f t="shared" ref="Q409:S409" si="416">+F409</f>
        <v>7-Dépenses</v>
      </c>
      <c r="R409" s="653" t="str">
        <f t="shared" si="416"/>
        <v>6155</v>
      </c>
      <c r="S409" s="654">
        <f t="shared" si="416"/>
        <v>0</v>
      </c>
      <c r="T409" s="656" t="str">
        <f>+VLOOKUP($L409,Data_Validation!$A:$D,1,0)</f>
        <v>6555</v>
      </c>
      <c r="U409" s="656" t="str">
        <f>+VLOOKUP($L409,Data_Validation!$A:$D,3,0)</f>
        <v>Carrosserie</v>
      </c>
      <c r="V409" s="656" t="str">
        <f>+VLOOKUP($L409,Data_Validation!$A:$D,4,0)</f>
        <v>Divers</v>
      </c>
      <c r="W409" s="656" t="str">
        <f>+VLOOKUP($L409,Data_Validation!$A:$E,5,0)</f>
        <v>$</v>
      </c>
      <c r="X409" s="656">
        <f>+VLOOKUP($L409,Data_Validation!$A:$F,6,0)</f>
        <v>0</v>
      </c>
    </row>
    <row r="410" spans="1:24" ht="15" customHeight="1">
      <c r="A410" s="1052" t="s">
        <v>1265</v>
      </c>
      <c r="B410" s="1052" t="s">
        <v>2606</v>
      </c>
      <c r="C410" s="1054">
        <v>2093.86</v>
      </c>
      <c r="D410" s="1054">
        <v>163.26</v>
      </c>
      <c r="E410" s="1054">
        <v>2257.12</v>
      </c>
      <c r="F410" s="1052" t="s">
        <v>1154</v>
      </c>
      <c r="G410" s="1052" t="s">
        <v>1206</v>
      </c>
      <c r="H410" s="1029"/>
      <c r="I410" s="1032"/>
      <c r="J410" s="1032"/>
      <c r="K410" s="1032"/>
      <c r="L410" s="653" t="str">
        <f t="shared" si="393"/>
        <v>6556</v>
      </c>
      <c r="M410" s="654" t="str">
        <f t="shared" si="260"/>
        <v>FRAIS REPRESENTATION</v>
      </c>
      <c r="N410" s="655">
        <f>+IF(OR($Q410=Parametres!$G$2,$Q410=Parametres!$G$3),I410,C410)</f>
        <v>2093.86</v>
      </c>
      <c r="O410" s="655">
        <f>+IF(OR($Q410=Parametres!$G$2,$Q410=Parametres!$G$3),J410,D410)</f>
        <v>163.26</v>
      </c>
      <c r="P410" s="655">
        <f>+IF(OR($Q410=Parametres!$G$2,$Q410=Parametres!$G$3),K410,E410)</f>
        <v>2257.12</v>
      </c>
      <c r="Q410" s="654" t="str">
        <f t="shared" ref="Q410:S410" si="417">+F410</f>
        <v>7-Dépenses</v>
      </c>
      <c r="R410" s="653" t="str">
        <f t="shared" si="417"/>
        <v>6156</v>
      </c>
      <c r="S410" s="654">
        <f t="shared" si="417"/>
        <v>0</v>
      </c>
      <c r="T410" s="656" t="str">
        <f>+VLOOKUP($L410,Data_Validation!$A:$D,1,0)</f>
        <v>6556</v>
      </c>
      <c r="U410" s="656" t="str">
        <f>+VLOOKUP($L410,Data_Validation!$A:$D,3,0)</f>
        <v>Carrosserie</v>
      </c>
      <c r="V410" s="656" t="str">
        <f>+VLOOKUP($L410,Data_Validation!$A:$D,4,0)</f>
        <v>Frais de déplacement</v>
      </c>
      <c r="W410" s="656" t="str">
        <f>+VLOOKUP($L410,Data_Validation!$A:$E,5,0)</f>
        <v>$</v>
      </c>
      <c r="X410" s="656">
        <f>+VLOOKUP($L410,Data_Validation!$A:$F,6,0)</f>
        <v>0</v>
      </c>
    </row>
    <row r="411" spans="1:24" ht="15.75" customHeight="1">
      <c r="A411" s="1052" t="s">
        <v>1266</v>
      </c>
      <c r="B411" s="1052" t="s">
        <v>3398</v>
      </c>
      <c r="C411" s="1054">
        <v>2205.9699999999998</v>
      </c>
      <c r="D411" s="1054">
        <v>203.8</v>
      </c>
      <c r="E411" s="1054">
        <v>2409.77</v>
      </c>
      <c r="F411" s="1052" t="s">
        <v>1154</v>
      </c>
      <c r="G411" s="1052" t="s">
        <v>1267</v>
      </c>
      <c r="H411" s="1029"/>
      <c r="I411" s="1032"/>
      <c r="J411" s="1032"/>
      <c r="K411" s="1032"/>
      <c r="L411" s="653" t="str">
        <f t="shared" si="393"/>
        <v>6557</v>
      </c>
      <c r="M411" s="654" t="str">
        <f t="shared" si="260"/>
        <v>FRAIS BANCAIRES - CARROSSERIE</v>
      </c>
      <c r="N411" s="655">
        <f>+IF(OR($Q411=Parametres!$G$2,$Q411=Parametres!$G$3),I411,C411)</f>
        <v>2205.9699999999998</v>
      </c>
      <c r="O411" s="655">
        <f>+IF(OR($Q411=Parametres!$G$2,$Q411=Parametres!$G$3),J411,D411)</f>
        <v>203.8</v>
      </c>
      <c r="P411" s="655">
        <f>+IF(OR($Q411=Parametres!$G$2,$Q411=Parametres!$G$3),K411,E411)</f>
        <v>2409.77</v>
      </c>
      <c r="Q411" s="654" t="str">
        <f t="shared" ref="Q411:S411" si="418">+F411</f>
        <v>7-Dépenses</v>
      </c>
      <c r="R411" s="653" t="str">
        <f t="shared" si="418"/>
        <v>655</v>
      </c>
      <c r="S411" s="654">
        <f t="shared" si="418"/>
        <v>0</v>
      </c>
      <c r="T411" s="656" t="str">
        <f>+VLOOKUP($L411,Data_Validation!$A:$D,1,0)</f>
        <v>6557</v>
      </c>
      <c r="U411" s="656" t="str">
        <f>+VLOOKUP($L411,Data_Validation!$A:$D,3,0)</f>
        <v>Carrosserie</v>
      </c>
      <c r="V411" s="656" t="str">
        <f>+VLOOKUP($L411,Data_Validation!$A:$D,4,0)</f>
        <v>Frais bancaires</v>
      </c>
      <c r="W411" s="656" t="str">
        <f>+VLOOKUP($L411,Data_Validation!$A:$E,5,0)</f>
        <v>$</v>
      </c>
      <c r="X411" s="656">
        <f>+VLOOKUP($L411,Data_Validation!$A:$F,6,0)</f>
        <v>0</v>
      </c>
    </row>
    <row r="412" spans="1:24" ht="15" customHeight="1">
      <c r="A412" s="1052" t="s">
        <v>1209</v>
      </c>
      <c r="B412" s="1052" t="s">
        <v>2609</v>
      </c>
      <c r="C412" s="1054">
        <v>6593.62</v>
      </c>
      <c r="D412" s="1054">
        <v>538.54999999999995</v>
      </c>
      <c r="E412" s="1054">
        <v>7132.17</v>
      </c>
      <c r="F412" s="1052" t="s">
        <v>1154</v>
      </c>
      <c r="G412" s="1052" t="s">
        <v>1210</v>
      </c>
      <c r="H412" s="1029"/>
      <c r="I412" s="1032"/>
      <c r="J412" s="1032"/>
      <c r="K412" s="1032"/>
      <c r="L412" s="653" t="str">
        <f t="shared" si="393"/>
        <v>6559</v>
      </c>
      <c r="M412" s="654" t="str">
        <f t="shared" si="260"/>
        <v>SERVICE EXTERIEUR</v>
      </c>
      <c r="N412" s="655">
        <f>+IF(OR($Q412=Parametres!$G$2,$Q412=Parametres!$G$3),I412,C412)</f>
        <v>6593.62</v>
      </c>
      <c r="O412" s="655">
        <f>+IF(OR($Q412=Parametres!$G$2,$Q412=Parametres!$G$3),J412,D412)</f>
        <v>538.54999999999995</v>
      </c>
      <c r="P412" s="655">
        <f>+IF(OR($Q412=Parametres!$G$2,$Q412=Parametres!$G$3),K412,E412)</f>
        <v>7132.17</v>
      </c>
      <c r="Q412" s="654" t="str">
        <f t="shared" ref="Q412:S412" si="419">+F412</f>
        <v>7-Dépenses</v>
      </c>
      <c r="R412" s="653" t="str">
        <f t="shared" si="419"/>
        <v>6159</v>
      </c>
      <c r="S412" s="654">
        <f t="shared" si="419"/>
        <v>0</v>
      </c>
      <c r="T412" s="656" t="str">
        <f>+VLOOKUP($L412,Data_Validation!$A:$D,1,0)</f>
        <v>6559</v>
      </c>
      <c r="U412" s="656" t="str">
        <f>+VLOOKUP($L412,Data_Validation!$A:$D,3,0)</f>
        <v>Carrosserie</v>
      </c>
      <c r="V412" s="656" t="str">
        <f>+VLOOKUP($L412,Data_Validation!$A:$D,4,0)</f>
        <v>Services extérieurs</v>
      </c>
      <c r="W412" s="656" t="str">
        <f>+VLOOKUP($L412,Data_Validation!$A:$E,5,0)</f>
        <v>$</v>
      </c>
      <c r="X412" s="656">
        <f>+VLOOKUP($L412,Data_Validation!$A:$F,6,0)</f>
        <v>0</v>
      </c>
    </row>
    <row r="413" spans="1:24" ht="15" customHeight="1">
      <c r="A413" s="1052" t="s">
        <v>1211</v>
      </c>
      <c r="B413" s="1052" t="s">
        <v>2611</v>
      </c>
      <c r="C413" s="1054">
        <v>3322.22</v>
      </c>
      <c r="D413" s="1054">
        <v>302.02</v>
      </c>
      <c r="E413" s="1054">
        <v>3624.24</v>
      </c>
      <c r="F413" s="1052" t="s">
        <v>1154</v>
      </c>
      <c r="G413" s="1052" t="s">
        <v>1212</v>
      </c>
      <c r="H413" s="1029"/>
      <c r="I413" s="1032"/>
      <c r="J413" s="1032"/>
      <c r="K413" s="1032"/>
      <c r="L413" s="653" t="str">
        <f t="shared" si="393"/>
        <v>6561</v>
      </c>
      <c r="M413" s="654" t="str">
        <f t="shared" si="260"/>
        <v>DEPRECIATION EQUIP. &amp; FIXTURES</v>
      </c>
      <c r="N413" s="655">
        <f>+IF(OR($Q413=Parametres!$G$2,$Q413=Parametres!$G$3),I413,C413)</f>
        <v>3322.22</v>
      </c>
      <c r="O413" s="655">
        <f>+IF(OR($Q413=Parametres!$G$2,$Q413=Parametres!$G$3),J413,D413)</f>
        <v>302.02</v>
      </c>
      <c r="P413" s="655">
        <f>+IF(OR($Q413=Parametres!$G$2,$Q413=Parametres!$G$3),K413,E413)</f>
        <v>3624.24</v>
      </c>
      <c r="Q413" s="654" t="str">
        <f t="shared" ref="Q413:S413" si="420">+F413</f>
        <v>7-Dépenses</v>
      </c>
      <c r="R413" s="653" t="str">
        <f t="shared" si="420"/>
        <v>6161</v>
      </c>
      <c r="S413" s="654">
        <f t="shared" si="420"/>
        <v>0</v>
      </c>
      <c r="T413" s="656" t="str">
        <f>+VLOOKUP($L413,Data_Validation!$A:$D,1,0)</f>
        <v>6561</v>
      </c>
      <c r="U413" s="656" t="str">
        <f>+VLOOKUP($L413,Data_Validation!$A:$D,3,0)</f>
        <v>Carrosserie</v>
      </c>
      <c r="V413" s="656" t="str">
        <f>+VLOOKUP($L413,Data_Validation!$A:$D,4,0)</f>
        <v>Amortissement</v>
      </c>
      <c r="W413" s="656" t="str">
        <f>+VLOOKUP($L413,Data_Validation!$A:$E,5,0)</f>
        <v>$</v>
      </c>
      <c r="X413" s="656">
        <f>+VLOOKUP($L413,Data_Validation!$A:$F,6,0)</f>
        <v>0</v>
      </c>
    </row>
    <row r="414" spans="1:24" ht="15" customHeight="1">
      <c r="A414" s="1052" t="s">
        <v>1268</v>
      </c>
      <c r="B414" s="1052" t="s">
        <v>2620</v>
      </c>
      <c r="C414" s="1054">
        <v>1948.32</v>
      </c>
      <c r="D414" s="1054">
        <v>65.17</v>
      </c>
      <c r="E414" s="1054">
        <v>2013.49</v>
      </c>
      <c r="F414" s="1052" t="s">
        <v>1154</v>
      </c>
      <c r="G414" s="1052" t="s">
        <v>1214</v>
      </c>
      <c r="H414" s="1029"/>
      <c r="I414" s="1032"/>
      <c r="J414" s="1032"/>
      <c r="K414" s="1032"/>
      <c r="L414" s="653" t="str">
        <f t="shared" si="393"/>
        <v>6581</v>
      </c>
      <c r="M414" s="654" t="str">
        <f t="shared" si="260"/>
        <v>CHAUFFAGE,ELECTRICITE,EAU-CARROS.</v>
      </c>
      <c r="N414" s="655">
        <f>+IF(OR($Q414=Parametres!$G$2,$Q414=Parametres!$G$3),I414,C414)</f>
        <v>1948.32</v>
      </c>
      <c r="O414" s="655">
        <f>+IF(OR($Q414=Parametres!$G$2,$Q414=Parametres!$G$3),J414,D414)</f>
        <v>65.17</v>
      </c>
      <c r="P414" s="655">
        <f>+IF(OR($Q414=Parametres!$G$2,$Q414=Parametres!$G$3),K414,E414)</f>
        <v>2013.49</v>
      </c>
      <c r="Q414" s="654" t="str">
        <f t="shared" ref="Q414:S414" si="421">+F414</f>
        <v>7-Dépenses</v>
      </c>
      <c r="R414" s="653" t="str">
        <f t="shared" si="421"/>
        <v>6181</v>
      </c>
      <c r="S414" s="654">
        <f t="shared" si="421"/>
        <v>0</v>
      </c>
      <c r="T414" s="656" t="str">
        <f>+VLOOKUP($L414,Data_Validation!$A:$D,1,0)</f>
        <v>6581</v>
      </c>
      <c r="U414" s="656" t="str">
        <f>+VLOOKUP($L414,Data_Validation!$A:$D,3,0)</f>
        <v>Carrosserie</v>
      </c>
      <c r="V414" s="656" t="str">
        <f>+VLOOKUP($L414,Data_Validation!$A:$D,4,0)</f>
        <v>Chauffage, éclairage</v>
      </c>
      <c r="W414" s="656" t="str">
        <f>+VLOOKUP($L414,Data_Validation!$A:$E,5,0)</f>
        <v>$</v>
      </c>
      <c r="X414" s="656">
        <f>+VLOOKUP($L414,Data_Validation!$A:$F,6,0)</f>
        <v>0</v>
      </c>
    </row>
    <row r="415" spans="1:24" ht="15.75" customHeight="1">
      <c r="A415" s="1052" t="s">
        <v>1269</v>
      </c>
      <c r="B415" s="1052" t="s">
        <v>2623</v>
      </c>
      <c r="C415" s="1054">
        <v>20020</v>
      </c>
      <c r="D415" s="1054">
        <v>1820</v>
      </c>
      <c r="E415" s="1054">
        <v>21840</v>
      </c>
      <c r="F415" s="1052" t="s">
        <v>1154</v>
      </c>
      <c r="G415" s="1052" t="s">
        <v>1216</v>
      </c>
      <c r="H415" s="1029"/>
      <c r="I415" s="1032"/>
      <c r="J415" s="1032"/>
      <c r="K415" s="1032"/>
      <c r="L415" s="653" t="str">
        <f t="shared" si="393"/>
        <v>6582</v>
      </c>
      <c r="M415" s="654" t="str">
        <f t="shared" si="260"/>
        <v>LOYER - CARROSSERIE</v>
      </c>
      <c r="N415" s="655">
        <f>+IF(OR($Q415=Parametres!$G$2,$Q415=Parametres!$G$3),I415,C415)</f>
        <v>20020</v>
      </c>
      <c r="O415" s="655">
        <f>+IF(OR($Q415=Parametres!$G$2,$Q415=Parametres!$G$3),J415,D415)</f>
        <v>1820</v>
      </c>
      <c r="P415" s="655">
        <f>+IF(OR($Q415=Parametres!$G$2,$Q415=Parametres!$G$3),K415,E415)</f>
        <v>21840</v>
      </c>
      <c r="Q415" s="654" t="str">
        <f t="shared" ref="Q415:S415" si="422">+F415</f>
        <v>7-Dépenses</v>
      </c>
      <c r="R415" s="653" t="str">
        <f t="shared" si="422"/>
        <v>6182</v>
      </c>
      <c r="S415" s="654">
        <f t="shared" si="422"/>
        <v>0</v>
      </c>
      <c r="T415" s="656" t="str">
        <f>+VLOOKUP($L415,Data_Validation!$A:$D,1,0)</f>
        <v>6582</v>
      </c>
      <c r="U415" s="656" t="str">
        <f>+VLOOKUP($L415,Data_Validation!$A:$D,3,0)</f>
        <v>Carrosserie</v>
      </c>
      <c r="V415" s="656" t="str">
        <f>+VLOOKUP($L415,Data_Validation!$A:$D,4,0)</f>
        <v>Loyer</v>
      </c>
      <c r="W415" s="656" t="str">
        <f>+VLOOKUP($L415,Data_Validation!$A:$E,5,0)</f>
        <v>$</v>
      </c>
      <c r="X415" s="656">
        <f>+VLOOKUP($L415,Data_Validation!$A:$F,6,0)</f>
        <v>0</v>
      </c>
    </row>
    <row r="416" spans="1:24" ht="15" customHeight="1">
      <c r="A416" s="1052" t="s">
        <v>1270</v>
      </c>
      <c r="B416" s="1052" t="s">
        <v>2625</v>
      </c>
      <c r="C416" s="1054">
        <v>3288.67</v>
      </c>
      <c r="D416" s="1054">
        <v>298.97000000000003</v>
      </c>
      <c r="E416" s="1054">
        <v>3587.64</v>
      </c>
      <c r="F416" s="1052" t="s">
        <v>1154</v>
      </c>
      <c r="G416" s="1052" t="s">
        <v>1218</v>
      </c>
      <c r="H416" s="1029"/>
      <c r="I416" s="1032"/>
      <c r="J416" s="1032"/>
      <c r="K416" s="1032"/>
      <c r="L416" s="653" t="str">
        <f t="shared" si="393"/>
        <v>6586</v>
      </c>
      <c r="M416" s="654" t="str">
        <f t="shared" si="260"/>
        <v>ASSURANCE BATISSE &amp; AMEL.-CARROS.</v>
      </c>
      <c r="N416" s="655">
        <f>+IF(OR($Q416=Parametres!$G$2,$Q416=Parametres!$G$3),I416,C416)</f>
        <v>3288.67</v>
      </c>
      <c r="O416" s="655">
        <f>+IF(OR($Q416=Parametres!$G$2,$Q416=Parametres!$G$3),J416,D416)</f>
        <v>298.97000000000003</v>
      </c>
      <c r="P416" s="655">
        <f>+IF(OR($Q416=Parametres!$G$2,$Q416=Parametres!$G$3),K416,E416)</f>
        <v>3587.64</v>
      </c>
      <c r="Q416" s="654" t="str">
        <f t="shared" ref="Q416:S416" si="423">+F416</f>
        <v>7-Dépenses</v>
      </c>
      <c r="R416" s="653" t="str">
        <f t="shared" si="423"/>
        <v>6186</v>
      </c>
      <c r="S416" s="654">
        <f t="shared" si="423"/>
        <v>0</v>
      </c>
      <c r="T416" s="656" t="str">
        <f>+VLOOKUP($L416,Data_Validation!$A:$D,1,0)</f>
        <v>6586</v>
      </c>
      <c r="U416" s="656" t="str">
        <f>+VLOOKUP($L416,Data_Validation!$A:$D,3,0)</f>
        <v>Carrosserie</v>
      </c>
      <c r="V416" s="656" t="str">
        <f>+VLOOKUP($L416,Data_Validation!$A:$D,4,0)</f>
        <v>Assurances</v>
      </c>
      <c r="W416" s="656" t="str">
        <f>+VLOOKUP($L416,Data_Validation!$A:$E,5,0)</f>
        <v>$</v>
      </c>
      <c r="X416" s="656">
        <f>+VLOOKUP($L416,Data_Validation!$A:$F,6,0)</f>
        <v>0</v>
      </c>
    </row>
    <row r="417" spans="1:24" ht="15" customHeight="1">
      <c r="A417" s="1052" t="s">
        <v>1271</v>
      </c>
      <c r="B417" s="1052" t="s">
        <v>2627</v>
      </c>
      <c r="C417" s="1054">
        <v>3796.1</v>
      </c>
      <c r="D417" s="1054">
        <v>115.92</v>
      </c>
      <c r="E417" s="1054">
        <v>3912.02</v>
      </c>
      <c r="F417" s="1052" t="s">
        <v>1154</v>
      </c>
      <c r="G417" s="1052" t="s">
        <v>1220</v>
      </c>
      <c r="H417" s="1027"/>
      <c r="I417" s="1027"/>
      <c r="J417" s="1027"/>
      <c r="K417" s="1027"/>
      <c r="L417" s="653" t="str">
        <f t="shared" si="393"/>
        <v>6587</v>
      </c>
      <c r="M417" s="654" t="str">
        <f t="shared" si="260"/>
        <v>TAXES FONCIERES - CAROSSERIE</v>
      </c>
      <c r="N417" s="655">
        <f>+IF(OR($Q417=Parametres!$G$2,$Q417=Parametres!$G$3),I417,C417)</f>
        <v>3796.1</v>
      </c>
      <c r="O417" s="655">
        <f>+IF(OR($Q417=Parametres!$G$2,$Q417=Parametres!$G$3),J417,D417)</f>
        <v>115.92</v>
      </c>
      <c r="P417" s="655">
        <f>+IF(OR($Q417=Parametres!$G$2,$Q417=Parametres!$G$3),K417,E417)</f>
        <v>3912.02</v>
      </c>
      <c r="Q417" s="654" t="str">
        <f t="shared" ref="Q417:S417" si="424">+F417</f>
        <v>7-Dépenses</v>
      </c>
      <c r="R417" s="653" t="str">
        <f t="shared" si="424"/>
        <v>6187</v>
      </c>
      <c r="S417" s="654">
        <f t="shared" si="424"/>
        <v>0</v>
      </c>
      <c r="T417" s="656" t="str">
        <f>+VLOOKUP($L417,Data_Validation!$A:$D,1,0)</f>
        <v>6587</v>
      </c>
      <c r="U417" s="656" t="str">
        <f>+VLOOKUP($L417,Data_Validation!$A:$D,3,0)</f>
        <v>Carrosserie</v>
      </c>
      <c r="V417" s="656" t="str">
        <f>+VLOOKUP($L417,Data_Validation!$A:$D,4,0)</f>
        <v>Taxes foncières</v>
      </c>
      <c r="W417" s="656" t="str">
        <f>+VLOOKUP($L417,Data_Validation!$A:$E,5,0)</f>
        <v>$</v>
      </c>
      <c r="X417" s="656">
        <f>+VLOOKUP($L417,Data_Validation!$A:$F,6,0)</f>
        <v>0</v>
      </c>
    </row>
    <row r="418" spans="1:24" ht="15" customHeight="1">
      <c r="A418" s="1052" t="s">
        <v>1272</v>
      </c>
      <c r="B418" s="1052" t="s">
        <v>2630</v>
      </c>
      <c r="C418" s="1054">
        <v>2525.6</v>
      </c>
      <c r="D418" s="1054">
        <v>229.6</v>
      </c>
      <c r="E418" s="1054">
        <v>2755.2</v>
      </c>
      <c r="F418" s="1052" t="s">
        <v>1154</v>
      </c>
      <c r="G418" s="1052" t="s">
        <v>1222</v>
      </c>
      <c r="H418" s="1027"/>
      <c r="I418" s="1027"/>
      <c r="J418" s="1027"/>
      <c r="K418" s="1027"/>
      <c r="L418" s="653" t="str">
        <f t="shared" si="393"/>
        <v>6593</v>
      </c>
      <c r="M418" s="654" t="str">
        <f t="shared" si="260"/>
        <v>AUTRES TAXES -CARROSSERIE</v>
      </c>
      <c r="N418" s="655">
        <f>+IF(OR($Q418=Parametres!$G$2,$Q418=Parametres!$G$3),I418,C418)</f>
        <v>2525.6</v>
      </c>
      <c r="O418" s="655">
        <f>+IF(OR($Q418=Parametres!$G$2,$Q418=Parametres!$G$3),J418,D418)</f>
        <v>229.6</v>
      </c>
      <c r="P418" s="655">
        <f>+IF(OR($Q418=Parametres!$G$2,$Q418=Parametres!$G$3),K418,E418)</f>
        <v>2755.2</v>
      </c>
      <c r="Q418" s="654" t="str">
        <f t="shared" ref="Q418:S418" si="425">+F418</f>
        <v>7-Dépenses</v>
      </c>
      <c r="R418" s="653" t="str">
        <f t="shared" si="425"/>
        <v>6193</v>
      </c>
      <c r="S418" s="654">
        <f t="shared" si="425"/>
        <v>0</v>
      </c>
      <c r="T418" s="656" t="str">
        <f>+VLOOKUP($L418,Data_Validation!$A:$D,1,0)</f>
        <v>6593</v>
      </c>
      <c r="U418" s="656" t="str">
        <f>+VLOOKUP($L418,Data_Validation!$A:$D,3,0)</f>
        <v>Carrosserie</v>
      </c>
      <c r="V418" s="656" t="str">
        <f>+VLOOKUP($L418,Data_Validation!$A:$D,4,0)</f>
        <v>Taxes d`affaires</v>
      </c>
      <c r="W418" s="656" t="str">
        <f>+VLOOKUP($L418,Data_Validation!$A:$E,5,0)</f>
        <v>$</v>
      </c>
      <c r="X418" s="656">
        <f>+VLOOKUP($L418,Data_Validation!$A:$F,6,0)</f>
        <v>0</v>
      </c>
    </row>
    <row r="419" spans="1:24" ht="15.75" customHeight="1">
      <c r="A419" s="1052" t="s">
        <v>1273</v>
      </c>
      <c r="B419" s="1052" t="s">
        <v>2632</v>
      </c>
      <c r="C419" s="1054">
        <v>4714.93</v>
      </c>
      <c r="D419" s="1054">
        <v>428.63</v>
      </c>
      <c r="E419" s="1054">
        <v>5143.5600000000004</v>
      </c>
      <c r="F419" s="1052" t="s">
        <v>1154</v>
      </c>
      <c r="G419" s="1052" t="s">
        <v>1224</v>
      </c>
      <c r="H419" s="1027"/>
      <c r="I419" s="1027"/>
      <c r="J419" s="1027"/>
      <c r="K419" s="1027"/>
      <c r="L419" s="653" t="str">
        <f t="shared" si="393"/>
        <v>6594</v>
      </c>
      <c r="M419" s="654" t="str">
        <f t="shared" si="260"/>
        <v>FRAIS PROFESSIONNEL-CARROS.</v>
      </c>
      <c r="N419" s="655">
        <f>+IF(OR($Q419=Parametres!$G$2,$Q419=Parametres!$G$3),I419,C419)</f>
        <v>4714.93</v>
      </c>
      <c r="O419" s="655">
        <f>+IF(OR($Q419=Parametres!$G$2,$Q419=Parametres!$G$3),J419,D419)</f>
        <v>428.63</v>
      </c>
      <c r="P419" s="655">
        <f>+IF(OR($Q419=Parametres!$G$2,$Q419=Parametres!$G$3),K419,E419)</f>
        <v>5143.5600000000004</v>
      </c>
      <c r="Q419" s="654" t="str">
        <f t="shared" ref="Q419:S419" si="426">+F419</f>
        <v>7-Dépenses</v>
      </c>
      <c r="R419" s="653" t="str">
        <f t="shared" si="426"/>
        <v>6194</v>
      </c>
      <c r="S419" s="654">
        <f t="shared" si="426"/>
        <v>0</v>
      </c>
      <c r="T419" s="656" t="str">
        <f>+VLOOKUP($L419,Data_Validation!$A:$D,1,0)</f>
        <v>6594</v>
      </c>
      <c r="U419" s="656" t="str">
        <f>+VLOOKUP($L419,Data_Validation!$A:$D,3,0)</f>
        <v>Carrosserie</v>
      </c>
      <c r="V419" s="656" t="str">
        <f>+VLOOKUP($L419,Data_Validation!$A:$D,4,0)</f>
        <v>Honoraires</v>
      </c>
      <c r="W419" s="656" t="str">
        <f>+VLOOKUP($L419,Data_Validation!$A:$E,5,0)</f>
        <v>$</v>
      </c>
      <c r="X419" s="656">
        <f>+VLOOKUP($L419,Data_Validation!$A:$F,6,0)</f>
        <v>0</v>
      </c>
    </row>
    <row r="420" spans="1:24" ht="15.75" customHeight="1">
      <c r="A420" s="1052" t="s">
        <v>1158</v>
      </c>
      <c r="B420" s="1052" t="s">
        <v>2647</v>
      </c>
      <c r="C420" s="1054">
        <v>15698.2</v>
      </c>
      <c r="D420" s="1054">
        <v>1541.8</v>
      </c>
      <c r="E420" s="1054">
        <v>17240</v>
      </c>
      <c r="F420" s="1052" t="s">
        <v>1154</v>
      </c>
      <c r="G420" s="1052" t="s">
        <v>1242</v>
      </c>
      <c r="H420" s="1027"/>
      <c r="I420" s="1027"/>
      <c r="J420" s="1027"/>
      <c r="K420" s="1027"/>
      <c r="L420" s="653" t="str">
        <f t="shared" si="393"/>
        <v>6703</v>
      </c>
      <c r="M420" s="654" t="str">
        <f t="shared" si="260"/>
        <v>RELAT. A LA CLIENTELE &amp; AJUST.</v>
      </c>
      <c r="N420" s="655">
        <f>+IF(OR($Q420=Parametres!$G$2,$Q420=Parametres!$G$3),I420,C420)</f>
        <v>15698.2</v>
      </c>
      <c r="O420" s="655">
        <f>+IF(OR($Q420=Parametres!$G$2,$Q420=Parametres!$G$3),J420,D420)</f>
        <v>1541.8</v>
      </c>
      <c r="P420" s="655">
        <f>+IF(OR($Q420=Parametres!$G$2,$Q420=Parametres!$G$3),K420,E420)</f>
        <v>17240</v>
      </c>
      <c r="Q420" s="654" t="str">
        <f t="shared" ref="Q420:S420" si="427">+F420</f>
        <v>7-Dépenses</v>
      </c>
      <c r="R420" s="653" t="str">
        <f t="shared" si="427"/>
        <v>6112</v>
      </c>
      <c r="S420" s="654">
        <f t="shared" si="427"/>
        <v>0</v>
      </c>
      <c r="T420" s="656" t="str">
        <f>+VLOOKUP($L420,Data_Validation!$A:$D,1,0)</f>
        <v>6703</v>
      </c>
      <c r="U420" s="656" t="str">
        <f>+VLOOKUP($L420,Data_Validation!$A:$D,3,0)</f>
        <v>Pièces</v>
      </c>
      <c r="V420" s="656" t="str">
        <f>+VLOOKUP($L420,Data_Validation!$A:$D,4,0)</f>
        <v>Service gratuit 2</v>
      </c>
      <c r="W420" s="656" t="str">
        <f>+VLOOKUP($L420,Data_Validation!$A:$E,5,0)</f>
        <v>$</v>
      </c>
      <c r="X420" s="656">
        <f>+VLOOKUP($L420,Data_Validation!$A:$F,6,0)</f>
        <v>0</v>
      </c>
    </row>
    <row r="421" spans="1:24" ht="15" customHeight="1">
      <c r="A421" s="1052" t="s">
        <v>1166</v>
      </c>
      <c r="B421" s="1052" t="s">
        <v>2653</v>
      </c>
      <c r="C421" s="1054">
        <v>40647.550000000003</v>
      </c>
      <c r="D421" s="1054">
        <v>3055.88</v>
      </c>
      <c r="E421" s="1054">
        <v>43703.43</v>
      </c>
      <c r="F421" s="1052" t="s">
        <v>1154</v>
      </c>
      <c r="G421" s="1052" t="s">
        <v>1167</v>
      </c>
      <c r="H421" s="1027"/>
      <c r="I421" s="1027"/>
      <c r="J421" s="1027"/>
      <c r="K421" s="1027"/>
      <c r="L421" s="653" t="str">
        <f t="shared" si="393"/>
        <v>6714</v>
      </c>
      <c r="M421" s="654" t="str">
        <f t="shared" si="260"/>
        <v>PUBLICITE</v>
      </c>
      <c r="N421" s="655">
        <f>+IF(OR($Q421=Parametres!$G$2,$Q421=Parametres!$G$3),I421,C421)</f>
        <v>40647.550000000003</v>
      </c>
      <c r="O421" s="655">
        <f>+IF(OR($Q421=Parametres!$G$2,$Q421=Parametres!$G$3),J421,D421)</f>
        <v>3055.88</v>
      </c>
      <c r="P421" s="655">
        <f>+IF(OR($Q421=Parametres!$G$2,$Q421=Parametres!$G$3),K421,E421)</f>
        <v>43703.43</v>
      </c>
      <c r="Q421" s="654" t="str">
        <f t="shared" ref="Q421:S421" si="428">+F421</f>
        <v>7-Dépenses</v>
      </c>
      <c r="R421" s="653" t="str">
        <f t="shared" si="428"/>
        <v>6114</v>
      </c>
      <c r="S421" s="654">
        <f t="shared" si="428"/>
        <v>0</v>
      </c>
      <c r="T421" s="656" t="str">
        <f>+VLOOKUP($L421,Data_Validation!$A:$D,1,0)</f>
        <v>6714</v>
      </c>
      <c r="U421" s="656" t="str">
        <f>+VLOOKUP($L421,Data_Validation!$A:$D,3,0)</f>
        <v>Pièces</v>
      </c>
      <c r="V421" s="656" t="str">
        <f>+VLOOKUP($L421,Data_Validation!$A:$D,4,0)</f>
        <v>Publicité 2</v>
      </c>
      <c r="W421" s="656" t="str">
        <f>+VLOOKUP($L421,Data_Validation!$A:$E,5,0)</f>
        <v>$</v>
      </c>
      <c r="X421" s="656">
        <f>+VLOOKUP($L421,Data_Validation!$A:$F,6,0)</f>
        <v>0</v>
      </c>
    </row>
    <row r="422" spans="1:24" ht="15" customHeight="1">
      <c r="A422" s="1052" t="s">
        <v>1274</v>
      </c>
      <c r="B422" s="1052" t="s">
        <v>2656</v>
      </c>
      <c r="C422" s="1054">
        <v>35596.42</v>
      </c>
      <c r="D422" s="1054">
        <v>3719.89</v>
      </c>
      <c r="E422" s="1054">
        <v>39316.31</v>
      </c>
      <c r="F422" s="1052" t="s">
        <v>1154</v>
      </c>
      <c r="G422" s="1052" t="s">
        <v>1170</v>
      </c>
      <c r="H422" s="1027"/>
      <c r="I422" s="1027"/>
      <c r="J422" s="1027"/>
      <c r="K422" s="1027"/>
      <c r="L422" s="653" t="str">
        <f t="shared" si="393"/>
        <v>6721</v>
      </c>
      <c r="M422" s="654" t="str">
        <f t="shared" si="260"/>
        <v>SALAIRES - PROPRIEATIRES</v>
      </c>
      <c r="N422" s="655">
        <f>+IF(OR($Q422=Parametres!$G$2,$Q422=Parametres!$G$3),I422,C422)</f>
        <v>35596.42</v>
      </c>
      <c r="O422" s="655">
        <f>+IF(OR($Q422=Parametres!$G$2,$Q422=Parametres!$G$3),J422,D422)</f>
        <v>3719.89</v>
      </c>
      <c r="P422" s="655">
        <f>+IF(OR($Q422=Parametres!$G$2,$Q422=Parametres!$G$3),K422,E422)</f>
        <v>39316.31</v>
      </c>
      <c r="Q422" s="654" t="str">
        <f t="shared" ref="Q422:S422" si="429">+F422</f>
        <v>7-Dépenses</v>
      </c>
      <c r="R422" s="653" t="str">
        <f t="shared" si="429"/>
        <v>6121</v>
      </c>
      <c r="S422" s="654">
        <f t="shared" si="429"/>
        <v>0</v>
      </c>
      <c r="T422" s="656" t="str">
        <f>+VLOOKUP($L422,Data_Validation!$A:$D,1,0)</f>
        <v>6721</v>
      </c>
      <c r="U422" s="656" t="str">
        <f>+VLOOKUP($L422,Data_Validation!$A:$D,3,0)</f>
        <v>Pièces</v>
      </c>
      <c r="V422" s="656" t="str">
        <f>+VLOOKUP($L422,Data_Validation!$A:$D,4,0)</f>
        <v>Salaires propriétaire</v>
      </c>
      <c r="W422" s="656" t="str">
        <f>+VLOOKUP($L422,Data_Validation!$A:$E,5,0)</f>
        <v>$</v>
      </c>
      <c r="X422" s="656">
        <f>+VLOOKUP($L422,Data_Validation!$A:$F,6,0)</f>
        <v>0</v>
      </c>
    </row>
    <row r="423" spans="1:24" ht="15" customHeight="1">
      <c r="A423" s="1052" t="s">
        <v>1171</v>
      </c>
      <c r="B423" s="1052" t="s">
        <v>2659</v>
      </c>
      <c r="C423" s="1054">
        <v>49956</v>
      </c>
      <c r="D423" s="1054">
        <v>5362.67</v>
      </c>
      <c r="E423" s="1054">
        <v>55318.67</v>
      </c>
      <c r="F423" s="1052" t="s">
        <v>1154</v>
      </c>
      <c r="G423" s="1052" t="s">
        <v>1172</v>
      </c>
      <c r="H423" s="1027"/>
      <c r="I423" s="1027"/>
      <c r="J423" s="1027"/>
      <c r="K423" s="1027"/>
      <c r="L423" s="653" t="str">
        <f t="shared" si="393"/>
        <v>6722</v>
      </c>
      <c r="M423" s="654" t="str">
        <f t="shared" si="260"/>
        <v>SAL SUPERVISION / GERANT</v>
      </c>
      <c r="N423" s="655">
        <f>+IF(OR($Q423=Parametres!$G$2,$Q423=Parametres!$G$3),I423,C423)</f>
        <v>49956</v>
      </c>
      <c r="O423" s="655">
        <f>+IF(OR($Q423=Parametres!$G$2,$Q423=Parametres!$G$3),J423,D423)</f>
        <v>5362.67</v>
      </c>
      <c r="P423" s="655">
        <f>+IF(OR($Q423=Parametres!$G$2,$Q423=Parametres!$G$3),K423,E423)</f>
        <v>55318.67</v>
      </c>
      <c r="Q423" s="654" t="str">
        <f t="shared" ref="Q423:S423" si="430">+F423</f>
        <v>7-Dépenses</v>
      </c>
      <c r="R423" s="653" t="str">
        <f t="shared" si="430"/>
        <v>6122</v>
      </c>
      <c r="S423" s="654">
        <f t="shared" si="430"/>
        <v>0</v>
      </c>
      <c r="T423" s="656" t="str">
        <f>+VLOOKUP($L423,Data_Validation!$A:$D,1,0)</f>
        <v>6722</v>
      </c>
      <c r="U423" s="656" t="str">
        <f>+VLOOKUP($L423,Data_Validation!$A:$D,3,0)</f>
        <v>Pièces</v>
      </c>
      <c r="V423" s="656" t="str">
        <f>+VLOOKUP($L423,Data_Validation!$A:$D,4,0)</f>
        <v>Salaires cadres</v>
      </c>
      <c r="W423" s="656" t="str">
        <f>+VLOOKUP($L423,Data_Validation!$A:$E,5,0)</f>
        <v>$</v>
      </c>
      <c r="X423" s="656">
        <f>+VLOOKUP($L423,Data_Validation!$A:$F,6,0)</f>
        <v>0</v>
      </c>
    </row>
    <row r="424" spans="1:24" ht="15" customHeight="1">
      <c r="A424" s="1052" t="s">
        <v>1173</v>
      </c>
      <c r="B424" s="1052" t="s">
        <v>2662</v>
      </c>
      <c r="C424" s="1054">
        <v>38014.53</v>
      </c>
      <c r="D424" s="1054">
        <v>10289.719999999999</v>
      </c>
      <c r="E424" s="1054">
        <v>48304.25</v>
      </c>
      <c r="F424" s="1052" t="s">
        <v>1154</v>
      </c>
      <c r="G424" s="1052" t="s">
        <v>1174</v>
      </c>
      <c r="H424" s="1027"/>
      <c r="I424" s="1027"/>
      <c r="J424" s="1027"/>
      <c r="K424" s="1027"/>
      <c r="L424" s="653" t="str">
        <f t="shared" si="393"/>
        <v>6723</v>
      </c>
      <c r="M424" s="654" t="str">
        <f t="shared" si="260"/>
        <v>SAL. &amp; RENUM. - CLERICAL</v>
      </c>
      <c r="N424" s="655">
        <f>+IF(OR($Q424=Parametres!$G$2,$Q424=Parametres!$G$3),I424,C424)</f>
        <v>38014.53</v>
      </c>
      <c r="O424" s="655">
        <f>+IF(OR($Q424=Parametres!$G$2,$Q424=Parametres!$G$3),J424,D424)</f>
        <v>10289.719999999999</v>
      </c>
      <c r="P424" s="655">
        <f>+IF(OR($Q424=Parametres!$G$2,$Q424=Parametres!$G$3),K424,E424)</f>
        <v>48304.25</v>
      </c>
      <c r="Q424" s="654" t="str">
        <f t="shared" ref="Q424:S424" si="431">+F424</f>
        <v>7-Dépenses</v>
      </c>
      <c r="R424" s="653" t="str">
        <f t="shared" si="431"/>
        <v>6123</v>
      </c>
      <c r="S424" s="654">
        <f t="shared" si="431"/>
        <v>0</v>
      </c>
      <c r="T424" s="656" t="str">
        <f>+VLOOKUP($L424,Data_Validation!$A:$D,1,0)</f>
        <v>6723</v>
      </c>
      <c r="U424" s="656" t="str">
        <f>+VLOOKUP($L424,Data_Validation!$A:$D,3,0)</f>
        <v>Pièces</v>
      </c>
      <c r="V424" s="656" t="str">
        <f>+VLOOKUP($L424,Data_Validation!$A:$D,4,0)</f>
        <v>Salaires commis</v>
      </c>
      <c r="W424" s="656" t="str">
        <f>+VLOOKUP($L424,Data_Validation!$A:$E,5,0)</f>
        <v>$</v>
      </c>
      <c r="X424" s="656">
        <f>+VLOOKUP($L424,Data_Validation!$A:$F,6,0)</f>
        <v>0</v>
      </c>
    </row>
    <row r="425" spans="1:24" ht="15.75" customHeight="1">
      <c r="A425" s="1052" t="s">
        <v>1175</v>
      </c>
      <c r="B425" s="1052" t="s">
        <v>2665</v>
      </c>
      <c r="C425" s="1054">
        <v>249777.5</v>
      </c>
      <c r="D425" s="1054">
        <v>17362.310000000001</v>
      </c>
      <c r="E425" s="1054">
        <v>267139.81</v>
      </c>
      <c r="F425" s="1052" t="s">
        <v>1154</v>
      </c>
      <c r="G425" s="1052" t="s">
        <v>1176</v>
      </c>
      <c r="H425" s="1027"/>
      <c r="I425" s="1028"/>
      <c r="J425" s="1028"/>
      <c r="K425" s="1028"/>
      <c r="L425" s="653" t="str">
        <f t="shared" si="393"/>
        <v>6724</v>
      </c>
      <c r="M425" s="654" t="str">
        <f t="shared" si="260"/>
        <v>SALAIRES &amp; RENUM. - AUTRES</v>
      </c>
      <c r="N425" s="655">
        <f>+IF(OR($Q425=Parametres!$G$2,$Q425=Parametres!$G$3),I425,C425)</f>
        <v>249777.5</v>
      </c>
      <c r="O425" s="655">
        <f>+IF(OR($Q425=Parametres!$G$2,$Q425=Parametres!$G$3),J425,D425)</f>
        <v>17362.310000000001</v>
      </c>
      <c r="P425" s="655">
        <f>+IF(OR($Q425=Parametres!$G$2,$Q425=Parametres!$G$3),K425,E425)</f>
        <v>267139.81</v>
      </c>
      <c r="Q425" s="654" t="str">
        <f t="shared" ref="Q425:S425" si="432">+F425</f>
        <v>7-Dépenses</v>
      </c>
      <c r="R425" s="653" t="str">
        <f t="shared" si="432"/>
        <v>6124</v>
      </c>
      <c r="S425" s="654">
        <f t="shared" si="432"/>
        <v>0</v>
      </c>
      <c r="T425" s="656" t="str">
        <f>+VLOOKUP($L425,Data_Validation!$A:$D,1,0)</f>
        <v>6724</v>
      </c>
      <c r="U425" s="656" t="str">
        <f>+VLOOKUP($L425,Data_Validation!$A:$D,3,0)</f>
        <v>Pièces</v>
      </c>
      <c r="V425" s="656" t="str">
        <f>+VLOOKUP($L425,Data_Validation!$A:$D,4,0)</f>
        <v>Salaires autres</v>
      </c>
      <c r="W425" s="656" t="str">
        <f>+VLOOKUP($L425,Data_Validation!$A:$E,5,0)</f>
        <v>$</v>
      </c>
      <c r="X425" s="656">
        <f>+VLOOKUP($L425,Data_Validation!$A:$F,6,0)</f>
        <v>0</v>
      </c>
    </row>
    <row r="426" spans="1:24" ht="15" customHeight="1">
      <c r="A426" s="1052" t="s">
        <v>1275</v>
      </c>
      <c r="B426" s="1052" t="s">
        <v>2668</v>
      </c>
      <c r="C426" s="1054">
        <v>34926.6</v>
      </c>
      <c r="D426" s="1054">
        <v>7703.06</v>
      </c>
      <c r="E426" s="1054">
        <v>42629.66</v>
      </c>
      <c r="F426" s="1052" t="s">
        <v>1154</v>
      </c>
      <c r="G426" s="1052" t="s">
        <v>1178</v>
      </c>
      <c r="H426" s="1027"/>
      <c r="I426" s="1028"/>
      <c r="J426" s="1028"/>
      <c r="K426" s="1028"/>
      <c r="L426" s="653" t="str">
        <f t="shared" si="393"/>
        <v>6729</v>
      </c>
      <c r="M426" s="654" t="str">
        <f t="shared" si="260"/>
        <v>ABSENCES, VACANCES, ETC</v>
      </c>
      <c r="N426" s="655">
        <f>+IF(OR($Q426=Parametres!$G$2,$Q426=Parametres!$G$3),I426,C426)</f>
        <v>34926.6</v>
      </c>
      <c r="O426" s="655">
        <f>+IF(OR($Q426=Parametres!$G$2,$Q426=Parametres!$G$3),J426,D426)</f>
        <v>7703.06</v>
      </c>
      <c r="P426" s="655">
        <f>+IF(OR($Q426=Parametres!$G$2,$Q426=Parametres!$G$3),K426,E426)</f>
        <v>42629.66</v>
      </c>
      <c r="Q426" s="654" t="str">
        <f t="shared" ref="Q426:S426" si="433">+F426</f>
        <v>7-Dépenses</v>
      </c>
      <c r="R426" s="653" t="str">
        <f t="shared" si="433"/>
        <v>6129</v>
      </c>
      <c r="S426" s="654">
        <f t="shared" si="433"/>
        <v>0</v>
      </c>
      <c r="T426" s="656" t="str">
        <f>+VLOOKUP($L426,Data_Validation!$A:$D,1,0)</f>
        <v>6729</v>
      </c>
      <c r="U426" s="656" t="str">
        <f>+VLOOKUP($L426,Data_Validation!$A:$D,3,0)</f>
        <v>Pièces</v>
      </c>
      <c r="V426" s="656" t="str">
        <f>+VLOOKUP($L426,Data_Validation!$A:$D,4,0)</f>
        <v>Salaires en absences</v>
      </c>
      <c r="W426" s="656" t="str">
        <f>+VLOOKUP($L426,Data_Validation!$A:$E,5,0)</f>
        <v>$</v>
      </c>
      <c r="X426" s="656">
        <f>+VLOOKUP($L426,Data_Validation!$A:$F,6,0)</f>
        <v>0</v>
      </c>
    </row>
    <row r="427" spans="1:24" ht="15" customHeight="1">
      <c r="A427" s="1052" t="s">
        <v>1179</v>
      </c>
      <c r="B427" s="1052" t="s">
        <v>2671</v>
      </c>
      <c r="C427" s="1054">
        <v>-820.61</v>
      </c>
      <c r="D427" s="1054">
        <v>-1941.53</v>
      </c>
      <c r="E427" s="1054">
        <v>-2762.14</v>
      </c>
      <c r="F427" s="1052" t="s">
        <v>1154</v>
      </c>
      <c r="G427" s="1052" t="s">
        <v>1180</v>
      </c>
      <c r="H427" s="1027"/>
      <c r="I427" s="1028"/>
      <c r="J427" s="1028"/>
      <c r="K427" s="1028"/>
      <c r="L427" s="653" t="str">
        <f t="shared" si="393"/>
        <v>6731</v>
      </c>
      <c r="M427" s="654" t="str">
        <f t="shared" si="260"/>
        <v>CSST</v>
      </c>
      <c r="N427" s="655">
        <f>+IF(OR($Q427=Parametres!$G$2,$Q427=Parametres!$G$3),I427,C427)</f>
        <v>-820.61</v>
      </c>
      <c r="O427" s="655">
        <f>+IF(OR($Q427=Parametres!$G$2,$Q427=Parametres!$G$3),J427,D427)</f>
        <v>-1941.53</v>
      </c>
      <c r="P427" s="655">
        <f>+IF(OR($Q427=Parametres!$G$2,$Q427=Parametres!$G$3),K427,E427)</f>
        <v>-2762.14</v>
      </c>
      <c r="Q427" s="654" t="str">
        <f t="shared" ref="Q427:S427" si="434">+F427</f>
        <v>7-Dépenses</v>
      </c>
      <c r="R427" s="653" t="str">
        <f t="shared" si="434"/>
        <v>6131</v>
      </c>
      <c r="S427" s="654">
        <f t="shared" si="434"/>
        <v>0</v>
      </c>
      <c r="T427" s="656" t="str">
        <f>+VLOOKUP($L427,Data_Validation!$A:$D,1,0)</f>
        <v>6731</v>
      </c>
      <c r="U427" s="656" t="str">
        <f>+VLOOKUP($L427,Data_Validation!$A:$D,3,0)</f>
        <v>Pièces</v>
      </c>
      <c r="V427" s="656" t="str">
        <f>+VLOOKUP($L427,Data_Validation!$A:$D,4,0)</f>
        <v>Csst</v>
      </c>
      <c r="W427" s="656" t="str">
        <f>+VLOOKUP($L427,Data_Validation!$A:$E,5,0)</f>
        <v>$</v>
      </c>
      <c r="X427" s="656">
        <f>+VLOOKUP($L427,Data_Validation!$A:$F,6,0)</f>
        <v>0</v>
      </c>
    </row>
    <row r="428" spans="1:24" ht="15" customHeight="1">
      <c r="A428" s="1052" t="s">
        <v>1181</v>
      </c>
      <c r="B428" s="1052" t="s">
        <v>2674</v>
      </c>
      <c r="C428" s="1054">
        <v>71294.55</v>
      </c>
      <c r="D428" s="1054">
        <v>12117.09</v>
      </c>
      <c r="E428" s="1054">
        <v>83411.64</v>
      </c>
      <c r="F428" s="1052" t="s">
        <v>1154</v>
      </c>
      <c r="G428" s="1052" t="s">
        <v>1182</v>
      </c>
      <c r="H428" s="1027"/>
      <c r="I428" s="1028"/>
      <c r="J428" s="1028"/>
      <c r="K428" s="1028"/>
      <c r="L428" s="653" t="str">
        <f t="shared" si="393"/>
        <v>6732</v>
      </c>
      <c r="M428" s="654" t="str">
        <f t="shared" si="260"/>
        <v>RRQ RAMQ AC</v>
      </c>
      <c r="N428" s="655">
        <f>+IF(OR($Q428=Parametres!$G$2,$Q428=Parametres!$G$3),I428,C428)</f>
        <v>71294.55</v>
      </c>
      <c r="O428" s="655">
        <f>+IF(OR($Q428=Parametres!$G$2,$Q428=Parametres!$G$3),J428,D428)</f>
        <v>12117.09</v>
      </c>
      <c r="P428" s="655">
        <f>+IF(OR($Q428=Parametres!$G$2,$Q428=Parametres!$G$3),K428,E428)</f>
        <v>83411.64</v>
      </c>
      <c r="Q428" s="654" t="str">
        <f t="shared" ref="Q428:S428" si="435">+F428</f>
        <v>7-Dépenses</v>
      </c>
      <c r="R428" s="653" t="str">
        <f t="shared" si="435"/>
        <v>6132</v>
      </c>
      <c r="S428" s="654">
        <f t="shared" si="435"/>
        <v>0</v>
      </c>
      <c r="T428" s="656" t="str">
        <f>+VLOOKUP($L428,Data_Validation!$A:$D,1,0)</f>
        <v>6732</v>
      </c>
      <c r="U428" s="656" t="str">
        <f>+VLOOKUP($L428,Data_Validation!$A:$D,3,0)</f>
        <v>Pièces</v>
      </c>
      <c r="V428" s="656" t="str">
        <f>+VLOOKUP($L428,Data_Validation!$A:$D,4,0)</f>
        <v>Déduction à la source</v>
      </c>
      <c r="W428" s="656" t="str">
        <f>+VLOOKUP($L428,Data_Validation!$A:$E,5,0)</f>
        <v>$</v>
      </c>
      <c r="X428" s="656">
        <f>+VLOOKUP($L428,Data_Validation!$A:$F,6,0)</f>
        <v>0</v>
      </c>
    </row>
    <row r="429" spans="1:24" ht="15" customHeight="1">
      <c r="A429" s="1052" t="s">
        <v>1276</v>
      </c>
      <c r="B429" s="1052" t="s">
        <v>2677</v>
      </c>
      <c r="C429" s="1054">
        <v>564.07000000000005</v>
      </c>
      <c r="D429" s="1054">
        <v>448.95</v>
      </c>
      <c r="E429" s="1054">
        <v>1013.02</v>
      </c>
      <c r="F429" s="1052" t="s">
        <v>1154</v>
      </c>
      <c r="G429" s="1052" t="s">
        <v>1184</v>
      </c>
      <c r="H429" s="1027"/>
      <c r="I429" s="1028"/>
      <c r="J429" s="1028"/>
      <c r="K429" s="1028"/>
      <c r="L429" s="653" t="str">
        <f t="shared" si="393"/>
        <v>6733</v>
      </c>
      <c r="M429" s="654" t="str">
        <f t="shared" si="260"/>
        <v>FOND PENSION - PIECES</v>
      </c>
      <c r="N429" s="655">
        <f>+IF(OR($Q429=Parametres!$G$2,$Q429=Parametres!$G$3),I429,C429)</f>
        <v>564.07000000000005</v>
      </c>
      <c r="O429" s="655">
        <f>+IF(OR($Q429=Parametres!$G$2,$Q429=Parametres!$G$3),J429,D429)</f>
        <v>448.95</v>
      </c>
      <c r="P429" s="655">
        <f>+IF(OR($Q429=Parametres!$G$2,$Q429=Parametres!$G$3),K429,E429)</f>
        <v>1013.02</v>
      </c>
      <c r="Q429" s="654" t="str">
        <f t="shared" ref="Q429:S429" si="436">+F429</f>
        <v>7-Dépenses</v>
      </c>
      <c r="R429" s="653" t="str">
        <f t="shared" si="436"/>
        <v>6133</v>
      </c>
      <c r="S429" s="654">
        <f t="shared" si="436"/>
        <v>0</v>
      </c>
      <c r="T429" s="656" t="str">
        <f>+VLOOKUP($L429,Data_Validation!$A:$D,1,0)</f>
        <v>6733</v>
      </c>
      <c r="U429" s="656" t="str">
        <f>+VLOOKUP($L429,Data_Validation!$A:$D,3,0)</f>
        <v>Pièces</v>
      </c>
      <c r="V429" s="656" t="str">
        <f>+VLOOKUP($L429,Data_Validation!$A:$D,4,0)</f>
        <v>Déduction à la source</v>
      </c>
      <c r="W429" s="656" t="str">
        <f>+VLOOKUP($L429,Data_Validation!$A:$E,5,0)</f>
        <v>$</v>
      </c>
      <c r="X429" s="656">
        <f>+VLOOKUP($L429,Data_Validation!$A:$F,6,0)</f>
        <v>0</v>
      </c>
    </row>
    <row r="430" spans="1:24" ht="15" customHeight="1">
      <c r="A430" s="1052" t="s">
        <v>1231</v>
      </c>
      <c r="B430" s="1052" t="s">
        <v>2680</v>
      </c>
      <c r="C430" s="1054">
        <v>49809.11</v>
      </c>
      <c r="D430" s="1054">
        <v>3733.42</v>
      </c>
      <c r="E430" s="1054">
        <v>53542.53</v>
      </c>
      <c r="F430" s="1052" t="s">
        <v>1154</v>
      </c>
      <c r="G430" s="1052" t="s">
        <v>1186</v>
      </c>
      <c r="H430" s="1027"/>
      <c r="I430" s="1028"/>
      <c r="J430" s="1028"/>
      <c r="K430" s="1028"/>
      <c r="L430" s="653" t="str">
        <f t="shared" si="393"/>
        <v>6739</v>
      </c>
      <c r="M430" s="654" t="str">
        <f t="shared" si="260"/>
        <v>ASSURANCE GROUPE</v>
      </c>
      <c r="N430" s="655">
        <f>+IF(OR($Q430=Parametres!$G$2,$Q430=Parametres!$G$3),I430,C430)</f>
        <v>49809.11</v>
      </c>
      <c r="O430" s="655">
        <f>+IF(OR($Q430=Parametres!$G$2,$Q430=Parametres!$G$3),J430,D430)</f>
        <v>3733.42</v>
      </c>
      <c r="P430" s="655">
        <f>+IF(OR($Q430=Parametres!$G$2,$Q430=Parametres!$G$3),K430,E430)</f>
        <v>53542.53</v>
      </c>
      <c r="Q430" s="654" t="str">
        <f t="shared" ref="Q430:S430" si="437">+F430</f>
        <v>7-Dépenses</v>
      </c>
      <c r="R430" s="653" t="str">
        <f t="shared" si="437"/>
        <v>6139</v>
      </c>
      <c r="S430" s="654">
        <f t="shared" si="437"/>
        <v>0</v>
      </c>
      <c r="T430" s="656" t="str">
        <f>+VLOOKUP($L430,Data_Validation!$A:$D,1,0)</f>
        <v>6739</v>
      </c>
      <c r="U430" s="656" t="str">
        <f>+VLOOKUP($L430,Data_Validation!$A:$D,3,0)</f>
        <v>Pièces</v>
      </c>
      <c r="V430" s="656" t="str">
        <f>+VLOOKUP($L430,Data_Validation!$A:$D,4,0)</f>
        <v>Bénéfices marginaux</v>
      </c>
      <c r="W430" s="656" t="str">
        <f>+VLOOKUP($L430,Data_Validation!$A:$E,5,0)</f>
        <v>$</v>
      </c>
      <c r="X430" s="656">
        <f>+VLOOKUP($L430,Data_Validation!$A:$F,6,0)</f>
        <v>0</v>
      </c>
    </row>
    <row r="431" spans="1:24" ht="15.75" customHeight="1">
      <c r="A431" s="1052" t="s">
        <v>1187</v>
      </c>
      <c r="B431" s="1052" t="s">
        <v>2684</v>
      </c>
      <c r="C431" s="1054">
        <v>758.35</v>
      </c>
      <c r="D431" s="1054">
        <v>0</v>
      </c>
      <c r="E431" s="1054">
        <v>758.35</v>
      </c>
      <c r="F431" s="1052" t="s">
        <v>1154</v>
      </c>
      <c r="G431" s="1052" t="s">
        <v>1188</v>
      </c>
      <c r="H431" s="1027"/>
      <c r="I431" s="1028"/>
      <c r="J431" s="1028"/>
      <c r="K431" s="1028"/>
      <c r="L431" s="653" t="str">
        <f t="shared" si="393"/>
        <v>6742</v>
      </c>
      <c r="M431" s="654" t="str">
        <f t="shared" si="260"/>
        <v>FOURNITURES &amp; PETITS OUTILS</v>
      </c>
      <c r="N431" s="655">
        <f>+IF(OR($Q431=Parametres!$G$2,$Q431=Parametres!$G$3),I431,C431)</f>
        <v>758.35</v>
      </c>
      <c r="O431" s="655">
        <f>+IF(OR($Q431=Parametres!$G$2,$Q431=Parametres!$G$3),J431,D431)</f>
        <v>0</v>
      </c>
      <c r="P431" s="655">
        <f>+IF(OR($Q431=Parametres!$G$2,$Q431=Parametres!$G$3),K431,E431)</f>
        <v>758.35</v>
      </c>
      <c r="Q431" s="654" t="str">
        <f t="shared" ref="Q431:S431" si="438">+F431</f>
        <v>7-Dépenses</v>
      </c>
      <c r="R431" s="653" t="str">
        <f t="shared" si="438"/>
        <v>6142</v>
      </c>
      <c r="S431" s="654">
        <f t="shared" si="438"/>
        <v>0</v>
      </c>
      <c r="T431" s="656" t="str">
        <f>+VLOOKUP($L431,Data_Validation!$A:$D,1,0)</f>
        <v>6742</v>
      </c>
      <c r="U431" s="656" t="str">
        <f>+VLOOKUP($L431,Data_Validation!$A:$D,3,0)</f>
        <v>Pièces</v>
      </c>
      <c r="V431" s="656" t="str">
        <f>+VLOOKUP($L431,Data_Validation!$A:$D,4,0)</f>
        <v>Fournitures autres</v>
      </c>
      <c r="W431" s="656" t="str">
        <f>+VLOOKUP($L431,Data_Validation!$A:$E,5,0)</f>
        <v>$</v>
      </c>
      <c r="X431" s="656">
        <f>+VLOOKUP($L431,Data_Validation!$A:$F,6,0)</f>
        <v>0</v>
      </c>
    </row>
    <row r="432" spans="1:24" ht="15" customHeight="1">
      <c r="A432" s="1052" t="s">
        <v>1191</v>
      </c>
      <c r="B432" s="1052" t="s">
        <v>2690</v>
      </c>
      <c r="C432" s="1054">
        <v>2305.92</v>
      </c>
      <c r="D432" s="1054">
        <v>540.99</v>
      </c>
      <c r="E432" s="1054">
        <v>2846.91</v>
      </c>
      <c r="F432" s="1052" t="s">
        <v>1154</v>
      </c>
      <c r="G432" s="1052" t="s">
        <v>1192</v>
      </c>
      <c r="H432" s="1027"/>
      <c r="I432" s="1028"/>
      <c r="J432" s="1028"/>
      <c r="K432" s="1028"/>
      <c r="L432" s="653" t="str">
        <f t="shared" si="393"/>
        <v>6744</v>
      </c>
      <c r="M432" s="654" t="str">
        <f t="shared" si="260"/>
        <v>FORMATION</v>
      </c>
      <c r="N432" s="655">
        <f>+IF(OR($Q432=Parametres!$G$2,$Q432=Parametres!$G$3),I432,C432)</f>
        <v>2305.92</v>
      </c>
      <c r="O432" s="655">
        <f>+IF(OR($Q432=Parametres!$G$2,$Q432=Parametres!$G$3),J432,D432)</f>
        <v>540.99</v>
      </c>
      <c r="P432" s="655">
        <f>+IF(OR($Q432=Parametres!$G$2,$Q432=Parametres!$G$3),K432,E432)</f>
        <v>2846.91</v>
      </c>
      <c r="Q432" s="654" t="str">
        <f t="shared" ref="Q432:S432" si="439">+F432</f>
        <v>7-Dépenses</v>
      </c>
      <c r="R432" s="653" t="str">
        <f t="shared" si="439"/>
        <v>6144</v>
      </c>
      <c r="S432" s="654">
        <f t="shared" si="439"/>
        <v>0</v>
      </c>
      <c r="T432" s="656" t="str">
        <f>+VLOOKUP($L432,Data_Validation!$A:$D,1,0)</f>
        <v>6744</v>
      </c>
      <c r="U432" s="656" t="str">
        <f>+VLOOKUP($L432,Data_Validation!$A:$D,3,0)</f>
        <v>Pièces</v>
      </c>
      <c r="V432" s="656" t="str">
        <f>+VLOOKUP($L432,Data_Validation!$A:$D,4,0)</f>
        <v>Formation</v>
      </c>
      <c r="W432" s="656" t="str">
        <f>+VLOOKUP($L432,Data_Validation!$A:$E,5,0)</f>
        <v>$</v>
      </c>
      <c r="X432" s="656">
        <f>+VLOOKUP($L432,Data_Validation!$A:$F,6,0)</f>
        <v>0</v>
      </c>
    </row>
    <row r="433" spans="1:24" ht="15" customHeight="1">
      <c r="A433" s="1052" t="s">
        <v>1193</v>
      </c>
      <c r="B433" s="1052" t="s">
        <v>2693</v>
      </c>
      <c r="C433" s="1054">
        <v>4664.04</v>
      </c>
      <c r="D433" s="1054">
        <v>3404.66</v>
      </c>
      <c r="E433" s="1054">
        <v>8068.7</v>
      </c>
      <c r="F433" s="1052" t="s">
        <v>1154</v>
      </c>
      <c r="G433" s="1052" t="s">
        <v>1194</v>
      </c>
      <c r="H433" s="1042"/>
      <c r="I433" s="1042"/>
      <c r="J433" s="1042"/>
      <c r="K433" s="1042"/>
      <c r="L433" s="653" t="str">
        <f t="shared" si="393"/>
        <v>6745</v>
      </c>
      <c r="M433" s="654" t="str">
        <f t="shared" si="260"/>
        <v>VEHICULE DE COMPAGNIE - DEPENS</v>
      </c>
      <c r="N433" s="655">
        <f>+IF(OR($Q433=Parametres!$G$2,$Q433=Parametres!$G$3),I433,C433)</f>
        <v>4664.04</v>
      </c>
      <c r="O433" s="655">
        <f>+IF(OR($Q433=Parametres!$G$2,$Q433=Parametres!$G$3),J433,D433)</f>
        <v>3404.66</v>
      </c>
      <c r="P433" s="655">
        <f>+IF(OR($Q433=Parametres!$G$2,$Q433=Parametres!$G$3),K433,E433)</f>
        <v>8068.7</v>
      </c>
      <c r="Q433" s="654" t="str">
        <f t="shared" ref="Q433:S433" si="440">+F433</f>
        <v>7-Dépenses</v>
      </c>
      <c r="R433" s="653" t="str">
        <f t="shared" si="440"/>
        <v>6145</v>
      </c>
      <c r="S433" s="654">
        <f t="shared" si="440"/>
        <v>0</v>
      </c>
      <c r="T433" s="656" t="str">
        <f>+VLOOKUP($L433,Data_Validation!$A:$D,1,0)</f>
        <v>6745</v>
      </c>
      <c r="U433" s="656" t="str">
        <f>+VLOOKUP($L433,Data_Validation!$A:$D,3,0)</f>
        <v>Pièces</v>
      </c>
      <c r="V433" s="656" t="str">
        <f>+VLOOKUP($L433,Data_Validation!$A:$D,4,0)</f>
        <v>Frais véhicules de cie</v>
      </c>
      <c r="W433" s="656" t="str">
        <f>+VLOOKUP($L433,Data_Validation!$A:$E,5,0)</f>
        <v>$</v>
      </c>
      <c r="X433" s="656">
        <f>+VLOOKUP($L433,Data_Validation!$A:$F,6,0)</f>
        <v>0</v>
      </c>
    </row>
    <row r="434" spans="1:24" ht="15" customHeight="1">
      <c r="A434" s="1052" t="s">
        <v>1195</v>
      </c>
      <c r="B434" s="1052" t="s">
        <v>2696</v>
      </c>
      <c r="C434" s="1054">
        <v>-39.020000000000003</v>
      </c>
      <c r="D434" s="1054">
        <v>-234.31</v>
      </c>
      <c r="E434" s="1054">
        <v>-273.33</v>
      </c>
      <c r="F434" s="1052" t="s">
        <v>1154</v>
      </c>
      <c r="G434" s="1052" t="s">
        <v>1196</v>
      </c>
      <c r="H434" s="1042"/>
      <c r="I434" s="1042"/>
      <c r="J434" s="1042"/>
      <c r="K434" s="1042"/>
      <c r="L434" s="653" t="str">
        <f t="shared" si="393"/>
        <v>6747</v>
      </c>
      <c r="M434" s="654" t="str">
        <f t="shared" si="260"/>
        <v>FRET/EXPRESS/TRANS. PAR CAMION</v>
      </c>
      <c r="N434" s="655">
        <f>+IF(OR($Q434=Parametres!$G$2,$Q434=Parametres!$G$3),I434,C434)</f>
        <v>-39.020000000000003</v>
      </c>
      <c r="O434" s="655">
        <f>+IF(OR($Q434=Parametres!$G$2,$Q434=Parametres!$G$3),J434,D434)</f>
        <v>-234.31</v>
      </c>
      <c r="P434" s="655">
        <f>+IF(OR($Q434=Parametres!$G$2,$Q434=Parametres!$G$3),K434,E434)</f>
        <v>-273.33</v>
      </c>
      <c r="Q434" s="654" t="str">
        <f t="shared" ref="Q434:S434" si="441">+F434</f>
        <v>7-Dépenses</v>
      </c>
      <c r="R434" s="653" t="str">
        <f t="shared" si="441"/>
        <v>6147</v>
      </c>
      <c r="S434" s="654">
        <f t="shared" si="441"/>
        <v>0</v>
      </c>
      <c r="T434" s="656" t="str">
        <f>+VLOOKUP($L434,Data_Validation!$A:$D,1,0)</f>
        <v>6747</v>
      </c>
      <c r="U434" s="656" t="str">
        <f>+VLOOKUP($L434,Data_Validation!$A:$D,3,0)</f>
        <v>Pièces</v>
      </c>
      <c r="V434" s="656" t="str">
        <f>+VLOOKUP($L434,Data_Validation!$A:$D,4,0)</f>
        <v>Frais postaux</v>
      </c>
      <c r="W434" s="656" t="str">
        <f>+VLOOKUP($L434,Data_Validation!$A:$E,5,0)</f>
        <v>$</v>
      </c>
      <c r="X434" s="656">
        <f>+VLOOKUP($L434,Data_Validation!$A:$F,6,0)</f>
        <v>0</v>
      </c>
    </row>
    <row r="435" spans="1:24" ht="15.75" customHeight="1">
      <c r="A435" s="1052" t="s">
        <v>1197</v>
      </c>
      <c r="B435" s="1052" t="s">
        <v>2698</v>
      </c>
      <c r="C435" s="1054">
        <v>42316.63</v>
      </c>
      <c r="D435" s="1054">
        <v>3747.75</v>
      </c>
      <c r="E435" s="1054">
        <v>46064.38</v>
      </c>
      <c r="F435" s="1052" t="s">
        <v>1154</v>
      </c>
      <c r="G435" s="1052" t="s">
        <v>1198</v>
      </c>
      <c r="H435" s="1042"/>
      <c r="I435" s="1042"/>
      <c r="J435" s="1042"/>
      <c r="K435" s="1042"/>
      <c r="L435" s="653" t="str">
        <f t="shared" si="393"/>
        <v>6751</v>
      </c>
      <c r="M435" s="654" t="str">
        <f t="shared" si="260"/>
        <v>DEP. DU TRAITEMENT DES DONNEES</v>
      </c>
      <c r="N435" s="655">
        <f>+IF(OR($Q435=Parametres!$G$2,$Q435=Parametres!$G$3),I435,C435)</f>
        <v>42316.63</v>
      </c>
      <c r="O435" s="655">
        <f>+IF(OR($Q435=Parametres!$G$2,$Q435=Parametres!$G$3),J435,D435)</f>
        <v>3747.75</v>
      </c>
      <c r="P435" s="655">
        <f>+IF(OR($Q435=Parametres!$G$2,$Q435=Parametres!$G$3),K435,E435)</f>
        <v>46064.38</v>
      </c>
      <c r="Q435" s="654" t="str">
        <f t="shared" ref="Q435:S435" si="442">+F435</f>
        <v>7-Dépenses</v>
      </c>
      <c r="R435" s="653" t="str">
        <f t="shared" si="442"/>
        <v>6151</v>
      </c>
      <c r="S435" s="654">
        <f t="shared" si="442"/>
        <v>0</v>
      </c>
      <c r="T435" s="656" t="str">
        <f>+VLOOKUP($L435,Data_Validation!$A:$D,1,0)</f>
        <v>6751</v>
      </c>
      <c r="U435" s="656" t="str">
        <f>+VLOOKUP($L435,Data_Validation!$A:$D,3,0)</f>
        <v>Pièces</v>
      </c>
      <c r="V435" s="656" t="str">
        <f>+VLOOKUP($L435,Data_Validation!$A:$D,4,0)</f>
        <v>Informatique</v>
      </c>
      <c r="W435" s="656" t="str">
        <f>+VLOOKUP($L435,Data_Validation!$A:$E,5,0)</f>
        <v>$</v>
      </c>
      <c r="X435" s="656">
        <f>+VLOOKUP($L435,Data_Validation!$A:$F,6,0)</f>
        <v>0</v>
      </c>
    </row>
    <row r="436" spans="1:24" ht="15" customHeight="1">
      <c r="A436" s="1052" t="s">
        <v>1199</v>
      </c>
      <c r="B436" s="1052" t="s">
        <v>2701</v>
      </c>
      <c r="C436" s="1054">
        <v>7184.77</v>
      </c>
      <c r="D436" s="1054">
        <v>735.94</v>
      </c>
      <c r="E436" s="1054">
        <v>7920.71</v>
      </c>
      <c r="F436" s="1052" t="s">
        <v>1154</v>
      </c>
      <c r="G436" s="1052" t="s">
        <v>1200</v>
      </c>
      <c r="H436" s="1042"/>
      <c r="I436" s="1042"/>
      <c r="J436" s="1042"/>
      <c r="K436" s="1042"/>
      <c r="L436" s="653" t="str">
        <f t="shared" si="393"/>
        <v>6752</v>
      </c>
      <c r="M436" s="654" t="str">
        <f t="shared" si="260"/>
        <v>PAPETERIE</v>
      </c>
      <c r="N436" s="655">
        <f>+IF(OR($Q436=Parametres!$G$2,$Q436=Parametres!$G$3),I436,C436)</f>
        <v>7184.77</v>
      </c>
      <c r="O436" s="655">
        <f>+IF(OR($Q436=Parametres!$G$2,$Q436=Parametres!$G$3),J436,D436)</f>
        <v>735.94</v>
      </c>
      <c r="P436" s="655">
        <f>+IF(OR($Q436=Parametres!$G$2,$Q436=Parametres!$G$3),K436,E436)</f>
        <v>7920.71</v>
      </c>
      <c r="Q436" s="654" t="str">
        <f t="shared" ref="Q436:S436" si="443">+F436</f>
        <v>7-Dépenses</v>
      </c>
      <c r="R436" s="653" t="str">
        <f t="shared" si="443"/>
        <v>6152</v>
      </c>
      <c r="S436" s="654">
        <f t="shared" si="443"/>
        <v>0</v>
      </c>
      <c r="T436" s="656" t="str">
        <f>+VLOOKUP($L436,Data_Validation!$A:$D,1,0)</f>
        <v>6752</v>
      </c>
      <c r="U436" s="656" t="str">
        <f>+VLOOKUP($L436,Data_Validation!$A:$D,3,0)</f>
        <v>Pièces</v>
      </c>
      <c r="V436" s="656" t="str">
        <f>+VLOOKUP($L436,Data_Validation!$A:$D,4,0)</f>
        <v>Papeterie</v>
      </c>
      <c r="W436" s="656" t="str">
        <f>+VLOOKUP($L436,Data_Validation!$A:$E,5,0)</f>
        <v>$</v>
      </c>
      <c r="X436" s="656">
        <f>+VLOOKUP($L436,Data_Validation!$A:$F,6,0)</f>
        <v>0</v>
      </c>
    </row>
    <row r="437" spans="1:24" ht="15" customHeight="1">
      <c r="A437" s="1052" t="s">
        <v>1201</v>
      </c>
      <c r="B437" s="1052" t="s">
        <v>2704</v>
      </c>
      <c r="C437" s="1054">
        <v>1024.3499999999999</v>
      </c>
      <c r="D437" s="1054">
        <v>81.28</v>
      </c>
      <c r="E437" s="1054">
        <v>1105.6300000000001</v>
      </c>
      <c r="F437" s="1052" t="s">
        <v>1154</v>
      </c>
      <c r="G437" s="1052" t="s">
        <v>1202</v>
      </c>
      <c r="H437" s="1042"/>
      <c r="I437" s="1042"/>
      <c r="J437" s="1042"/>
      <c r="K437" s="1042"/>
      <c r="L437" s="653" t="str">
        <f t="shared" si="393"/>
        <v>6753</v>
      </c>
      <c r="M437" s="654" t="str">
        <f t="shared" si="260"/>
        <v>TELEPHONE ET TELEX</v>
      </c>
      <c r="N437" s="655">
        <f>+IF(OR($Q437=Parametres!$G$2,$Q437=Parametres!$G$3),I437,C437)</f>
        <v>1024.3499999999999</v>
      </c>
      <c r="O437" s="655">
        <f>+IF(OR($Q437=Parametres!$G$2,$Q437=Parametres!$G$3),J437,D437)</f>
        <v>81.28</v>
      </c>
      <c r="P437" s="655">
        <f>+IF(OR($Q437=Parametres!$G$2,$Q437=Parametres!$G$3),K437,E437)</f>
        <v>1105.6300000000001</v>
      </c>
      <c r="Q437" s="654" t="str">
        <f t="shared" ref="Q437:S437" si="444">+F437</f>
        <v>7-Dépenses</v>
      </c>
      <c r="R437" s="653" t="str">
        <f t="shared" si="444"/>
        <v>6153</v>
      </c>
      <c r="S437" s="654">
        <f t="shared" si="444"/>
        <v>0</v>
      </c>
      <c r="T437" s="656" t="str">
        <f>+VLOOKUP($L437,Data_Validation!$A:$D,1,0)</f>
        <v>6753</v>
      </c>
      <c r="U437" s="656" t="str">
        <f>+VLOOKUP($L437,Data_Validation!$A:$D,3,0)</f>
        <v>Pièces</v>
      </c>
      <c r="V437" s="656" t="str">
        <f>+VLOOKUP($L437,Data_Validation!$A:$D,4,0)</f>
        <v>Téléphone</v>
      </c>
      <c r="W437" s="656" t="str">
        <f>+VLOOKUP($L437,Data_Validation!$A:$E,5,0)</f>
        <v>$</v>
      </c>
      <c r="X437" s="656">
        <f>+VLOOKUP($L437,Data_Validation!$A:$F,6,0)</f>
        <v>0</v>
      </c>
    </row>
    <row r="438" spans="1:24" ht="15" customHeight="1">
      <c r="A438" s="1052" t="s">
        <v>1203</v>
      </c>
      <c r="B438" s="1052" t="s">
        <v>2707</v>
      </c>
      <c r="C438" s="1054">
        <v>2290.08</v>
      </c>
      <c r="D438" s="1054">
        <v>-2.94</v>
      </c>
      <c r="E438" s="1054">
        <v>2287.14</v>
      </c>
      <c r="F438" s="1052" t="s">
        <v>1154</v>
      </c>
      <c r="G438" s="1052" t="s">
        <v>1204</v>
      </c>
      <c r="H438" s="1042"/>
      <c r="I438" s="1042"/>
      <c r="J438" s="1042"/>
      <c r="K438" s="1042"/>
      <c r="L438" s="653" t="str">
        <f t="shared" si="393"/>
        <v>6755</v>
      </c>
      <c r="M438" s="654" t="str">
        <f t="shared" si="260"/>
        <v>DEPENSES DIVERS</v>
      </c>
      <c r="N438" s="655">
        <f>+IF(OR($Q438=Parametres!$G$2,$Q438=Parametres!$G$3),I438,C438)</f>
        <v>2290.08</v>
      </c>
      <c r="O438" s="711">
        <f>+IF(OR($Q438=Parametres!$G$2,$Q438=Parametres!$G$3),J438,D438)</f>
        <v>-2.94</v>
      </c>
      <c r="P438" s="655">
        <f>+IF(OR($Q438=Parametres!$G$2,$Q438=Parametres!$G$3),K438,E438)</f>
        <v>2287.14</v>
      </c>
      <c r="Q438" s="654" t="str">
        <f t="shared" ref="Q438:S438" si="445">+F438</f>
        <v>7-Dépenses</v>
      </c>
      <c r="R438" s="653" t="str">
        <f t="shared" si="445"/>
        <v>6155</v>
      </c>
      <c r="S438" s="654">
        <f t="shared" si="445"/>
        <v>0</v>
      </c>
      <c r="T438" s="656" t="str">
        <f>+VLOOKUP($L438,Data_Validation!$A:$D,1,0)</f>
        <v>6755</v>
      </c>
      <c r="U438" s="656" t="str">
        <f>+VLOOKUP($L438,Data_Validation!$A:$D,3,0)</f>
        <v>Pièces</v>
      </c>
      <c r="V438" s="656" t="str">
        <f>+VLOOKUP($L438,Data_Validation!$A:$D,4,0)</f>
        <v>Divers</v>
      </c>
      <c r="W438" s="656" t="str">
        <f>+VLOOKUP($L438,Data_Validation!$A:$E,5,0)</f>
        <v>$</v>
      </c>
      <c r="X438" s="656">
        <f>+VLOOKUP($L438,Data_Validation!$A:$F,6,0)</f>
        <v>0</v>
      </c>
    </row>
    <row r="439" spans="1:24" ht="15" customHeight="1">
      <c r="A439" s="1052" t="s">
        <v>1277</v>
      </c>
      <c r="B439" s="1052" t="s">
        <v>2710</v>
      </c>
      <c r="C439" s="1054">
        <v>8090.64</v>
      </c>
      <c r="D439" s="1054">
        <v>746.87</v>
      </c>
      <c r="E439" s="1054">
        <v>8837.51</v>
      </c>
      <c r="F439" s="1052" t="s">
        <v>1154</v>
      </c>
      <c r="G439" s="1052" t="s">
        <v>1206</v>
      </c>
      <c r="H439" s="1042"/>
      <c r="I439" s="1042"/>
      <c r="J439" s="1042"/>
      <c r="K439" s="1042"/>
      <c r="L439" s="653" t="str">
        <f t="shared" si="393"/>
        <v>6756</v>
      </c>
      <c r="M439" s="654" t="str">
        <f t="shared" si="260"/>
        <v>FRAIS REPRESENTATION - PIECES</v>
      </c>
      <c r="N439" s="655">
        <f>+IF(OR($Q439=Parametres!$G$2,$Q439=Parametres!$G$3),I439,C439)</f>
        <v>8090.64</v>
      </c>
      <c r="O439" s="655">
        <f>+IF(OR($Q439=Parametres!$G$2,$Q439=Parametres!$G$3),J439,D439)</f>
        <v>746.87</v>
      </c>
      <c r="P439" s="655">
        <f>+IF(OR($Q439=Parametres!$G$2,$Q439=Parametres!$G$3),K439,E439)</f>
        <v>8837.51</v>
      </c>
      <c r="Q439" s="654" t="str">
        <f t="shared" ref="Q439:S439" si="446">+F439</f>
        <v>7-Dépenses</v>
      </c>
      <c r="R439" s="653" t="str">
        <f t="shared" si="446"/>
        <v>6156</v>
      </c>
      <c r="S439" s="654">
        <f t="shared" si="446"/>
        <v>0</v>
      </c>
      <c r="T439" s="656" t="str">
        <f>+VLOOKUP($L439,Data_Validation!$A:$D,1,0)</f>
        <v>6756</v>
      </c>
      <c r="U439" s="656" t="str">
        <f>+VLOOKUP($L439,Data_Validation!$A:$D,3,0)</f>
        <v>Pièces</v>
      </c>
      <c r="V439" s="656" t="str">
        <f>+VLOOKUP($L439,Data_Validation!$A:$D,4,0)</f>
        <v>Frais de déplacement</v>
      </c>
      <c r="W439" s="656" t="str">
        <f>+VLOOKUP($L439,Data_Validation!$A:$E,5,0)</f>
        <v>$</v>
      </c>
      <c r="X439" s="656">
        <f>+VLOOKUP($L439,Data_Validation!$A:$F,6,0)</f>
        <v>0</v>
      </c>
    </row>
    <row r="440" spans="1:24" ht="15" customHeight="1">
      <c r="A440" s="1052" t="s">
        <v>1278</v>
      </c>
      <c r="B440" s="1052" t="s">
        <v>3401</v>
      </c>
      <c r="C440" s="1054">
        <v>17649.330000000002</v>
      </c>
      <c r="D440" s="1054">
        <v>1630.49</v>
      </c>
      <c r="E440" s="1054">
        <v>19279.82</v>
      </c>
      <c r="F440" s="1052" t="s">
        <v>1154</v>
      </c>
      <c r="G440" s="1052" t="s">
        <v>3339</v>
      </c>
      <c r="H440" s="1042"/>
      <c r="I440" s="1042"/>
      <c r="J440" s="1042"/>
      <c r="K440" s="1042"/>
      <c r="L440" s="653" t="str">
        <f t="shared" si="393"/>
        <v>6757</v>
      </c>
      <c r="M440" s="654" t="str">
        <f t="shared" si="260"/>
        <v>FRAIS BANCAIRES - PIECES</v>
      </c>
      <c r="N440" s="655">
        <f>+IF(OR($Q440=Parametres!$G$2,$Q440=Parametres!$G$3),I440,C440)</f>
        <v>17649.330000000002</v>
      </c>
      <c r="O440" s="713">
        <f>+IF(OR($Q440=Parametres!$G$2,$Q440=Parametres!$G$3),J440,D440)</f>
        <v>1630.49</v>
      </c>
      <c r="P440" s="655">
        <f>+IF(OR($Q440=Parametres!$G$2,$Q440=Parametres!$G$3),K440,E440)</f>
        <v>19279.82</v>
      </c>
      <c r="Q440" s="654" t="str">
        <f t="shared" ref="Q440:S440" si="447">+F440</f>
        <v>7-Dépenses</v>
      </c>
      <c r="R440" s="653" t="str">
        <f t="shared" si="447"/>
        <v>675</v>
      </c>
      <c r="S440" s="654">
        <f t="shared" si="447"/>
        <v>0</v>
      </c>
      <c r="T440" s="656" t="str">
        <f>+VLOOKUP($L440,Data_Validation!$A:$D,1,0)</f>
        <v>6757</v>
      </c>
      <c r="U440" s="656" t="str">
        <f>+VLOOKUP($L440,Data_Validation!$A:$D,3,0)</f>
        <v>Pièces</v>
      </c>
      <c r="V440" s="656" t="str">
        <f>+VLOOKUP($L440,Data_Validation!$A:$D,4,0)</f>
        <v>Frais bancaires</v>
      </c>
      <c r="W440" s="656" t="str">
        <f>+VLOOKUP($L440,Data_Validation!$A:$E,5,0)</f>
        <v>$</v>
      </c>
      <c r="X440" s="656">
        <f>+VLOOKUP($L440,Data_Validation!$A:$F,6,0)</f>
        <v>0</v>
      </c>
    </row>
    <row r="441" spans="1:24" ht="15.75" customHeight="1">
      <c r="A441" s="1052" t="s">
        <v>1209</v>
      </c>
      <c r="B441" s="1052" t="s">
        <v>2713</v>
      </c>
      <c r="C441" s="1054">
        <v>102477.14</v>
      </c>
      <c r="D441" s="1054">
        <v>9918.16</v>
      </c>
      <c r="E441" s="1054">
        <v>112395.3</v>
      </c>
      <c r="F441" s="1052" t="s">
        <v>1154</v>
      </c>
      <c r="G441" s="1052" t="s">
        <v>1210</v>
      </c>
      <c r="H441" s="1042"/>
      <c r="I441" s="1042"/>
      <c r="J441" s="1042"/>
      <c r="K441" s="1042"/>
      <c r="L441" s="653" t="str">
        <f t="shared" si="393"/>
        <v>6759</v>
      </c>
      <c r="M441" s="654" t="str">
        <f t="shared" si="260"/>
        <v>SERVICE EXTERIEUR</v>
      </c>
      <c r="N441" s="655">
        <f>+IF(OR($Q441=Parametres!$G$2,$Q441=Parametres!$G$3),I441,C441)</f>
        <v>102477.14</v>
      </c>
      <c r="O441" s="655">
        <f>+IF(OR($Q441=Parametres!$G$2,$Q441=Parametres!$G$3),J441,D441)</f>
        <v>9918.16</v>
      </c>
      <c r="P441" s="655">
        <f>+IF(OR($Q441=Parametres!$G$2,$Q441=Parametres!$G$3),K441,E441)</f>
        <v>112395.3</v>
      </c>
      <c r="Q441" s="654" t="str">
        <f t="shared" ref="Q441:S441" si="448">+F441</f>
        <v>7-Dépenses</v>
      </c>
      <c r="R441" s="653" t="str">
        <f t="shared" si="448"/>
        <v>6159</v>
      </c>
      <c r="S441" s="654">
        <f t="shared" si="448"/>
        <v>0</v>
      </c>
      <c r="T441" s="656" t="str">
        <f>+VLOOKUP($L441,Data_Validation!$A:$D,1,0)</f>
        <v>6759</v>
      </c>
      <c r="U441" s="656" t="str">
        <f>+VLOOKUP($L441,Data_Validation!$A:$D,3,0)</f>
        <v>Pièces</v>
      </c>
      <c r="V441" s="656" t="str">
        <f>+VLOOKUP($L441,Data_Validation!$A:$D,4,0)</f>
        <v>Services extérieurs</v>
      </c>
      <c r="W441" s="656" t="str">
        <f>+VLOOKUP($L441,Data_Validation!$A:$E,5,0)</f>
        <v>$</v>
      </c>
      <c r="X441" s="656">
        <f>+VLOOKUP($L441,Data_Validation!$A:$F,6,0)</f>
        <v>0</v>
      </c>
    </row>
    <row r="442" spans="1:24" ht="15" customHeight="1">
      <c r="A442" s="1052" t="s">
        <v>1211</v>
      </c>
      <c r="B442" s="1052" t="s">
        <v>2716</v>
      </c>
      <c r="C442" s="1054">
        <v>11864.82</v>
      </c>
      <c r="D442" s="1054">
        <v>1078.6199999999999</v>
      </c>
      <c r="E442" s="1054">
        <v>12943.44</v>
      </c>
      <c r="F442" s="1052" t="s">
        <v>1154</v>
      </c>
      <c r="G442" s="1052" t="s">
        <v>1212</v>
      </c>
      <c r="H442" s="1042"/>
      <c r="I442" s="1042"/>
      <c r="J442" s="1042"/>
      <c r="K442" s="1042"/>
      <c r="L442" s="653" t="str">
        <f t="shared" si="393"/>
        <v>6761</v>
      </c>
      <c r="M442" s="654" t="str">
        <f t="shared" si="260"/>
        <v>DEPRECIATION EQUIP. &amp; FIXTURES</v>
      </c>
      <c r="N442" s="655">
        <f>+IF(OR($Q442=Parametres!$G$2,$Q442=Parametres!$G$3),I442,C442)</f>
        <v>11864.82</v>
      </c>
      <c r="O442" s="655">
        <f>+IF(OR($Q442=Parametres!$G$2,$Q442=Parametres!$G$3),J442,D442)</f>
        <v>1078.6199999999999</v>
      </c>
      <c r="P442" s="655">
        <f>+IF(OR($Q442=Parametres!$G$2,$Q442=Parametres!$G$3),K442,E442)</f>
        <v>12943.44</v>
      </c>
      <c r="Q442" s="654" t="str">
        <f t="shared" ref="Q442:S442" si="449">+F442</f>
        <v>7-Dépenses</v>
      </c>
      <c r="R442" s="653" t="str">
        <f t="shared" si="449"/>
        <v>6161</v>
      </c>
      <c r="S442" s="654">
        <f t="shared" si="449"/>
        <v>0</v>
      </c>
      <c r="T442" s="656" t="str">
        <f>+VLOOKUP($L442,Data_Validation!$A:$D,1,0)</f>
        <v>6761</v>
      </c>
      <c r="U442" s="656" t="str">
        <f>+VLOOKUP($L442,Data_Validation!$A:$D,3,0)</f>
        <v>Pièces</v>
      </c>
      <c r="V442" s="656" t="str">
        <f>+VLOOKUP($L442,Data_Validation!$A:$D,4,0)</f>
        <v>Amortissement</v>
      </c>
      <c r="W442" s="656" t="str">
        <f>+VLOOKUP($L442,Data_Validation!$A:$E,5,0)</f>
        <v>$</v>
      </c>
      <c r="X442" s="656">
        <f>+VLOOKUP($L442,Data_Validation!$A:$F,6,0)</f>
        <v>0</v>
      </c>
    </row>
    <row r="443" spans="1:24" ht="15" customHeight="1">
      <c r="A443" s="1052" t="s">
        <v>1279</v>
      </c>
      <c r="B443" s="1052" t="s">
        <v>2725</v>
      </c>
      <c r="C443" s="1054">
        <v>6958.19</v>
      </c>
      <c r="D443" s="1054">
        <v>232.71</v>
      </c>
      <c r="E443" s="1054">
        <v>7190.9</v>
      </c>
      <c r="F443" s="1052" t="s">
        <v>1154</v>
      </c>
      <c r="G443" s="1052" t="s">
        <v>1214</v>
      </c>
      <c r="H443" s="1042"/>
      <c r="I443" s="1042"/>
      <c r="J443" s="1042"/>
      <c r="K443" s="1042"/>
      <c r="L443" s="653" t="str">
        <f t="shared" si="393"/>
        <v>6781</v>
      </c>
      <c r="M443" s="654" t="str">
        <f t="shared" si="260"/>
        <v>CHAUFFAGE,ELECTRICITE,EAU-PIECES</v>
      </c>
      <c r="N443" s="655">
        <f>+IF(OR($Q443=Parametres!$G$2,$Q443=Parametres!$G$3),I443,C443)</f>
        <v>6958.19</v>
      </c>
      <c r="O443" s="655">
        <f>+IF(OR($Q443=Parametres!$G$2,$Q443=Parametres!$G$3),J443,D443)</f>
        <v>232.71</v>
      </c>
      <c r="P443" s="655">
        <f>+IF(OR($Q443=Parametres!$G$2,$Q443=Parametres!$G$3),K443,E443)</f>
        <v>7190.9</v>
      </c>
      <c r="Q443" s="654" t="str">
        <f t="shared" ref="Q443:S443" si="450">+F443</f>
        <v>7-Dépenses</v>
      </c>
      <c r="R443" s="653" t="str">
        <f t="shared" si="450"/>
        <v>6181</v>
      </c>
      <c r="S443" s="654">
        <f t="shared" si="450"/>
        <v>0</v>
      </c>
      <c r="T443" s="656" t="str">
        <f>+VLOOKUP($L443,Data_Validation!$A:$D,1,0)</f>
        <v>6781</v>
      </c>
      <c r="U443" s="656" t="str">
        <f>+VLOOKUP($L443,Data_Validation!$A:$D,3,0)</f>
        <v>Pièces</v>
      </c>
      <c r="V443" s="656" t="str">
        <f>+VLOOKUP($L443,Data_Validation!$A:$D,4,0)</f>
        <v>Chauffage, éclairage</v>
      </c>
      <c r="W443" s="656" t="str">
        <f>+VLOOKUP($L443,Data_Validation!$A:$E,5,0)</f>
        <v>$</v>
      </c>
      <c r="X443" s="656">
        <f>+VLOOKUP($L443,Data_Validation!$A:$F,6,0)</f>
        <v>0</v>
      </c>
    </row>
    <row r="444" spans="1:24" ht="15" customHeight="1">
      <c r="A444" s="1052" t="s">
        <v>1280</v>
      </c>
      <c r="B444" s="1052" t="s">
        <v>2728</v>
      </c>
      <c r="C444" s="1054">
        <v>71500</v>
      </c>
      <c r="D444" s="1054">
        <v>6500</v>
      </c>
      <c r="E444" s="1054">
        <v>78000</v>
      </c>
      <c r="F444" s="1052" t="s">
        <v>1154</v>
      </c>
      <c r="G444" s="1052" t="s">
        <v>1216</v>
      </c>
      <c r="H444" s="1042"/>
      <c r="I444" s="1042"/>
      <c r="J444" s="1042"/>
      <c r="K444" s="1042"/>
      <c r="L444" s="653" t="str">
        <f t="shared" si="393"/>
        <v>6782</v>
      </c>
      <c r="M444" s="654" t="str">
        <f t="shared" si="260"/>
        <v>LOYER - PIECES</v>
      </c>
      <c r="N444" s="655">
        <f>+IF(OR($Q444=Parametres!$G$2,$Q444=Parametres!$G$3),I444,C444)</f>
        <v>71500</v>
      </c>
      <c r="O444" s="655">
        <f>+IF(OR($Q444=Parametres!$G$2,$Q444=Parametres!$G$3),J444,D444)</f>
        <v>6500</v>
      </c>
      <c r="P444" s="655">
        <f>+IF(OR($Q444=Parametres!$G$2,$Q444=Parametres!$G$3),K444,E444)</f>
        <v>78000</v>
      </c>
      <c r="Q444" s="654" t="str">
        <f t="shared" ref="Q444:S444" si="451">+F444</f>
        <v>7-Dépenses</v>
      </c>
      <c r="R444" s="653" t="str">
        <f t="shared" si="451"/>
        <v>6182</v>
      </c>
      <c r="S444" s="654">
        <f t="shared" si="451"/>
        <v>0</v>
      </c>
      <c r="T444" s="656" t="str">
        <f>+VLOOKUP($L444,Data_Validation!$A:$D,1,0)</f>
        <v>6782</v>
      </c>
      <c r="U444" s="656" t="str">
        <f>+VLOOKUP($L444,Data_Validation!$A:$D,3,0)</f>
        <v>Pièces</v>
      </c>
      <c r="V444" s="656" t="str">
        <f>+VLOOKUP($L444,Data_Validation!$A:$D,4,0)</f>
        <v>Loyer</v>
      </c>
      <c r="W444" s="656" t="str">
        <f>+VLOOKUP($L444,Data_Validation!$A:$E,5,0)</f>
        <v>$</v>
      </c>
      <c r="X444" s="656">
        <f>+VLOOKUP($L444,Data_Validation!$A:$F,6,0)</f>
        <v>0</v>
      </c>
    </row>
    <row r="445" spans="1:24" ht="15" customHeight="1">
      <c r="A445" s="1052" t="s">
        <v>1281</v>
      </c>
      <c r="B445" s="1052" t="s">
        <v>2731</v>
      </c>
      <c r="C445" s="1054">
        <v>11745.25</v>
      </c>
      <c r="D445" s="1054">
        <v>1067.75</v>
      </c>
      <c r="E445" s="1054">
        <v>12813</v>
      </c>
      <c r="F445" s="1052" t="s">
        <v>1154</v>
      </c>
      <c r="G445" s="1052" t="s">
        <v>1218</v>
      </c>
      <c r="H445" s="1042"/>
      <c r="I445" s="1042"/>
      <c r="J445" s="1042"/>
      <c r="K445" s="1042"/>
      <c r="L445" s="653" t="str">
        <f t="shared" si="393"/>
        <v>6786</v>
      </c>
      <c r="M445" s="654" t="str">
        <f t="shared" si="260"/>
        <v>ASSURANCE BATISSE &amp; AMEL.-PIECES</v>
      </c>
      <c r="N445" s="655">
        <f>+IF(OR($Q445=Parametres!$G$2,$Q445=Parametres!$G$3),I445,C445)</f>
        <v>11745.25</v>
      </c>
      <c r="O445" s="655">
        <f>+IF(OR($Q445=Parametres!$G$2,$Q445=Parametres!$G$3),J445,D445)</f>
        <v>1067.75</v>
      </c>
      <c r="P445" s="655">
        <f>+IF(OR($Q445=Parametres!$G$2,$Q445=Parametres!$G$3),K445,E445)</f>
        <v>12813</v>
      </c>
      <c r="Q445" s="654" t="str">
        <f t="shared" ref="Q445:S445" si="452">+F445</f>
        <v>7-Dépenses</v>
      </c>
      <c r="R445" s="653" t="str">
        <f t="shared" si="452"/>
        <v>6186</v>
      </c>
      <c r="S445" s="654">
        <f t="shared" si="452"/>
        <v>0</v>
      </c>
      <c r="T445" s="656" t="str">
        <f>+VLOOKUP($L445,Data_Validation!$A:$D,1,0)</f>
        <v>6786</v>
      </c>
      <c r="U445" s="656" t="str">
        <f>+VLOOKUP($L445,Data_Validation!$A:$D,3,0)</f>
        <v>Pièces</v>
      </c>
      <c r="V445" s="656" t="str">
        <f>+VLOOKUP($L445,Data_Validation!$A:$D,4,0)</f>
        <v>Assurances</v>
      </c>
      <c r="W445" s="656" t="str">
        <f>+VLOOKUP($L445,Data_Validation!$A:$E,5,0)</f>
        <v>$</v>
      </c>
      <c r="X445" s="656">
        <f>+VLOOKUP($L445,Data_Validation!$A:$F,6,0)</f>
        <v>0</v>
      </c>
    </row>
    <row r="446" spans="1:24" ht="15.75" customHeight="1">
      <c r="A446" s="1052" t="s">
        <v>1282</v>
      </c>
      <c r="B446" s="1052" t="s">
        <v>2734</v>
      </c>
      <c r="C446" s="1054">
        <v>13557.5</v>
      </c>
      <c r="D446" s="1054">
        <v>414.01</v>
      </c>
      <c r="E446" s="1054">
        <v>13971.51</v>
      </c>
      <c r="F446" s="1052" t="s">
        <v>1154</v>
      </c>
      <c r="G446" s="1052" t="s">
        <v>1220</v>
      </c>
      <c r="H446" s="1042"/>
      <c r="I446" s="1042"/>
      <c r="J446" s="1042"/>
      <c r="K446" s="1042"/>
      <c r="L446" s="653" t="str">
        <f t="shared" si="393"/>
        <v>6787</v>
      </c>
      <c r="M446" s="654" t="str">
        <f t="shared" si="260"/>
        <v>TAXES FONCIERES - PIECES</v>
      </c>
      <c r="N446" s="655">
        <f>+IF(OR($Q446=Parametres!$G$2,$Q446=Parametres!$G$3),I446,C446)</f>
        <v>13557.5</v>
      </c>
      <c r="O446" s="655">
        <f>+IF(OR($Q446=Parametres!$G$2,$Q446=Parametres!$G$3),J446,D446)</f>
        <v>414.01</v>
      </c>
      <c r="P446" s="655">
        <f>+IF(OR($Q446=Parametres!$G$2,$Q446=Parametres!$G$3),K446,E446)</f>
        <v>13971.51</v>
      </c>
      <c r="Q446" s="654" t="str">
        <f t="shared" ref="Q446:S446" si="453">+F446</f>
        <v>7-Dépenses</v>
      </c>
      <c r="R446" s="653" t="str">
        <f t="shared" si="453"/>
        <v>6187</v>
      </c>
      <c r="S446" s="654">
        <f t="shared" si="453"/>
        <v>0</v>
      </c>
      <c r="T446" s="656" t="str">
        <f>+VLOOKUP($L446,Data_Validation!$A:$D,1,0)</f>
        <v>6787</v>
      </c>
      <c r="U446" s="656" t="str">
        <f>+VLOOKUP($L446,Data_Validation!$A:$D,3,0)</f>
        <v>Pièces</v>
      </c>
      <c r="V446" s="656" t="str">
        <f>+VLOOKUP($L446,Data_Validation!$A:$D,4,0)</f>
        <v>Taxes foncières</v>
      </c>
      <c r="W446" s="656" t="str">
        <f>+VLOOKUP($L446,Data_Validation!$A:$E,5,0)</f>
        <v>$</v>
      </c>
      <c r="X446" s="656">
        <f>+VLOOKUP($L446,Data_Validation!$A:$F,6,0)</f>
        <v>0</v>
      </c>
    </row>
    <row r="447" spans="1:24" ht="15.75" customHeight="1">
      <c r="A447" s="1052" t="s">
        <v>1283</v>
      </c>
      <c r="B447" s="1052" t="s">
        <v>2737</v>
      </c>
      <c r="C447" s="1054">
        <v>9020</v>
      </c>
      <c r="D447" s="1054">
        <v>820</v>
      </c>
      <c r="E447" s="1054">
        <v>9840</v>
      </c>
      <c r="F447" s="1052" t="s">
        <v>1154</v>
      </c>
      <c r="G447" s="1052" t="s">
        <v>1222</v>
      </c>
      <c r="H447" s="1042"/>
      <c r="I447" s="1043"/>
      <c r="J447" s="1043"/>
      <c r="K447" s="1043"/>
      <c r="L447" s="653" t="str">
        <f t="shared" si="393"/>
        <v>6793</v>
      </c>
      <c r="M447" s="654" t="str">
        <f t="shared" si="260"/>
        <v>AUTRES TAXES - PIECES</v>
      </c>
      <c r="N447" s="655">
        <f>+IF(OR($Q447=Parametres!$G$2,$Q447=Parametres!$G$3),I447,C447)</f>
        <v>9020</v>
      </c>
      <c r="O447" s="655">
        <f>+IF(OR($Q447=Parametres!$G$2,$Q447=Parametres!$G$3),J447,D447)</f>
        <v>820</v>
      </c>
      <c r="P447" s="655">
        <f>+IF(OR($Q447=Parametres!$G$2,$Q447=Parametres!$G$3),K447,E447)</f>
        <v>9840</v>
      </c>
      <c r="Q447" s="654" t="str">
        <f t="shared" ref="Q447:S447" si="454">+F447</f>
        <v>7-Dépenses</v>
      </c>
      <c r="R447" s="653" t="str">
        <f t="shared" si="454"/>
        <v>6193</v>
      </c>
      <c r="S447" s="654">
        <f t="shared" si="454"/>
        <v>0</v>
      </c>
      <c r="T447" s="656" t="str">
        <f>+VLOOKUP($L447,Data_Validation!$A:$D,1,0)</f>
        <v>6793</v>
      </c>
      <c r="U447" s="656" t="str">
        <f>+VLOOKUP($L447,Data_Validation!$A:$D,3,0)</f>
        <v>Pièces</v>
      </c>
      <c r="V447" s="656" t="str">
        <f>+VLOOKUP($L447,Data_Validation!$A:$D,4,0)</f>
        <v>Taxes d`affaires</v>
      </c>
      <c r="W447" s="656" t="str">
        <f>+VLOOKUP($L447,Data_Validation!$A:$E,5,0)</f>
        <v>$</v>
      </c>
      <c r="X447" s="656">
        <f>+VLOOKUP($L447,Data_Validation!$A:$F,6,0)</f>
        <v>0</v>
      </c>
    </row>
    <row r="448" spans="1:24" ht="15" customHeight="1">
      <c r="A448" s="1052" t="s">
        <v>1284</v>
      </c>
      <c r="B448" s="1052" t="s">
        <v>2740</v>
      </c>
      <c r="C448" s="1054">
        <v>16839.13</v>
      </c>
      <c r="D448" s="1054">
        <v>1530.83</v>
      </c>
      <c r="E448" s="1054">
        <v>18369.96</v>
      </c>
      <c r="F448" s="1052" t="s">
        <v>1154</v>
      </c>
      <c r="G448" s="1052" t="s">
        <v>1224</v>
      </c>
      <c r="H448" s="1042"/>
      <c r="I448" s="1043"/>
      <c r="J448" s="1043"/>
      <c r="K448" s="1043"/>
      <c r="L448" s="653" t="str">
        <f t="shared" si="393"/>
        <v>6794</v>
      </c>
      <c r="M448" s="654" t="str">
        <f t="shared" si="260"/>
        <v>FRAIS PROFESSIONNEL-PIECES</v>
      </c>
      <c r="N448" s="655">
        <f>+IF(OR($Q448=Parametres!$G$2,$Q448=Parametres!$G$3),I448,C448)</f>
        <v>16839.13</v>
      </c>
      <c r="O448" s="655">
        <f>+IF(OR($Q448=Parametres!$G$2,$Q448=Parametres!$G$3),J448,D448)</f>
        <v>1530.83</v>
      </c>
      <c r="P448" s="655">
        <f>+IF(OR($Q448=Parametres!$G$2,$Q448=Parametres!$G$3),K448,E448)</f>
        <v>18369.96</v>
      </c>
      <c r="Q448" s="654" t="str">
        <f t="shared" ref="Q448:S448" si="455">+F448</f>
        <v>7-Dépenses</v>
      </c>
      <c r="R448" s="653" t="str">
        <f t="shared" si="455"/>
        <v>6194</v>
      </c>
      <c r="S448" s="654">
        <f t="shared" si="455"/>
        <v>0</v>
      </c>
      <c r="T448" s="656" t="str">
        <f>+VLOOKUP($L448,Data_Validation!$A:$D,1,0)</f>
        <v>6794</v>
      </c>
      <c r="U448" s="656" t="str">
        <f>+VLOOKUP($L448,Data_Validation!$A:$D,3,0)</f>
        <v>Pièces</v>
      </c>
      <c r="V448" s="656" t="str">
        <f>+VLOOKUP($L448,Data_Validation!$A:$D,4,0)</f>
        <v>Honoraires</v>
      </c>
      <c r="W448" s="656" t="str">
        <f>+VLOOKUP($L448,Data_Validation!$A:$E,5,0)</f>
        <v>$</v>
      </c>
      <c r="X448" s="656">
        <f>+VLOOKUP($L448,Data_Validation!$A:$F,6,0)</f>
        <v>0</v>
      </c>
    </row>
    <row r="449" spans="1:24" ht="15" customHeight="1">
      <c r="A449" s="1052" t="s">
        <v>3682</v>
      </c>
      <c r="B449" s="1052" t="s">
        <v>3403</v>
      </c>
      <c r="C449" s="1054">
        <v>0</v>
      </c>
      <c r="D449" s="1054">
        <v>450</v>
      </c>
      <c r="E449" s="1054">
        <v>450</v>
      </c>
      <c r="F449" s="1052" t="s">
        <v>1285</v>
      </c>
      <c r="G449" s="1052" t="s">
        <v>1286</v>
      </c>
      <c r="H449" s="1044"/>
      <c r="I449" s="1044"/>
      <c r="J449" s="1044"/>
      <c r="K449" s="1044"/>
      <c r="L449" s="653" t="str">
        <f t="shared" si="393"/>
        <v>9143</v>
      </c>
      <c r="M449" s="654" t="str">
        <f t="shared" si="260"/>
        <v>PRIMES DE PERFORMANCE VW</v>
      </c>
      <c r="N449" s="655">
        <f>+IF(OR($Q449=Parametres!$G$2,$Q449=Parametres!$G$3),I449,C449)</f>
        <v>0</v>
      </c>
      <c r="O449" s="655">
        <f>+IF(OR($Q449=Parametres!$G$2,$Q449=Parametres!$G$3),J449,D449)</f>
        <v>450</v>
      </c>
      <c r="P449" s="655">
        <f>+IF(OR($Q449=Parametres!$G$2,$Q449=Parametres!$G$3),K449,E449)</f>
        <v>450</v>
      </c>
      <c r="Q449" s="654" t="str">
        <f t="shared" ref="Q449:S449" si="456">+F449</f>
        <v>8-Autres revenus</v>
      </c>
      <c r="R449" s="653" t="str">
        <f t="shared" si="456"/>
        <v>9101</v>
      </c>
      <c r="S449" s="654">
        <f t="shared" si="456"/>
        <v>0</v>
      </c>
      <c r="T449" s="656" t="str">
        <f>+VLOOKUP($L449,Data_Validation!$A:$D,1,0)</f>
        <v>9143</v>
      </c>
      <c r="U449" s="656" t="str">
        <f>+VLOOKUP($L449,Data_Validation!$A:$D,3,0)</f>
        <v>TOTAL  DES  REVENUS  ET  DÉPENSES</v>
      </c>
      <c r="V449" s="656" t="str">
        <f>+VLOOKUP($L449,Data_Validation!$A:$D,4,0)</f>
        <v>Revenus autres</v>
      </c>
      <c r="W449" s="656" t="str">
        <f>+VLOOKUP($L449,Data_Validation!$A:$E,5,0)</f>
        <v>$</v>
      </c>
      <c r="X449" s="656">
        <f>+VLOOKUP($L449,Data_Validation!$A:$F,6,0)</f>
        <v>0</v>
      </c>
    </row>
    <row r="450" spans="1:24" ht="15" customHeight="1">
      <c r="A450" s="1052" t="s">
        <v>1287</v>
      </c>
      <c r="B450" s="1052" t="s">
        <v>2751</v>
      </c>
      <c r="C450" s="1054">
        <v>-648421.92000000004</v>
      </c>
      <c r="D450" s="1054">
        <v>-45541</v>
      </c>
      <c r="E450" s="1054">
        <v>-693962.92</v>
      </c>
      <c r="F450" s="1052" t="s">
        <v>1285</v>
      </c>
      <c r="G450" s="1052" t="s">
        <v>1286</v>
      </c>
      <c r="H450" s="1044"/>
      <c r="I450" s="1044"/>
      <c r="J450" s="1044"/>
      <c r="K450" s="1044"/>
      <c r="L450" s="653" t="str">
        <f t="shared" si="393"/>
        <v>9149</v>
      </c>
      <c r="M450" s="654" t="str">
        <f t="shared" si="260"/>
        <v>REVENU RESERVE VOLKS</v>
      </c>
      <c r="N450" s="655">
        <f>+IF(OR($Q450=Parametres!$G$2,$Q450=Parametres!$G$3),I450,C450)</f>
        <v>-648421.92000000004</v>
      </c>
      <c r="O450" s="655">
        <f>+IF(OR($Q450=Parametres!$G$2,$Q450=Parametres!$G$3),J450,D450)</f>
        <v>-45541</v>
      </c>
      <c r="P450" s="655">
        <f>+IF(OR($Q450=Parametres!$G$2,$Q450=Parametres!$G$3),K450,E450)</f>
        <v>-693962.92</v>
      </c>
      <c r="Q450" s="654" t="str">
        <f t="shared" ref="Q450:S450" si="457">+F450</f>
        <v>8-Autres revenus</v>
      </c>
      <c r="R450" s="653" t="str">
        <f t="shared" si="457"/>
        <v>9101</v>
      </c>
      <c r="S450" s="654">
        <f t="shared" si="457"/>
        <v>0</v>
      </c>
      <c r="T450" s="656" t="str">
        <f>+VLOOKUP($L450,Data_Validation!$A:$D,1,0)</f>
        <v>9149</v>
      </c>
      <c r="U450" s="656" t="str">
        <f>+VLOOKUP($L450,Data_Validation!$A:$D,3,0)</f>
        <v>Véhicules neufs</v>
      </c>
      <c r="V450" s="656" t="str">
        <f>+VLOOKUP($L450,Data_Validation!$A:$D,4,0)</f>
        <v>Holdbacks</v>
      </c>
      <c r="W450" s="656" t="str">
        <f>+VLOOKUP($L450,Data_Validation!$A:$E,5,0)</f>
        <v>$</v>
      </c>
      <c r="X450" s="656">
        <f>+VLOOKUP($L450,Data_Validation!$A:$F,6,0)</f>
        <v>0</v>
      </c>
    </row>
    <row r="451" spans="1:24" ht="15" customHeight="1">
      <c r="A451" s="1052" t="s">
        <v>1288</v>
      </c>
      <c r="B451" s="1052" t="s">
        <v>1289</v>
      </c>
      <c r="C451" s="1054">
        <v>-69988.2</v>
      </c>
      <c r="D451" s="1054">
        <v>-10129.6</v>
      </c>
      <c r="E451" s="1054">
        <v>-80117.8</v>
      </c>
      <c r="F451" s="1052" t="s">
        <v>1285</v>
      </c>
      <c r="G451" s="1052" t="s">
        <v>1289</v>
      </c>
      <c r="H451" s="1044"/>
      <c r="I451" s="1045"/>
      <c r="J451" s="1045"/>
      <c r="K451" s="1045"/>
      <c r="L451" s="653" t="str">
        <f t="shared" ref="L451:L514" si="458">TEXT(B451,0)</f>
        <v>9152</v>
      </c>
      <c r="M451" s="654" t="str">
        <f t="shared" si="260"/>
        <v>ESCOMPTES SUR ACHAT PIECES</v>
      </c>
      <c r="N451" s="655">
        <f>+IF(OR($Q451=Parametres!$G$2,$Q451=Parametres!$G$3),I451,C451)</f>
        <v>-69988.2</v>
      </c>
      <c r="O451" s="655">
        <f>+IF(OR($Q451=Parametres!$G$2,$Q451=Parametres!$G$3),J451,D451)</f>
        <v>-10129.6</v>
      </c>
      <c r="P451" s="655">
        <f>+IF(OR($Q451=Parametres!$G$2,$Q451=Parametres!$G$3),K451,E451)</f>
        <v>-80117.8</v>
      </c>
      <c r="Q451" s="654" t="str">
        <f t="shared" ref="Q451:S451" si="459">+F451</f>
        <v>8-Autres revenus</v>
      </c>
      <c r="R451" s="653" t="str">
        <f t="shared" si="459"/>
        <v>9152</v>
      </c>
      <c r="S451" s="654">
        <f t="shared" si="459"/>
        <v>0</v>
      </c>
      <c r="T451" s="656" t="str">
        <f>+VLOOKUP($L451,Data_Validation!$A:$D,1,0)</f>
        <v>9152</v>
      </c>
      <c r="U451" s="656" t="str">
        <f>+VLOOKUP($L451,Data_Validation!$A:$D,3,0)</f>
        <v>Pièces</v>
      </c>
      <c r="V451" s="656" t="str">
        <f>+VLOOKUP($L451,Data_Validation!$A:$D,4,0)</f>
        <v>Escomptes</v>
      </c>
      <c r="W451" s="656" t="str">
        <f>+VLOOKUP($L451,Data_Validation!$A:$E,5,0)</f>
        <v>$</v>
      </c>
      <c r="X451" s="656">
        <f>+VLOOKUP($L451,Data_Validation!$A:$F,6,0)</f>
        <v>0</v>
      </c>
    </row>
    <row r="452" spans="1:24" ht="15.75" customHeight="1">
      <c r="A452" s="1052" t="s">
        <v>3415</v>
      </c>
      <c r="B452" s="1052" t="s">
        <v>2756</v>
      </c>
      <c r="C452" s="1054">
        <v>-22000</v>
      </c>
      <c r="D452" s="1054">
        <v>-21300</v>
      </c>
      <c r="E452" s="1054">
        <v>-43300</v>
      </c>
      <c r="F452" s="1052" t="s">
        <v>1285</v>
      </c>
      <c r="G452" s="1052" t="s">
        <v>3416</v>
      </c>
      <c r="H452" s="1044"/>
      <c r="I452" s="1045"/>
      <c r="J452" s="1045"/>
      <c r="K452" s="1045"/>
      <c r="L452" s="653" t="str">
        <f t="shared" si="458"/>
        <v>9157</v>
      </c>
      <c r="M452" s="654" t="str">
        <f t="shared" si="260"/>
        <v>BONUS EXPERIENCE + - NV</v>
      </c>
      <c r="N452" s="655">
        <f>+IF(OR($Q452=Parametres!$G$2,$Q452=Parametres!$G$3),I452,C452)</f>
        <v>-22000</v>
      </c>
      <c r="O452" s="655">
        <f>+IF(OR($Q452=Parametres!$G$2,$Q452=Parametres!$G$3),J452,D452)</f>
        <v>-21300</v>
      </c>
      <c r="P452" s="655">
        <f>+IF(OR($Q452=Parametres!$G$2,$Q452=Parametres!$G$3),K452,E452)</f>
        <v>-43300</v>
      </c>
      <c r="Q452" s="654" t="str">
        <f t="shared" ref="Q452:S452" si="460">+F452</f>
        <v>8-Autres revenus</v>
      </c>
      <c r="R452" s="653" t="str">
        <f t="shared" si="460"/>
        <v>915</v>
      </c>
      <c r="S452" s="654">
        <f t="shared" si="460"/>
        <v>0</v>
      </c>
      <c r="T452" s="656" t="str">
        <f>+VLOOKUP($L452,Data_Validation!$A:$D,1,0)</f>
        <v>9157</v>
      </c>
      <c r="U452" s="656" t="str">
        <f>+VLOOKUP($L452,Data_Validation!$A:$D,3,0)</f>
        <v>Véhicules neufs</v>
      </c>
      <c r="V452" s="656" t="str">
        <f>+VLOOKUP($L452,Data_Validation!$A:$D,4,0)</f>
        <v>Programme neuf 1</v>
      </c>
      <c r="W452" s="656" t="str">
        <f>+VLOOKUP($L452,Data_Validation!$A:$E,5,0)</f>
        <v>$</v>
      </c>
      <c r="X452" s="656">
        <f>+VLOOKUP($L452,Data_Validation!$A:$F,6,0)</f>
        <v>0</v>
      </c>
    </row>
    <row r="453" spans="1:24" ht="15" customHeight="1">
      <c r="A453" s="1052" t="s">
        <v>1290</v>
      </c>
      <c r="B453" s="1052" t="s">
        <v>1291</v>
      </c>
      <c r="C453" s="1054">
        <v>-107648.72</v>
      </c>
      <c r="D453" s="1054">
        <v>-12066.34</v>
      </c>
      <c r="E453" s="1054">
        <v>-119715.06</v>
      </c>
      <c r="F453" s="1052" t="s">
        <v>1285</v>
      </c>
      <c r="G453" s="1052" t="s">
        <v>1291</v>
      </c>
      <c r="H453" s="1044"/>
      <c r="I453" s="1045"/>
      <c r="J453" s="1045"/>
      <c r="K453" s="1045"/>
      <c r="L453" s="653" t="str">
        <f t="shared" si="458"/>
        <v>9161</v>
      </c>
      <c r="M453" s="654" t="str">
        <f t="shared" si="260"/>
        <v>REVENU FIN ET ASS NEUF</v>
      </c>
      <c r="N453" s="655">
        <f>+IF(OR($Q453=Parametres!$G$2,$Q453=Parametres!$G$3),I453,C453)</f>
        <v>-107648.72</v>
      </c>
      <c r="O453" s="655">
        <f>+IF(OR($Q453=Parametres!$G$2,$Q453=Parametres!$G$3),J453,D453)</f>
        <v>-12066.34</v>
      </c>
      <c r="P453" s="655">
        <f>+IF(OR($Q453=Parametres!$G$2,$Q453=Parametres!$G$3),K453,E453)</f>
        <v>-119715.06</v>
      </c>
      <c r="Q453" s="654" t="str">
        <f t="shared" ref="Q453:S453" si="461">+F453</f>
        <v>8-Autres revenus</v>
      </c>
      <c r="R453" s="653" t="str">
        <f t="shared" si="461"/>
        <v>9161</v>
      </c>
      <c r="S453" s="654">
        <f t="shared" si="461"/>
        <v>0</v>
      </c>
      <c r="T453" s="656" t="str">
        <f>+VLOOKUP($L453,Data_Validation!$A:$D,1,0)</f>
        <v>9161</v>
      </c>
      <c r="U453" s="656" t="str">
        <f>+VLOOKUP($L453,Data_Validation!$A:$D,3,0)</f>
        <v>Véhicules neufs</v>
      </c>
      <c r="V453" s="656" t="str">
        <f>+VLOOKUP($L453,Data_Validation!$A:$D,4,0)</f>
        <v>Rev. Finances</v>
      </c>
      <c r="W453" s="656" t="str">
        <f>+VLOOKUP($L453,Data_Validation!$A:$E,5,0)</f>
        <v>$</v>
      </c>
      <c r="X453" s="656" t="str">
        <f>+VLOOKUP($L453,Data_Validation!$A:$F,6,0)</f>
        <v>Oui</v>
      </c>
    </row>
    <row r="454" spans="1:24" ht="15" customHeight="1">
      <c r="A454" s="1052" t="s">
        <v>1294</v>
      </c>
      <c r="B454" s="1052" t="s">
        <v>1295</v>
      </c>
      <c r="C454" s="1054">
        <v>-368418.67</v>
      </c>
      <c r="D454" s="1054">
        <v>-16637.84</v>
      </c>
      <c r="E454" s="1054">
        <v>-385056.51</v>
      </c>
      <c r="F454" s="1052" t="s">
        <v>1285</v>
      </c>
      <c r="G454" s="1052" t="s">
        <v>1295</v>
      </c>
      <c r="H454" s="1044"/>
      <c r="I454" s="1045"/>
      <c r="J454" s="1045"/>
      <c r="K454" s="1045"/>
      <c r="L454" s="653" t="str">
        <f t="shared" si="458"/>
        <v>9163</v>
      </c>
      <c r="M454" s="654" t="str">
        <f t="shared" si="260"/>
        <v>RESERVE FIN ET ASS VEH OCCASION</v>
      </c>
      <c r="N454" s="655">
        <f>+IF(OR($Q454=Parametres!$G$2,$Q454=Parametres!$G$3),I454,C454)</f>
        <v>-368418.67</v>
      </c>
      <c r="O454" s="655">
        <f>+IF(OR($Q454=Parametres!$G$2,$Q454=Parametres!$G$3),J454,D454)</f>
        <v>-16637.84</v>
      </c>
      <c r="P454" s="655">
        <f>+IF(OR($Q454=Parametres!$G$2,$Q454=Parametres!$G$3),K454,E454)</f>
        <v>-385056.51</v>
      </c>
      <c r="Q454" s="654" t="str">
        <f t="shared" ref="Q454:S454" si="462">+F454</f>
        <v>8-Autres revenus</v>
      </c>
      <c r="R454" s="653" t="str">
        <f t="shared" si="462"/>
        <v>9163</v>
      </c>
      <c r="S454" s="654">
        <f t="shared" si="462"/>
        <v>0</v>
      </c>
      <c r="T454" s="656" t="str">
        <f>+VLOOKUP($L454,Data_Validation!$A:$D,1,0)</f>
        <v>9163</v>
      </c>
      <c r="U454" s="656" t="str">
        <f>+VLOOKUP($L454,Data_Validation!$A:$D,3,0)</f>
        <v>Véhicules usagés</v>
      </c>
      <c r="V454" s="656" t="str">
        <f>+VLOOKUP($L454,Data_Validation!$A:$D,4,0)</f>
        <v>Rev. Finances</v>
      </c>
      <c r="W454" s="656" t="str">
        <f>+VLOOKUP($L454,Data_Validation!$A:$E,5,0)</f>
        <v>$</v>
      </c>
      <c r="X454" s="656" t="str">
        <f>+VLOOKUP($L454,Data_Validation!$A:$F,6,0)</f>
        <v>Oui</v>
      </c>
    </row>
    <row r="455" spans="1:24" ht="15" customHeight="1">
      <c r="A455" s="1052" t="s">
        <v>1297</v>
      </c>
      <c r="B455" s="1052" t="s">
        <v>2763</v>
      </c>
      <c r="C455" s="1054">
        <v>-8390.2000000000007</v>
      </c>
      <c r="D455" s="1054">
        <v>0</v>
      </c>
      <c r="E455" s="1054">
        <v>-8390.2000000000007</v>
      </c>
      <c r="F455" s="1052" t="s">
        <v>1285</v>
      </c>
      <c r="G455" s="1052" t="s">
        <v>1291</v>
      </c>
      <c r="H455" s="1044"/>
      <c r="I455" s="1045"/>
      <c r="J455" s="1045"/>
      <c r="K455" s="1045"/>
      <c r="L455" s="653" t="str">
        <f t="shared" si="458"/>
        <v>9165</v>
      </c>
      <c r="M455" s="654" t="str">
        <f t="shared" si="260"/>
        <v>REV. ASSURANCES NEUF</v>
      </c>
      <c r="N455" s="655">
        <f>+IF(OR($Q455=Parametres!$G$2,$Q455=Parametres!$G$3),I455,C455)</f>
        <v>-8390.2000000000007</v>
      </c>
      <c r="O455" s="655">
        <f>+IF(OR($Q455=Parametres!$G$2,$Q455=Parametres!$G$3),J455,D455)</f>
        <v>0</v>
      </c>
      <c r="P455" s="655">
        <f>+IF(OR($Q455=Parametres!$G$2,$Q455=Parametres!$G$3),K455,E455)</f>
        <v>-8390.2000000000007</v>
      </c>
      <c r="Q455" s="654" t="str">
        <f t="shared" ref="Q455:S455" si="463">+F455</f>
        <v>8-Autres revenus</v>
      </c>
      <c r="R455" s="653" t="str">
        <f t="shared" si="463"/>
        <v>9161</v>
      </c>
      <c r="S455" s="654">
        <f t="shared" si="463"/>
        <v>0</v>
      </c>
      <c r="T455" s="656" t="str">
        <f>+VLOOKUP($L455,Data_Validation!$A:$D,1,0)</f>
        <v>9165</v>
      </c>
      <c r="U455" s="656" t="str">
        <f>+VLOOKUP($L455,Data_Validation!$A:$D,3,0)</f>
        <v>Véhicules neufs</v>
      </c>
      <c r="V455" s="656" t="str">
        <f>+VLOOKUP($L455,Data_Validation!$A:$D,4,0)</f>
        <v>Rev. Autres</v>
      </c>
      <c r="W455" s="656" t="str">
        <f>+VLOOKUP($L455,Data_Validation!$A:$E,5,0)</f>
        <v>$</v>
      </c>
      <c r="X455" s="656" t="str">
        <f>+VLOOKUP($L455,Data_Validation!$A:$F,6,0)</f>
        <v>Oui</v>
      </c>
    </row>
    <row r="456" spans="1:24" ht="15.75" customHeight="1">
      <c r="A456" s="1052" t="s">
        <v>1298</v>
      </c>
      <c r="B456" s="1052" t="s">
        <v>2766</v>
      </c>
      <c r="C456" s="1054">
        <v>-18601.68</v>
      </c>
      <c r="D456" s="1054">
        <v>-714.39</v>
      </c>
      <c r="E456" s="1054">
        <v>-19316.07</v>
      </c>
      <c r="F456" s="1052" t="s">
        <v>1285</v>
      </c>
      <c r="G456" s="1052" t="s">
        <v>1295</v>
      </c>
      <c r="H456" s="1044"/>
      <c r="I456" s="1045"/>
      <c r="J456" s="1045"/>
      <c r="K456" s="1045"/>
      <c r="L456" s="653" t="str">
        <f t="shared" si="458"/>
        <v>9167</v>
      </c>
      <c r="M456" s="654" t="str">
        <f t="shared" si="260"/>
        <v>REV ASSURANCE USAGE</v>
      </c>
      <c r="N456" s="655">
        <f>+IF(OR($Q456=Parametres!$G$2,$Q456=Parametres!$G$3),I456,C456)</f>
        <v>-18601.68</v>
      </c>
      <c r="O456" s="655">
        <f>+IF(OR($Q456=Parametres!$G$2,$Q456=Parametres!$G$3),J456,D456)</f>
        <v>-714.39</v>
      </c>
      <c r="P456" s="655">
        <f>+IF(OR($Q456=Parametres!$G$2,$Q456=Parametres!$G$3),K456,E456)</f>
        <v>-19316.07</v>
      </c>
      <c r="Q456" s="654" t="str">
        <f t="shared" ref="Q456:S456" si="464">+F456</f>
        <v>8-Autres revenus</v>
      </c>
      <c r="R456" s="653" t="str">
        <f t="shared" si="464"/>
        <v>9163</v>
      </c>
      <c r="S456" s="654">
        <f t="shared" si="464"/>
        <v>0</v>
      </c>
      <c r="T456" s="656" t="str">
        <f>+VLOOKUP($L456,Data_Validation!$A:$D,1,0)</f>
        <v>9167</v>
      </c>
      <c r="U456" s="656" t="str">
        <f>+VLOOKUP($L456,Data_Validation!$A:$D,3,0)</f>
        <v>Véhicules usagés</v>
      </c>
      <c r="V456" s="656" t="str">
        <f>+VLOOKUP($L456,Data_Validation!$A:$D,4,0)</f>
        <v>Rev. Autres</v>
      </c>
      <c r="W456" s="656" t="str">
        <f>+VLOOKUP($L456,Data_Validation!$A:$E,5,0)</f>
        <v>$</v>
      </c>
      <c r="X456" s="656" t="str">
        <f>+VLOOKUP($L456,Data_Validation!$A:$F,6,0)</f>
        <v>Oui</v>
      </c>
    </row>
    <row r="457" spans="1:24" ht="15" customHeight="1">
      <c r="A457" s="1052" t="s">
        <v>1301</v>
      </c>
      <c r="B457" s="1052" t="s">
        <v>2769</v>
      </c>
      <c r="C457" s="1054">
        <v>-76480</v>
      </c>
      <c r="D457" s="1054">
        <v>-4668.92</v>
      </c>
      <c r="E457" s="1054">
        <v>-81148.92</v>
      </c>
      <c r="F457" s="1052" t="s">
        <v>1285</v>
      </c>
      <c r="G457" s="1052" t="s">
        <v>1291</v>
      </c>
      <c r="H457" s="1044"/>
      <c r="I457" s="1045"/>
      <c r="J457" s="1045"/>
      <c r="K457" s="1045"/>
      <c r="L457" s="653" t="str">
        <f t="shared" si="458"/>
        <v>9169</v>
      </c>
      <c r="M457" s="654" t="str">
        <f t="shared" si="260"/>
        <v>REV GARANTIE PROLONGEE NEUF</v>
      </c>
      <c r="N457" s="655">
        <f>+IF(OR($Q457=Parametres!$G$2,$Q457=Parametres!$G$3),I457,C457)</f>
        <v>-76480</v>
      </c>
      <c r="O457" s="655">
        <f>+IF(OR($Q457=Parametres!$G$2,$Q457=Parametres!$G$3),J457,D457)</f>
        <v>-4668.92</v>
      </c>
      <c r="P457" s="655">
        <f>+IF(OR($Q457=Parametres!$G$2,$Q457=Parametres!$G$3),K457,E457)</f>
        <v>-81148.92</v>
      </c>
      <c r="Q457" s="654" t="str">
        <f t="shared" ref="Q457:S457" si="465">+F457</f>
        <v>8-Autres revenus</v>
      </c>
      <c r="R457" s="653" t="str">
        <f t="shared" si="465"/>
        <v>9161</v>
      </c>
      <c r="S457" s="654">
        <f t="shared" si="465"/>
        <v>0</v>
      </c>
      <c r="T457" s="656" t="str">
        <f>+VLOOKUP($L457,Data_Validation!$A:$D,1,0)</f>
        <v>9169</v>
      </c>
      <c r="U457" s="656" t="str">
        <f>+VLOOKUP($L457,Data_Validation!$A:$D,3,0)</f>
        <v>Véhicules neufs</v>
      </c>
      <c r="V457" s="656" t="str">
        <f>+VLOOKUP($L457,Data_Validation!$A:$D,4,0)</f>
        <v>Rev. Protections</v>
      </c>
      <c r="W457" s="656" t="str">
        <f>+VLOOKUP($L457,Data_Validation!$A:$E,5,0)</f>
        <v>$</v>
      </c>
      <c r="X457" s="656" t="str">
        <f>+VLOOKUP($L457,Data_Validation!$A:$F,6,0)</f>
        <v>Oui</v>
      </c>
    </row>
    <row r="458" spans="1:24" ht="15" customHeight="1">
      <c r="A458" s="1052" t="s">
        <v>1302</v>
      </c>
      <c r="B458" s="1052" t="s">
        <v>2772</v>
      </c>
      <c r="C458" s="1054">
        <v>-381089.17</v>
      </c>
      <c r="D458" s="1054">
        <v>-27825.1</v>
      </c>
      <c r="E458" s="1054">
        <v>-408914.27</v>
      </c>
      <c r="F458" s="1052" t="s">
        <v>1285</v>
      </c>
      <c r="G458" s="1052" t="s">
        <v>1291</v>
      </c>
      <c r="H458" s="1044"/>
      <c r="I458" s="1045"/>
      <c r="J458" s="1045"/>
      <c r="K458" s="1045"/>
      <c r="L458" s="653" t="str">
        <f t="shared" si="458"/>
        <v>9170</v>
      </c>
      <c r="M458" s="654" t="str">
        <f t="shared" si="260"/>
        <v>PROFIT PROTECTIONS - NEUFS</v>
      </c>
      <c r="N458" s="655">
        <f>+IF(OR($Q458=Parametres!$G$2,$Q458=Parametres!$G$3),I458,C458)</f>
        <v>-381089.17</v>
      </c>
      <c r="O458" s="655">
        <f>+IF(OR($Q458=Parametres!$G$2,$Q458=Parametres!$G$3),J458,D458)</f>
        <v>-27825.1</v>
      </c>
      <c r="P458" s="655">
        <f>+IF(OR($Q458=Parametres!$G$2,$Q458=Parametres!$G$3),K458,E458)</f>
        <v>-408914.27</v>
      </c>
      <c r="Q458" s="654" t="str">
        <f t="shared" ref="Q458:S458" si="466">+F458</f>
        <v>8-Autres revenus</v>
      </c>
      <c r="R458" s="653" t="str">
        <f t="shared" si="466"/>
        <v>9161</v>
      </c>
      <c r="S458" s="654">
        <f t="shared" si="466"/>
        <v>0</v>
      </c>
      <c r="T458" s="656" t="str">
        <f>+VLOOKUP($L458,Data_Validation!$A:$D,1,0)</f>
        <v>9170</v>
      </c>
      <c r="U458" s="656" t="str">
        <f>+VLOOKUP($L458,Data_Validation!$A:$D,3,0)</f>
        <v>Véhicules neufs</v>
      </c>
      <c r="V458" s="656" t="str">
        <f>+VLOOKUP($L458,Data_Validation!$A:$D,4,0)</f>
        <v>Rev. Protections</v>
      </c>
      <c r="W458" s="656" t="str">
        <f>+VLOOKUP($L458,Data_Validation!$A:$E,5,0)</f>
        <v>$</v>
      </c>
      <c r="X458" s="656" t="str">
        <f>+VLOOKUP($L458,Data_Validation!$A:$F,6,0)</f>
        <v>Oui</v>
      </c>
    </row>
    <row r="459" spans="1:24" ht="15" customHeight="1">
      <c r="A459" s="1052" t="s">
        <v>1303</v>
      </c>
      <c r="B459" s="1052" t="s">
        <v>2775</v>
      </c>
      <c r="C459" s="1054">
        <v>-266443.45</v>
      </c>
      <c r="D459" s="1054">
        <v>-15093</v>
      </c>
      <c r="E459" s="1054">
        <v>-281536.45</v>
      </c>
      <c r="F459" s="1052" t="s">
        <v>1285</v>
      </c>
      <c r="G459" s="1052" t="s">
        <v>1295</v>
      </c>
      <c r="H459" s="1044"/>
      <c r="I459" s="1045"/>
      <c r="J459" s="1045"/>
      <c r="K459" s="1045"/>
      <c r="L459" s="653" t="str">
        <f t="shared" si="458"/>
        <v>9171</v>
      </c>
      <c r="M459" s="654" t="str">
        <f t="shared" si="260"/>
        <v>REV GARANTIE PROLONGEE USAGE</v>
      </c>
      <c r="N459" s="655">
        <f>+IF(OR($Q459=Parametres!$G$2,$Q459=Parametres!$G$3),I459,C459)</f>
        <v>-266443.45</v>
      </c>
      <c r="O459" s="655">
        <f>+IF(OR($Q459=Parametres!$G$2,$Q459=Parametres!$G$3),J459,D459)</f>
        <v>-15093</v>
      </c>
      <c r="P459" s="655">
        <f>+IF(OR($Q459=Parametres!$G$2,$Q459=Parametres!$G$3),K459,E459)</f>
        <v>-281536.45</v>
      </c>
      <c r="Q459" s="654" t="str">
        <f t="shared" ref="Q459:S459" si="467">+F459</f>
        <v>8-Autres revenus</v>
      </c>
      <c r="R459" s="653" t="str">
        <f t="shared" si="467"/>
        <v>9163</v>
      </c>
      <c r="S459" s="654">
        <f t="shared" si="467"/>
        <v>0</v>
      </c>
      <c r="T459" s="656" t="str">
        <f>+VLOOKUP($L459,Data_Validation!$A:$D,1,0)</f>
        <v>9171</v>
      </c>
      <c r="U459" s="656" t="str">
        <f>+VLOOKUP($L459,Data_Validation!$A:$D,3,0)</f>
        <v>Véhicules usagés</v>
      </c>
      <c r="V459" s="656" t="str">
        <f>+VLOOKUP($L459,Data_Validation!$A:$D,4,0)</f>
        <v>Rev. Protections</v>
      </c>
      <c r="W459" s="656" t="str">
        <f>+VLOOKUP($L459,Data_Validation!$A:$E,5,0)</f>
        <v>$</v>
      </c>
      <c r="X459" s="656" t="str">
        <f>+VLOOKUP($L459,Data_Validation!$A:$F,6,0)</f>
        <v>Oui</v>
      </c>
    </row>
    <row r="460" spans="1:24" ht="15" customHeight="1">
      <c r="A460" s="1052" t="s">
        <v>1306</v>
      </c>
      <c r="B460" s="1052" t="s">
        <v>2778</v>
      </c>
      <c r="C460" s="1054">
        <v>-177166.6</v>
      </c>
      <c r="D460" s="1054">
        <v>-14368.87</v>
      </c>
      <c r="E460" s="1054">
        <v>-191535.47</v>
      </c>
      <c r="F460" s="1052" t="s">
        <v>1285</v>
      </c>
      <c r="G460" s="1052" t="s">
        <v>1295</v>
      </c>
      <c r="H460" s="1044"/>
      <c r="I460" s="1045"/>
      <c r="J460" s="1045"/>
      <c r="K460" s="1045"/>
      <c r="L460" s="653" t="str">
        <f t="shared" si="458"/>
        <v>9172</v>
      </c>
      <c r="M460" s="654" t="str">
        <f t="shared" si="260"/>
        <v>PROFIT PROTECTIONS - USAGES</v>
      </c>
      <c r="N460" s="655">
        <f>+IF(OR($Q460=Parametres!$G$2,$Q460=Parametres!$G$3),I460,C460)</f>
        <v>-177166.6</v>
      </c>
      <c r="O460" s="655">
        <f>+IF(OR($Q460=Parametres!$G$2,$Q460=Parametres!$G$3),J460,D460)</f>
        <v>-14368.87</v>
      </c>
      <c r="P460" s="655">
        <f>+IF(OR($Q460=Parametres!$G$2,$Q460=Parametres!$G$3),K460,E460)</f>
        <v>-191535.47</v>
      </c>
      <c r="Q460" s="654" t="str">
        <f t="shared" ref="Q460:S460" si="468">+F460</f>
        <v>8-Autres revenus</v>
      </c>
      <c r="R460" s="653" t="str">
        <f t="shared" si="468"/>
        <v>9163</v>
      </c>
      <c r="S460" s="654">
        <f t="shared" si="468"/>
        <v>0</v>
      </c>
      <c r="T460" s="656" t="str">
        <f>+VLOOKUP($L460,Data_Validation!$A:$D,1,0)</f>
        <v>9172</v>
      </c>
      <c r="U460" s="656" t="str">
        <f>+VLOOKUP($L460,Data_Validation!$A:$D,3,0)</f>
        <v>Véhicules usagés</v>
      </c>
      <c r="V460" s="656" t="str">
        <f>+VLOOKUP($L460,Data_Validation!$A:$D,4,0)</f>
        <v>Rev. Protections</v>
      </c>
      <c r="W460" s="656" t="str">
        <f>+VLOOKUP($L460,Data_Validation!$A:$E,5,0)</f>
        <v>$</v>
      </c>
      <c r="X460" s="656" t="str">
        <f>+VLOOKUP($L460,Data_Validation!$A:$F,6,0)</f>
        <v>Oui</v>
      </c>
    </row>
    <row r="461" spans="1:24" ht="15" customHeight="1">
      <c r="A461" s="1052" t="s">
        <v>1309</v>
      </c>
      <c r="B461" s="1052" t="s">
        <v>2781</v>
      </c>
      <c r="C461" s="1054">
        <v>-188181</v>
      </c>
      <c r="D461" s="1054">
        <v>-14304</v>
      </c>
      <c r="E461" s="1054">
        <v>-202485</v>
      </c>
      <c r="F461" s="1052" t="s">
        <v>1285</v>
      </c>
      <c r="G461" s="1052" t="s">
        <v>1310</v>
      </c>
      <c r="H461" s="1044"/>
      <c r="I461" s="1045"/>
      <c r="J461" s="1045"/>
      <c r="K461" s="1045"/>
      <c r="L461" s="653" t="str">
        <f t="shared" si="458"/>
        <v>9173</v>
      </c>
      <c r="M461" s="654" t="str">
        <f t="shared" si="260"/>
        <v>FRAIS ADMIN. VOLKS</v>
      </c>
      <c r="N461" s="655">
        <f>+IF(OR($Q461=Parametres!$G$2,$Q461=Parametres!$G$3),I461,C461)</f>
        <v>-188181</v>
      </c>
      <c r="O461" s="655">
        <f>+IF(OR($Q461=Parametres!$G$2,$Q461=Parametres!$G$3),J461,D461)</f>
        <v>-14304</v>
      </c>
      <c r="P461" s="655">
        <f>+IF(OR($Q461=Parametres!$G$2,$Q461=Parametres!$G$3),K461,E461)</f>
        <v>-202485</v>
      </c>
      <c r="Q461" s="654" t="str">
        <f t="shared" ref="Q461:S461" si="469">+F461</f>
        <v>8-Autres revenus</v>
      </c>
      <c r="R461" s="653" t="str">
        <f t="shared" si="469"/>
        <v>9191</v>
      </c>
      <c r="S461" s="654">
        <f t="shared" si="469"/>
        <v>0</v>
      </c>
      <c r="T461" s="656" t="str">
        <f>+VLOOKUP($L461,Data_Validation!$A:$D,1,0)</f>
        <v>9173</v>
      </c>
      <c r="U461" s="656" t="str">
        <f>+VLOOKUP($L461,Data_Validation!$A:$D,3,0)</f>
        <v>Véhicules neufs</v>
      </c>
      <c r="V461" s="656" t="str">
        <f>+VLOOKUP($L461,Data_Validation!$A:$D,4,0)</f>
        <v>Frais administration</v>
      </c>
      <c r="W461" s="656" t="str">
        <f>+VLOOKUP($L461,Data_Validation!$A:$E,5,0)</f>
        <v>$</v>
      </c>
      <c r="X461" s="656">
        <f>+VLOOKUP($L461,Data_Validation!$A:$F,6,0)</f>
        <v>0</v>
      </c>
    </row>
    <row r="462" spans="1:24" ht="15.75" customHeight="1">
      <c r="A462" s="1052" t="s">
        <v>1311</v>
      </c>
      <c r="B462" s="1052" t="s">
        <v>3404</v>
      </c>
      <c r="C462" s="1054">
        <v>-119413.49</v>
      </c>
      <c r="D462" s="1054">
        <v>-9570</v>
      </c>
      <c r="E462" s="1054">
        <v>-128983.49</v>
      </c>
      <c r="F462" s="1052" t="s">
        <v>1285</v>
      </c>
      <c r="G462" s="1052" t="s">
        <v>1310</v>
      </c>
      <c r="H462" s="1044"/>
      <c r="I462" s="1045"/>
      <c r="J462" s="1045"/>
      <c r="K462" s="1045"/>
      <c r="L462" s="653" t="str">
        <f t="shared" si="458"/>
        <v>9174</v>
      </c>
      <c r="M462" s="654" t="str">
        <f t="shared" si="260"/>
        <v>FRAIS ADMIN. VW USAGE</v>
      </c>
      <c r="N462" s="655">
        <f>+IF(OR($Q462=Parametres!$G$2,$Q462=Parametres!$G$3),I462,C462)</f>
        <v>-119413.49</v>
      </c>
      <c r="O462" s="655">
        <f>+IF(OR($Q462=Parametres!$G$2,$Q462=Parametres!$G$3),J462,D462)</f>
        <v>-9570</v>
      </c>
      <c r="P462" s="655">
        <f>+IF(OR($Q462=Parametres!$G$2,$Q462=Parametres!$G$3),K462,E462)</f>
        <v>-128983.49</v>
      </c>
      <c r="Q462" s="654" t="str">
        <f t="shared" ref="Q462:S462" si="470">+F462</f>
        <v>8-Autres revenus</v>
      </c>
      <c r="R462" s="653" t="str">
        <f t="shared" si="470"/>
        <v>9191</v>
      </c>
      <c r="S462" s="654">
        <f t="shared" si="470"/>
        <v>0</v>
      </c>
      <c r="T462" s="656" t="str">
        <f>+VLOOKUP($L462,Data_Validation!$A:$D,1,0)</f>
        <v>9174</v>
      </c>
      <c r="U462" s="656" t="str">
        <f>+VLOOKUP($L462,Data_Validation!$A:$D,3,0)</f>
        <v>Véhicules usagés</v>
      </c>
      <c r="V462" s="656" t="str">
        <f>+VLOOKUP($L462,Data_Validation!$A:$D,4,0)</f>
        <v>Frais administration</v>
      </c>
      <c r="W462" s="656" t="str">
        <f>+VLOOKUP($L462,Data_Validation!$A:$E,5,0)</f>
        <v>$</v>
      </c>
      <c r="X462" s="656">
        <f>+VLOOKUP($L462,Data_Validation!$A:$F,6,0)</f>
        <v>0</v>
      </c>
    </row>
    <row r="463" spans="1:24" ht="15" customHeight="1">
      <c r="A463" s="1052" t="s">
        <v>1312</v>
      </c>
      <c r="B463" s="1052" t="s">
        <v>1310</v>
      </c>
      <c r="C463" s="1054">
        <v>-274209.42</v>
      </c>
      <c r="D463" s="1054">
        <v>-1498.69</v>
      </c>
      <c r="E463" s="1054">
        <v>-275708.11</v>
      </c>
      <c r="F463" s="1052" t="s">
        <v>1285</v>
      </c>
      <c r="G463" s="1052" t="s">
        <v>1310</v>
      </c>
      <c r="H463" s="1044"/>
      <c r="I463" s="1045"/>
      <c r="J463" s="1045"/>
      <c r="K463" s="1045"/>
      <c r="L463" s="653" t="str">
        <f t="shared" si="458"/>
        <v>9191</v>
      </c>
      <c r="M463" s="654" t="str">
        <f t="shared" si="260"/>
        <v>REVENUS DIVERS</v>
      </c>
      <c r="N463" s="655">
        <f>+IF(OR($Q463=Parametres!$G$2,$Q463=Parametres!$G$3),I463,C463)</f>
        <v>-274209.42</v>
      </c>
      <c r="O463" s="655">
        <f>+IF(OR($Q463=Parametres!$G$2,$Q463=Parametres!$G$3),J463,D463)</f>
        <v>-1498.69</v>
      </c>
      <c r="P463" s="655">
        <f>+IF(OR($Q463=Parametres!$G$2,$Q463=Parametres!$G$3),K463,E463)</f>
        <v>-275708.11</v>
      </c>
      <c r="Q463" s="654" t="str">
        <f t="shared" ref="Q463:S463" si="471">+F463</f>
        <v>8-Autres revenus</v>
      </c>
      <c r="R463" s="653" t="str">
        <f t="shared" si="471"/>
        <v>9191</v>
      </c>
      <c r="S463" s="654">
        <f t="shared" si="471"/>
        <v>0</v>
      </c>
      <c r="T463" s="656" t="str">
        <f>+VLOOKUP($L463,Data_Validation!$A:$D,1,0)</f>
        <v>9191</v>
      </c>
      <c r="U463" s="656" t="str">
        <f>+VLOOKUP($L463,Data_Validation!$A:$D,3,0)</f>
        <v>TOTAL  DES  REVENUS  ET  DÉPENSES</v>
      </c>
      <c r="V463" s="656" t="str">
        <f>+VLOOKUP($L463,Data_Validation!$A:$D,4,0)</f>
        <v>Revenus autres</v>
      </c>
      <c r="W463" s="656" t="str">
        <f>+VLOOKUP($L463,Data_Validation!$A:$E,5,0)</f>
        <v>$</v>
      </c>
      <c r="X463" s="656">
        <f>+VLOOKUP($L463,Data_Validation!$A:$F,6,0)</f>
        <v>0</v>
      </c>
    </row>
    <row r="464" spans="1:24" ht="15" customHeight="1">
      <c r="A464" s="1052" t="s">
        <v>1313</v>
      </c>
      <c r="B464" s="1052" t="s">
        <v>1315</v>
      </c>
      <c r="C464" s="1054">
        <v>3300</v>
      </c>
      <c r="D464" s="1054">
        <v>300</v>
      </c>
      <c r="E464" s="1054">
        <v>3600</v>
      </c>
      <c r="F464" s="1052" t="s">
        <v>1314</v>
      </c>
      <c r="G464" s="1052" t="s">
        <v>1315</v>
      </c>
      <c r="H464" s="1044"/>
      <c r="I464" s="1045"/>
      <c r="J464" s="1045"/>
      <c r="K464" s="1045"/>
      <c r="L464" s="653" t="str">
        <f t="shared" si="458"/>
        <v>9402</v>
      </c>
      <c r="M464" s="654" t="str">
        <f t="shared" si="260"/>
        <v>DEPENSE D'INTERETS</v>
      </c>
      <c r="N464" s="655">
        <f>+IF(OR($Q464=Parametres!$G$2,$Q464=Parametres!$G$3),I464,C464)</f>
        <v>3300</v>
      </c>
      <c r="O464" s="655">
        <f>+IF(OR($Q464=Parametres!$G$2,$Q464=Parametres!$G$3),J464,D464)</f>
        <v>300</v>
      </c>
      <c r="P464" s="655">
        <f>+IF(OR($Q464=Parametres!$G$2,$Q464=Parametres!$G$3),K464,E464)</f>
        <v>3600</v>
      </c>
      <c r="Q464" s="654" t="str">
        <f t="shared" ref="Q464:S464" si="472">+F464</f>
        <v>9-Autres déductions</v>
      </c>
      <c r="R464" s="653" t="str">
        <f t="shared" si="472"/>
        <v>9402</v>
      </c>
      <c r="S464" s="654">
        <f t="shared" si="472"/>
        <v>0</v>
      </c>
      <c r="T464" s="656" t="str">
        <f>+VLOOKUP($L464,Data_Validation!$A:$D,1,0)</f>
        <v>9402</v>
      </c>
      <c r="U464" s="656" t="str">
        <f>+VLOOKUP($L464,Data_Validation!$A:$D,3,0)</f>
        <v>TOTAL  DES  REVENUS  ET  DÉPENSES</v>
      </c>
      <c r="V464" s="656" t="str">
        <f>+VLOOKUP($L464,Data_Validation!$A:$D,4,0)</f>
        <v>Intérêts sur prêt</v>
      </c>
      <c r="W464" s="656" t="str">
        <f>+VLOOKUP($L464,Data_Validation!$A:$E,5,0)</f>
        <v>$</v>
      </c>
      <c r="X464" s="656">
        <f>+VLOOKUP($L464,Data_Validation!$A:$F,6,0)</f>
        <v>0</v>
      </c>
    </row>
    <row r="465" spans="1:24" ht="15" customHeight="1">
      <c r="A465" s="1052" t="s">
        <v>1316</v>
      </c>
      <c r="B465" s="1052" t="s">
        <v>2791</v>
      </c>
      <c r="C465" s="1054">
        <v>1394.69</v>
      </c>
      <c r="D465" s="1054">
        <v>126.79</v>
      </c>
      <c r="E465" s="1054">
        <v>1521.48</v>
      </c>
      <c r="F465" s="1052" t="s">
        <v>1314</v>
      </c>
      <c r="G465" s="1052" t="s">
        <v>1315</v>
      </c>
      <c r="H465" s="1053"/>
      <c r="I465" s="1053"/>
      <c r="J465" s="1053"/>
      <c r="K465" s="1053"/>
      <c r="L465" s="653" t="str">
        <f t="shared" si="458"/>
        <v>9404</v>
      </c>
      <c r="M465" s="654" t="str">
        <f t="shared" si="260"/>
        <v>INTERETS SUR PRET</v>
      </c>
      <c r="N465" s="655">
        <f>+IF(OR($Q465=Parametres!$G$2,$Q465=Parametres!$G$3),I465,C465)</f>
        <v>1394.69</v>
      </c>
      <c r="O465" s="655">
        <f>+IF(OR($Q465=Parametres!$G$2,$Q465=Parametres!$G$3),J465,D465)</f>
        <v>126.79</v>
      </c>
      <c r="P465" s="655">
        <f>+IF(OR($Q465=Parametres!$G$2,$Q465=Parametres!$G$3),K465,E465)</f>
        <v>1521.48</v>
      </c>
      <c r="Q465" s="654" t="str">
        <f t="shared" ref="Q465:S465" si="473">+F465</f>
        <v>9-Autres déductions</v>
      </c>
      <c r="R465" s="653" t="str">
        <f t="shared" si="473"/>
        <v>9402</v>
      </c>
      <c r="S465" s="654">
        <f t="shared" si="473"/>
        <v>0</v>
      </c>
      <c r="T465" s="656" t="str">
        <f>+VLOOKUP($L465,Data_Validation!$A:$D,1,0)</f>
        <v>9404</v>
      </c>
      <c r="U465" s="656" t="str">
        <f>+VLOOKUP($L465,Data_Validation!$A:$D,3,0)</f>
        <v>TOTAL  DES  REVENUS  ET  DÉPENSES</v>
      </c>
      <c r="V465" s="656" t="str">
        <f>+VLOOKUP($L465,Data_Validation!$A:$D,4,0)</f>
        <v>Intérêts sur prêt</v>
      </c>
      <c r="W465" s="656" t="str">
        <f>+VLOOKUP($L465,Data_Validation!$A:$E,5,0)</f>
        <v>$</v>
      </c>
      <c r="X465" s="656">
        <f>+VLOOKUP($L465,Data_Validation!$A:$F,6,0)</f>
        <v>0</v>
      </c>
    </row>
    <row r="466" spans="1:24" ht="15" customHeight="1">
      <c r="A466" s="1052" t="s">
        <v>1299</v>
      </c>
      <c r="B466" s="1052" t="s">
        <v>1300</v>
      </c>
      <c r="C466" s="1053"/>
      <c r="D466" s="1053"/>
      <c r="E466" s="1053"/>
      <c r="F466" s="1052" t="s">
        <v>7</v>
      </c>
      <c r="G466" s="1052" t="s">
        <v>1295</v>
      </c>
      <c r="H466" s="1053"/>
      <c r="I466" s="1054">
        <v>-32</v>
      </c>
      <c r="J466" s="1054">
        <v>-2</v>
      </c>
      <c r="K466" s="1054">
        <v>-34</v>
      </c>
      <c r="L466" s="653" t="str">
        <f t="shared" si="458"/>
        <v>9167@</v>
      </c>
      <c r="M466" s="654" t="str">
        <f t="shared" si="260"/>
        <v>ASSURANCE VIE USAGE</v>
      </c>
      <c r="N466" s="655">
        <f>+IF(OR($Q466=Parametres!$G$2,$Q466=Parametres!$G$3),I466,C466)</f>
        <v>-32</v>
      </c>
      <c r="O466" s="655">
        <f>+IF(OR($Q466=Parametres!$G$2,$Q466=Parametres!$G$3),J466,D466)</f>
        <v>-2</v>
      </c>
      <c r="P466" s="655">
        <f>+IF(OR($Q466=Parametres!$G$2,$Q466=Parametres!$G$3),K466,E466)</f>
        <v>-34</v>
      </c>
      <c r="Q466" s="654" t="str">
        <f t="shared" ref="Q466:S466" si="474">+F466</f>
        <v>10-Compte compteur</v>
      </c>
      <c r="R466" s="653" t="str">
        <f t="shared" si="474"/>
        <v>9163</v>
      </c>
      <c r="S466" s="654">
        <f t="shared" si="474"/>
        <v>0</v>
      </c>
      <c r="T466" s="656" t="str">
        <f>+VLOOKUP($L466,Data_Validation!$A:$D,1,0)</f>
        <v>9167@</v>
      </c>
      <c r="U466" s="656" t="str">
        <f>+VLOOKUP($L466,Data_Validation!$A:$D,3,0)</f>
        <v>Véhicules usagés</v>
      </c>
      <c r="V466" s="656">
        <f>+VLOOKUP($L466,Data_Validation!$A:$D,4,0)</f>
        <v>0</v>
      </c>
      <c r="W466" s="656" t="str">
        <f>+VLOOKUP($L466,Data_Validation!$A:$E,5,0)</f>
        <v>NB</v>
      </c>
      <c r="X466" s="656">
        <f>+VLOOKUP($L466,Data_Validation!$A:$F,6,0)</f>
        <v>0</v>
      </c>
    </row>
    <row r="467" spans="1:24" ht="15.75" customHeight="1">
      <c r="A467" s="1052" t="s">
        <v>1304</v>
      </c>
      <c r="B467" s="1052" t="s">
        <v>1305</v>
      </c>
      <c r="C467" s="1053"/>
      <c r="D467" s="1053"/>
      <c r="E467" s="1053"/>
      <c r="F467" s="1052" t="s">
        <v>7</v>
      </c>
      <c r="G467" s="1052" t="s">
        <v>1295</v>
      </c>
      <c r="H467" s="1053"/>
      <c r="I467" s="1054">
        <v>-192</v>
      </c>
      <c r="J467" s="1054">
        <v>-12</v>
      </c>
      <c r="K467" s="1054">
        <v>-204</v>
      </c>
      <c r="L467" s="653" t="str">
        <f t="shared" si="458"/>
        <v>9171@</v>
      </c>
      <c r="M467" s="654" t="str">
        <f t="shared" si="260"/>
        <v>VENTE CHIMIQUE USAGE</v>
      </c>
      <c r="N467" s="655">
        <f>+IF(OR($Q467=Parametres!$G$2,$Q467=Parametres!$G$3),I467,C467)</f>
        <v>-192</v>
      </c>
      <c r="O467" s="655">
        <f>+IF(OR($Q467=Parametres!$G$2,$Q467=Parametres!$G$3),J467,D467)</f>
        <v>-12</v>
      </c>
      <c r="P467" s="655">
        <f>+IF(OR($Q467=Parametres!$G$2,$Q467=Parametres!$G$3),K467,E467)</f>
        <v>-204</v>
      </c>
      <c r="Q467" s="654" t="str">
        <f t="shared" ref="Q467:S467" si="475">+F467</f>
        <v>10-Compte compteur</v>
      </c>
      <c r="R467" s="653" t="str">
        <f t="shared" si="475"/>
        <v>9163</v>
      </c>
      <c r="S467" s="654">
        <f t="shared" si="475"/>
        <v>0</v>
      </c>
      <c r="T467" s="656" t="str">
        <f>+VLOOKUP($L467,Data_Validation!$A:$D,1,0)</f>
        <v>9171@</v>
      </c>
      <c r="U467" s="656" t="str">
        <f>+VLOOKUP($L467,Data_Validation!$A:$D,3,0)</f>
        <v>Véhicules usagés</v>
      </c>
      <c r="V467" s="656">
        <f>+VLOOKUP($L467,Data_Validation!$A:$D,4,0)</f>
        <v>0</v>
      </c>
      <c r="W467" s="656" t="str">
        <f>+VLOOKUP($L467,Data_Validation!$A:$E,5,0)</f>
        <v>NB</v>
      </c>
      <c r="X467" s="656">
        <f>+VLOOKUP($L467,Data_Validation!$A:$F,6,0)</f>
        <v>0</v>
      </c>
    </row>
    <row r="468" spans="1:24" ht="15" customHeight="1">
      <c r="A468" s="1052" t="s">
        <v>842</v>
      </c>
      <c r="B468" s="1052" t="s">
        <v>843</v>
      </c>
      <c r="C468" s="1053"/>
      <c r="D468" s="1053"/>
      <c r="E468" s="1053"/>
      <c r="F468" s="1052" t="s">
        <v>7</v>
      </c>
      <c r="G468" s="1052" t="s">
        <v>841</v>
      </c>
      <c r="H468" s="1053"/>
      <c r="I468" s="1054">
        <v>63</v>
      </c>
      <c r="J468" s="1054">
        <v>-12</v>
      </c>
      <c r="K468" s="1054">
        <v>51</v>
      </c>
      <c r="L468" s="653" t="str">
        <f t="shared" si="458"/>
        <v>1402@</v>
      </c>
      <c r="M468" s="654" t="str">
        <f t="shared" si="260"/>
        <v># DE INVENTAIRE VEH.NEUFS VW</v>
      </c>
      <c r="N468" s="655">
        <f>+IF(OR($Q468=Parametres!$G$2,$Q468=Parametres!$G$3),I468,C468)</f>
        <v>63</v>
      </c>
      <c r="O468" s="655">
        <f>+IF(OR($Q468=Parametres!$G$2,$Q468=Parametres!$G$3),J468,D468)</f>
        <v>-12</v>
      </c>
      <c r="P468" s="655">
        <f>+IF(OR($Q468=Parametres!$G$2,$Q468=Parametres!$G$3),K468,E468)</f>
        <v>51</v>
      </c>
      <c r="Q468" s="654" t="str">
        <f t="shared" ref="Q468:S468" si="476">+F468</f>
        <v>10-Compte compteur</v>
      </c>
      <c r="R468" s="653" t="str">
        <f t="shared" si="476"/>
        <v>1402</v>
      </c>
      <c r="S468" s="654">
        <f t="shared" si="476"/>
        <v>0</v>
      </c>
      <c r="T468" s="656" t="str">
        <f>+VLOOKUP($L468,Data_Validation!$A:$D,1,0)</f>
        <v>1402@</v>
      </c>
      <c r="U468" s="656" t="str">
        <f>+VLOOKUP($L468,Data_Validation!$A:$D,3,0)</f>
        <v>Bilan</v>
      </c>
      <c r="V468" s="656">
        <f>+VLOOKUP($L468,Data_Validation!$A:$D,4,0)</f>
        <v>0</v>
      </c>
      <c r="W468" s="656" t="str">
        <f>+VLOOKUP($L468,Data_Validation!$A:$E,5,0)</f>
        <v>NB</v>
      </c>
      <c r="X468" s="656">
        <f>+VLOOKUP($L468,Data_Validation!$A:$F,6,0)</f>
        <v>0</v>
      </c>
    </row>
    <row r="469" spans="1:24" ht="15" customHeight="1">
      <c r="A469" s="1052" t="s">
        <v>849</v>
      </c>
      <c r="B469" s="1052" t="s">
        <v>850</v>
      </c>
      <c r="C469" s="1053"/>
      <c r="D469" s="1053"/>
      <c r="E469" s="1053"/>
      <c r="F469" s="1052" t="s">
        <v>7</v>
      </c>
      <c r="G469" s="1052" t="s">
        <v>848</v>
      </c>
      <c r="H469" s="1053"/>
      <c r="I469" s="1054">
        <v>111</v>
      </c>
      <c r="J469" s="1054">
        <v>-16</v>
      </c>
      <c r="K469" s="1054">
        <v>95</v>
      </c>
      <c r="L469" s="653" t="str">
        <f t="shared" si="458"/>
        <v>1416@</v>
      </c>
      <c r="M469" s="654" t="str">
        <f t="shared" si="260"/>
        <v># DE INV. VEH. USAGE VW</v>
      </c>
      <c r="N469" s="655">
        <f>+IF(OR($Q469=Parametres!$G$2,$Q469=Parametres!$G$3),I469,C469)</f>
        <v>111</v>
      </c>
      <c r="O469" s="655">
        <f>+IF(OR($Q469=Parametres!$G$2,$Q469=Parametres!$G$3),J469,D469)</f>
        <v>-16</v>
      </c>
      <c r="P469" s="655">
        <f>+IF(OR($Q469=Parametres!$G$2,$Q469=Parametres!$G$3),K469,E469)</f>
        <v>95</v>
      </c>
      <c r="Q469" s="654" t="str">
        <f t="shared" ref="Q469:S469" si="477">+F469</f>
        <v>10-Compte compteur</v>
      </c>
      <c r="R469" s="653" t="str">
        <f t="shared" si="477"/>
        <v>1416</v>
      </c>
      <c r="S469" s="654">
        <f t="shared" si="477"/>
        <v>0</v>
      </c>
      <c r="T469" s="656" t="str">
        <f>+VLOOKUP($L469,Data_Validation!$A:$D,1,0)</f>
        <v>1416@</v>
      </c>
      <c r="U469" s="656" t="str">
        <f>+VLOOKUP($L469,Data_Validation!$A:$D,3,0)</f>
        <v>Bilan</v>
      </c>
      <c r="V469" s="656">
        <f>+VLOOKUP($L469,Data_Validation!$A:$D,4,0)</f>
        <v>0</v>
      </c>
      <c r="W469" s="656" t="str">
        <f>+VLOOKUP($L469,Data_Validation!$A:$E,5,0)</f>
        <v>NB</v>
      </c>
      <c r="X469" s="656">
        <f>+VLOOKUP($L469,Data_Validation!$A:$F,6,0)</f>
        <v>0</v>
      </c>
    </row>
    <row r="470" spans="1:24" ht="15" customHeight="1">
      <c r="A470" s="1052" t="s">
        <v>965</v>
      </c>
      <c r="B470" s="1052" t="s">
        <v>966</v>
      </c>
      <c r="C470" s="1053"/>
      <c r="D470" s="1053"/>
      <c r="E470" s="1053"/>
      <c r="F470" s="1052" t="s">
        <v>7</v>
      </c>
      <c r="G470" s="1052" t="s">
        <v>964</v>
      </c>
      <c r="H470" s="1053"/>
      <c r="I470" s="1054">
        <v>-239</v>
      </c>
      <c r="J470" s="1054">
        <v>-10</v>
      </c>
      <c r="K470" s="1054">
        <v>-249</v>
      </c>
      <c r="L470" s="653" t="str">
        <f t="shared" si="458"/>
        <v>4100@</v>
      </c>
      <c r="M470" s="654" t="str">
        <f t="shared" si="260"/>
        <v>RESERVE</v>
      </c>
      <c r="N470" s="655">
        <f>+IF(OR($Q470=Parametres!$G$2,$Q470=Parametres!$G$3),I470,C470)</f>
        <v>-239</v>
      </c>
      <c r="O470" s="655">
        <f>+IF(OR($Q470=Parametres!$G$2,$Q470=Parametres!$G$3),J470,D470)</f>
        <v>-10</v>
      </c>
      <c r="P470" s="655">
        <f>+IF(OR($Q470=Parametres!$G$2,$Q470=Parametres!$G$3),K470,E470)</f>
        <v>-249</v>
      </c>
      <c r="Q470" s="654" t="str">
        <f t="shared" ref="Q470:S470" si="478">+F470</f>
        <v>10-Compte compteur</v>
      </c>
      <c r="R470" s="653" t="str">
        <f t="shared" si="478"/>
        <v>4100</v>
      </c>
      <c r="S470" s="654">
        <f t="shared" si="478"/>
        <v>0</v>
      </c>
      <c r="T470" s="656" t="str">
        <f>+VLOOKUP($L470,Data_Validation!$A:$D,1,0)</f>
        <v>4100@</v>
      </c>
      <c r="U470" s="656" t="str">
        <f>+VLOOKUP($L470,Data_Validation!$A:$D,3,0)</f>
        <v>Véhicules neufs</v>
      </c>
      <c r="V470" s="656" t="str">
        <f>+VLOOKUP($L470,Data_Validation!$A:$D,4,0)</f>
        <v>Rachat bail</v>
      </c>
      <c r="W470" s="656" t="str">
        <f>+VLOOKUP($L470,Data_Validation!$A:$E,5,0)</f>
        <v>NB</v>
      </c>
      <c r="X470" s="656">
        <f>+VLOOKUP($L470,Data_Validation!$A:$F,6,0)</f>
        <v>0</v>
      </c>
    </row>
    <row r="471" spans="1:24" ht="15" customHeight="1">
      <c r="A471" s="1052" t="s">
        <v>969</v>
      </c>
      <c r="B471" s="1052" t="s">
        <v>970</v>
      </c>
      <c r="C471" s="1053"/>
      <c r="D471" s="1053"/>
      <c r="E471" s="1053"/>
      <c r="F471" s="1052" t="s">
        <v>7</v>
      </c>
      <c r="G471" s="1052" t="s">
        <v>968</v>
      </c>
      <c r="H471" s="1053"/>
      <c r="I471" s="1054">
        <v>-7</v>
      </c>
      <c r="J471" s="1054">
        <v>0</v>
      </c>
      <c r="K471" s="1054">
        <v>-7</v>
      </c>
      <c r="L471" s="653" t="str">
        <f t="shared" si="458"/>
        <v>4109@</v>
      </c>
      <c r="M471" s="654" t="str">
        <f t="shared" si="260"/>
        <v># DE VENTE - GOLF R</v>
      </c>
      <c r="N471" s="655">
        <f>+IF(OR($Q471=Parametres!$G$2,$Q471=Parametres!$G$3),I471,C471)</f>
        <v>-7</v>
      </c>
      <c r="O471" s="659">
        <f>+IF(OR($Q471=Parametres!$G$2,$Q471=Parametres!$G$3),J471,D471)</f>
        <v>0</v>
      </c>
      <c r="P471" s="655">
        <f>+IF(OR($Q471=Parametres!$G$2,$Q471=Parametres!$G$3),K471,E471)</f>
        <v>-7</v>
      </c>
      <c r="Q471" s="654" t="str">
        <f t="shared" ref="Q471:S471" si="479">+F471</f>
        <v>10-Compte compteur</v>
      </c>
      <c r="R471" s="653" t="str">
        <f t="shared" si="479"/>
        <v>4109</v>
      </c>
      <c r="S471" s="654">
        <f t="shared" si="479"/>
        <v>0</v>
      </c>
      <c r="T471" s="656" t="str">
        <f>+VLOOKUP($L471,Data_Validation!$A:$D,1,0)</f>
        <v>4109@</v>
      </c>
      <c r="U471" s="656" t="str">
        <f>+VLOOKUP($L471,Data_Validation!$A:$D,3,0)</f>
        <v>Véhicules neufs</v>
      </c>
      <c r="V471" s="656" t="str">
        <f>+VLOOKUP($L471,Data_Validation!$A:$D,4,0)</f>
        <v>Autos détail</v>
      </c>
      <c r="W471" s="656" t="str">
        <f>+VLOOKUP($L471,Data_Validation!$A:$E,5,0)</f>
        <v>NB</v>
      </c>
      <c r="X471" s="656">
        <f>+VLOOKUP($L471,Data_Validation!$A:$F,6,0)</f>
        <v>0</v>
      </c>
    </row>
    <row r="472" spans="1:24" ht="15" customHeight="1">
      <c r="A472" s="1052" t="s">
        <v>971</v>
      </c>
      <c r="B472" s="1052" t="s">
        <v>973</v>
      </c>
      <c r="C472" s="1053"/>
      <c r="D472" s="1053"/>
      <c r="E472" s="1053"/>
      <c r="F472" s="1052" t="s">
        <v>7</v>
      </c>
      <c r="G472" s="1052" t="s">
        <v>972</v>
      </c>
      <c r="H472" s="1053"/>
      <c r="I472" s="1054">
        <v>-53</v>
      </c>
      <c r="J472" s="1054">
        <v>-7</v>
      </c>
      <c r="K472" s="1054">
        <v>-60</v>
      </c>
      <c r="L472" s="653" t="str">
        <f t="shared" si="458"/>
        <v>4111@</v>
      </c>
      <c r="M472" s="654" t="str">
        <f t="shared" si="260"/>
        <v>JETTA/ JETTA GLI</v>
      </c>
      <c r="N472" s="655">
        <f>+IF(OR($Q472=Parametres!$G$2,$Q472=Parametres!$G$3),I472,C472)</f>
        <v>-53</v>
      </c>
      <c r="O472" s="655">
        <f>+IF(OR($Q472=Parametres!$G$2,$Q472=Parametres!$G$3),J472,D472)</f>
        <v>-7</v>
      </c>
      <c r="P472" s="655">
        <f>+IF(OR($Q472=Parametres!$G$2,$Q472=Parametres!$G$3),K472,E472)</f>
        <v>-60</v>
      </c>
      <c r="Q472" s="654" t="str">
        <f t="shared" ref="Q472:S472" si="480">+F472</f>
        <v>10-Compte compteur</v>
      </c>
      <c r="R472" s="653" t="str">
        <f t="shared" si="480"/>
        <v>4111</v>
      </c>
      <c r="S472" s="654">
        <f t="shared" si="480"/>
        <v>0</v>
      </c>
      <c r="T472" s="656" t="str">
        <f>+VLOOKUP($L472,Data_Validation!$A:$D,1,0)</f>
        <v>4111@</v>
      </c>
      <c r="U472" s="656" t="str">
        <f>+VLOOKUP($L472,Data_Validation!$A:$D,3,0)</f>
        <v>Véhicules neufs</v>
      </c>
      <c r="V472" s="656" t="str">
        <f>+VLOOKUP($L472,Data_Validation!$A:$D,4,0)</f>
        <v>Autos détail</v>
      </c>
      <c r="W472" s="656" t="str">
        <f>+VLOOKUP($L472,Data_Validation!$A:$E,5,0)</f>
        <v>NB</v>
      </c>
      <c r="X472" s="656">
        <f>+VLOOKUP($L472,Data_Validation!$A:$F,6,0)</f>
        <v>0</v>
      </c>
    </row>
    <row r="473" spans="1:24" ht="15.75" customHeight="1">
      <c r="A473" s="1052" t="s">
        <v>976</v>
      </c>
      <c r="B473" s="1052" t="s">
        <v>977</v>
      </c>
      <c r="C473" s="1053"/>
      <c r="D473" s="1053"/>
      <c r="E473" s="1053"/>
      <c r="F473" s="1052" t="s">
        <v>7</v>
      </c>
      <c r="G473" s="1052" t="s">
        <v>978</v>
      </c>
      <c r="H473" s="1053"/>
      <c r="I473" s="1054">
        <v>-109</v>
      </c>
      <c r="J473" s="1054">
        <v>-2</v>
      </c>
      <c r="K473" s="1054">
        <v>-111</v>
      </c>
      <c r="L473" s="653" t="str">
        <f t="shared" si="458"/>
        <v>4118@</v>
      </c>
      <c r="M473" s="654" t="str">
        <f t="shared" si="260"/>
        <v>TAOS</v>
      </c>
      <c r="N473" s="655">
        <f>+IF(OR($Q473=Parametres!$G$2,$Q473=Parametres!$G$3),I473,C473)</f>
        <v>-109</v>
      </c>
      <c r="O473" s="655">
        <f>+IF(OR($Q473=Parametres!$G$2,$Q473=Parametres!$G$3),J473,D473)</f>
        <v>-2</v>
      </c>
      <c r="P473" s="655">
        <f>+IF(OR($Q473=Parametres!$G$2,$Q473=Parametres!$G$3),K473,E473)</f>
        <v>-111</v>
      </c>
      <c r="Q473" s="654" t="str">
        <f t="shared" ref="Q473:S473" si="481">+F473</f>
        <v>10-Compte compteur</v>
      </c>
      <c r="R473" s="653" t="str">
        <f t="shared" si="481"/>
        <v>411</v>
      </c>
      <c r="S473" s="654">
        <f t="shared" si="481"/>
        <v>0</v>
      </c>
      <c r="T473" s="656" t="str">
        <f>+VLOOKUP($L473,Data_Validation!$A:$D,1,0)</f>
        <v>4118@</v>
      </c>
      <c r="U473" s="656" t="str">
        <f>+VLOOKUP($L473,Data_Validation!$A:$D,3,0)</f>
        <v>Véhicules neufs</v>
      </c>
      <c r="V473" s="656" t="str">
        <f>+VLOOKUP($L473,Data_Validation!$A:$D,4,0)</f>
        <v>Camions détail</v>
      </c>
      <c r="W473" s="656" t="str">
        <f>+VLOOKUP($L473,Data_Validation!$A:$E,5,0)</f>
        <v>NB</v>
      </c>
      <c r="X473" s="656">
        <f>+VLOOKUP($L473,Data_Validation!$A:$F,6,0)</f>
        <v>0</v>
      </c>
    </row>
    <row r="474" spans="1:24" ht="15" customHeight="1">
      <c r="A474" s="1052" t="s">
        <v>981</v>
      </c>
      <c r="B474" s="1052" t="s">
        <v>982</v>
      </c>
      <c r="C474" s="1053"/>
      <c r="D474" s="1053"/>
      <c r="E474" s="1053"/>
      <c r="F474" s="1052" t="s">
        <v>7</v>
      </c>
      <c r="G474" s="1052" t="s">
        <v>980</v>
      </c>
      <c r="H474" s="1053"/>
      <c r="I474" s="1054">
        <v>-69</v>
      </c>
      <c r="J474" s="1054">
        <v>-2</v>
      </c>
      <c r="K474" s="1054">
        <v>-71</v>
      </c>
      <c r="L474" s="653" t="str">
        <f t="shared" si="458"/>
        <v>4119@</v>
      </c>
      <c r="M474" s="654" t="str">
        <f t="shared" si="260"/>
        <v># DE VTE - ATLAS</v>
      </c>
      <c r="N474" s="655">
        <f>+IF(OR($Q474=Parametres!$G$2,$Q474=Parametres!$G$3),I474,C474)</f>
        <v>-69</v>
      </c>
      <c r="O474" s="655">
        <f>+IF(OR($Q474=Parametres!$G$2,$Q474=Parametres!$G$3),J474,D474)</f>
        <v>-2</v>
      </c>
      <c r="P474" s="655">
        <f>+IF(OR($Q474=Parametres!$G$2,$Q474=Parametres!$G$3),K474,E474)</f>
        <v>-71</v>
      </c>
      <c r="Q474" s="654" t="str">
        <f t="shared" ref="Q474:S474" si="482">+F474</f>
        <v>10-Compte compteur</v>
      </c>
      <c r="R474" s="653" t="str">
        <f t="shared" si="482"/>
        <v>4119</v>
      </c>
      <c r="S474" s="654">
        <f t="shared" si="482"/>
        <v>0</v>
      </c>
      <c r="T474" s="656" t="str">
        <f>+VLOOKUP($L474,Data_Validation!$A:$D,1,0)</f>
        <v>4119@</v>
      </c>
      <c r="U474" s="656" t="str">
        <f>+VLOOKUP($L474,Data_Validation!$A:$D,3,0)</f>
        <v>Véhicules neufs</v>
      </c>
      <c r="V474" s="656" t="str">
        <f>+VLOOKUP($L474,Data_Validation!$A:$D,4,0)</f>
        <v>Camions détail</v>
      </c>
      <c r="W474" s="656" t="str">
        <f>+VLOOKUP($L474,Data_Validation!$A:$E,5,0)</f>
        <v>NB</v>
      </c>
      <c r="X474" s="656">
        <f>+VLOOKUP($L474,Data_Validation!$A:$F,6,0)</f>
        <v>0</v>
      </c>
    </row>
    <row r="475" spans="1:24" ht="15" customHeight="1">
      <c r="A475" s="1052" t="s">
        <v>984</v>
      </c>
      <c r="B475" s="1052" t="s">
        <v>985</v>
      </c>
      <c r="C475" s="1053"/>
      <c r="D475" s="1053"/>
      <c r="E475" s="1053"/>
      <c r="F475" s="1052" t="s">
        <v>7</v>
      </c>
      <c r="G475" s="1052" t="s">
        <v>3349</v>
      </c>
      <c r="H475" s="1053"/>
      <c r="I475" s="1054">
        <v>-3</v>
      </c>
      <c r="J475" s="1054">
        <v>0</v>
      </c>
      <c r="K475" s="1054">
        <v>-3</v>
      </c>
      <c r="L475" s="653" t="str">
        <f t="shared" si="458"/>
        <v>4121@</v>
      </c>
      <c r="M475" s="654" t="str">
        <f t="shared" si="260"/>
        <v># DE VTE - ATLAS CROSS SPORT</v>
      </c>
      <c r="N475" s="655">
        <f>+IF(OR($Q475=Parametres!$G$2,$Q475=Parametres!$G$3),I475,C475)</f>
        <v>-3</v>
      </c>
      <c r="O475" s="655">
        <f>+IF(OR($Q475=Parametres!$G$2,$Q475=Parametres!$G$3),J475,D475)</f>
        <v>0</v>
      </c>
      <c r="P475" s="655">
        <f>+IF(OR($Q475=Parametres!$G$2,$Q475=Parametres!$G$3),K475,E475)</f>
        <v>-3</v>
      </c>
      <c r="Q475" s="654" t="str">
        <f t="shared" ref="Q475:S475" si="483">+F475</f>
        <v>10-Compte compteur</v>
      </c>
      <c r="R475" s="653" t="str">
        <f t="shared" si="483"/>
        <v>4121</v>
      </c>
      <c r="S475" s="654">
        <f t="shared" si="483"/>
        <v>0</v>
      </c>
      <c r="T475" s="656" t="str">
        <f>+VLOOKUP($L475,Data_Validation!$A:$D,1,0)</f>
        <v>4121@</v>
      </c>
      <c r="U475" s="656" t="str">
        <f>+VLOOKUP($L475,Data_Validation!$A:$D,3,0)</f>
        <v>Véhicules neufs</v>
      </c>
      <c r="V475" s="656" t="str">
        <f>+VLOOKUP($L475,Data_Validation!$A:$D,4,0)</f>
        <v>Camions détail</v>
      </c>
      <c r="W475" s="656" t="str">
        <f>+VLOOKUP($L475,Data_Validation!$A:$E,5,0)</f>
        <v>NB</v>
      </c>
      <c r="X475" s="656">
        <f>+VLOOKUP($L475,Data_Validation!$A:$F,6,0)</f>
        <v>0</v>
      </c>
    </row>
    <row r="476" spans="1:24" ht="15" customHeight="1">
      <c r="A476" s="1052" t="s">
        <v>988</v>
      </c>
      <c r="B476" s="1052" t="s">
        <v>989</v>
      </c>
      <c r="C476" s="1053"/>
      <c r="D476" s="1053"/>
      <c r="E476" s="1053"/>
      <c r="F476" s="1052" t="s">
        <v>7</v>
      </c>
      <c r="G476" s="1052" t="s">
        <v>987</v>
      </c>
      <c r="H476" s="1053"/>
      <c r="I476" s="1054">
        <v>-19</v>
      </c>
      <c r="J476" s="1054">
        <v>0</v>
      </c>
      <c r="K476" s="1054">
        <v>-19</v>
      </c>
      <c r="L476" s="653" t="str">
        <f t="shared" si="458"/>
        <v>4127@</v>
      </c>
      <c r="M476" s="654" t="str">
        <f t="shared" si="260"/>
        <v># DE VENTE - GOLF GTI</v>
      </c>
      <c r="N476" s="655">
        <f>+IF(OR($Q476=Parametres!$G$2,$Q476=Parametres!$G$3),I476,C476)</f>
        <v>-19</v>
      </c>
      <c r="O476" s="655">
        <f>+IF(OR($Q476=Parametres!$G$2,$Q476=Parametres!$G$3),J476,D476)</f>
        <v>0</v>
      </c>
      <c r="P476" s="655">
        <f>+IF(OR($Q476=Parametres!$G$2,$Q476=Parametres!$G$3),K476,E476)</f>
        <v>-19</v>
      </c>
      <c r="Q476" s="654" t="str">
        <f t="shared" ref="Q476:S476" si="484">+F476</f>
        <v>10-Compte compteur</v>
      </c>
      <c r="R476" s="653" t="str">
        <f t="shared" si="484"/>
        <v>4127</v>
      </c>
      <c r="S476" s="654">
        <f t="shared" si="484"/>
        <v>0</v>
      </c>
      <c r="T476" s="656" t="str">
        <f>+VLOOKUP($L476,Data_Validation!$A:$D,1,0)</f>
        <v>4127@</v>
      </c>
      <c r="U476" s="656" t="str">
        <f>+VLOOKUP($L476,Data_Validation!$A:$D,3,0)</f>
        <v>Véhicules neufs</v>
      </c>
      <c r="V476" s="656" t="str">
        <f>+VLOOKUP($L476,Data_Validation!$A:$D,4,0)</f>
        <v>Autos détail</v>
      </c>
      <c r="W476" s="656" t="str">
        <f>+VLOOKUP($L476,Data_Validation!$A:$E,5,0)</f>
        <v>NB</v>
      </c>
      <c r="X476" s="656">
        <f>+VLOOKUP($L476,Data_Validation!$A:$F,6,0)</f>
        <v>0</v>
      </c>
    </row>
    <row r="477" spans="1:24" ht="15.75" customHeight="1">
      <c r="A477" s="1052" t="s">
        <v>992</v>
      </c>
      <c r="B477" s="1052" t="s">
        <v>993</v>
      </c>
      <c r="C477" s="1053"/>
      <c r="D477" s="1053"/>
      <c r="E477" s="1053"/>
      <c r="F477" s="1052" t="s">
        <v>7</v>
      </c>
      <c r="G477" s="1052" t="s">
        <v>991</v>
      </c>
      <c r="H477" s="1053"/>
      <c r="I477" s="1054">
        <v>-180</v>
      </c>
      <c r="J477" s="1054">
        <v>-24</v>
      </c>
      <c r="K477" s="1054">
        <v>-204</v>
      </c>
      <c r="L477" s="653" t="str">
        <f t="shared" si="458"/>
        <v>4131@</v>
      </c>
      <c r="M477" s="654" t="str">
        <f t="shared" si="260"/>
        <v># DE VTE - TIGUAN LWB</v>
      </c>
      <c r="N477" s="655">
        <f>+IF(OR($Q477=Parametres!$G$2,$Q477=Parametres!$G$3),I477,C477)</f>
        <v>-180</v>
      </c>
      <c r="O477" s="655">
        <f>+IF(OR($Q477=Parametres!$G$2,$Q477=Parametres!$G$3),J477,D477)</f>
        <v>-24</v>
      </c>
      <c r="P477" s="655">
        <f>+IF(OR($Q477=Parametres!$G$2,$Q477=Parametres!$G$3),K477,E477)</f>
        <v>-204</v>
      </c>
      <c r="Q477" s="654" t="str">
        <f t="shared" ref="Q477:S477" si="485">+F477</f>
        <v>10-Compte compteur</v>
      </c>
      <c r="R477" s="653" t="str">
        <f t="shared" si="485"/>
        <v>4131</v>
      </c>
      <c r="S477" s="654">
        <f t="shared" si="485"/>
        <v>0</v>
      </c>
      <c r="T477" s="656" t="str">
        <f>+VLOOKUP($L477,Data_Validation!$A:$D,1,0)</f>
        <v>4131@</v>
      </c>
      <c r="U477" s="656" t="str">
        <f>+VLOOKUP($L477,Data_Validation!$A:$D,3,0)</f>
        <v>Véhicules neufs</v>
      </c>
      <c r="V477" s="656" t="str">
        <f>+VLOOKUP($L477,Data_Validation!$A:$D,4,0)</f>
        <v>Camions détail</v>
      </c>
      <c r="W477" s="656" t="str">
        <f>+VLOOKUP($L477,Data_Validation!$A:$E,5,0)</f>
        <v>NB</v>
      </c>
      <c r="X477" s="656">
        <f>+VLOOKUP($L477,Data_Validation!$A:$F,6,0)</f>
        <v>0</v>
      </c>
    </row>
    <row r="478" spans="1:24" ht="15" customHeight="1">
      <c r="A478" s="1052" t="s">
        <v>996</v>
      </c>
      <c r="B478" s="1052" t="s">
        <v>997</v>
      </c>
      <c r="C478" s="1053"/>
      <c r="D478" s="1053"/>
      <c r="E478" s="1053"/>
      <c r="F478" s="1052" t="s">
        <v>7</v>
      </c>
      <c r="G478" s="1052" t="s">
        <v>995</v>
      </c>
      <c r="H478" s="1053"/>
      <c r="I478" s="1054">
        <v>-17</v>
      </c>
      <c r="J478" s="1054">
        <v>0</v>
      </c>
      <c r="K478" s="1054">
        <v>-17</v>
      </c>
      <c r="L478" s="653" t="str">
        <f t="shared" si="458"/>
        <v>4137@</v>
      </c>
      <c r="M478" s="654" t="str">
        <f t="shared" si="260"/>
        <v>VW FLOTTE/VENTE ENTR/EMPLOYE/VEH DEMONST</v>
      </c>
      <c r="N478" s="655">
        <f>+IF(OR($Q478=Parametres!$G$2,$Q478=Parametres!$G$3),I478,C478)</f>
        <v>-17</v>
      </c>
      <c r="O478" s="655">
        <f>+IF(OR($Q478=Parametres!$G$2,$Q478=Parametres!$G$3),J478,D478)</f>
        <v>0</v>
      </c>
      <c r="P478" s="655">
        <f>+IF(OR($Q478=Parametres!$G$2,$Q478=Parametres!$G$3),K478,E478)</f>
        <v>-17</v>
      </c>
      <c r="Q478" s="654" t="str">
        <f t="shared" ref="Q478:S478" si="486">+F478</f>
        <v>10-Compte compteur</v>
      </c>
      <c r="R478" s="653" t="str">
        <f t="shared" si="486"/>
        <v>4137</v>
      </c>
      <c r="S478" s="654">
        <f t="shared" si="486"/>
        <v>0</v>
      </c>
      <c r="T478" s="656" t="str">
        <f>+VLOOKUP($L478,Data_Validation!$A:$D,1,0)</f>
        <v>4137@</v>
      </c>
      <c r="U478" s="656" t="str">
        <f>+VLOOKUP($L478,Data_Validation!$A:$D,3,0)</f>
        <v>Véhicules neufs</v>
      </c>
      <c r="V478" s="656" t="str">
        <f>+VLOOKUP($L478,Data_Validation!$A:$D,4,0)</f>
        <v>Flottes</v>
      </c>
      <c r="W478" s="656" t="str">
        <f>+VLOOKUP($L478,Data_Validation!$A:$E,5,0)</f>
        <v>NB</v>
      </c>
      <c r="X478" s="656">
        <f>+VLOOKUP($L478,Data_Validation!$A:$F,6,0)</f>
        <v>0</v>
      </c>
    </row>
    <row r="479" spans="1:24" ht="15" customHeight="1">
      <c r="A479" s="1052" t="s">
        <v>1000</v>
      </c>
      <c r="B479" s="1052" t="s">
        <v>1001</v>
      </c>
      <c r="C479" s="1053"/>
      <c r="D479" s="1053"/>
      <c r="E479" s="1053"/>
      <c r="F479" s="1052" t="s">
        <v>7</v>
      </c>
      <c r="G479" s="1052" t="s">
        <v>999</v>
      </c>
      <c r="H479" s="1053"/>
      <c r="I479" s="1054">
        <v>-40</v>
      </c>
      <c r="J479" s="1054">
        <v>-2</v>
      </c>
      <c r="K479" s="1054">
        <v>-42</v>
      </c>
      <c r="L479" s="653" t="str">
        <f t="shared" si="458"/>
        <v>4139@</v>
      </c>
      <c r="M479" s="654" t="str">
        <f t="shared" si="260"/>
        <v>VENTES A PARK AVENUE LOCATION</v>
      </c>
      <c r="N479" s="655">
        <f>+IF(OR($Q479=Parametres!$G$2,$Q479=Parametres!$G$3),I479,C479)</f>
        <v>-40</v>
      </c>
      <c r="O479" s="655">
        <f>+IF(OR($Q479=Parametres!$G$2,$Q479=Parametres!$G$3),J479,D479)</f>
        <v>-2</v>
      </c>
      <c r="P479" s="655">
        <f>+IF(OR($Q479=Parametres!$G$2,$Q479=Parametres!$G$3),K479,E479)</f>
        <v>-42</v>
      </c>
      <c r="Q479" s="654" t="str">
        <f t="shared" ref="Q479:S479" si="487">+F479</f>
        <v>10-Compte compteur</v>
      </c>
      <c r="R479" s="653" t="str">
        <f t="shared" si="487"/>
        <v>4139</v>
      </c>
      <c r="S479" s="654">
        <f t="shared" si="487"/>
        <v>0</v>
      </c>
      <c r="T479" s="656" t="str">
        <f>+VLOOKUP($L479,Data_Validation!$A:$D,1,0)</f>
        <v>4139@</v>
      </c>
      <c r="U479" s="656" t="str">
        <f>+VLOOKUP($L479,Data_Validation!$A:$D,3,0)</f>
        <v>Véhicules neufs</v>
      </c>
      <c r="V479" s="656" t="str">
        <f>+VLOOKUP($L479,Data_Validation!$A:$D,4,0)</f>
        <v>Ex-Démos et courtoisies</v>
      </c>
      <c r="W479" s="656" t="str">
        <f>+VLOOKUP($L479,Data_Validation!$A:$E,5,0)</f>
        <v>NB</v>
      </c>
      <c r="X479" s="656">
        <f>+VLOOKUP($L479,Data_Validation!$A:$F,6,0)</f>
        <v>0</v>
      </c>
    </row>
    <row r="480" spans="1:24" ht="15" customHeight="1">
      <c r="A480" s="1052" t="s">
        <v>1004</v>
      </c>
      <c r="B480" s="1052" t="s">
        <v>1005</v>
      </c>
      <c r="C480" s="1053"/>
      <c r="D480" s="1053"/>
      <c r="E480" s="1053"/>
      <c r="F480" s="1052" t="s">
        <v>7</v>
      </c>
      <c r="G480" s="1052" t="s">
        <v>1003</v>
      </c>
      <c r="H480" s="1053"/>
      <c r="I480" s="1054">
        <v>-20</v>
      </c>
      <c r="J480" s="1054">
        <v>0</v>
      </c>
      <c r="K480" s="1054">
        <v>-20</v>
      </c>
      <c r="L480" s="653" t="str">
        <f t="shared" si="458"/>
        <v>4144@</v>
      </c>
      <c r="M480" s="654" t="str">
        <f t="shared" si="260"/>
        <v># OF VTES -JETTA GLI</v>
      </c>
      <c r="N480" s="655">
        <f>+IF(OR($Q480=Parametres!$G$2,$Q480=Parametres!$G$3),I480,C480)</f>
        <v>-20</v>
      </c>
      <c r="O480" s="655">
        <f>+IF(OR($Q480=Parametres!$G$2,$Q480=Parametres!$G$3),J480,D480)</f>
        <v>0</v>
      </c>
      <c r="P480" s="655">
        <f>+IF(OR($Q480=Parametres!$G$2,$Q480=Parametres!$G$3),K480,E480)</f>
        <v>-20</v>
      </c>
      <c r="Q480" s="654" t="str">
        <f t="shared" ref="Q480:S480" si="488">+F480</f>
        <v>10-Compte compteur</v>
      </c>
      <c r="R480" s="653" t="str">
        <f t="shared" si="488"/>
        <v>414</v>
      </c>
      <c r="S480" s="654">
        <f t="shared" si="488"/>
        <v>0</v>
      </c>
      <c r="T480" s="656" t="str">
        <f>+VLOOKUP($L480,Data_Validation!$A:$D,1,0)</f>
        <v>4144@</v>
      </c>
      <c r="U480" s="656" t="str">
        <f>+VLOOKUP($L480,Data_Validation!$A:$D,3,0)</f>
        <v>Véhicules neufs</v>
      </c>
      <c r="V480" s="656" t="str">
        <f>+VLOOKUP($L480,Data_Validation!$A:$D,4,0)</f>
        <v>Autos détail</v>
      </c>
      <c r="W480" s="656" t="str">
        <f>+VLOOKUP($L480,Data_Validation!$A:$E,5,0)</f>
        <v>NB</v>
      </c>
      <c r="X480" s="656">
        <f>+VLOOKUP($L480,Data_Validation!$A:$F,6,0)</f>
        <v>0</v>
      </c>
    </row>
    <row r="481" spans="1:24" ht="15" customHeight="1">
      <c r="A481" s="1052" t="s">
        <v>1008</v>
      </c>
      <c r="B481" s="1052" t="s">
        <v>1009</v>
      </c>
      <c r="C481" s="1053"/>
      <c r="D481" s="1053"/>
      <c r="E481" s="1053"/>
      <c r="F481" s="1052" t="s">
        <v>7</v>
      </c>
      <c r="G481" s="1052" t="s">
        <v>1007</v>
      </c>
      <c r="H481" s="1053"/>
      <c r="I481" s="1054">
        <v>-346</v>
      </c>
      <c r="J481" s="1054">
        <v>-24</v>
      </c>
      <c r="K481" s="1054">
        <v>-370</v>
      </c>
      <c r="L481" s="653" t="str">
        <f t="shared" si="458"/>
        <v>4201@</v>
      </c>
      <c r="M481" s="654" t="str">
        <f t="shared" si="260"/>
        <v># DE VTE - VEH.USAGE VW DET.CERT.</v>
      </c>
      <c r="N481" s="655">
        <f>+IF(OR($Q481=Parametres!$G$2,$Q481=Parametres!$G$3),I481,C481)</f>
        <v>-346</v>
      </c>
      <c r="O481" s="655">
        <f>+IF(OR($Q481=Parametres!$G$2,$Q481=Parametres!$G$3),J481,D481)</f>
        <v>-24</v>
      </c>
      <c r="P481" s="655">
        <f>+IF(OR($Q481=Parametres!$G$2,$Q481=Parametres!$G$3),K481,E481)</f>
        <v>-370</v>
      </c>
      <c r="Q481" s="654" t="str">
        <f t="shared" ref="Q481:S481" si="489">+F481</f>
        <v>10-Compte compteur</v>
      </c>
      <c r="R481" s="653" t="str">
        <f t="shared" si="489"/>
        <v>4201</v>
      </c>
      <c r="S481" s="654">
        <f t="shared" si="489"/>
        <v>0</v>
      </c>
      <c r="T481" s="656" t="str">
        <f>+VLOOKUP($L481,Data_Validation!$A:$D,1,0)</f>
        <v>4201@</v>
      </c>
      <c r="U481" s="656" t="str">
        <f>+VLOOKUP($L481,Data_Validation!$A:$D,3,0)</f>
        <v>Véhicules usagés</v>
      </c>
      <c r="V481" s="656" t="str">
        <f>+VLOOKUP($L481,Data_Validation!$A:$D,4,0)</f>
        <v>Certifié</v>
      </c>
      <c r="W481" s="656" t="str">
        <f>+VLOOKUP($L481,Data_Validation!$A:$E,5,0)</f>
        <v>NB</v>
      </c>
      <c r="X481" s="656">
        <f>+VLOOKUP($L481,Data_Validation!$A:$F,6,0)</f>
        <v>0</v>
      </c>
    </row>
    <row r="482" spans="1:24" ht="15.75" customHeight="1">
      <c r="A482" s="1052" t="s">
        <v>1012</v>
      </c>
      <c r="B482" s="1052" t="s">
        <v>1013</v>
      </c>
      <c r="C482" s="1053"/>
      <c r="D482" s="1053"/>
      <c r="E482" s="1053"/>
      <c r="F482" s="1052" t="s">
        <v>7</v>
      </c>
      <c r="G482" s="1052" t="s">
        <v>1011</v>
      </c>
      <c r="H482" s="1053"/>
      <c r="I482" s="1054">
        <v>0</v>
      </c>
      <c r="J482" s="1054">
        <v>-1</v>
      </c>
      <c r="K482" s="1054">
        <v>-1</v>
      </c>
      <c r="L482" s="653" t="str">
        <f t="shared" si="458"/>
        <v>4211@</v>
      </c>
      <c r="M482" s="654" t="str">
        <f t="shared" si="260"/>
        <v>VENTES USED DET. CHAMBLY</v>
      </c>
      <c r="N482" s="655">
        <f>+IF(OR($Q482=Parametres!$G$2,$Q482=Parametres!$G$3),I482,C482)</f>
        <v>0</v>
      </c>
      <c r="O482" s="655">
        <f>+IF(OR($Q482=Parametres!$G$2,$Q482=Parametres!$G$3),J482,D482)</f>
        <v>-1</v>
      </c>
      <c r="P482" s="655">
        <f>+IF(OR($Q482=Parametres!$G$2,$Q482=Parametres!$G$3),K482,E482)</f>
        <v>-1</v>
      </c>
      <c r="Q482" s="654" t="str">
        <f t="shared" ref="Q482:S482" si="490">+F482</f>
        <v>10-Compte compteur</v>
      </c>
      <c r="R482" s="653" t="str">
        <f t="shared" si="490"/>
        <v>4211</v>
      </c>
      <c r="S482" s="654">
        <f t="shared" si="490"/>
        <v>0</v>
      </c>
      <c r="T482" s="656" t="str">
        <f>+VLOOKUP($L482,Data_Validation!$A:$D,1,0)</f>
        <v>4211@</v>
      </c>
      <c r="U482" s="656" t="str">
        <f>+VLOOKUP($L482,Data_Validation!$A:$D,3,0)</f>
        <v>Véhicules usagés</v>
      </c>
      <c r="V482" s="656" t="str">
        <f>+VLOOKUP($L482,Data_Validation!$A:$D,4,0)</f>
        <v>Non Certifié</v>
      </c>
      <c r="W482" s="656" t="str">
        <f>+VLOOKUP($L482,Data_Validation!$A:$E,5,0)</f>
        <v>NB</v>
      </c>
      <c r="X482" s="656">
        <f>+VLOOKUP($L482,Data_Validation!$A:$F,6,0)</f>
        <v>0</v>
      </c>
    </row>
    <row r="483" spans="1:24" ht="15" customHeight="1">
      <c r="A483" s="1052" t="s">
        <v>1016</v>
      </c>
      <c r="B483" s="1052" t="s">
        <v>1017</v>
      </c>
      <c r="C483" s="1053"/>
      <c r="D483" s="1053"/>
      <c r="E483" s="1053"/>
      <c r="F483" s="1052" t="s">
        <v>7</v>
      </c>
      <c r="G483" s="1052" t="s">
        <v>1015</v>
      </c>
      <c r="H483" s="1053"/>
      <c r="I483" s="1054">
        <v>-10</v>
      </c>
      <c r="J483" s="1054">
        <v>0</v>
      </c>
      <c r="K483" s="1054">
        <v>-10</v>
      </c>
      <c r="L483" s="653" t="str">
        <f t="shared" si="458"/>
        <v>4285@</v>
      </c>
      <c r="M483" s="654" t="str">
        <f t="shared" si="260"/>
        <v>AUTRE MARQUES DETAIL - USAGE</v>
      </c>
      <c r="N483" s="655">
        <f>+IF(OR($Q483=Parametres!$G$2,$Q483=Parametres!$G$3),I483,C483)</f>
        <v>-10</v>
      </c>
      <c r="O483" s="655">
        <f>+IF(OR($Q483=Parametres!$G$2,$Q483=Parametres!$G$3),J483,D483)</f>
        <v>0</v>
      </c>
      <c r="P483" s="655">
        <f>+IF(OR($Q483=Parametres!$G$2,$Q483=Parametres!$G$3),K483,E483)</f>
        <v>-10</v>
      </c>
      <c r="Q483" s="654" t="str">
        <f t="shared" ref="Q483:S483" si="491">+F483</f>
        <v>10-Compte compteur</v>
      </c>
      <c r="R483" s="653" t="str">
        <f t="shared" si="491"/>
        <v>4261</v>
      </c>
      <c r="S483" s="654">
        <f t="shared" si="491"/>
        <v>0</v>
      </c>
      <c r="T483" s="656" t="str">
        <f>+VLOOKUP($L483,Data_Validation!$A:$D,1,0)</f>
        <v>4285@</v>
      </c>
      <c r="U483" s="656" t="str">
        <f>+VLOOKUP($L483,Data_Validation!$A:$D,3,0)</f>
        <v>Véhicules usagés</v>
      </c>
      <c r="V483" s="656" t="str">
        <f>+VLOOKUP($L483,Data_Validation!$A:$D,4,0)</f>
        <v>Autres Marques</v>
      </c>
      <c r="W483" s="656" t="str">
        <f>+VLOOKUP($L483,Data_Validation!$A:$E,5,0)</f>
        <v>NB</v>
      </c>
      <c r="X483" s="656">
        <f>+VLOOKUP($L483,Data_Validation!$A:$F,6,0)</f>
        <v>0</v>
      </c>
    </row>
    <row r="484" spans="1:24" ht="15" customHeight="1">
      <c r="A484" s="1052" t="s">
        <v>1020</v>
      </c>
      <c r="B484" s="1052" t="s">
        <v>1021</v>
      </c>
      <c r="C484" s="1053"/>
      <c r="D484" s="1053"/>
      <c r="E484" s="1053"/>
      <c r="F484" s="1052" t="s">
        <v>7</v>
      </c>
      <c r="G484" s="1052" t="s">
        <v>1019</v>
      </c>
      <c r="H484" s="1053"/>
      <c r="I484" s="1054">
        <v>-324</v>
      </c>
      <c r="J484" s="1054">
        <v>-31</v>
      </c>
      <c r="K484" s="1054">
        <v>-355</v>
      </c>
      <c r="L484" s="653" t="str">
        <f t="shared" si="458"/>
        <v>4291@</v>
      </c>
      <c r="M484" s="654" t="str">
        <f t="shared" si="260"/>
        <v>VENTE AU GROS - USAGES</v>
      </c>
      <c r="N484" s="655">
        <f>+IF(OR($Q484=Parametres!$G$2,$Q484=Parametres!$G$3),I484,C484)</f>
        <v>-324</v>
      </c>
      <c r="O484" s="655">
        <f>+IF(OR($Q484=Parametres!$G$2,$Q484=Parametres!$G$3),J484,D484)</f>
        <v>-31</v>
      </c>
      <c r="P484" s="655">
        <f>+IF(OR($Q484=Parametres!$G$2,$Q484=Parametres!$G$3),K484,E484)</f>
        <v>-355</v>
      </c>
      <c r="Q484" s="654" t="str">
        <f t="shared" ref="Q484:S484" si="492">+F484</f>
        <v>10-Compte compteur</v>
      </c>
      <c r="R484" s="653" t="str">
        <f t="shared" si="492"/>
        <v>4281</v>
      </c>
      <c r="S484" s="654">
        <f t="shared" si="492"/>
        <v>0</v>
      </c>
      <c r="T484" s="656" t="str">
        <f>+VLOOKUP($L484,Data_Validation!$A:$D,1,0)</f>
        <v>4291@</v>
      </c>
      <c r="U484" s="656" t="str">
        <f>+VLOOKUP($L484,Data_Validation!$A:$D,3,0)</f>
        <v>Véhicules usagés</v>
      </c>
      <c r="V484" s="656" t="str">
        <f>+VLOOKUP($L484,Data_Validation!$A:$D,4,0)</f>
        <v>Ventes au Gros</v>
      </c>
      <c r="W484" s="656" t="str">
        <f>+VLOOKUP($L484,Data_Validation!$A:$E,5,0)</f>
        <v>NB</v>
      </c>
      <c r="X484" s="656">
        <f>+VLOOKUP($L484,Data_Validation!$A:$F,6,0)</f>
        <v>0</v>
      </c>
    </row>
    <row r="485" spans="1:24" ht="15" customHeight="1">
      <c r="A485" s="1052" t="s">
        <v>3671</v>
      </c>
      <c r="B485" s="1052" t="s">
        <v>1024</v>
      </c>
      <c r="C485" s="1053"/>
      <c r="D485" s="1053"/>
      <c r="E485" s="1053"/>
      <c r="F485" s="1052" t="s">
        <v>7</v>
      </c>
      <c r="G485" s="1052" t="s">
        <v>1023</v>
      </c>
      <c r="H485" s="1053"/>
      <c r="I485" s="1054">
        <v>-5411</v>
      </c>
      <c r="J485" s="1054">
        <v>-370</v>
      </c>
      <c r="K485" s="1054">
        <v>-5781</v>
      </c>
      <c r="L485" s="653" t="str">
        <f t="shared" si="458"/>
        <v>4401@</v>
      </c>
      <c r="M485" s="654" t="str">
        <f t="shared" si="260"/>
        <v>MAIN-D'OEUVRE - CLIENT VW - MCI</v>
      </c>
      <c r="N485" s="655">
        <f>+IF(OR($Q485=Parametres!$G$2,$Q485=Parametres!$G$3),I485,C485)</f>
        <v>-5411</v>
      </c>
      <c r="O485" s="655">
        <f>+IF(OR($Q485=Parametres!$G$2,$Q485=Parametres!$G$3),J485,D485)</f>
        <v>-370</v>
      </c>
      <c r="P485" s="655">
        <f>+IF(OR($Q485=Parametres!$G$2,$Q485=Parametres!$G$3),K485,E485)</f>
        <v>-5781</v>
      </c>
      <c r="Q485" s="654" t="str">
        <f t="shared" ref="Q485:S485" si="493">+F485</f>
        <v>10-Compte compteur</v>
      </c>
      <c r="R485" s="653" t="str">
        <f t="shared" si="493"/>
        <v>4401</v>
      </c>
      <c r="S485" s="654">
        <f t="shared" si="493"/>
        <v>0</v>
      </c>
      <c r="T485" s="656" t="str">
        <f>+VLOOKUP($L485,Data_Validation!$A:$D,1,0)</f>
        <v>4401@</v>
      </c>
      <c r="U485" s="656" t="str">
        <f>+VLOOKUP($L485,Data_Validation!$A:$D,3,0)</f>
        <v>Service</v>
      </c>
      <c r="V485" s="656" t="str">
        <f>+VLOOKUP($L485,Data_Validation!$A:$D,4,0)</f>
        <v>M/O Client</v>
      </c>
      <c r="W485" s="656" t="str">
        <f>+VLOOKUP($L485,Data_Validation!$A:$E,5,0)</f>
        <v>NB</v>
      </c>
      <c r="X485" s="656">
        <f>+VLOOKUP($L485,Data_Validation!$A:$F,6,0)</f>
        <v>0</v>
      </c>
    </row>
    <row r="486" spans="1:24" ht="15.75" customHeight="1">
      <c r="A486" s="1052" t="s">
        <v>3672</v>
      </c>
      <c r="B486" s="1052" t="s">
        <v>1029</v>
      </c>
      <c r="C486" s="1053"/>
      <c r="D486" s="1053"/>
      <c r="E486" s="1053"/>
      <c r="F486" s="1052" t="s">
        <v>7</v>
      </c>
      <c r="G486" s="1052" t="s">
        <v>1028</v>
      </c>
      <c r="H486" s="1053"/>
      <c r="I486" s="1054">
        <v>-2534</v>
      </c>
      <c r="J486" s="1054">
        <v>-144</v>
      </c>
      <c r="K486" s="1054">
        <v>-2678</v>
      </c>
      <c r="L486" s="653" t="str">
        <f t="shared" si="458"/>
        <v>4403@</v>
      </c>
      <c r="M486" s="654" t="str">
        <f t="shared" si="260"/>
        <v>MAIN-D'OEUVRE - GARANTIE VW - MCI</v>
      </c>
      <c r="N486" s="655">
        <f>+IF(OR($Q486=Parametres!$G$2,$Q486=Parametres!$G$3),I486,C486)</f>
        <v>-2534</v>
      </c>
      <c r="O486" s="655">
        <f>+IF(OR($Q486=Parametres!$G$2,$Q486=Parametres!$G$3),J486,D486)</f>
        <v>-144</v>
      </c>
      <c r="P486" s="655">
        <f>+IF(OR($Q486=Parametres!$G$2,$Q486=Parametres!$G$3),K486,E486)</f>
        <v>-2678</v>
      </c>
      <c r="Q486" s="654" t="str">
        <f t="shared" ref="Q486:S486" si="494">+F486</f>
        <v>10-Compte compteur</v>
      </c>
      <c r="R486" s="653" t="str">
        <f t="shared" si="494"/>
        <v>4403</v>
      </c>
      <c r="S486" s="654">
        <f t="shared" si="494"/>
        <v>0</v>
      </c>
      <c r="T486" s="656" t="str">
        <f>+VLOOKUP($L486,Data_Validation!$A:$D,1,0)</f>
        <v>4403@</v>
      </c>
      <c r="U486" s="656" t="str">
        <f>+VLOOKUP($L486,Data_Validation!$A:$D,3,0)</f>
        <v>Service</v>
      </c>
      <c r="V486" s="656" t="str">
        <f>+VLOOKUP($L486,Data_Validation!$A:$D,4,0)</f>
        <v>M/O Garantie</v>
      </c>
      <c r="W486" s="656" t="str">
        <f>+VLOOKUP($L486,Data_Validation!$A:$E,5,0)</f>
        <v>NB</v>
      </c>
      <c r="X486" s="656">
        <f>+VLOOKUP($L486,Data_Validation!$A:$F,6,0)</f>
        <v>0</v>
      </c>
    </row>
    <row r="487" spans="1:24" ht="15" customHeight="1">
      <c r="A487" s="1052" t="s">
        <v>3673</v>
      </c>
      <c r="B487" s="1052" t="s">
        <v>1032</v>
      </c>
      <c r="C487" s="1053"/>
      <c r="D487" s="1053"/>
      <c r="E487" s="1053"/>
      <c r="F487" s="1052" t="s">
        <v>7</v>
      </c>
      <c r="G487" s="1052" t="s">
        <v>1031</v>
      </c>
      <c r="H487" s="1053"/>
      <c r="I487" s="1054">
        <v>-2104</v>
      </c>
      <c r="J487" s="1054">
        <v>-196</v>
      </c>
      <c r="K487" s="1054">
        <v>-2300</v>
      </c>
      <c r="L487" s="653" t="str">
        <f t="shared" si="458"/>
        <v>4405@</v>
      </c>
      <c r="M487" s="654" t="str">
        <f t="shared" si="260"/>
        <v>MAIN-D'OEUVRE - INTERNE VW - MCI</v>
      </c>
      <c r="N487" s="655">
        <f>+IF(OR($Q487=Parametres!$G$2,$Q487=Parametres!$G$3),I487,C487)</f>
        <v>-2104</v>
      </c>
      <c r="O487" s="655">
        <f>+IF(OR($Q487=Parametres!$G$2,$Q487=Parametres!$G$3),J487,D487)</f>
        <v>-196</v>
      </c>
      <c r="P487" s="655">
        <f>+IF(OR($Q487=Parametres!$G$2,$Q487=Parametres!$G$3),K487,E487)</f>
        <v>-2300</v>
      </c>
      <c r="Q487" s="654" t="str">
        <f t="shared" ref="Q487:S487" si="495">+F487</f>
        <v>10-Compte compteur</v>
      </c>
      <c r="R487" s="653" t="str">
        <f t="shared" si="495"/>
        <v>4405</v>
      </c>
      <c r="S487" s="654">
        <f t="shared" si="495"/>
        <v>0</v>
      </c>
      <c r="T487" s="656" t="str">
        <f>+VLOOKUP($L487,Data_Validation!$A:$D,1,0)</f>
        <v>4405@</v>
      </c>
      <c r="U487" s="656" t="str">
        <f>+VLOOKUP($L487,Data_Validation!$A:$D,3,0)</f>
        <v>Service</v>
      </c>
      <c r="V487" s="656" t="str">
        <f>+VLOOKUP($L487,Data_Validation!$A:$D,4,0)</f>
        <v>M/O Interne</v>
      </c>
      <c r="W487" s="656" t="str">
        <f>+VLOOKUP($L487,Data_Validation!$A:$E,5,0)</f>
        <v>NB</v>
      </c>
      <c r="X487" s="656">
        <f>+VLOOKUP($L487,Data_Validation!$A:$F,6,0)</f>
        <v>0</v>
      </c>
    </row>
    <row r="488" spans="1:24" ht="15" customHeight="1">
      <c r="A488" s="1052" t="s">
        <v>1033</v>
      </c>
      <c r="B488" s="1052" t="s">
        <v>1035</v>
      </c>
      <c r="C488" s="1053"/>
      <c r="D488" s="1053"/>
      <c r="E488" s="1053"/>
      <c r="F488" s="1052" t="s">
        <v>7</v>
      </c>
      <c r="G488" s="1052" t="s">
        <v>1034</v>
      </c>
      <c r="H488" s="1053"/>
      <c r="I488" s="1054">
        <v>-4088</v>
      </c>
      <c r="J488" s="1054">
        <v>-291</v>
      </c>
      <c r="K488" s="1054">
        <v>-4379</v>
      </c>
      <c r="L488" s="653" t="str">
        <f t="shared" si="458"/>
        <v>4451@</v>
      </c>
      <c r="M488" s="654" t="str">
        <f t="shared" si="260"/>
        <v>CARBURANT/HUILE/GRAISSE</v>
      </c>
      <c r="N488" s="655">
        <f>+IF(OR($Q488=Parametres!$G$2,$Q488=Parametres!$G$3),I488,C488)</f>
        <v>-4088</v>
      </c>
      <c r="O488" s="655">
        <f>+IF(OR($Q488=Parametres!$G$2,$Q488=Parametres!$G$3),J488,D488)</f>
        <v>-291</v>
      </c>
      <c r="P488" s="655">
        <f>+IF(OR($Q488=Parametres!$G$2,$Q488=Parametres!$G$3),K488,E488)</f>
        <v>-4379</v>
      </c>
      <c r="Q488" s="654" t="str">
        <f t="shared" ref="Q488:S488" si="496">+F488</f>
        <v>10-Compte compteur</v>
      </c>
      <c r="R488" s="653" t="str">
        <f t="shared" si="496"/>
        <v>4782</v>
      </c>
      <c r="S488" s="654">
        <f t="shared" si="496"/>
        <v>0</v>
      </c>
      <c r="T488" s="656" t="str">
        <f>+VLOOKUP($L488,Data_Validation!$A:$D,1,0)</f>
        <v>4451@</v>
      </c>
      <c r="U488" s="656" t="str">
        <f>+VLOOKUP($L488,Data_Validation!$A:$D,3,0)</f>
        <v>Pièces</v>
      </c>
      <c r="V488" s="656" t="str">
        <f>+VLOOKUP($L488,Data_Validation!$A:$D,4,0)</f>
        <v>Huiles et Graisse</v>
      </c>
      <c r="W488" s="656" t="str">
        <f>+VLOOKUP($L488,Data_Validation!$A:$E,5,0)</f>
        <v>NB</v>
      </c>
      <c r="X488" s="656">
        <f>+VLOOKUP($L488,Data_Validation!$A:$F,6,0)</f>
        <v>0</v>
      </c>
    </row>
    <row r="489" spans="1:24" ht="15" customHeight="1">
      <c r="A489" s="1052" t="s">
        <v>1036</v>
      </c>
      <c r="B489" s="1052" t="s">
        <v>1038</v>
      </c>
      <c r="C489" s="1053"/>
      <c r="D489" s="1053"/>
      <c r="E489" s="1053"/>
      <c r="F489" s="1052" t="s">
        <v>7</v>
      </c>
      <c r="G489" s="1052" t="s">
        <v>1037</v>
      </c>
      <c r="H489" s="1053"/>
      <c r="I489" s="1054">
        <v>-110</v>
      </c>
      <c r="J489" s="1054">
        <v>-8</v>
      </c>
      <c r="K489" s="1054">
        <v>-118</v>
      </c>
      <c r="L489" s="653" t="str">
        <f t="shared" si="458"/>
        <v>4491@</v>
      </c>
      <c r="M489" s="654" t="str">
        <f t="shared" si="260"/>
        <v>REPARATION SOUS-LOC. - GENERAL</v>
      </c>
      <c r="N489" s="655">
        <f>+IF(OR($Q489=Parametres!$G$2,$Q489=Parametres!$G$3),I489,C489)</f>
        <v>-110</v>
      </c>
      <c r="O489" s="655">
        <f>+IF(OR($Q489=Parametres!$G$2,$Q489=Parametres!$G$3),J489,D489)</f>
        <v>-8</v>
      </c>
      <c r="P489" s="655">
        <f>+IF(OR($Q489=Parametres!$G$2,$Q489=Parametres!$G$3),K489,E489)</f>
        <v>-118</v>
      </c>
      <c r="Q489" s="654" t="str">
        <f t="shared" ref="Q489:S489" si="497">+F489</f>
        <v>10-Compte compteur</v>
      </c>
      <c r="R489" s="653" t="str">
        <f t="shared" si="497"/>
        <v>4491</v>
      </c>
      <c r="S489" s="654">
        <f t="shared" si="497"/>
        <v>0</v>
      </c>
      <c r="T489" s="656" t="str">
        <f>+VLOOKUP($L489,Data_Validation!$A:$D,1,0)</f>
        <v>4491@</v>
      </c>
      <c r="U489" s="656" t="str">
        <f>+VLOOKUP($L489,Data_Validation!$A:$D,3,0)</f>
        <v>Service</v>
      </c>
      <c r="V489" s="656" t="str">
        <f>+VLOOKUP($L489,Data_Validation!$A:$D,4,0)</f>
        <v>Sous-traitement</v>
      </c>
      <c r="W489" s="656" t="str">
        <f>+VLOOKUP($L489,Data_Validation!$A:$E,5,0)</f>
        <v>NB</v>
      </c>
      <c r="X489" s="656">
        <f>+VLOOKUP($L489,Data_Validation!$A:$F,6,0)</f>
        <v>0</v>
      </c>
    </row>
    <row r="490" spans="1:24" ht="15" customHeight="1">
      <c r="A490" s="1052" t="s">
        <v>1041</v>
      </c>
      <c r="B490" s="1052" t="s">
        <v>1042</v>
      </c>
      <c r="C490" s="1053"/>
      <c r="D490" s="1053"/>
      <c r="E490" s="1053"/>
      <c r="F490" s="1052" t="s">
        <v>7</v>
      </c>
      <c r="G490" s="1052" t="s">
        <v>1040</v>
      </c>
      <c r="H490" s="1053"/>
      <c r="I490" s="1054">
        <v>-30</v>
      </c>
      <c r="J490" s="1054">
        <v>-4</v>
      </c>
      <c r="K490" s="1054">
        <v>-34</v>
      </c>
      <c r="L490" s="653" t="str">
        <f t="shared" si="458"/>
        <v>4493@</v>
      </c>
      <c r="M490" s="654" t="str">
        <f t="shared" si="260"/>
        <v># DE VTE - SOUS-TRAITANCE GARANTIE</v>
      </c>
      <c r="N490" s="655">
        <f>+IF(OR($Q490=Parametres!$G$2,$Q490=Parametres!$G$3),I490,C490)</f>
        <v>-30</v>
      </c>
      <c r="O490" s="655">
        <f>+IF(OR($Q490=Parametres!$G$2,$Q490=Parametres!$G$3),J490,D490)</f>
        <v>-4</v>
      </c>
      <c r="P490" s="655">
        <f>+IF(OR($Q490=Parametres!$G$2,$Q490=Parametres!$G$3),K490,E490)</f>
        <v>-34</v>
      </c>
      <c r="Q490" s="654" t="str">
        <f t="shared" ref="Q490:S490" si="498">+F490</f>
        <v>10-Compte compteur</v>
      </c>
      <c r="R490" s="653" t="str">
        <f t="shared" si="498"/>
        <v>4493</v>
      </c>
      <c r="S490" s="654">
        <f t="shared" si="498"/>
        <v>0</v>
      </c>
      <c r="T490" s="656" t="str">
        <f>+VLOOKUP($L490,Data_Validation!$A:$D,1,0)</f>
        <v>4493@</v>
      </c>
      <c r="U490" s="656" t="str">
        <f>+VLOOKUP($L490,Data_Validation!$A:$D,3,0)</f>
        <v>Service</v>
      </c>
      <c r="V490" s="656" t="str">
        <f>+VLOOKUP($L490,Data_Validation!$A:$D,4,0)</f>
        <v>Sous-traitement</v>
      </c>
      <c r="W490" s="656" t="str">
        <f>+VLOOKUP($L490,Data_Validation!$A:$E,5,0)</f>
        <v>NB</v>
      </c>
      <c r="X490" s="656">
        <f>+VLOOKUP($L490,Data_Validation!$A:$F,6,0)</f>
        <v>0</v>
      </c>
    </row>
    <row r="491" spans="1:24" ht="15.75" customHeight="1">
      <c r="A491" s="1052" t="s">
        <v>1045</v>
      </c>
      <c r="B491" s="1052" t="s">
        <v>1046</v>
      </c>
      <c r="C491" s="1053"/>
      <c r="D491" s="1053"/>
      <c r="E491" s="1053"/>
      <c r="F491" s="1052" t="s">
        <v>7</v>
      </c>
      <c r="G491" s="1052" t="s">
        <v>1044</v>
      </c>
      <c r="H491" s="1053"/>
      <c r="I491" s="1054">
        <v>-1020</v>
      </c>
      <c r="J491" s="1054">
        <v>-51</v>
      </c>
      <c r="K491" s="1054">
        <v>-1071</v>
      </c>
      <c r="L491" s="653" t="str">
        <f t="shared" si="458"/>
        <v>4495@</v>
      </c>
      <c r="M491" s="654" t="str">
        <f t="shared" si="260"/>
        <v># DE VTE - S-TRAITANCE MEC.INTERNE VW</v>
      </c>
      <c r="N491" s="655">
        <f>+IF(OR($Q491=Parametres!$G$2,$Q491=Parametres!$G$3),I491,C491)</f>
        <v>-1020</v>
      </c>
      <c r="O491" s="655">
        <f>+IF(OR($Q491=Parametres!$G$2,$Q491=Parametres!$G$3),J491,D491)</f>
        <v>-51</v>
      </c>
      <c r="P491" s="655">
        <f>+IF(OR($Q491=Parametres!$G$2,$Q491=Parametres!$G$3),K491,E491)</f>
        <v>-1071</v>
      </c>
      <c r="Q491" s="654" t="str">
        <f t="shared" ref="Q491:S491" si="499">+F491</f>
        <v>10-Compte compteur</v>
      </c>
      <c r="R491" s="653" t="str">
        <f t="shared" si="499"/>
        <v>4495</v>
      </c>
      <c r="S491" s="654">
        <f t="shared" si="499"/>
        <v>0</v>
      </c>
      <c r="T491" s="656" t="str">
        <f>+VLOOKUP($L491,Data_Validation!$A:$D,1,0)</f>
        <v>4495@</v>
      </c>
      <c r="U491" s="656" t="str">
        <f>+VLOOKUP($L491,Data_Validation!$A:$D,3,0)</f>
        <v>Service</v>
      </c>
      <c r="V491" s="656" t="str">
        <f>+VLOOKUP($L491,Data_Validation!$A:$D,4,0)</f>
        <v>Sous-traitement</v>
      </c>
      <c r="W491" s="656" t="str">
        <f>+VLOOKUP($L491,Data_Validation!$A:$E,5,0)</f>
        <v>NB</v>
      </c>
      <c r="X491" s="656">
        <f>+VLOOKUP($L491,Data_Validation!$A:$F,6,0)</f>
        <v>0</v>
      </c>
    </row>
    <row r="492" spans="1:24" ht="15" customHeight="1">
      <c r="A492" s="1052" t="s">
        <v>1048</v>
      </c>
      <c r="B492" s="1052" t="s">
        <v>1049</v>
      </c>
      <c r="C492" s="1053"/>
      <c r="D492" s="1053"/>
      <c r="E492" s="1053"/>
      <c r="F492" s="1052" t="s">
        <v>7</v>
      </c>
      <c r="G492" s="1052" t="s">
        <v>3334</v>
      </c>
      <c r="H492" s="1053"/>
      <c r="I492" s="1054">
        <v>-100</v>
      </c>
      <c r="J492" s="1054">
        <v>0</v>
      </c>
      <c r="K492" s="1054">
        <v>-100</v>
      </c>
      <c r="L492" s="653" t="str">
        <f t="shared" si="458"/>
        <v>4503@</v>
      </c>
      <c r="M492" s="654" t="str">
        <f t="shared" si="260"/>
        <v># DE VTE - M.O. CARROS.GARANTIE</v>
      </c>
      <c r="N492" s="655">
        <f>+IF(OR($Q492=Parametres!$G$2,$Q492=Parametres!$G$3),I492,C492)</f>
        <v>-100</v>
      </c>
      <c r="O492" s="655">
        <f>+IF(OR($Q492=Parametres!$G$2,$Q492=Parametres!$G$3),J492,D492)</f>
        <v>0</v>
      </c>
      <c r="P492" s="655">
        <f>+IF(OR($Q492=Parametres!$G$2,$Q492=Parametres!$G$3),K492,E492)</f>
        <v>-100</v>
      </c>
      <c r="Q492" s="654" t="str">
        <f t="shared" ref="Q492:S492" si="500">+F492</f>
        <v>10-Compte compteur</v>
      </c>
      <c r="R492" s="653" t="str">
        <f t="shared" si="500"/>
        <v>4503</v>
      </c>
      <c r="S492" s="654">
        <f t="shared" si="500"/>
        <v>0</v>
      </c>
      <c r="T492" s="656" t="str">
        <f>+VLOOKUP($L492,Data_Validation!$A:$D,1,0)</f>
        <v>4503@</v>
      </c>
      <c r="U492" s="656" t="str">
        <f>+VLOOKUP($L492,Data_Validation!$A:$D,3,0)</f>
        <v>Carrosserie</v>
      </c>
      <c r="V492" s="656" t="str">
        <f>+VLOOKUP($L492,Data_Validation!$A:$D,4,0)</f>
        <v>M/O Sous-traitement</v>
      </c>
      <c r="W492" s="656" t="str">
        <f>+VLOOKUP($L492,Data_Validation!$A:$E,5,0)</f>
        <v>NB</v>
      </c>
      <c r="X492" s="656">
        <f>+VLOOKUP($L492,Data_Validation!$A:$F,6,0)</f>
        <v>0</v>
      </c>
    </row>
    <row r="493" spans="1:24" ht="15" customHeight="1">
      <c r="A493" s="1052" t="s">
        <v>1052</v>
      </c>
      <c r="B493" s="1052" t="s">
        <v>1053</v>
      </c>
      <c r="C493" s="1053"/>
      <c r="D493" s="1053"/>
      <c r="E493" s="1053"/>
      <c r="F493" s="1052" t="s">
        <v>7</v>
      </c>
      <c r="G493" s="1052" t="s">
        <v>1051</v>
      </c>
      <c r="H493" s="1053"/>
      <c r="I493" s="1054">
        <v>-239</v>
      </c>
      <c r="J493" s="1054">
        <v>-16</v>
      </c>
      <c r="K493" s="1054">
        <v>-255</v>
      </c>
      <c r="L493" s="653" t="str">
        <f t="shared" si="458"/>
        <v>4591@</v>
      </c>
      <c r="M493" s="654" t="str">
        <f t="shared" si="260"/>
        <v>REPARATION SOUS-LOC.-PEINT/DEB</v>
      </c>
      <c r="N493" s="655">
        <f>+IF(OR($Q493=Parametres!$G$2,$Q493=Parametres!$G$3),I493,C493)</f>
        <v>-239</v>
      </c>
      <c r="O493" s="655">
        <f>+IF(OR($Q493=Parametres!$G$2,$Q493=Parametres!$G$3),J493,D493)</f>
        <v>-16</v>
      </c>
      <c r="P493" s="655">
        <f>+IF(OR($Q493=Parametres!$G$2,$Q493=Parametres!$G$3),K493,E493)</f>
        <v>-255</v>
      </c>
      <c r="Q493" s="654" t="str">
        <f t="shared" ref="Q493:S493" si="501">+F493</f>
        <v>10-Compte compteur</v>
      </c>
      <c r="R493" s="653" t="str">
        <f t="shared" si="501"/>
        <v>4591</v>
      </c>
      <c r="S493" s="654">
        <f t="shared" si="501"/>
        <v>0</v>
      </c>
      <c r="T493" s="656" t="str">
        <f>+VLOOKUP($L493,Data_Validation!$A:$D,1,0)</f>
        <v>4591@</v>
      </c>
      <c r="U493" s="656" t="str">
        <f>+VLOOKUP($L493,Data_Validation!$A:$D,3,0)</f>
        <v>Carrosserie</v>
      </c>
      <c r="V493" s="656" t="str">
        <f>+VLOOKUP($L493,Data_Validation!$A:$D,4,0)</f>
        <v>M/O Sous-traitement</v>
      </c>
      <c r="W493" s="656" t="str">
        <f>+VLOOKUP($L493,Data_Validation!$A:$E,5,0)</f>
        <v>NB</v>
      </c>
      <c r="X493" s="656">
        <f>+VLOOKUP($L493,Data_Validation!$A:$F,6,0)</f>
        <v>0</v>
      </c>
    </row>
    <row r="494" spans="1:24" ht="15" customHeight="1">
      <c r="A494" s="1052" t="s">
        <v>1056</v>
      </c>
      <c r="B494" s="1052" t="s">
        <v>1057</v>
      </c>
      <c r="C494" s="1053"/>
      <c r="D494" s="1053"/>
      <c r="E494" s="1053"/>
      <c r="F494" s="1052" t="s">
        <v>7</v>
      </c>
      <c r="G494" s="1052" t="s">
        <v>1055</v>
      </c>
      <c r="H494" s="1053"/>
      <c r="I494" s="1054">
        <v>-277</v>
      </c>
      <c r="J494" s="1054">
        <v>-17</v>
      </c>
      <c r="K494" s="1054">
        <v>-294</v>
      </c>
      <c r="L494" s="653" t="str">
        <f t="shared" si="458"/>
        <v>4593@</v>
      </c>
      <c r="M494" s="654" t="str">
        <f t="shared" si="260"/>
        <v># DE VTE - S-TRAITANCE GAR.CARR.</v>
      </c>
      <c r="N494" s="655">
        <f>+IF(OR($Q494=Parametres!$G$2,$Q494=Parametres!$G$3),I494,C494)</f>
        <v>-277</v>
      </c>
      <c r="O494" s="655">
        <f>+IF(OR($Q494=Parametres!$G$2,$Q494=Parametres!$G$3),J494,D494)</f>
        <v>-17</v>
      </c>
      <c r="P494" s="655">
        <f>+IF(OR($Q494=Parametres!$G$2,$Q494=Parametres!$G$3),K494,E494)</f>
        <v>-294</v>
      </c>
      <c r="Q494" s="654" t="str">
        <f t="shared" ref="Q494:S494" si="502">+F494</f>
        <v>10-Compte compteur</v>
      </c>
      <c r="R494" s="653" t="str">
        <f t="shared" si="502"/>
        <v>4593</v>
      </c>
      <c r="S494" s="654">
        <f t="shared" si="502"/>
        <v>0</v>
      </c>
      <c r="T494" s="656" t="str">
        <f>+VLOOKUP($L494,Data_Validation!$A:$D,1,0)</f>
        <v>4593@</v>
      </c>
      <c r="U494" s="656" t="str">
        <f>+VLOOKUP($L494,Data_Validation!$A:$D,3,0)</f>
        <v>Carrosserie</v>
      </c>
      <c r="V494" s="656" t="str">
        <f>+VLOOKUP($L494,Data_Validation!$A:$D,4,0)</f>
        <v>M/O Sous-traitement</v>
      </c>
      <c r="W494" s="656" t="str">
        <f>+VLOOKUP($L494,Data_Validation!$A:$E,5,0)</f>
        <v>NB</v>
      </c>
      <c r="X494" s="656">
        <f>+VLOOKUP($L494,Data_Validation!$A:$F,6,0)</f>
        <v>0</v>
      </c>
    </row>
    <row r="495" spans="1:24" ht="15.75" customHeight="1">
      <c r="A495" s="1052" t="s">
        <v>1060</v>
      </c>
      <c r="B495" s="1052" t="s">
        <v>1061</v>
      </c>
      <c r="C495" s="1053"/>
      <c r="D495" s="1053"/>
      <c r="E495" s="1053"/>
      <c r="F495" s="1052" t="s">
        <v>7</v>
      </c>
      <c r="G495" s="1052" t="s">
        <v>1059</v>
      </c>
      <c r="H495" s="1053"/>
      <c r="I495" s="1054">
        <v>-147</v>
      </c>
      <c r="J495" s="1054">
        <v>-8</v>
      </c>
      <c r="K495" s="1054">
        <v>-155</v>
      </c>
      <c r="L495" s="653" t="str">
        <f t="shared" si="458"/>
        <v>4595@</v>
      </c>
      <c r="M495" s="654" t="str">
        <f t="shared" si="260"/>
        <v># DE VTE - S-TRAIT.INTERNE CARR.</v>
      </c>
      <c r="N495" s="655">
        <f>+IF(OR($Q495=Parametres!$G$2,$Q495=Parametres!$G$3),I495,C495)</f>
        <v>-147</v>
      </c>
      <c r="O495" s="655">
        <f>+IF(OR($Q495=Parametres!$G$2,$Q495=Parametres!$G$3),J495,D495)</f>
        <v>-8</v>
      </c>
      <c r="P495" s="655">
        <f>+IF(OR($Q495=Parametres!$G$2,$Q495=Parametres!$G$3),K495,E495)</f>
        <v>-155</v>
      </c>
      <c r="Q495" s="654" t="str">
        <f t="shared" ref="Q495:S495" si="503">+F495</f>
        <v>10-Compte compteur</v>
      </c>
      <c r="R495" s="653" t="str">
        <f t="shared" si="503"/>
        <v>4595</v>
      </c>
      <c r="S495" s="654">
        <f t="shared" si="503"/>
        <v>0</v>
      </c>
      <c r="T495" s="656" t="str">
        <f>+VLOOKUP($L495,Data_Validation!$A:$D,1,0)</f>
        <v>4595@</v>
      </c>
      <c r="U495" s="656" t="str">
        <f>+VLOOKUP($L495,Data_Validation!$A:$D,3,0)</f>
        <v>Carrosserie</v>
      </c>
      <c r="V495" s="656" t="str">
        <f>+VLOOKUP($L495,Data_Validation!$A:$D,4,0)</f>
        <v>M/O Sous-traitement</v>
      </c>
      <c r="W495" s="656" t="str">
        <f>+VLOOKUP($L495,Data_Validation!$A:$E,5,0)</f>
        <v>NB</v>
      </c>
      <c r="X495" s="656">
        <f>+VLOOKUP($L495,Data_Validation!$A:$F,6,0)</f>
        <v>0</v>
      </c>
    </row>
    <row r="496" spans="1:24" ht="15" customHeight="1">
      <c r="A496" s="1052" t="s">
        <v>3674</v>
      </c>
      <c r="B496" s="1052" t="s">
        <v>1065</v>
      </c>
      <c r="C496" s="1053"/>
      <c r="D496" s="1053"/>
      <c r="E496" s="1053"/>
      <c r="F496" s="1052" t="s">
        <v>7</v>
      </c>
      <c r="G496" s="1052" t="s">
        <v>1063</v>
      </c>
      <c r="H496" s="1053"/>
      <c r="I496" s="1054">
        <v>-5061</v>
      </c>
      <c r="J496" s="1054">
        <v>-333</v>
      </c>
      <c r="K496" s="1054">
        <v>-5394</v>
      </c>
      <c r="L496" s="653" t="str">
        <f t="shared" si="458"/>
        <v>4701@</v>
      </c>
      <c r="M496" s="654" t="str">
        <f t="shared" si="260"/>
        <v>VW P&amp;A - BR - CLIENT - MCI</v>
      </c>
      <c r="N496" s="655">
        <f>+IF(OR($Q496=Parametres!$G$2,$Q496=Parametres!$G$3),I496,C496)</f>
        <v>-5061</v>
      </c>
      <c r="O496" s="655">
        <f>+IF(OR($Q496=Parametres!$G$2,$Q496=Parametres!$G$3),J496,D496)</f>
        <v>-333</v>
      </c>
      <c r="P496" s="655">
        <f>+IF(OR($Q496=Parametres!$G$2,$Q496=Parametres!$G$3),K496,E496)</f>
        <v>-5394</v>
      </c>
      <c r="Q496" s="654" t="str">
        <f t="shared" ref="Q496:S496" si="504">+F496</f>
        <v>10-Compte compteur</v>
      </c>
      <c r="R496" s="653" t="str">
        <f t="shared" si="504"/>
        <v>4701</v>
      </c>
      <c r="S496" s="654">
        <f t="shared" si="504"/>
        <v>0</v>
      </c>
      <c r="T496" s="656" t="str">
        <f>+VLOOKUP($L496,Data_Validation!$A:$D,1,0)</f>
        <v>4701@</v>
      </c>
      <c r="U496" s="656" t="str">
        <f>+VLOOKUP($L496,Data_Validation!$A:$D,3,0)</f>
        <v>Pièces</v>
      </c>
      <c r="V496" s="656" t="str">
        <f>+VLOOKUP($L496,Data_Validation!$A:$D,4,0)</f>
        <v>Pièces Ro Clients</v>
      </c>
      <c r="W496" s="656" t="str">
        <f>+VLOOKUP($L496,Data_Validation!$A:$E,5,0)</f>
        <v>NB</v>
      </c>
      <c r="X496" s="656">
        <f>+VLOOKUP($L496,Data_Validation!$A:$F,6,0)</f>
        <v>0</v>
      </c>
    </row>
    <row r="497" spans="1:24" ht="15" customHeight="1">
      <c r="A497" s="1052" t="s">
        <v>3675</v>
      </c>
      <c r="B497" s="1052" t="s">
        <v>1071</v>
      </c>
      <c r="C497" s="1053"/>
      <c r="D497" s="1053"/>
      <c r="E497" s="1053"/>
      <c r="F497" s="1052" t="s">
        <v>7</v>
      </c>
      <c r="G497" s="1052" t="s">
        <v>1069</v>
      </c>
      <c r="H497" s="1053"/>
      <c r="I497" s="1054">
        <v>-1417</v>
      </c>
      <c r="J497" s="1054">
        <v>-99</v>
      </c>
      <c r="K497" s="1054">
        <v>-1516</v>
      </c>
      <c r="L497" s="653" t="str">
        <f t="shared" si="458"/>
        <v>4703@</v>
      </c>
      <c r="M497" s="654" t="str">
        <f t="shared" si="260"/>
        <v>VW P&amp;A - BR - GARANTIE - MCI</v>
      </c>
      <c r="N497" s="655">
        <f>+IF(OR($Q497=Parametres!$G$2,$Q497=Parametres!$G$3),I497,C497)</f>
        <v>-1417</v>
      </c>
      <c r="O497" s="655">
        <f>+IF(OR($Q497=Parametres!$G$2,$Q497=Parametres!$G$3),J497,D497)</f>
        <v>-99</v>
      </c>
      <c r="P497" s="655">
        <f>+IF(OR($Q497=Parametres!$G$2,$Q497=Parametres!$G$3),K497,E497)</f>
        <v>-1516</v>
      </c>
      <c r="Q497" s="654" t="str">
        <f t="shared" ref="Q497:S497" si="505">+F497</f>
        <v>10-Compte compteur</v>
      </c>
      <c r="R497" s="653" t="str">
        <f t="shared" si="505"/>
        <v>4703</v>
      </c>
      <c r="S497" s="654">
        <f t="shared" si="505"/>
        <v>0</v>
      </c>
      <c r="T497" s="656" t="str">
        <f>+VLOOKUP($L497,Data_Validation!$A:$D,1,0)</f>
        <v>4703@</v>
      </c>
      <c r="U497" s="656" t="str">
        <f>+VLOOKUP($L497,Data_Validation!$A:$D,3,0)</f>
        <v>Pièces</v>
      </c>
      <c r="V497" s="656" t="str">
        <f>+VLOOKUP($L497,Data_Validation!$A:$D,4,0)</f>
        <v>P/A Garantie</v>
      </c>
      <c r="W497" s="656" t="str">
        <f>+VLOOKUP($L497,Data_Validation!$A:$E,5,0)</f>
        <v>NB</v>
      </c>
      <c r="X497" s="656">
        <f>+VLOOKUP($L497,Data_Validation!$A:$F,6,0)</f>
        <v>0</v>
      </c>
    </row>
    <row r="498" spans="1:24" ht="15" customHeight="1">
      <c r="A498" s="1052" t="s">
        <v>3676</v>
      </c>
      <c r="B498" s="1052" t="s">
        <v>1075</v>
      </c>
      <c r="C498" s="1053"/>
      <c r="D498" s="1053"/>
      <c r="E498" s="1053"/>
      <c r="F498" s="1052" t="s">
        <v>7</v>
      </c>
      <c r="G498" s="1052" t="s">
        <v>1073</v>
      </c>
      <c r="H498" s="1053"/>
      <c r="I498" s="1054">
        <v>-2298</v>
      </c>
      <c r="J498" s="1054">
        <v>-218</v>
      </c>
      <c r="K498" s="1054">
        <v>-2516</v>
      </c>
      <c r="L498" s="653" t="str">
        <f t="shared" si="458"/>
        <v>4705@</v>
      </c>
      <c r="M498" s="654" t="str">
        <f t="shared" si="260"/>
        <v>VW P&amp;A - BR - INTERNE - MCI</v>
      </c>
      <c r="N498" s="655">
        <f>+IF(OR($Q498=Parametres!$G$2,$Q498=Parametres!$G$3),I498,C498)</f>
        <v>-2298</v>
      </c>
      <c r="O498" s="655">
        <f>+IF(OR($Q498=Parametres!$G$2,$Q498=Parametres!$G$3),J498,D498)</f>
        <v>-218</v>
      </c>
      <c r="P498" s="655">
        <f>+IF(OR($Q498=Parametres!$G$2,$Q498=Parametres!$G$3),K498,E498)</f>
        <v>-2516</v>
      </c>
      <c r="Q498" s="654" t="str">
        <f t="shared" ref="Q498:S498" si="506">+F498</f>
        <v>10-Compte compteur</v>
      </c>
      <c r="R498" s="653" t="str">
        <f t="shared" si="506"/>
        <v>4705</v>
      </c>
      <c r="S498" s="654">
        <f t="shared" si="506"/>
        <v>0</v>
      </c>
      <c r="T498" s="656" t="str">
        <f>+VLOOKUP($L498,Data_Validation!$A:$D,1,0)</f>
        <v>4705@</v>
      </c>
      <c r="U498" s="656" t="str">
        <f>+VLOOKUP($L498,Data_Validation!$A:$D,3,0)</f>
        <v>Pièces</v>
      </c>
      <c r="V498" s="656" t="str">
        <f>+VLOOKUP($L498,Data_Validation!$A:$D,4,0)</f>
        <v>Ventes Internes</v>
      </c>
      <c r="W498" s="656" t="str">
        <f>+VLOOKUP($L498,Data_Validation!$A:$E,5,0)</f>
        <v>NB</v>
      </c>
      <c r="X498" s="656">
        <f>+VLOOKUP($L498,Data_Validation!$A:$F,6,0)</f>
        <v>0</v>
      </c>
    </row>
    <row r="499" spans="1:24" ht="15" customHeight="1">
      <c r="A499" s="1052" t="s">
        <v>1079</v>
      </c>
      <c r="B499" s="1052" t="s">
        <v>1080</v>
      </c>
      <c r="C499" s="1053"/>
      <c r="D499" s="1053"/>
      <c r="E499" s="1053"/>
      <c r="F499" s="1052" t="s">
        <v>7</v>
      </c>
      <c r="G499" s="1052" t="s">
        <v>1078</v>
      </c>
      <c r="H499" s="1053"/>
      <c r="I499" s="1054">
        <v>-1724</v>
      </c>
      <c r="J499" s="1054">
        <v>-135</v>
      </c>
      <c r="K499" s="1054">
        <v>-1859</v>
      </c>
      <c r="L499" s="653" t="str">
        <f t="shared" si="458"/>
        <v>4711@</v>
      </c>
      <c r="M499" s="654" t="str">
        <f t="shared" si="260"/>
        <v># DE VTE - P&amp;A B.T. CLIENT AUDI</v>
      </c>
      <c r="N499" s="655">
        <f>+IF(OR($Q499=Parametres!$G$2,$Q499=Parametres!$G$3),I499,C499)</f>
        <v>-1724</v>
      </c>
      <c r="O499" s="655">
        <f>+IF(OR($Q499=Parametres!$G$2,$Q499=Parametres!$G$3),J499,D499)</f>
        <v>-135</v>
      </c>
      <c r="P499" s="655">
        <f>+IF(OR($Q499=Parametres!$G$2,$Q499=Parametres!$G$3),K499,E499)</f>
        <v>-1859</v>
      </c>
      <c r="Q499" s="654" t="str">
        <f t="shared" ref="Q499:S499" si="507">+F499</f>
        <v>10-Compte compteur</v>
      </c>
      <c r="R499" s="653" t="str">
        <f t="shared" si="507"/>
        <v>84711</v>
      </c>
      <c r="S499" s="654">
        <f t="shared" si="507"/>
        <v>0</v>
      </c>
      <c r="T499" s="656" t="str">
        <f>+VLOOKUP($L499,Data_Validation!$A:$D,1,0)</f>
        <v>4711@</v>
      </c>
      <c r="U499" s="656" t="str">
        <f>+VLOOKUP($L499,Data_Validation!$A:$D,3,0)</f>
        <v>Pièces</v>
      </c>
      <c r="V499" s="656" t="str">
        <f>+VLOOKUP($L499,Data_Validation!$A:$D,4,0)</f>
        <v>Pièces Ro Clients</v>
      </c>
      <c r="W499" s="656" t="str">
        <f>+VLOOKUP($L499,Data_Validation!$A:$E,5,0)</f>
        <v>NB</v>
      </c>
      <c r="X499" s="656">
        <f>+VLOOKUP($L499,Data_Validation!$A:$F,6,0)</f>
        <v>0</v>
      </c>
    </row>
    <row r="500" spans="1:24" ht="15.75" customHeight="1">
      <c r="A500" s="1052" t="s">
        <v>1082</v>
      </c>
      <c r="B500" s="1052" t="s">
        <v>1083</v>
      </c>
      <c r="C500" s="1053"/>
      <c r="D500" s="1053"/>
      <c r="E500" s="1053"/>
      <c r="F500" s="1052" t="s">
        <v>7</v>
      </c>
      <c r="G500" s="1052" t="s">
        <v>1084</v>
      </c>
      <c r="H500" s="1053"/>
      <c r="I500" s="1054">
        <v>-2</v>
      </c>
      <c r="J500" s="1054">
        <v>0</v>
      </c>
      <c r="K500" s="1054">
        <v>-2</v>
      </c>
      <c r="L500" s="653" t="str">
        <f t="shared" si="458"/>
        <v>4715@</v>
      </c>
      <c r="M500" s="654" t="str">
        <f t="shared" si="260"/>
        <v># DE VTE - P&amp;A B.T. INTERNE AUDI</v>
      </c>
      <c r="N500" s="655">
        <f>+IF(OR($Q500=Parametres!$G$2,$Q500=Parametres!$G$3),I500,C500)</f>
        <v>-2</v>
      </c>
      <c r="O500" s="655">
        <f>+IF(OR($Q500=Parametres!$G$2,$Q500=Parametres!$G$3),J500,D500)</f>
        <v>0</v>
      </c>
      <c r="P500" s="655">
        <f>+IF(OR($Q500=Parametres!$G$2,$Q500=Parametres!$G$3),K500,E500)</f>
        <v>-2</v>
      </c>
      <c r="Q500" s="654" t="str">
        <f t="shared" ref="Q500:S500" si="508">+F500</f>
        <v>10-Compte compteur</v>
      </c>
      <c r="R500" s="653" t="str">
        <f t="shared" si="508"/>
        <v>84715</v>
      </c>
      <c r="S500" s="654">
        <f t="shared" si="508"/>
        <v>0</v>
      </c>
      <c r="T500" s="656" t="str">
        <f>+VLOOKUP($L500,Data_Validation!$A:$D,1,0)</f>
        <v>4715@</v>
      </c>
      <c r="U500" s="656" t="str">
        <f>+VLOOKUP($L500,Data_Validation!$A:$D,3,0)</f>
        <v>Pièces</v>
      </c>
      <c r="V500" s="656" t="str">
        <f>+VLOOKUP($L500,Data_Validation!$A:$D,4,0)</f>
        <v>Ventes Internes</v>
      </c>
      <c r="W500" s="656" t="str">
        <f>+VLOOKUP($L500,Data_Validation!$A:$E,5,0)</f>
        <v>NB</v>
      </c>
      <c r="X500" s="656">
        <f>+VLOOKUP($L500,Data_Validation!$A:$F,6,0)</f>
        <v>0</v>
      </c>
    </row>
    <row r="501" spans="1:24" ht="15" customHeight="1">
      <c r="A501" s="1052" t="s">
        <v>1087</v>
      </c>
      <c r="B501" s="1052" t="s">
        <v>1088</v>
      </c>
      <c r="C501" s="1053"/>
      <c r="D501" s="1053"/>
      <c r="E501" s="1053"/>
      <c r="F501" s="1052" t="s">
        <v>7</v>
      </c>
      <c r="G501" s="1052" t="s">
        <v>1086</v>
      </c>
      <c r="H501" s="1053"/>
      <c r="I501" s="1054">
        <v>-100</v>
      </c>
      <c r="J501" s="1054">
        <v>-8</v>
      </c>
      <c r="K501" s="1054">
        <v>-108</v>
      </c>
      <c r="L501" s="653" t="str">
        <f t="shared" si="458"/>
        <v>4731@</v>
      </c>
      <c r="M501" s="654" t="str">
        <f t="shared" si="260"/>
        <v>PIECES-BON REPAR. PEINT/DEBOS</v>
      </c>
      <c r="N501" s="655">
        <f>+IF(OR($Q501=Parametres!$G$2,$Q501=Parametres!$G$3),I501,C501)</f>
        <v>-100</v>
      </c>
      <c r="O501" s="655">
        <f>+IF(OR($Q501=Parametres!$G$2,$Q501=Parametres!$G$3),J501,D501)</f>
        <v>-8</v>
      </c>
      <c r="P501" s="655">
        <f>+IF(OR($Q501=Parametres!$G$2,$Q501=Parametres!$G$3),K501,E501)</f>
        <v>-108</v>
      </c>
      <c r="Q501" s="654" t="str">
        <f t="shared" ref="Q501:S501" si="509">+F501</f>
        <v>10-Compte compteur</v>
      </c>
      <c r="R501" s="653" t="str">
        <f t="shared" si="509"/>
        <v>4731</v>
      </c>
      <c r="S501" s="654">
        <f t="shared" si="509"/>
        <v>0</v>
      </c>
      <c r="T501" s="656" t="str">
        <f>+VLOOKUP($L501,Data_Validation!$A:$D,1,0)</f>
        <v>4731@</v>
      </c>
      <c r="U501" s="656" t="str">
        <f>+VLOOKUP($L501,Data_Validation!$A:$D,3,0)</f>
        <v>Pièces</v>
      </c>
      <c r="V501" s="656" t="str">
        <f>+VLOOKUP($L501,Data_Validation!$A:$D,4,0)</f>
        <v>Pièces Ro Carrosserie</v>
      </c>
      <c r="W501" s="656" t="str">
        <f>+VLOOKUP($L501,Data_Validation!$A:$E,5,0)</f>
        <v>NB</v>
      </c>
      <c r="X501" s="656">
        <f>+VLOOKUP($L501,Data_Validation!$A:$F,6,0)</f>
        <v>0</v>
      </c>
    </row>
    <row r="502" spans="1:24" ht="15" customHeight="1">
      <c r="A502" s="1052" t="s">
        <v>1091</v>
      </c>
      <c r="B502" s="1052" t="s">
        <v>1092</v>
      </c>
      <c r="C502" s="1053"/>
      <c r="D502" s="1053"/>
      <c r="E502" s="1053"/>
      <c r="F502" s="1052" t="s">
        <v>7</v>
      </c>
      <c r="G502" s="1052" t="s">
        <v>1090</v>
      </c>
      <c r="H502" s="1053"/>
      <c r="I502" s="1054">
        <v>-227</v>
      </c>
      <c r="J502" s="1054">
        <v>-15</v>
      </c>
      <c r="K502" s="1054">
        <v>-242</v>
      </c>
      <c r="L502" s="653" t="str">
        <f t="shared" si="458"/>
        <v>4733@</v>
      </c>
      <c r="M502" s="654" t="str">
        <f t="shared" si="260"/>
        <v># DE VTE - P&amp;A B.T. GARANTIE CARR.</v>
      </c>
      <c r="N502" s="655">
        <f>+IF(OR($Q502=Parametres!$G$2,$Q502=Parametres!$G$3),I502,C502)</f>
        <v>-227</v>
      </c>
      <c r="O502" s="655">
        <f>+IF(OR($Q502=Parametres!$G$2,$Q502=Parametres!$G$3),J502,D502)</f>
        <v>-15</v>
      </c>
      <c r="P502" s="655">
        <f>+IF(OR($Q502=Parametres!$G$2,$Q502=Parametres!$G$3),K502,E502)</f>
        <v>-242</v>
      </c>
      <c r="Q502" s="654" t="str">
        <f t="shared" ref="Q502:S502" si="510">+F502</f>
        <v>10-Compte compteur</v>
      </c>
      <c r="R502" s="653" t="str">
        <f t="shared" si="510"/>
        <v>4733</v>
      </c>
      <c r="S502" s="654">
        <f t="shared" si="510"/>
        <v>0</v>
      </c>
      <c r="T502" s="656" t="str">
        <f>+VLOOKUP($L502,Data_Validation!$A:$D,1,0)</f>
        <v>4733@</v>
      </c>
      <c r="U502" s="656" t="str">
        <f>+VLOOKUP($L502,Data_Validation!$A:$D,3,0)</f>
        <v>Pièces</v>
      </c>
      <c r="V502" s="656" t="str">
        <f>+VLOOKUP($L502,Data_Validation!$A:$D,4,0)</f>
        <v>Pièces Ro Carrosserie</v>
      </c>
      <c r="W502" s="656" t="str">
        <f>+VLOOKUP($L502,Data_Validation!$A:$E,5,0)</f>
        <v>NB</v>
      </c>
      <c r="X502" s="656">
        <f>+VLOOKUP($L502,Data_Validation!$A:$F,6,0)</f>
        <v>0</v>
      </c>
    </row>
    <row r="503" spans="1:24" ht="15" customHeight="1">
      <c r="A503" s="1052" t="s">
        <v>1095</v>
      </c>
      <c r="B503" s="1052" t="s">
        <v>1096</v>
      </c>
      <c r="C503" s="1053"/>
      <c r="D503" s="1053"/>
      <c r="E503" s="1053"/>
      <c r="F503" s="1052" t="s">
        <v>7</v>
      </c>
      <c r="G503" s="1052" t="s">
        <v>1094</v>
      </c>
      <c r="H503" s="1053"/>
      <c r="I503" s="1054">
        <v>-53</v>
      </c>
      <c r="J503" s="1054">
        <v>-2</v>
      </c>
      <c r="K503" s="1054">
        <v>-55</v>
      </c>
      <c r="L503" s="653" t="str">
        <f t="shared" si="458"/>
        <v>4735@</v>
      </c>
      <c r="M503" s="654" t="str">
        <f t="shared" si="260"/>
        <v># DE VTE - P&amp;A B.T. INTERNE CARROS.</v>
      </c>
      <c r="N503" s="655">
        <f>+IF(OR($Q503=Parametres!$G$2,$Q503=Parametres!$G$3),I503,C503)</f>
        <v>-53</v>
      </c>
      <c r="O503" s="655">
        <f>+IF(OR($Q503=Parametres!$G$2,$Q503=Parametres!$G$3),J503,D503)</f>
        <v>-2</v>
      </c>
      <c r="P503" s="655">
        <f>+IF(OR($Q503=Parametres!$G$2,$Q503=Parametres!$G$3),K503,E503)</f>
        <v>-55</v>
      </c>
      <c r="Q503" s="654" t="str">
        <f t="shared" ref="Q503:S503" si="511">+F503</f>
        <v>10-Compte compteur</v>
      </c>
      <c r="R503" s="653" t="str">
        <f t="shared" si="511"/>
        <v>4735</v>
      </c>
      <c r="S503" s="654">
        <f t="shared" si="511"/>
        <v>0</v>
      </c>
      <c r="T503" s="656" t="str">
        <f>+VLOOKUP($L503,Data_Validation!$A:$D,1,0)</f>
        <v>4735@</v>
      </c>
      <c r="U503" s="656" t="str">
        <f>+VLOOKUP($L503,Data_Validation!$A:$D,3,0)</f>
        <v>Pièces</v>
      </c>
      <c r="V503" s="656" t="str">
        <f>+VLOOKUP($L503,Data_Validation!$A:$D,4,0)</f>
        <v>Pièces Ro Carrosserie</v>
      </c>
      <c r="W503" s="656" t="str">
        <f>+VLOOKUP($L503,Data_Validation!$A:$E,5,0)</f>
        <v>NB</v>
      </c>
      <c r="X503" s="656">
        <f>+VLOOKUP($L503,Data_Validation!$A:$F,6,0)</f>
        <v>0</v>
      </c>
    </row>
    <row r="504" spans="1:24" ht="15" customHeight="1">
      <c r="A504" s="1052" t="s">
        <v>1099</v>
      </c>
      <c r="B504" s="1052" t="s">
        <v>1100</v>
      </c>
      <c r="C504" s="1053"/>
      <c r="D504" s="1053"/>
      <c r="E504" s="1053"/>
      <c r="F504" s="1052" t="s">
        <v>7</v>
      </c>
      <c r="G504" s="1052" t="s">
        <v>1098</v>
      </c>
      <c r="H504" s="1053"/>
      <c r="I504" s="1054">
        <v>-1831</v>
      </c>
      <c r="J504" s="1054">
        <v>-153</v>
      </c>
      <c r="K504" s="1054">
        <v>-1984</v>
      </c>
      <c r="L504" s="653" t="str">
        <f t="shared" si="458"/>
        <v>4761@</v>
      </c>
      <c r="M504" s="654" t="str">
        <f t="shared" si="260"/>
        <v>PIECES-COMPTOIR-DETAIL</v>
      </c>
      <c r="N504" s="655">
        <f>+IF(OR($Q504=Parametres!$G$2,$Q504=Parametres!$G$3),I504,C504)</f>
        <v>-1831</v>
      </c>
      <c r="O504" s="655">
        <f>+IF(OR($Q504=Parametres!$G$2,$Q504=Parametres!$G$3),J504,D504)</f>
        <v>-153</v>
      </c>
      <c r="P504" s="655">
        <f>+IF(OR($Q504=Parametres!$G$2,$Q504=Parametres!$G$3),K504,E504)</f>
        <v>-1984</v>
      </c>
      <c r="Q504" s="654" t="str">
        <f t="shared" ref="Q504:S504" si="512">+F504</f>
        <v>10-Compte compteur</v>
      </c>
      <c r="R504" s="653" t="str">
        <f t="shared" si="512"/>
        <v>4761</v>
      </c>
      <c r="S504" s="654">
        <f t="shared" si="512"/>
        <v>0</v>
      </c>
      <c r="T504" s="656" t="str">
        <f>+VLOOKUP($L504,Data_Validation!$A:$D,1,0)</f>
        <v>4761@</v>
      </c>
      <c r="U504" s="656" t="str">
        <f>+VLOOKUP($L504,Data_Validation!$A:$D,3,0)</f>
        <v>Pièces</v>
      </c>
      <c r="V504" s="656" t="str">
        <f>+VLOOKUP($L504,Data_Validation!$A:$D,4,0)</f>
        <v>Ventes Détails</v>
      </c>
      <c r="W504" s="656" t="str">
        <f>+VLOOKUP($L504,Data_Validation!$A:$E,5,0)</f>
        <v>NB</v>
      </c>
      <c r="X504" s="656">
        <f>+VLOOKUP($L504,Data_Validation!$A:$F,6,0)</f>
        <v>0</v>
      </c>
    </row>
    <row r="505" spans="1:24" ht="15.75" customHeight="1">
      <c r="A505" s="1052" t="s">
        <v>1103</v>
      </c>
      <c r="B505" s="1052" t="s">
        <v>1104</v>
      </c>
      <c r="C505" s="1053"/>
      <c r="D505" s="1053"/>
      <c r="E505" s="1053"/>
      <c r="F505" s="1052" t="s">
        <v>7</v>
      </c>
      <c r="G505" s="1052" t="s">
        <v>1102</v>
      </c>
      <c r="H505" s="1053"/>
      <c r="I505" s="1054">
        <v>-3151</v>
      </c>
      <c r="J505" s="1054">
        <v>-267</v>
      </c>
      <c r="K505" s="1054">
        <v>-3418</v>
      </c>
      <c r="L505" s="653" t="str">
        <f t="shared" si="458"/>
        <v>4763@</v>
      </c>
      <c r="M505" s="654" t="str">
        <f t="shared" si="260"/>
        <v>PIECES-COMPTOIR-COMM. GROS</v>
      </c>
      <c r="N505" s="655">
        <f>+IF(OR($Q505=Parametres!$G$2,$Q505=Parametres!$G$3),I505,C505)</f>
        <v>-3151</v>
      </c>
      <c r="O505" s="655">
        <f>+IF(OR($Q505=Parametres!$G$2,$Q505=Parametres!$G$3),J505,D505)</f>
        <v>-267</v>
      </c>
      <c r="P505" s="655">
        <f>+IF(OR($Q505=Parametres!$G$2,$Q505=Parametres!$G$3),K505,E505)</f>
        <v>-3418</v>
      </c>
      <c r="Q505" s="654" t="str">
        <f t="shared" ref="Q505:S505" si="513">+F505</f>
        <v>10-Compte compteur</v>
      </c>
      <c r="R505" s="653" t="str">
        <f t="shared" si="513"/>
        <v>4763</v>
      </c>
      <c r="S505" s="654">
        <f t="shared" si="513"/>
        <v>0</v>
      </c>
      <c r="T505" s="656" t="str">
        <f>+VLOOKUP($L505,Data_Validation!$A:$D,1,0)</f>
        <v>4763@</v>
      </c>
      <c r="U505" s="656" t="str">
        <f>+VLOOKUP($L505,Data_Validation!$A:$D,3,0)</f>
        <v>Pièces</v>
      </c>
      <c r="V505" s="656" t="str">
        <f>+VLOOKUP($L505,Data_Validation!$A:$D,4,0)</f>
        <v>Ventes de Gros</v>
      </c>
      <c r="W505" s="656" t="str">
        <f>+VLOOKUP($L505,Data_Validation!$A:$E,5,0)</f>
        <v>NB</v>
      </c>
      <c r="X505" s="656">
        <f>+VLOOKUP($L505,Data_Validation!$A:$F,6,0)</f>
        <v>0</v>
      </c>
    </row>
    <row r="506" spans="1:24" ht="15" customHeight="1">
      <c r="A506" s="1052" t="s">
        <v>1105</v>
      </c>
      <c r="B506" s="1052" t="s">
        <v>1107</v>
      </c>
      <c r="C506" s="1053"/>
      <c r="D506" s="1053"/>
      <c r="E506" s="1053"/>
      <c r="F506" s="1052" t="s">
        <v>7</v>
      </c>
      <c r="G506" s="1052" t="s">
        <v>1106</v>
      </c>
      <c r="H506" s="1053"/>
      <c r="I506" s="1054">
        <v>-521</v>
      </c>
      <c r="J506" s="1054">
        <v>-46</v>
      </c>
      <c r="K506" s="1054">
        <v>-567</v>
      </c>
      <c r="L506" s="653" t="str">
        <f t="shared" si="458"/>
        <v>4781@</v>
      </c>
      <c r="M506" s="654" t="str">
        <f t="shared" si="260"/>
        <v>VENTES PNEUS</v>
      </c>
      <c r="N506" s="655">
        <f>+IF(OR($Q506=Parametres!$G$2,$Q506=Parametres!$G$3),I506,C506)</f>
        <v>-521</v>
      </c>
      <c r="O506" s="655">
        <f>+IF(OR($Q506=Parametres!$G$2,$Q506=Parametres!$G$3),J506,D506)</f>
        <v>-46</v>
      </c>
      <c r="P506" s="655">
        <f>+IF(OR($Q506=Parametres!$G$2,$Q506=Parametres!$G$3),K506,E506)</f>
        <v>-567</v>
      </c>
      <c r="Q506" s="654" t="str">
        <f t="shared" ref="Q506:S506" si="514">+F506</f>
        <v>10-Compte compteur</v>
      </c>
      <c r="R506" s="653" t="str">
        <f t="shared" si="514"/>
        <v>4781</v>
      </c>
      <c r="S506" s="654">
        <f t="shared" si="514"/>
        <v>0</v>
      </c>
      <c r="T506" s="656" t="str">
        <f>+VLOOKUP($L506,Data_Validation!$A:$D,1,0)</f>
        <v>4781@</v>
      </c>
      <c r="U506" s="656" t="str">
        <f>+VLOOKUP($L506,Data_Validation!$A:$D,3,0)</f>
        <v>Pièces</v>
      </c>
      <c r="V506" s="656" t="str">
        <f>+VLOOKUP($L506,Data_Validation!$A:$D,4,0)</f>
        <v>Ventes Pneus</v>
      </c>
      <c r="W506" s="656" t="str">
        <f>+VLOOKUP($L506,Data_Validation!$A:$E,5,0)</f>
        <v>NB</v>
      </c>
      <c r="X506" s="656">
        <f>+VLOOKUP($L506,Data_Validation!$A:$F,6,0)</f>
        <v>0</v>
      </c>
    </row>
    <row r="507" spans="1:24" ht="15" customHeight="1">
      <c r="A507" s="1052" t="s">
        <v>1292</v>
      </c>
      <c r="B507" s="1052" t="s">
        <v>1293</v>
      </c>
      <c r="C507" s="1053"/>
      <c r="D507" s="1053"/>
      <c r="E507" s="1053"/>
      <c r="F507" s="1052" t="s">
        <v>7</v>
      </c>
      <c r="G507" s="1052" t="s">
        <v>1291</v>
      </c>
      <c r="H507" s="1053"/>
      <c r="I507" s="1054">
        <v>-50</v>
      </c>
      <c r="J507" s="1054">
        <v>0</v>
      </c>
      <c r="K507" s="1054">
        <v>-50</v>
      </c>
      <c r="L507" s="653" t="str">
        <f t="shared" si="458"/>
        <v>9161@</v>
      </c>
      <c r="M507" s="654" t="str">
        <f t="shared" si="260"/>
        <v>REV FINANCE ET ASS NEUF</v>
      </c>
      <c r="N507" s="655">
        <f>+IF(OR($Q507=Parametres!$G$2,$Q507=Parametres!$G$3),I507,C507)</f>
        <v>-50</v>
      </c>
      <c r="O507" s="655">
        <f>+IF(OR($Q507=Parametres!$G$2,$Q507=Parametres!$G$3),J507,D507)</f>
        <v>0</v>
      </c>
      <c r="P507" s="655">
        <f>+IF(OR($Q507=Parametres!$G$2,$Q507=Parametres!$G$3),K507,E507)</f>
        <v>-50</v>
      </c>
      <c r="Q507" s="654" t="str">
        <f t="shared" ref="Q507:S507" si="515">+F507</f>
        <v>10-Compte compteur</v>
      </c>
      <c r="R507" s="653" t="str">
        <f t="shared" si="515"/>
        <v>9161</v>
      </c>
      <c r="S507" s="654">
        <f t="shared" si="515"/>
        <v>0</v>
      </c>
      <c r="T507" s="656" t="str">
        <f>+VLOOKUP($L507,Data_Validation!$A:$D,1,0)</f>
        <v>9161@</v>
      </c>
      <c r="U507" s="656" t="str">
        <f>+VLOOKUP($L507,Data_Validation!$A:$D,3,0)</f>
        <v>Véhicules neufs</v>
      </c>
      <c r="V507" s="656">
        <f>+VLOOKUP($L507,Data_Validation!$A:$D,4,0)</f>
        <v>0</v>
      </c>
      <c r="W507" s="656" t="str">
        <f>+VLOOKUP($L507,Data_Validation!$A:$E,5,0)</f>
        <v>NB</v>
      </c>
      <c r="X507" s="656">
        <f>+VLOOKUP($L507,Data_Validation!$A:$F,6,0)</f>
        <v>0</v>
      </c>
    </row>
    <row r="508" spans="1:24" ht="15" customHeight="1">
      <c r="A508" s="1052" t="s">
        <v>1294</v>
      </c>
      <c r="B508" s="1052" t="s">
        <v>1296</v>
      </c>
      <c r="C508" s="1053"/>
      <c r="D508" s="1053"/>
      <c r="E508" s="1053"/>
      <c r="F508" s="1052" t="s">
        <v>7</v>
      </c>
      <c r="G508" s="1052" t="s">
        <v>1295</v>
      </c>
      <c r="H508" s="1053"/>
      <c r="I508" s="1054">
        <v>-233</v>
      </c>
      <c r="J508" s="1054">
        <v>-11</v>
      </c>
      <c r="K508" s="1054">
        <v>-244</v>
      </c>
      <c r="L508" s="653" t="str">
        <f t="shared" si="458"/>
        <v>9163@</v>
      </c>
      <c r="M508" s="654" t="str">
        <f t="shared" si="260"/>
        <v>RESERVE FIN ET ASS VEH OCCASION</v>
      </c>
      <c r="N508" s="655">
        <f>+IF(OR($Q508=Parametres!$G$2,$Q508=Parametres!$G$3),I508,C508)</f>
        <v>-233</v>
      </c>
      <c r="O508" s="655">
        <f>+IF(OR($Q508=Parametres!$G$2,$Q508=Parametres!$G$3),J508,D508)</f>
        <v>-11</v>
      </c>
      <c r="P508" s="655">
        <f>+IF(OR($Q508=Parametres!$G$2,$Q508=Parametres!$G$3),K508,E508)</f>
        <v>-244</v>
      </c>
      <c r="Q508" s="654" t="str">
        <f t="shared" ref="Q508:S508" si="516">+F508</f>
        <v>10-Compte compteur</v>
      </c>
      <c r="R508" s="653" t="str">
        <f t="shared" si="516"/>
        <v>9163</v>
      </c>
      <c r="S508" s="654">
        <f t="shared" si="516"/>
        <v>0</v>
      </c>
      <c r="T508" s="656" t="str">
        <f>+VLOOKUP($L508,Data_Validation!$A:$D,1,0)</f>
        <v>9163@</v>
      </c>
      <c r="U508" s="656" t="str">
        <f>+VLOOKUP($L508,Data_Validation!$A:$D,3,0)</f>
        <v>Véhicules usagés</v>
      </c>
      <c r="V508" s="656">
        <f>+VLOOKUP($L508,Data_Validation!$A:$D,4,0)</f>
        <v>0</v>
      </c>
      <c r="W508" s="656" t="str">
        <f>+VLOOKUP($L508,Data_Validation!$A:$E,5,0)</f>
        <v>NB</v>
      </c>
      <c r="X508" s="656">
        <f>+VLOOKUP($L508,Data_Validation!$A:$F,6,0)</f>
        <v>0</v>
      </c>
    </row>
    <row r="509" spans="1:24" ht="15.75" customHeight="1">
      <c r="A509" s="1052" t="s">
        <v>1307</v>
      </c>
      <c r="B509" s="1052" t="s">
        <v>1308</v>
      </c>
      <c r="C509" s="1053"/>
      <c r="D509" s="1053"/>
      <c r="E509" s="1053"/>
      <c r="F509" s="1052" t="s">
        <v>7</v>
      </c>
      <c r="G509" s="1052" t="s">
        <v>1295</v>
      </c>
      <c r="H509" s="1053"/>
      <c r="I509" s="1054">
        <v>-335</v>
      </c>
      <c r="J509" s="1054">
        <v>-25</v>
      </c>
      <c r="K509" s="1054">
        <v>-360</v>
      </c>
      <c r="L509" s="653" t="str">
        <f t="shared" si="458"/>
        <v>9172@</v>
      </c>
      <c r="M509" s="654" t="str">
        <f t="shared" si="260"/>
        <v># DE PROFIT PROTECTIONS - USAGES</v>
      </c>
      <c r="N509" s="655">
        <f>+IF(OR($Q509=Parametres!$G$2,$Q509=Parametres!$G$3),I509,C509)</f>
        <v>-335</v>
      </c>
      <c r="O509" s="655">
        <f>+IF(OR($Q509=Parametres!$G$2,$Q509=Parametres!$G$3),J509,D509)</f>
        <v>-25</v>
      </c>
      <c r="P509" s="655">
        <f>+IF(OR($Q509=Parametres!$G$2,$Q509=Parametres!$G$3),K509,E509)</f>
        <v>-360</v>
      </c>
      <c r="Q509" s="654" t="str">
        <f t="shared" ref="Q509:S509" si="517">+F509</f>
        <v>10-Compte compteur</v>
      </c>
      <c r="R509" s="653" t="str">
        <f t="shared" si="517"/>
        <v>9163</v>
      </c>
      <c r="S509" s="654">
        <f t="shared" si="517"/>
        <v>0</v>
      </c>
      <c r="T509" s="656" t="str">
        <f>+VLOOKUP($L509,Data_Validation!$A:$D,1,0)</f>
        <v>9172@</v>
      </c>
      <c r="U509" s="656" t="str">
        <f>+VLOOKUP($L509,Data_Validation!$A:$D,3,0)</f>
        <v>Véhicules usagés</v>
      </c>
      <c r="V509" s="656">
        <f>+VLOOKUP($L509,Data_Validation!$A:$D,4,0)</f>
        <v>0</v>
      </c>
      <c r="W509" s="656" t="str">
        <f>+VLOOKUP($L509,Data_Validation!$A:$E,5,0)</f>
        <v>NB</v>
      </c>
      <c r="X509" s="656">
        <f>+VLOOKUP($L509,Data_Validation!$A:$F,6,0)</f>
        <v>0</v>
      </c>
    </row>
    <row r="510" spans="1:24" ht="15" customHeight="1">
      <c r="A510" s="714"/>
      <c r="B510" s="714"/>
      <c r="C510" s="715"/>
      <c r="D510" s="715"/>
      <c r="E510" s="715"/>
      <c r="F510" s="714"/>
      <c r="G510" s="714"/>
      <c r="H510" s="714"/>
      <c r="I510" s="716"/>
      <c r="J510" s="716"/>
      <c r="K510" s="716"/>
      <c r="L510" s="653" t="str">
        <f t="shared" si="458"/>
        <v>0</v>
      </c>
      <c r="M510" s="654">
        <f t="shared" si="260"/>
        <v>0</v>
      </c>
      <c r="N510" s="655">
        <f>+IF(OR($Q510=Parametres!$G$2,$Q510=Parametres!$G$3),I510,C510)</f>
        <v>0</v>
      </c>
      <c r="O510" s="655">
        <f>+IF(OR($Q510=Parametres!$G$2,$Q510=Parametres!$G$3),J510,D510)</f>
        <v>0</v>
      </c>
      <c r="P510" s="655">
        <f>+IF(OR($Q510=Parametres!$G$2,$Q510=Parametres!$G$3),K510,E510)</f>
        <v>0</v>
      </c>
      <c r="Q510" s="654">
        <f t="shared" ref="Q510:S510" si="518">+F510</f>
        <v>0</v>
      </c>
      <c r="R510" s="653">
        <f t="shared" si="518"/>
        <v>0</v>
      </c>
      <c r="S510" s="654">
        <f t="shared" si="518"/>
        <v>0</v>
      </c>
      <c r="T510" s="656" t="e">
        <f>+VLOOKUP($L510,Data_Validation!$A:$D,1,0)</f>
        <v>#N/A</v>
      </c>
      <c r="U510" s="656" t="e">
        <f>+VLOOKUP($L510,Data_Validation!$A:$D,3,0)</f>
        <v>#N/A</v>
      </c>
      <c r="V510" s="656" t="e">
        <f>+VLOOKUP($L510,Data_Validation!$A:$D,4,0)</f>
        <v>#N/A</v>
      </c>
      <c r="W510" s="656" t="e">
        <f>+VLOOKUP($L510,Data_Validation!$A:$E,5,0)</f>
        <v>#N/A</v>
      </c>
      <c r="X510" s="656" t="e">
        <f>+VLOOKUP($L510,Data_Validation!$A:$F,6,0)</f>
        <v>#N/A</v>
      </c>
    </row>
    <row r="511" spans="1:24" ht="15" customHeight="1">
      <c r="A511" s="714"/>
      <c r="B511" s="714"/>
      <c r="C511" s="715"/>
      <c r="D511" s="715"/>
      <c r="E511" s="715"/>
      <c r="F511" s="714"/>
      <c r="G511" s="714"/>
      <c r="H511" s="714"/>
      <c r="I511" s="716"/>
      <c r="J511" s="716"/>
      <c r="K511" s="716"/>
      <c r="L511" s="653" t="str">
        <f t="shared" si="458"/>
        <v>0</v>
      </c>
      <c r="M511" s="654">
        <f t="shared" si="260"/>
        <v>0</v>
      </c>
      <c r="N511" s="655">
        <f>+IF(OR($Q511=Parametres!$G$2,$Q511=Parametres!$G$3),I511,C511)</f>
        <v>0</v>
      </c>
      <c r="O511" s="655">
        <f>+IF(OR($Q511=Parametres!$G$2,$Q511=Parametres!$G$3),J511,D511)</f>
        <v>0</v>
      </c>
      <c r="P511" s="655">
        <f>+IF(OR($Q511=Parametres!$G$2,$Q511=Parametres!$G$3),K511,E511)</f>
        <v>0</v>
      </c>
      <c r="Q511" s="654">
        <f t="shared" ref="Q511:S511" si="519">+F511</f>
        <v>0</v>
      </c>
      <c r="R511" s="653">
        <f t="shared" si="519"/>
        <v>0</v>
      </c>
      <c r="S511" s="654">
        <f t="shared" si="519"/>
        <v>0</v>
      </c>
      <c r="T511" s="656" t="e">
        <f>+VLOOKUP($L511,Data_Validation!$A:$D,1,0)</f>
        <v>#N/A</v>
      </c>
      <c r="U511" s="656" t="e">
        <f>+VLOOKUP($L511,Data_Validation!$A:$D,3,0)</f>
        <v>#N/A</v>
      </c>
      <c r="V511" s="656" t="e">
        <f>+VLOOKUP($L511,Data_Validation!$A:$D,4,0)</f>
        <v>#N/A</v>
      </c>
      <c r="W511" s="656" t="e">
        <f>+VLOOKUP($L511,Data_Validation!$A:$E,5,0)</f>
        <v>#N/A</v>
      </c>
      <c r="X511" s="656" t="e">
        <f>+VLOOKUP($L511,Data_Validation!$A:$F,6,0)</f>
        <v>#N/A</v>
      </c>
    </row>
    <row r="512" spans="1:24" ht="15" customHeight="1">
      <c r="A512" s="714"/>
      <c r="B512" s="714"/>
      <c r="C512" s="715"/>
      <c r="D512" s="715"/>
      <c r="E512" s="715"/>
      <c r="F512" s="714"/>
      <c r="G512" s="714"/>
      <c r="H512" s="714"/>
      <c r="I512" s="716"/>
      <c r="J512" s="716"/>
      <c r="K512" s="716"/>
      <c r="L512" s="653" t="str">
        <f t="shared" si="458"/>
        <v>0</v>
      </c>
      <c r="M512" s="654">
        <f t="shared" ref="M512:M766" si="520">+A512</f>
        <v>0</v>
      </c>
      <c r="N512" s="655">
        <f>+IF(OR($Q512=Parametres!$G$2,$Q512=Parametres!$G$3),I512,C512)</f>
        <v>0</v>
      </c>
      <c r="O512" s="655">
        <f>+IF(OR($Q512=Parametres!$G$2,$Q512=Parametres!$G$3),J512,D512)</f>
        <v>0</v>
      </c>
      <c r="P512" s="655">
        <f>+IF(OR($Q512=Parametres!$G$2,$Q512=Parametres!$G$3),K512,E512)</f>
        <v>0</v>
      </c>
      <c r="Q512" s="654">
        <f t="shared" ref="Q512:S512" si="521">+F512</f>
        <v>0</v>
      </c>
      <c r="R512" s="653">
        <f t="shared" si="521"/>
        <v>0</v>
      </c>
      <c r="S512" s="654">
        <f t="shared" si="521"/>
        <v>0</v>
      </c>
      <c r="T512" s="656" t="e">
        <f>+VLOOKUP($L512,Data_Validation!$A:$D,1,0)</f>
        <v>#N/A</v>
      </c>
      <c r="U512" s="656" t="e">
        <f>+VLOOKUP($L512,Data_Validation!$A:$D,3,0)</f>
        <v>#N/A</v>
      </c>
      <c r="V512" s="656" t="e">
        <f>+VLOOKUP($L512,Data_Validation!$A:$D,4,0)</f>
        <v>#N/A</v>
      </c>
      <c r="W512" s="656" t="e">
        <f>+VLOOKUP($L512,Data_Validation!$A:$E,5,0)</f>
        <v>#N/A</v>
      </c>
      <c r="X512" s="656" t="e">
        <f>+VLOOKUP($L512,Data_Validation!$A:$F,6,0)</f>
        <v>#N/A</v>
      </c>
    </row>
    <row r="513" spans="1:24" ht="15.75" customHeight="1">
      <c r="A513" s="714"/>
      <c r="B513" s="714"/>
      <c r="C513" s="715"/>
      <c r="D513" s="715"/>
      <c r="E513" s="715"/>
      <c r="F513" s="714"/>
      <c r="G513" s="714"/>
      <c r="H513" s="714"/>
      <c r="I513" s="716"/>
      <c r="J513" s="716"/>
      <c r="K513" s="716"/>
      <c r="L513" s="653" t="str">
        <f t="shared" si="458"/>
        <v>0</v>
      </c>
      <c r="M513" s="654">
        <f t="shared" si="520"/>
        <v>0</v>
      </c>
      <c r="N513" s="655">
        <f>+IF(OR($Q513=Parametres!$G$2,$Q513=Parametres!$G$3),I513,C513)</f>
        <v>0</v>
      </c>
      <c r="O513" s="655">
        <f>+IF(OR($Q513=Parametres!$G$2,$Q513=Parametres!$G$3),J513,D513)</f>
        <v>0</v>
      </c>
      <c r="P513" s="655">
        <f>+IF(OR($Q513=Parametres!$G$2,$Q513=Parametres!$G$3),K513,E513)</f>
        <v>0</v>
      </c>
      <c r="Q513" s="654">
        <f t="shared" ref="Q513:S513" si="522">+F513</f>
        <v>0</v>
      </c>
      <c r="R513" s="653">
        <f t="shared" si="522"/>
        <v>0</v>
      </c>
      <c r="S513" s="654">
        <f t="shared" si="522"/>
        <v>0</v>
      </c>
      <c r="T513" s="656" t="e">
        <f>+VLOOKUP($L513,Data_Validation!$A:$D,1,0)</f>
        <v>#N/A</v>
      </c>
      <c r="U513" s="656" t="e">
        <f>+VLOOKUP($L513,Data_Validation!$A:$D,3,0)</f>
        <v>#N/A</v>
      </c>
      <c r="V513" s="656" t="e">
        <f>+VLOOKUP($L513,Data_Validation!$A:$D,4,0)</f>
        <v>#N/A</v>
      </c>
      <c r="W513" s="656" t="e">
        <f>+VLOOKUP($L513,Data_Validation!$A:$E,5,0)</f>
        <v>#N/A</v>
      </c>
      <c r="X513" s="656" t="e">
        <f>+VLOOKUP($L513,Data_Validation!$A:$F,6,0)</f>
        <v>#N/A</v>
      </c>
    </row>
    <row r="514" spans="1:24" ht="15" customHeight="1">
      <c r="A514" s="714"/>
      <c r="B514" s="714"/>
      <c r="C514" s="715"/>
      <c r="D514" s="715"/>
      <c r="E514" s="715"/>
      <c r="F514" s="714"/>
      <c r="G514" s="714"/>
      <c r="H514" s="714"/>
      <c r="I514" s="716"/>
      <c r="J514" s="716"/>
      <c r="K514" s="716"/>
      <c r="L514" s="653" t="str">
        <f t="shared" si="458"/>
        <v>0</v>
      </c>
      <c r="M514" s="654">
        <f t="shared" si="520"/>
        <v>0</v>
      </c>
      <c r="N514" s="655">
        <f>+IF(OR($Q514=Parametres!$G$2,$Q514=Parametres!$G$3),I514,C514)</f>
        <v>0</v>
      </c>
      <c r="O514" s="655">
        <f>+IF(OR($Q514=Parametres!$G$2,$Q514=Parametres!$G$3),J514,D514)</f>
        <v>0</v>
      </c>
      <c r="P514" s="655">
        <f>+IF(OR($Q514=Parametres!$G$2,$Q514=Parametres!$G$3),K514,E514)</f>
        <v>0</v>
      </c>
      <c r="Q514" s="654">
        <f t="shared" ref="Q514:S514" si="523">+F514</f>
        <v>0</v>
      </c>
      <c r="R514" s="653">
        <f t="shared" si="523"/>
        <v>0</v>
      </c>
      <c r="S514" s="654">
        <f t="shared" si="523"/>
        <v>0</v>
      </c>
      <c r="T514" s="656" t="e">
        <f>+VLOOKUP($L514,Data_Validation!$A:$D,1,0)</f>
        <v>#N/A</v>
      </c>
      <c r="U514" s="656" t="e">
        <f>+VLOOKUP($L514,Data_Validation!$A:$D,3,0)</f>
        <v>#N/A</v>
      </c>
      <c r="V514" s="656" t="e">
        <f>+VLOOKUP($L514,Data_Validation!$A:$D,4,0)</f>
        <v>#N/A</v>
      </c>
      <c r="W514" s="656" t="e">
        <f>+VLOOKUP($L514,Data_Validation!$A:$E,5,0)</f>
        <v>#N/A</v>
      </c>
      <c r="X514" s="656" t="e">
        <f>+VLOOKUP($L514,Data_Validation!$A:$F,6,0)</f>
        <v>#N/A</v>
      </c>
    </row>
    <row r="515" spans="1:24" ht="15" customHeight="1">
      <c r="A515" s="714"/>
      <c r="B515" s="714"/>
      <c r="C515" s="715"/>
      <c r="D515" s="715"/>
      <c r="E515" s="715"/>
      <c r="F515" s="714"/>
      <c r="G515" s="714"/>
      <c r="H515" s="714"/>
      <c r="I515" s="716"/>
      <c r="J515" s="716"/>
      <c r="K515" s="716"/>
      <c r="L515" s="653" t="str">
        <f t="shared" ref="L515:L578" si="524">TEXT(B515,0)</f>
        <v>0</v>
      </c>
      <c r="M515" s="654">
        <f t="shared" si="520"/>
        <v>0</v>
      </c>
      <c r="N515" s="655">
        <f>+IF(OR($Q515=Parametres!$G$2,$Q515=Parametres!$G$3),I515,C515)</f>
        <v>0</v>
      </c>
      <c r="O515" s="655">
        <f>+IF(OR($Q515=Parametres!$G$2,$Q515=Parametres!$G$3),J515,D515)</f>
        <v>0</v>
      </c>
      <c r="P515" s="655">
        <f>+IF(OR($Q515=Parametres!$G$2,$Q515=Parametres!$G$3),K515,E515)</f>
        <v>0</v>
      </c>
      <c r="Q515" s="654">
        <f t="shared" ref="Q515:S515" si="525">+F515</f>
        <v>0</v>
      </c>
      <c r="R515" s="653">
        <f t="shared" si="525"/>
        <v>0</v>
      </c>
      <c r="S515" s="654">
        <f t="shared" si="525"/>
        <v>0</v>
      </c>
      <c r="T515" s="656" t="e">
        <f>+VLOOKUP($L515,Data_Validation!$A:$D,1,0)</f>
        <v>#N/A</v>
      </c>
      <c r="U515" s="656" t="e">
        <f>+VLOOKUP($L515,Data_Validation!$A:$D,3,0)</f>
        <v>#N/A</v>
      </c>
      <c r="V515" s="656" t="e">
        <f>+VLOOKUP($L515,Data_Validation!$A:$D,4,0)</f>
        <v>#N/A</v>
      </c>
      <c r="W515" s="656" t="e">
        <f>+VLOOKUP($L515,Data_Validation!$A:$E,5,0)</f>
        <v>#N/A</v>
      </c>
      <c r="X515" s="656" t="e">
        <f>+VLOOKUP($L515,Data_Validation!$A:$F,6,0)</f>
        <v>#N/A</v>
      </c>
    </row>
    <row r="516" spans="1:24" ht="15" customHeight="1">
      <c r="A516" s="714"/>
      <c r="B516" s="714"/>
      <c r="C516" s="715"/>
      <c r="D516" s="715"/>
      <c r="E516" s="715"/>
      <c r="F516" s="714"/>
      <c r="G516" s="714"/>
      <c r="H516" s="714"/>
      <c r="I516" s="716"/>
      <c r="J516" s="716"/>
      <c r="K516" s="716"/>
      <c r="L516" s="653" t="str">
        <f t="shared" si="524"/>
        <v>0</v>
      </c>
      <c r="M516" s="654">
        <f t="shared" si="520"/>
        <v>0</v>
      </c>
      <c r="N516" s="655">
        <f>+IF(OR($Q516=Parametres!$G$2,$Q516=Parametres!$G$3),I516,C516)</f>
        <v>0</v>
      </c>
      <c r="O516" s="655">
        <f>+IF(OR($Q516=Parametres!$G$2,$Q516=Parametres!$G$3),J516,D516)</f>
        <v>0</v>
      </c>
      <c r="P516" s="655">
        <f>+IF(OR($Q516=Parametres!$G$2,$Q516=Parametres!$G$3),K516,E516)</f>
        <v>0</v>
      </c>
      <c r="Q516" s="654">
        <f t="shared" ref="Q516:S516" si="526">+F516</f>
        <v>0</v>
      </c>
      <c r="R516" s="653">
        <f t="shared" si="526"/>
        <v>0</v>
      </c>
      <c r="S516" s="654">
        <f t="shared" si="526"/>
        <v>0</v>
      </c>
      <c r="T516" s="656" t="e">
        <f>+VLOOKUP($L516,Data_Validation!$A:$D,1,0)</f>
        <v>#N/A</v>
      </c>
      <c r="U516" s="656" t="e">
        <f>+VLOOKUP($L516,Data_Validation!$A:$D,3,0)</f>
        <v>#N/A</v>
      </c>
      <c r="V516" s="656" t="e">
        <f>+VLOOKUP($L516,Data_Validation!$A:$D,4,0)</f>
        <v>#N/A</v>
      </c>
      <c r="W516" s="656" t="e">
        <f>+VLOOKUP($L516,Data_Validation!$A:$E,5,0)</f>
        <v>#N/A</v>
      </c>
      <c r="X516" s="656" t="e">
        <f>+VLOOKUP($L516,Data_Validation!$A:$F,6,0)</f>
        <v>#N/A</v>
      </c>
    </row>
    <row r="517" spans="1:24" ht="15.75" customHeight="1">
      <c r="A517" s="714"/>
      <c r="B517" s="714"/>
      <c r="C517" s="715"/>
      <c r="D517" s="715"/>
      <c r="E517" s="715"/>
      <c r="F517" s="714"/>
      <c r="G517" s="714"/>
      <c r="H517" s="714"/>
      <c r="I517" s="716"/>
      <c r="J517" s="716"/>
      <c r="K517" s="716"/>
      <c r="L517" s="653" t="str">
        <f t="shared" si="524"/>
        <v>0</v>
      </c>
      <c r="M517" s="654">
        <f t="shared" si="520"/>
        <v>0</v>
      </c>
      <c r="N517" s="655">
        <f>+IF(OR($Q517=Parametres!$G$2,$Q517=Parametres!$G$3),I517,C517)</f>
        <v>0</v>
      </c>
      <c r="O517" s="655">
        <f>+IF(OR($Q517=Parametres!$G$2,$Q517=Parametres!$G$3),J517,D517)</f>
        <v>0</v>
      </c>
      <c r="P517" s="655">
        <f>+IF(OR($Q517=Parametres!$G$2,$Q517=Parametres!$G$3),K517,E517)</f>
        <v>0</v>
      </c>
      <c r="Q517" s="654">
        <f t="shared" ref="Q517:S517" si="527">+F517</f>
        <v>0</v>
      </c>
      <c r="R517" s="653">
        <f t="shared" si="527"/>
        <v>0</v>
      </c>
      <c r="S517" s="654">
        <f t="shared" si="527"/>
        <v>0</v>
      </c>
      <c r="T517" s="656" t="e">
        <f>+VLOOKUP($L517,Data_Validation!$A:$D,1,0)</f>
        <v>#N/A</v>
      </c>
      <c r="U517" s="656" t="e">
        <f>+VLOOKUP($L517,Data_Validation!$A:$D,3,0)</f>
        <v>#N/A</v>
      </c>
      <c r="V517" s="656" t="e">
        <f>+VLOOKUP($L517,Data_Validation!$A:$D,4,0)</f>
        <v>#N/A</v>
      </c>
      <c r="W517" s="656" t="e">
        <f>+VLOOKUP($L517,Data_Validation!$A:$E,5,0)</f>
        <v>#N/A</v>
      </c>
      <c r="X517" s="656" t="e">
        <f>+VLOOKUP($L517,Data_Validation!$A:$F,6,0)</f>
        <v>#N/A</v>
      </c>
    </row>
    <row r="518" spans="1:24" ht="15" customHeight="1">
      <c r="A518" s="714"/>
      <c r="B518" s="714"/>
      <c r="C518" s="715"/>
      <c r="D518" s="715"/>
      <c r="E518" s="715"/>
      <c r="F518" s="714"/>
      <c r="G518" s="714"/>
      <c r="H518" s="714"/>
      <c r="I518" s="716"/>
      <c r="J518" s="716"/>
      <c r="K518" s="716"/>
      <c r="L518" s="653" t="str">
        <f t="shared" si="524"/>
        <v>0</v>
      </c>
      <c r="M518" s="654">
        <f t="shared" si="520"/>
        <v>0</v>
      </c>
      <c r="N518" s="655">
        <f>+IF(OR($Q518=Parametres!$G$2,$Q518=Parametres!$G$3),I518,C518)</f>
        <v>0</v>
      </c>
      <c r="O518" s="655">
        <f>+IF(OR($Q518=Parametres!$G$2,$Q518=Parametres!$G$3),J518,D518)</f>
        <v>0</v>
      </c>
      <c r="P518" s="655">
        <f>+IF(OR($Q518=Parametres!$G$2,$Q518=Parametres!$G$3),K518,E518)</f>
        <v>0</v>
      </c>
      <c r="Q518" s="654">
        <f t="shared" ref="Q518:S518" si="528">+F518</f>
        <v>0</v>
      </c>
      <c r="R518" s="653">
        <f t="shared" si="528"/>
        <v>0</v>
      </c>
      <c r="S518" s="654">
        <f t="shared" si="528"/>
        <v>0</v>
      </c>
      <c r="T518" s="656" t="e">
        <f>+VLOOKUP($L518,Data_Validation!$A:$D,1,0)</f>
        <v>#N/A</v>
      </c>
      <c r="U518" s="656" t="e">
        <f>+VLOOKUP($L518,Data_Validation!$A:$D,3,0)</f>
        <v>#N/A</v>
      </c>
      <c r="V518" s="656" t="e">
        <f>+VLOOKUP($L518,Data_Validation!$A:$D,4,0)</f>
        <v>#N/A</v>
      </c>
      <c r="W518" s="656" t="e">
        <f>+VLOOKUP($L518,Data_Validation!$A:$E,5,0)</f>
        <v>#N/A</v>
      </c>
      <c r="X518" s="656" t="e">
        <f>+VLOOKUP($L518,Data_Validation!$A:$F,6,0)</f>
        <v>#N/A</v>
      </c>
    </row>
    <row r="519" spans="1:24" ht="15" customHeight="1">
      <c r="A519" s="714"/>
      <c r="B519" s="714"/>
      <c r="C519" s="715"/>
      <c r="D519" s="715"/>
      <c r="E519" s="715"/>
      <c r="F519" s="714"/>
      <c r="G519" s="714"/>
      <c r="H519" s="714"/>
      <c r="I519" s="716"/>
      <c r="J519" s="716"/>
      <c r="K519" s="716"/>
      <c r="L519" s="653" t="str">
        <f t="shared" si="524"/>
        <v>0</v>
      </c>
      <c r="M519" s="654">
        <f t="shared" si="520"/>
        <v>0</v>
      </c>
      <c r="N519" s="655">
        <f>+IF(OR($Q519=Parametres!$G$2,$Q519=Parametres!$G$3),I519,C519)</f>
        <v>0</v>
      </c>
      <c r="O519" s="655">
        <f>+IF(OR($Q519=Parametres!$G$2,$Q519=Parametres!$G$3),J519,D519)</f>
        <v>0</v>
      </c>
      <c r="P519" s="655">
        <f>+IF(OR($Q519=Parametres!$G$2,$Q519=Parametres!$G$3),K519,E519)</f>
        <v>0</v>
      </c>
      <c r="Q519" s="654">
        <f t="shared" ref="Q519:S519" si="529">+F519</f>
        <v>0</v>
      </c>
      <c r="R519" s="653">
        <f t="shared" si="529"/>
        <v>0</v>
      </c>
      <c r="S519" s="654">
        <f t="shared" si="529"/>
        <v>0</v>
      </c>
      <c r="T519" s="656" t="e">
        <f>+VLOOKUP($L519,Data_Validation!$A:$D,1,0)</f>
        <v>#N/A</v>
      </c>
      <c r="U519" s="656" t="e">
        <f>+VLOOKUP($L519,Data_Validation!$A:$D,3,0)</f>
        <v>#N/A</v>
      </c>
      <c r="V519" s="656" t="e">
        <f>+VLOOKUP($L519,Data_Validation!$A:$D,4,0)</f>
        <v>#N/A</v>
      </c>
      <c r="W519" s="656" t="e">
        <f>+VLOOKUP($L519,Data_Validation!$A:$E,5,0)</f>
        <v>#N/A</v>
      </c>
      <c r="X519" s="656" t="e">
        <f>+VLOOKUP($L519,Data_Validation!$A:$F,6,0)</f>
        <v>#N/A</v>
      </c>
    </row>
    <row r="520" spans="1:24" ht="15" customHeight="1">
      <c r="A520" s="714"/>
      <c r="B520" s="714"/>
      <c r="C520" s="715"/>
      <c r="D520" s="715"/>
      <c r="E520" s="715"/>
      <c r="F520" s="714"/>
      <c r="G520" s="714"/>
      <c r="H520" s="714"/>
      <c r="I520" s="716"/>
      <c r="J520" s="716"/>
      <c r="K520" s="716"/>
      <c r="L520" s="653" t="str">
        <f t="shared" si="524"/>
        <v>0</v>
      </c>
      <c r="M520" s="654">
        <f t="shared" si="520"/>
        <v>0</v>
      </c>
      <c r="N520" s="655">
        <f>+IF(OR($Q520=Parametres!$G$2,$Q520=Parametres!$G$3),I520,C520)</f>
        <v>0</v>
      </c>
      <c r="O520" s="655">
        <f>+IF(OR($Q520=Parametres!$G$2,$Q520=Parametres!$G$3),J520,D520)</f>
        <v>0</v>
      </c>
      <c r="P520" s="655">
        <f>+IF(OR($Q520=Parametres!$G$2,$Q520=Parametres!$G$3),K520,E520)</f>
        <v>0</v>
      </c>
      <c r="Q520" s="654">
        <f t="shared" ref="Q520:S520" si="530">+F520</f>
        <v>0</v>
      </c>
      <c r="R520" s="653">
        <f t="shared" si="530"/>
        <v>0</v>
      </c>
      <c r="S520" s="654">
        <f t="shared" si="530"/>
        <v>0</v>
      </c>
      <c r="T520" s="656" t="e">
        <f>+VLOOKUP($L520,Data_Validation!$A:$D,1,0)</f>
        <v>#N/A</v>
      </c>
      <c r="U520" s="656" t="e">
        <f>+VLOOKUP($L520,Data_Validation!$A:$D,3,0)</f>
        <v>#N/A</v>
      </c>
      <c r="V520" s="656" t="e">
        <f>+VLOOKUP($L520,Data_Validation!$A:$D,4,0)</f>
        <v>#N/A</v>
      </c>
      <c r="W520" s="656" t="e">
        <f>+VLOOKUP($L520,Data_Validation!$A:$E,5,0)</f>
        <v>#N/A</v>
      </c>
      <c r="X520" s="656" t="e">
        <f>+VLOOKUP($L520,Data_Validation!$A:$F,6,0)</f>
        <v>#N/A</v>
      </c>
    </row>
    <row r="521" spans="1:24" ht="15.75" customHeight="1">
      <c r="A521" s="714"/>
      <c r="B521" s="714"/>
      <c r="C521" s="715"/>
      <c r="D521" s="715"/>
      <c r="E521" s="715"/>
      <c r="F521" s="714"/>
      <c r="G521" s="714"/>
      <c r="H521" s="714"/>
      <c r="I521" s="716"/>
      <c r="J521" s="716"/>
      <c r="K521" s="716"/>
      <c r="L521" s="653" t="str">
        <f t="shared" si="524"/>
        <v>0</v>
      </c>
      <c r="M521" s="654">
        <f t="shared" si="520"/>
        <v>0</v>
      </c>
      <c r="N521" s="655">
        <f>+IF(OR($Q521=Parametres!$G$2,$Q521=Parametres!$G$3),I521,C521)</f>
        <v>0</v>
      </c>
      <c r="O521" s="655">
        <f>+IF(OR($Q521=Parametres!$G$2,$Q521=Parametres!$G$3),J521,D521)</f>
        <v>0</v>
      </c>
      <c r="P521" s="655">
        <f>+IF(OR($Q521=Parametres!$G$2,$Q521=Parametres!$G$3),K521,E521)</f>
        <v>0</v>
      </c>
      <c r="Q521" s="654">
        <f t="shared" ref="Q521:S521" si="531">+F521</f>
        <v>0</v>
      </c>
      <c r="R521" s="653">
        <f t="shared" si="531"/>
        <v>0</v>
      </c>
      <c r="S521" s="654">
        <f t="shared" si="531"/>
        <v>0</v>
      </c>
      <c r="T521" s="656" t="e">
        <f>+VLOOKUP($L521,Data_Validation!$A:$D,1,0)</f>
        <v>#N/A</v>
      </c>
      <c r="U521" s="656" t="e">
        <f>+VLOOKUP($L521,Data_Validation!$A:$D,3,0)</f>
        <v>#N/A</v>
      </c>
      <c r="V521" s="656" t="e">
        <f>+VLOOKUP($L521,Data_Validation!$A:$D,4,0)</f>
        <v>#N/A</v>
      </c>
      <c r="W521" s="656" t="e">
        <f>+VLOOKUP($L521,Data_Validation!$A:$E,5,0)</f>
        <v>#N/A</v>
      </c>
      <c r="X521" s="656" t="e">
        <f>+VLOOKUP($L521,Data_Validation!$A:$F,6,0)</f>
        <v>#N/A</v>
      </c>
    </row>
    <row r="522" spans="1:24" ht="15" customHeight="1">
      <c r="A522" s="714"/>
      <c r="B522" s="714"/>
      <c r="C522" s="715"/>
      <c r="D522" s="715"/>
      <c r="E522" s="715"/>
      <c r="F522" s="714"/>
      <c r="G522" s="714"/>
      <c r="H522" s="714"/>
      <c r="I522" s="716"/>
      <c r="J522" s="716"/>
      <c r="K522" s="716"/>
      <c r="L522" s="653" t="str">
        <f t="shared" si="524"/>
        <v>0</v>
      </c>
      <c r="M522" s="654">
        <f t="shared" si="520"/>
        <v>0</v>
      </c>
      <c r="N522" s="655">
        <f>+IF(OR($Q522=Parametres!$G$2,$Q522=Parametres!$G$3),I522,C522)</f>
        <v>0</v>
      </c>
      <c r="O522" s="655">
        <f>+IF(OR($Q522=Parametres!$G$2,$Q522=Parametres!$G$3),J522,D522)</f>
        <v>0</v>
      </c>
      <c r="P522" s="655">
        <f>+IF(OR($Q522=Parametres!$G$2,$Q522=Parametres!$G$3),K522,E522)</f>
        <v>0</v>
      </c>
      <c r="Q522" s="654">
        <f t="shared" ref="Q522:S522" si="532">+F522</f>
        <v>0</v>
      </c>
      <c r="R522" s="653">
        <f t="shared" si="532"/>
        <v>0</v>
      </c>
      <c r="S522" s="654">
        <f t="shared" si="532"/>
        <v>0</v>
      </c>
      <c r="T522" s="656" t="e">
        <f>+VLOOKUP($L522,Data_Validation!$A:$D,1,0)</f>
        <v>#N/A</v>
      </c>
      <c r="U522" s="656" t="e">
        <f>+VLOOKUP($L522,Data_Validation!$A:$D,3,0)</f>
        <v>#N/A</v>
      </c>
      <c r="V522" s="656" t="e">
        <f>+VLOOKUP($L522,Data_Validation!$A:$D,4,0)</f>
        <v>#N/A</v>
      </c>
      <c r="W522" s="656" t="e">
        <f>+VLOOKUP($L522,Data_Validation!$A:$E,5,0)</f>
        <v>#N/A</v>
      </c>
      <c r="X522" s="656" t="e">
        <f>+VLOOKUP($L522,Data_Validation!$A:$F,6,0)</f>
        <v>#N/A</v>
      </c>
    </row>
    <row r="523" spans="1:24" ht="15" customHeight="1">
      <c r="A523" s="714"/>
      <c r="B523" s="714"/>
      <c r="C523" s="715"/>
      <c r="D523" s="715"/>
      <c r="E523" s="715"/>
      <c r="F523" s="714"/>
      <c r="G523" s="714"/>
      <c r="H523" s="714"/>
      <c r="I523" s="716"/>
      <c r="J523" s="716"/>
      <c r="K523" s="716"/>
      <c r="L523" s="653" t="str">
        <f t="shared" si="524"/>
        <v>0</v>
      </c>
      <c r="M523" s="654">
        <f t="shared" si="520"/>
        <v>0</v>
      </c>
      <c r="N523" s="655">
        <f>+IF(OR($Q523=Parametres!$G$2,$Q523=Parametres!$G$3),I523,C523)</f>
        <v>0</v>
      </c>
      <c r="O523" s="655">
        <f>+IF(OR($Q523=Parametres!$G$2,$Q523=Parametres!$G$3),J523,D523)</f>
        <v>0</v>
      </c>
      <c r="P523" s="655">
        <f>+IF(OR($Q523=Parametres!$G$2,$Q523=Parametres!$G$3),K523,E523)</f>
        <v>0</v>
      </c>
      <c r="Q523" s="654">
        <f t="shared" ref="Q523:S523" si="533">+F523</f>
        <v>0</v>
      </c>
      <c r="R523" s="653">
        <f t="shared" si="533"/>
        <v>0</v>
      </c>
      <c r="S523" s="654">
        <f t="shared" si="533"/>
        <v>0</v>
      </c>
      <c r="T523" s="656" t="e">
        <f>+VLOOKUP($L523,Data_Validation!$A:$D,1,0)</f>
        <v>#N/A</v>
      </c>
      <c r="U523" s="656" t="e">
        <f>+VLOOKUP($L523,Data_Validation!$A:$D,3,0)</f>
        <v>#N/A</v>
      </c>
      <c r="V523" s="656" t="e">
        <f>+VLOOKUP($L523,Data_Validation!$A:$D,4,0)</f>
        <v>#N/A</v>
      </c>
      <c r="W523" s="656" t="e">
        <f>+VLOOKUP($L523,Data_Validation!$A:$E,5,0)</f>
        <v>#N/A</v>
      </c>
      <c r="X523" s="656" t="e">
        <f>+VLOOKUP($L523,Data_Validation!$A:$F,6,0)</f>
        <v>#N/A</v>
      </c>
    </row>
    <row r="524" spans="1:24" ht="15" customHeight="1">
      <c r="A524" s="714"/>
      <c r="B524" s="714"/>
      <c r="C524" s="715"/>
      <c r="D524" s="715"/>
      <c r="E524" s="715"/>
      <c r="F524" s="714"/>
      <c r="G524" s="714"/>
      <c r="H524" s="714"/>
      <c r="I524" s="716"/>
      <c r="J524" s="716"/>
      <c r="K524" s="716"/>
      <c r="L524" s="653" t="str">
        <f t="shared" si="524"/>
        <v>0</v>
      </c>
      <c r="M524" s="654">
        <f t="shared" si="520"/>
        <v>0</v>
      </c>
      <c r="N524" s="655">
        <f>+IF(OR($Q524=Parametres!$G$2,$Q524=Parametres!$G$3),I524,C524)</f>
        <v>0</v>
      </c>
      <c r="O524" s="655">
        <f>+IF(OR($Q524=Parametres!$G$2,$Q524=Parametres!$G$3),J524,D524)</f>
        <v>0</v>
      </c>
      <c r="P524" s="655">
        <f>+IF(OR($Q524=Parametres!$G$2,$Q524=Parametres!$G$3),K524,E524)</f>
        <v>0</v>
      </c>
      <c r="Q524" s="654">
        <f t="shared" ref="Q524:S524" si="534">+F524</f>
        <v>0</v>
      </c>
      <c r="R524" s="653">
        <f t="shared" si="534"/>
        <v>0</v>
      </c>
      <c r="S524" s="654">
        <f t="shared" si="534"/>
        <v>0</v>
      </c>
      <c r="T524" s="656" t="e">
        <f>+VLOOKUP($L524,Data_Validation!$A:$D,1,0)</f>
        <v>#N/A</v>
      </c>
      <c r="U524" s="656" t="e">
        <f>+VLOOKUP($L524,Data_Validation!$A:$D,3,0)</f>
        <v>#N/A</v>
      </c>
      <c r="V524" s="656" t="e">
        <f>+VLOOKUP($L524,Data_Validation!$A:$D,4,0)</f>
        <v>#N/A</v>
      </c>
      <c r="W524" s="656" t="e">
        <f>+VLOOKUP($L524,Data_Validation!$A:$E,5,0)</f>
        <v>#N/A</v>
      </c>
      <c r="X524" s="656" t="e">
        <f>+VLOOKUP($L524,Data_Validation!$A:$F,6,0)</f>
        <v>#N/A</v>
      </c>
    </row>
    <row r="525" spans="1:24" ht="15" customHeight="1">
      <c r="A525" s="714"/>
      <c r="B525" s="714"/>
      <c r="C525" s="715"/>
      <c r="D525" s="715"/>
      <c r="E525" s="715"/>
      <c r="F525" s="714"/>
      <c r="G525" s="714"/>
      <c r="H525" s="714"/>
      <c r="I525" s="716"/>
      <c r="J525" s="716"/>
      <c r="K525" s="716"/>
      <c r="L525" s="653" t="str">
        <f t="shared" si="524"/>
        <v>0</v>
      </c>
      <c r="M525" s="654">
        <f t="shared" si="520"/>
        <v>0</v>
      </c>
      <c r="N525" s="655">
        <f>+IF(OR($Q525=Parametres!$G$2,$Q525=Parametres!$G$3),I525,C525)</f>
        <v>0</v>
      </c>
      <c r="O525" s="655">
        <f>+IF(OR($Q525=Parametres!$G$2,$Q525=Parametres!$G$3),J525,D525)</f>
        <v>0</v>
      </c>
      <c r="P525" s="655">
        <f>+IF(OR($Q525=Parametres!$G$2,$Q525=Parametres!$G$3),K525,E525)</f>
        <v>0</v>
      </c>
      <c r="Q525" s="654">
        <f t="shared" ref="Q525:S525" si="535">+F525</f>
        <v>0</v>
      </c>
      <c r="R525" s="653">
        <f t="shared" si="535"/>
        <v>0</v>
      </c>
      <c r="S525" s="654">
        <f t="shared" si="535"/>
        <v>0</v>
      </c>
      <c r="T525" s="656" t="e">
        <f>+VLOOKUP($L525,Data_Validation!$A:$D,1,0)</f>
        <v>#N/A</v>
      </c>
      <c r="U525" s="656" t="e">
        <f>+VLOOKUP($L525,Data_Validation!$A:$D,3,0)</f>
        <v>#N/A</v>
      </c>
      <c r="V525" s="656" t="e">
        <f>+VLOOKUP($L525,Data_Validation!$A:$D,4,0)</f>
        <v>#N/A</v>
      </c>
      <c r="W525" s="656" t="e">
        <f>+VLOOKUP($L525,Data_Validation!$A:$E,5,0)</f>
        <v>#N/A</v>
      </c>
      <c r="X525" s="656" t="e">
        <f>+VLOOKUP($L525,Data_Validation!$A:$F,6,0)</f>
        <v>#N/A</v>
      </c>
    </row>
    <row r="526" spans="1:24" ht="15.75" customHeight="1">
      <c r="A526" s="714"/>
      <c r="B526" s="714"/>
      <c r="C526" s="715"/>
      <c r="D526" s="715"/>
      <c r="E526" s="715"/>
      <c r="F526" s="714"/>
      <c r="G526" s="714"/>
      <c r="H526" s="714"/>
      <c r="I526" s="716"/>
      <c r="J526" s="716"/>
      <c r="K526" s="716"/>
      <c r="L526" s="653" t="str">
        <f t="shared" si="524"/>
        <v>0</v>
      </c>
      <c r="M526" s="654">
        <f t="shared" si="520"/>
        <v>0</v>
      </c>
      <c r="N526" s="655">
        <f>+IF(OR($Q526=Parametres!$G$2,$Q526=Parametres!$G$3),I526,C526)</f>
        <v>0</v>
      </c>
      <c r="O526" s="655">
        <f>+IF(OR($Q526=Parametres!$G$2,$Q526=Parametres!$G$3),J526,D526)</f>
        <v>0</v>
      </c>
      <c r="P526" s="655">
        <f>+IF(OR($Q526=Parametres!$G$2,$Q526=Parametres!$G$3),K526,E526)</f>
        <v>0</v>
      </c>
      <c r="Q526" s="654">
        <f t="shared" ref="Q526:S526" si="536">+F526</f>
        <v>0</v>
      </c>
      <c r="R526" s="653">
        <f t="shared" si="536"/>
        <v>0</v>
      </c>
      <c r="S526" s="654">
        <f t="shared" si="536"/>
        <v>0</v>
      </c>
      <c r="T526" s="656" t="e">
        <f>+VLOOKUP($L526,Data_Validation!$A:$D,1,0)</f>
        <v>#N/A</v>
      </c>
      <c r="U526" s="656" t="e">
        <f>+VLOOKUP($L526,Data_Validation!$A:$D,3,0)</f>
        <v>#N/A</v>
      </c>
      <c r="V526" s="656" t="e">
        <f>+VLOOKUP($L526,Data_Validation!$A:$D,4,0)</f>
        <v>#N/A</v>
      </c>
      <c r="W526" s="656" t="e">
        <f>+VLOOKUP($L526,Data_Validation!$A:$E,5,0)</f>
        <v>#N/A</v>
      </c>
      <c r="X526" s="656" t="e">
        <f>+VLOOKUP($L526,Data_Validation!$A:$F,6,0)</f>
        <v>#N/A</v>
      </c>
    </row>
    <row r="527" spans="1:24" ht="15" customHeight="1">
      <c r="A527" s="714"/>
      <c r="B527" s="714"/>
      <c r="C527" s="715"/>
      <c r="D527" s="715"/>
      <c r="E527" s="715"/>
      <c r="F527" s="714"/>
      <c r="G527" s="714"/>
      <c r="H527" s="714"/>
      <c r="I527" s="716"/>
      <c r="J527" s="716"/>
      <c r="K527" s="716"/>
      <c r="L527" s="653" t="str">
        <f t="shared" si="524"/>
        <v>0</v>
      </c>
      <c r="M527" s="654">
        <f t="shared" si="520"/>
        <v>0</v>
      </c>
      <c r="N527" s="655">
        <f>+IF(OR($Q527=Parametres!$G$2,$Q527=Parametres!$G$3),I527,C527)</f>
        <v>0</v>
      </c>
      <c r="O527" s="655">
        <f>+IF(OR($Q527=Parametres!$G$2,$Q527=Parametres!$G$3),J527,D527)</f>
        <v>0</v>
      </c>
      <c r="P527" s="655">
        <f>+IF(OR($Q527=Parametres!$G$2,$Q527=Parametres!$G$3),K527,E527)</f>
        <v>0</v>
      </c>
      <c r="Q527" s="654">
        <f t="shared" ref="Q527:S527" si="537">+F527</f>
        <v>0</v>
      </c>
      <c r="R527" s="653">
        <f t="shared" si="537"/>
        <v>0</v>
      </c>
      <c r="S527" s="654">
        <f t="shared" si="537"/>
        <v>0</v>
      </c>
      <c r="T527" s="656" t="e">
        <f>+VLOOKUP($L527,Data_Validation!$A:$D,1,0)</f>
        <v>#N/A</v>
      </c>
      <c r="U527" s="656" t="e">
        <f>+VLOOKUP($L527,Data_Validation!$A:$D,3,0)</f>
        <v>#N/A</v>
      </c>
      <c r="V527" s="656" t="e">
        <f>+VLOOKUP($L527,Data_Validation!$A:$D,4,0)</f>
        <v>#N/A</v>
      </c>
      <c r="W527" s="656" t="e">
        <f>+VLOOKUP($L527,Data_Validation!$A:$E,5,0)</f>
        <v>#N/A</v>
      </c>
      <c r="X527" s="656" t="e">
        <f>+VLOOKUP($L527,Data_Validation!$A:$F,6,0)</f>
        <v>#N/A</v>
      </c>
    </row>
    <row r="528" spans="1:24" ht="15" customHeight="1">
      <c r="A528" s="714"/>
      <c r="B528" s="714"/>
      <c r="C528" s="715"/>
      <c r="D528" s="715"/>
      <c r="E528" s="715"/>
      <c r="F528" s="714"/>
      <c r="G528" s="714"/>
      <c r="H528" s="714"/>
      <c r="I528" s="716"/>
      <c r="J528" s="716"/>
      <c r="K528" s="716"/>
      <c r="L528" s="653" t="str">
        <f t="shared" si="524"/>
        <v>0</v>
      </c>
      <c r="M528" s="654">
        <f t="shared" si="520"/>
        <v>0</v>
      </c>
      <c r="N528" s="655">
        <f>+IF(OR($Q528=Parametres!$G$2,$Q528=Parametres!$G$3),I528,C528)</f>
        <v>0</v>
      </c>
      <c r="O528" s="655">
        <f>+IF(OR($Q528=Parametres!$G$2,$Q528=Parametres!$G$3),J528,D528)</f>
        <v>0</v>
      </c>
      <c r="P528" s="655">
        <f>+IF(OR($Q528=Parametres!$G$2,$Q528=Parametres!$G$3),K528,E528)</f>
        <v>0</v>
      </c>
      <c r="Q528" s="654">
        <f t="shared" ref="Q528:S528" si="538">+F528</f>
        <v>0</v>
      </c>
      <c r="R528" s="653">
        <f t="shared" si="538"/>
        <v>0</v>
      </c>
      <c r="S528" s="654">
        <f t="shared" si="538"/>
        <v>0</v>
      </c>
      <c r="T528" s="656" t="e">
        <f>+VLOOKUP($L528,Data_Validation!$A:$D,1,0)</f>
        <v>#N/A</v>
      </c>
      <c r="U528" s="656" t="e">
        <f>+VLOOKUP($L528,Data_Validation!$A:$D,3,0)</f>
        <v>#N/A</v>
      </c>
      <c r="V528" s="656" t="e">
        <f>+VLOOKUP($L528,Data_Validation!$A:$D,4,0)</f>
        <v>#N/A</v>
      </c>
      <c r="W528" s="656" t="e">
        <f>+VLOOKUP($L528,Data_Validation!$A:$E,5,0)</f>
        <v>#N/A</v>
      </c>
      <c r="X528" s="656" t="e">
        <f>+VLOOKUP($L528,Data_Validation!$A:$F,6,0)</f>
        <v>#N/A</v>
      </c>
    </row>
    <row r="529" spans="1:24" ht="15" customHeight="1">
      <c r="A529" s="714"/>
      <c r="B529" s="714"/>
      <c r="C529" s="715"/>
      <c r="D529" s="715"/>
      <c r="E529" s="715"/>
      <c r="F529" s="714"/>
      <c r="G529" s="714"/>
      <c r="H529" s="714"/>
      <c r="I529" s="716"/>
      <c r="J529" s="716"/>
      <c r="K529" s="716"/>
      <c r="L529" s="653" t="str">
        <f t="shared" si="524"/>
        <v>0</v>
      </c>
      <c r="M529" s="654">
        <f t="shared" si="520"/>
        <v>0</v>
      </c>
      <c r="N529" s="655">
        <f>+IF(OR($Q529=Parametres!$G$2,$Q529=Parametres!$G$3),I529,C529)</f>
        <v>0</v>
      </c>
      <c r="O529" s="655">
        <f>+IF(OR($Q529=Parametres!$G$2,$Q529=Parametres!$G$3),J529,D529)</f>
        <v>0</v>
      </c>
      <c r="P529" s="655">
        <f>+IF(OR($Q529=Parametres!$G$2,$Q529=Parametres!$G$3),K529,E529)</f>
        <v>0</v>
      </c>
      <c r="Q529" s="654">
        <f t="shared" ref="Q529:S529" si="539">+F529</f>
        <v>0</v>
      </c>
      <c r="R529" s="653">
        <f t="shared" si="539"/>
        <v>0</v>
      </c>
      <c r="S529" s="654">
        <f t="shared" si="539"/>
        <v>0</v>
      </c>
      <c r="T529" s="656" t="e">
        <f>+VLOOKUP($L529,Data_Validation!$A:$D,1,0)</f>
        <v>#N/A</v>
      </c>
      <c r="U529" s="656" t="e">
        <f>+VLOOKUP($L529,Data_Validation!$A:$D,3,0)</f>
        <v>#N/A</v>
      </c>
      <c r="V529" s="656" t="e">
        <f>+VLOOKUP($L529,Data_Validation!$A:$D,4,0)</f>
        <v>#N/A</v>
      </c>
      <c r="W529" s="656" t="e">
        <f>+VLOOKUP($L529,Data_Validation!$A:$E,5,0)</f>
        <v>#N/A</v>
      </c>
      <c r="X529" s="656" t="e">
        <f>+VLOOKUP($L529,Data_Validation!$A:$F,6,0)</f>
        <v>#N/A</v>
      </c>
    </row>
    <row r="530" spans="1:24" ht="15" customHeight="1">
      <c r="A530" s="714"/>
      <c r="B530" s="714"/>
      <c r="C530" s="715"/>
      <c r="D530" s="715"/>
      <c r="E530" s="715"/>
      <c r="F530" s="714"/>
      <c r="G530" s="714"/>
      <c r="H530" s="714"/>
      <c r="I530" s="716"/>
      <c r="J530" s="716"/>
      <c r="K530" s="716"/>
      <c r="L530" s="653" t="str">
        <f t="shared" si="524"/>
        <v>0</v>
      </c>
      <c r="M530" s="654">
        <f t="shared" si="520"/>
        <v>0</v>
      </c>
      <c r="N530" s="655">
        <f>+IF(OR($Q530=Parametres!$G$2,$Q530=Parametres!$G$3),I530,C530)</f>
        <v>0</v>
      </c>
      <c r="O530" s="713">
        <f>+IF(OR($Q530=Parametres!$G$2,$Q530=Parametres!$G$3),J530,D530)</f>
        <v>0</v>
      </c>
      <c r="P530" s="655">
        <f>+IF(OR($Q530=Parametres!$G$2,$Q530=Parametres!$G$3),K530,E530)</f>
        <v>0</v>
      </c>
      <c r="Q530" s="654">
        <f t="shared" ref="Q530:S530" si="540">+F530</f>
        <v>0</v>
      </c>
      <c r="R530" s="653">
        <f t="shared" si="540"/>
        <v>0</v>
      </c>
      <c r="S530" s="654">
        <f t="shared" si="540"/>
        <v>0</v>
      </c>
      <c r="T530" s="656" t="e">
        <f>+VLOOKUP($L530,Data_Validation!$A:$D,1,0)</f>
        <v>#N/A</v>
      </c>
      <c r="U530" s="656" t="e">
        <f>+VLOOKUP($L530,Data_Validation!$A:$D,3,0)</f>
        <v>#N/A</v>
      </c>
      <c r="V530" s="656" t="e">
        <f>+VLOOKUP($L530,Data_Validation!$A:$D,4,0)</f>
        <v>#N/A</v>
      </c>
      <c r="W530" s="656" t="e">
        <f>+VLOOKUP($L530,Data_Validation!$A:$E,5,0)</f>
        <v>#N/A</v>
      </c>
      <c r="X530" s="656" t="e">
        <f>+VLOOKUP($L530,Data_Validation!$A:$F,6,0)</f>
        <v>#N/A</v>
      </c>
    </row>
    <row r="531" spans="1:24" ht="15" customHeight="1">
      <c r="A531" s="714"/>
      <c r="B531" s="714"/>
      <c r="C531" s="715"/>
      <c r="D531" s="715"/>
      <c r="E531" s="715"/>
      <c r="F531" s="714"/>
      <c r="G531" s="714"/>
      <c r="H531" s="714"/>
      <c r="I531" s="716"/>
      <c r="J531" s="716"/>
      <c r="K531" s="716"/>
      <c r="L531" s="653" t="str">
        <f t="shared" si="524"/>
        <v>0</v>
      </c>
      <c r="M531" s="654">
        <f t="shared" si="520"/>
        <v>0</v>
      </c>
      <c r="N531" s="655">
        <f>+IF(OR($Q531=Parametres!$G$2,$Q531=Parametres!$G$3),I531,C531)</f>
        <v>0</v>
      </c>
      <c r="O531" s="655">
        <f>+IF(OR($Q531=Parametres!$G$2,$Q531=Parametres!$G$3),J531,D531)</f>
        <v>0</v>
      </c>
      <c r="P531" s="655">
        <f>+IF(OR($Q531=Parametres!$G$2,$Q531=Parametres!$G$3),K531,E531)</f>
        <v>0</v>
      </c>
      <c r="Q531" s="654">
        <f t="shared" ref="Q531:S531" si="541">+F531</f>
        <v>0</v>
      </c>
      <c r="R531" s="653">
        <f t="shared" si="541"/>
        <v>0</v>
      </c>
      <c r="S531" s="654">
        <f t="shared" si="541"/>
        <v>0</v>
      </c>
      <c r="T531" s="656" t="e">
        <f>+VLOOKUP($L531,Data_Validation!$A:$D,1,0)</f>
        <v>#N/A</v>
      </c>
      <c r="U531" s="656" t="e">
        <f>+VLOOKUP($L531,Data_Validation!$A:$D,3,0)</f>
        <v>#N/A</v>
      </c>
      <c r="V531" s="656" t="e">
        <f>+VLOOKUP($L531,Data_Validation!$A:$D,4,0)</f>
        <v>#N/A</v>
      </c>
      <c r="W531" s="656" t="e">
        <f>+VLOOKUP($L531,Data_Validation!$A:$E,5,0)</f>
        <v>#N/A</v>
      </c>
      <c r="X531" s="656" t="e">
        <f>+VLOOKUP($L531,Data_Validation!$A:$F,6,0)</f>
        <v>#N/A</v>
      </c>
    </row>
    <row r="532" spans="1:24" ht="15" customHeight="1">
      <c r="A532" s="714"/>
      <c r="B532" s="714"/>
      <c r="C532" s="715"/>
      <c r="D532" s="715"/>
      <c r="E532" s="715"/>
      <c r="F532" s="714"/>
      <c r="G532" s="714"/>
      <c r="H532" s="714"/>
      <c r="I532" s="716"/>
      <c r="J532" s="716"/>
      <c r="K532" s="716"/>
      <c r="L532" s="653" t="str">
        <f t="shared" si="524"/>
        <v>0</v>
      </c>
      <c r="M532" s="654">
        <f t="shared" si="520"/>
        <v>0</v>
      </c>
      <c r="N532" s="655">
        <f>+IF(OR($Q532=Parametres!$G$2,$Q532=Parametres!$G$3),I532,C532)</f>
        <v>0</v>
      </c>
      <c r="O532" s="655">
        <f>+IF(OR($Q532=Parametres!$G$2,$Q532=Parametres!$G$3),J532,D532)</f>
        <v>0</v>
      </c>
      <c r="P532" s="655">
        <f>+IF(OR($Q532=Parametres!$G$2,$Q532=Parametres!$G$3),K532,E532)</f>
        <v>0</v>
      </c>
      <c r="Q532" s="654">
        <f t="shared" ref="Q532:S532" si="542">+F532</f>
        <v>0</v>
      </c>
      <c r="R532" s="653">
        <f t="shared" si="542"/>
        <v>0</v>
      </c>
      <c r="S532" s="654">
        <f t="shared" si="542"/>
        <v>0</v>
      </c>
      <c r="T532" s="656" t="e">
        <f>+VLOOKUP($L532,Data_Validation!$A:$D,1,0)</f>
        <v>#N/A</v>
      </c>
      <c r="U532" s="656" t="e">
        <f>+VLOOKUP($L532,Data_Validation!$A:$D,3,0)</f>
        <v>#N/A</v>
      </c>
      <c r="V532" s="656" t="e">
        <f>+VLOOKUP($L532,Data_Validation!$A:$D,4,0)</f>
        <v>#N/A</v>
      </c>
      <c r="W532" s="656" t="e">
        <f>+VLOOKUP($L532,Data_Validation!$A:$E,5,0)</f>
        <v>#N/A</v>
      </c>
      <c r="X532" s="656" t="e">
        <f>+VLOOKUP($L532,Data_Validation!$A:$F,6,0)</f>
        <v>#N/A</v>
      </c>
    </row>
    <row r="533" spans="1:24" ht="15.75" customHeight="1">
      <c r="A533" s="714"/>
      <c r="B533" s="714"/>
      <c r="C533" s="715"/>
      <c r="D533" s="715"/>
      <c r="E533" s="715"/>
      <c r="F533" s="714"/>
      <c r="G533" s="714"/>
      <c r="H533" s="714"/>
      <c r="I533" s="716"/>
      <c r="J533" s="716"/>
      <c r="K533" s="716"/>
      <c r="L533" s="653" t="str">
        <f t="shared" si="524"/>
        <v>0</v>
      </c>
      <c r="M533" s="654">
        <f t="shared" si="520"/>
        <v>0</v>
      </c>
      <c r="N533" s="655">
        <f>+IF(OR($Q533=Parametres!$G$2,$Q533=Parametres!$G$3),I533,C533)</f>
        <v>0</v>
      </c>
      <c r="O533" s="655">
        <f>+IF(OR($Q533=Parametres!$G$2,$Q533=Parametres!$G$3),J533,D533)</f>
        <v>0</v>
      </c>
      <c r="P533" s="655">
        <f>+IF(OR($Q533=Parametres!$G$2,$Q533=Parametres!$G$3),K533,E533)</f>
        <v>0</v>
      </c>
      <c r="Q533" s="654">
        <f t="shared" ref="Q533:S533" si="543">+F533</f>
        <v>0</v>
      </c>
      <c r="R533" s="653">
        <f t="shared" si="543"/>
        <v>0</v>
      </c>
      <c r="S533" s="654">
        <f t="shared" si="543"/>
        <v>0</v>
      </c>
      <c r="T533" s="656" t="e">
        <f>+VLOOKUP($L533,Data_Validation!$A:$D,1,0)</f>
        <v>#N/A</v>
      </c>
      <c r="U533" s="656" t="e">
        <f>+VLOOKUP($L533,Data_Validation!$A:$D,3,0)</f>
        <v>#N/A</v>
      </c>
      <c r="V533" s="656" t="e">
        <f>+VLOOKUP($L533,Data_Validation!$A:$D,4,0)</f>
        <v>#N/A</v>
      </c>
      <c r="W533" s="656" t="e">
        <f>+VLOOKUP($L533,Data_Validation!$A:$E,5,0)</f>
        <v>#N/A</v>
      </c>
      <c r="X533" s="656" t="e">
        <f>+VLOOKUP($L533,Data_Validation!$A:$F,6,0)</f>
        <v>#N/A</v>
      </c>
    </row>
    <row r="534" spans="1:24" ht="15" customHeight="1">
      <c r="A534" s="714"/>
      <c r="B534" s="714"/>
      <c r="C534" s="715"/>
      <c r="D534" s="715"/>
      <c r="E534" s="715"/>
      <c r="F534" s="714"/>
      <c r="G534" s="714"/>
      <c r="H534" s="714"/>
      <c r="I534" s="716"/>
      <c r="J534" s="716"/>
      <c r="K534" s="716"/>
      <c r="L534" s="653" t="str">
        <f t="shared" si="524"/>
        <v>0</v>
      </c>
      <c r="M534" s="654">
        <f t="shared" si="520"/>
        <v>0</v>
      </c>
      <c r="N534" s="655">
        <f>+IF(OR($Q534=Parametres!$G$2,$Q534=Parametres!$G$3),I534,C534)</f>
        <v>0</v>
      </c>
      <c r="O534" s="655">
        <f>+IF(OR($Q534=Parametres!$G$2,$Q534=Parametres!$G$3),J534,D534)</f>
        <v>0</v>
      </c>
      <c r="P534" s="655">
        <f>+IF(OR($Q534=Parametres!$G$2,$Q534=Parametres!$G$3),K534,E534)</f>
        <v>0</v>
      </c>
      <c r="Q534" s="654">
        <f t="shared" ref="Q534:S534" si="544">+F534</f>
        <v>0</v>
      </c>
      <c r="R534" s="653">
        <f t="shared" si="544"/>
        <v>0</v>
      </c>
      <c r="S534" s="654">
        <f t="shared" si="544"/>
        <v>0</v>
      </c>
      <c r="T534" s="656" t="e">
        <f>+VLOOKUP($L534,Data_Validation!$A:$D,1,0)</f>
        <v>#N/A</v>
      </c>
      <c r="U534" s="656" t="e">
        <f>+VLOOKUP($L534,Data_Validation!$A:$D,3,0)</f>
        <v>#N/A</v>
      </c>
      <c r="V534" s="656" t="e">
        <f>+VLOOKUP($L534,Data_Validation!$A:$D,4,0)</f>
        <v>#N/A</v>
      </c>
      <c r="W534" s="656" t="e">
        <f>+VLOOKUP($L534,Data_Validation!$A:$E,5,0)</f>
        <v>#N/A</v>
      </c>
      <c r="X534" s="656" t="e">
        <f>+VLOOKUP($L534,Data_Validation!$A:$F,6,0)</f>
        <v>#N/A</v>
      </c>
    </row>
    <row r="535" spans="1:24" ht="15" customHeight="1">
      <c r="A535" s="714"/>
      <c r="B535" s="714"/>
      <c r="C535" s="715"/>
      <c r="D535" s="715"/>
      <c r="E535" s="715"/>
      <c r="F535" s="714"/>
      <c r="G535" s="714"/>
      <c r="H535" s="714"/>
      <c r="I535" s="716"/>
      <c r="J535" s="716"/>
      <c r="K535" s="716"/>
      <c r="L535" s="653" t="str">
        <f t="shared" si="524"/>
        <v>0</v>
      </c>
      <c r="M535" s="654">
        <f t="shared" si="520"/>
        <v>0</v>
      </c>
      <c r="N535" s="655">
        <f>+IF(OR($Q535=Parametres!$G$2,$Q535=Parametres!$G$3),I535,C535)</f>
        <v>0</v>
      </c>
      <c r="O535" s="655">
        <f>+IF(OR($Q535=Parametres!$G$2,$Q535=Parametres!$G$3),J535,D535)</f>
        <v>0</v>
      </c>
      <c r="P535" s="655">
        <f>+IF(OR($Q535=Parametres!$G$2,$Q535=Parametres!$G$3),K535,E535)</f>
        <v>0</v>
      </c>
      <c r="Q535" s="654">
        <f t="shared" ref="Q535:S535" si="545">+F535</f>
        <v>0</v>
      </c>
      <c r="R535" s="653">
        <f t="shared" si="545"/>
        <v>0</v>
      </c>
      <c r="S535" s="654">
        <f t="shared" si="545"/>
        <v>0</v>
      </c>
      <c r="T535" s="656" t="e">
        <f>+VLOOKUP($L535,Data_Validation!$A:$D,1,0)</f>
        <v>#N/A</v>
      </c>
      <c r="U535" s="656" t="e">
        <f>+VLOOKUP($L535,Data_Validation!$A:$D,3,0)</f>
        <v>#N/A</v>
      </c>
      <c r="V535" s="656" t="e">
        <f>+VLOOKUP($L535,Data_Validation!$A:$D,4,0)</f>
        <v>#N/A</v>
      </c>
      <c r="W535" s="656" t="e">
        <f>+VLOOKUP($L535,Data_Validation!$A:$E,5,0)</f>
        <v>#N/A</v>
      </c>
      <c r="X535" s="656" t="e">
        <f>+VLOOKUP($L535,Data_Validation!$A:$F,6,0)</f>
        <v>#N/A</v>
      </c>
    </row>
    <row r="536" spans="1:24" ht="15" customHeight="1">
      <c r="A536" s="714"/>
      <c r="B536" s="714"/>
      <c r="C536" s="715"/>
      <c r="D536" s="715"/>
      <c r="E536" s="715"/>
      <c r="F536" s="714"/>
      <c r="G536" s="714"/>
      <c r="H536" s="714"/>
      <c r="I536" s="716"/>
      <c r="J536" s="716"/>
      <c r="K536" s="716"/>
      <c r="L536" s="653" t="str">
        <f t="shared" si="524"/>
        <v>0</v>
      </c>
      <c r="M536" s="654">
        <f t="shared" si="520"/>
        <v>0</v>
      </c>
      <c r="N536" s="655">
        <f>+IF(OR($Q536=Parametres!$G$2,$Q536=Parametres!$G$3),I536,C536)</f>
        <v>0</v>
      </c>
      <c r="O536" s="655">
        <f>+IF(OR($Q536=Parametres!$G$2,$Q536=Parametres!$G$3),J536,D536)</f>
        <v>0</v>
      </c>
      <c r="P536" s="655">
        <f>+IF(OR($Q536=Parametres!$G$2,$Q536=Parametres!$G$3),K536,E536)</f>
        <v>0</v>
      </c>
      <c r="Q536" s="654">
        <f t="shared" ref="Q536:S536" si="546">+F536</f>
        <v>0</v>
      </c>
      <c r="R536" s="653">
        <f t="shared" si="546"/>
        <v>0</v>
      </c>
      <c r="S536" s="654">
        <f t="shared" si="546"/>
        <v>0</v>
      </c>
      <c r="T536" s="656" t="e">
        <f>+VLOOKUP($L536,Data_Validation!$A:$D,1,0)</f>
        <v>#N/A</v>
      </c>
      <c r="U536" s="656" t="e">
        <f>+VLOOKUP($L536,Data_Validation!$A:$D,3,0)</f>
        <v>#N/A</v>
      </c>
      <c r="V536" s="656" t="e">
        <f>+VLOOKUP($L536,Data_Validation!$A:$D,4,0)</f>
        <v>#N/A</v>
      </c>
      <c r="W536" s="656" t="e">
        <f>+VLOOKUP($L536,Data_Validation!$A:$E,5,0)</f>
        <v>#N/A</v>
      </c>
      <c r="X536" s="656" t="e">
        <f>+VLOOKUP($L536,Data_Validation!$A:$F,6,0)</f>
        <v>#N/A</v>
      </c>
    </row>
    <row r="537" spans="1:24" ht="15.75" customHeight="1">
      <c r="A537" s="714"/>
      <c r="B537" s="714"/>
      <c r="C537" s="715"/>
      <c r="D537" s="715"/>
      <c r="E537" s="715"/>
      <c r="F537" s="714"/>
      <c r="G537" s="714"/>
      <c r="H537" s="714"/>
      <c r="I537" s="716"/>
      <c r="J537" s="716"/>
      <c r="K537" s="716"/>
      <c r="L537" s="653" t="str">
        <f t="shared" si="524"/>
        <v>0</v>
      </c>
      <c r="M537" s="654">
        <f t="shared" si="520"/>
        <v>0</v>
      </c>
      <c r="N537" s="655">
        <f>+IF(OR($Q537=Parametres!$G$2,$Q537=Parametres!$G$3),I537,C537)</f>
        <v>0</v>
      </c>
      <c r="O537" s="655">
        <f>+IF(OR($Q537=Parametres!$G$2,$Q537=Parametres!$G$3),J537,D537)</f>
        <v>0</v>
      </c>
      <c r="P537" s="655">
        <f>+IF(OR($Q537=Parametres!$G$2,$Q537=Parametres!$G$3),K537,E537)</f>
        <v>0</v>
      </c>
      <c r="Q537" s="654">
        <f t="shared" ref="Q537:S537" si="547">+F537</f>
        <v>0</v>
      </c>
      <c r="R537" s="653">
        <f t="shared" si="547"/>
        <v>0</v>
      </c>
      <c r="S537" s="654">
        <f t="shared" si="547"/>
        <v>0</v>
      </c>
      <c r="T537" s="656" t="e">
        <f>+VLOOKUP($L537,Data_Validation!$A:$D,1,0)</f>
        <v>#N/A</v>
      </c>
      <c r="U537" s="656" t="e">
        <f>+VLOOKUP($L537,Data_Validation!$A:$D,3,0)</f>
        <v>#N/A</v>
      </c>
      <c r="V537" s="656" t="e">
        <f>+VLOOKUP($L537,Data_Validation!$A:$D,4,0)</f>
        <v>#N/A</v>
      </c>
      <c r="W537" s="656" t="e">
        <f>+VLOOKUP($L537,Data_Validation!$A:$E,5,0)</f>
        <v>#N/A</v>
      </c>
      <c r="X537" s="656" t="e">
        <f>+VLOOKUP($L537,Data_Validation!$A:$F,6,0)</f>
        <v>#N/A</v>
      </c>
    </row>
    <row r="538" spans="1:24" ht="15" customHeight="1">
      <c r="A538" s="714"/>
      <c r="B538" s="714"/>
      <c r="C538" s="715"/>
      <c r="D538" s="715"/>
      <c r="E538" s="715"/>
      <c r="F538" s="714"/>
      <c r="G538" s="714"/>
      <c r="H538" s="714"/>
      <c r="I538" s="716"/>
      <c r="J538" s="716"/>
      <c r="K538" s="716"/>
      <c r="L538" s="653" t="str">
        <f t="shared" si="524"/>
        <v>0</v>
      </c>
      <c r="M538" s="654">
        <f t="shared" si="520"/>
        <v>0</v>
      </c>
      <c r="N538" s="655">
        <f>+IF(OR($Q538=Parametres!$G$2,$Q538=Parametres!$G$3),I538,C538)</f>
        <v>0</v>
      </c>
      <c r="O538" s="655">
        <f>+IF(OR($Q538=Parametres!$G$2,$Q538=Parametres!$G$3),J538,D538)</f>
        <v>0</v>
      </c>
      <c r="P538" s="655">
        <f>+IF(OR($Q538=Parametres!$G$2,$Q538=Parametres!$G$3),K538,E538)</f>
        <v>0</v>
      </c>
      <c r="Q538" s="654">
        <f t="shared" ref="Q538:S538" si="548">+F538</f>
        <v>0</v>
      </c>
      <c r="R538" s="653">
        <f t="shared" si="548"/>
        <v>0</v>
      </c>
      <c r="S538" s="654">
        <f t="shared" si="548"/>
        <v>0</v>
      </c>
      <c r="T538" s="656" t="e">
        <f>+VLOOKUP($L538,Data_Validation!$A:$D,1,0)</f>
        <v>#N/A</v>
      </c>
      <c r="U538" s="656" t="e">
        <f>+VLOOKUP($L538,Data_Validation!$A:$D,3,0)</f>
        <v>#N/A</v>
      </c>
      <c r="V538" s="656" t="e">
        <f>+VLOOKUP($L538,Data_Validation!$A:$D,4,0)</f>
        <v>#N/A</v>
      </c>
      <c r="W538" s="656" t="e">
        <f>+VLOOKUP($L538,Data_Validation!$A:$E,5,0)</f>
        <v>#N/A</v>
      </c>
      <c r="X538" s="656" t="e">
        <f>+VLOOKUP($L538,Data_Validation!$A:$F,6,0)</f>
        <v>#N/A</v>
      </c>
    </row>
    <row r="539" spans="1:24" ht="15" customHeight="1">
      <c r="A539" s="714"/>
      <c r="B539" s="714"/>
      <c r="C539" s="715"/>
      <c r="D539" s="715"/>
      <c r="E539" s="715"/>
      <c r="F539" s="714"/>
      <c r="G539" s="714"/>
      <c r="H539" s="714"/>
      <c r="I539" s="716"/>
      <c r="J539" s="716"/>
      <c r="K539" s="716"/>
      <c r="L539" s="653" t="str">
        <f t="shared" si="524"/>
        <v>0</v>
      </c>
      <c r="M539" s="654">
        <f t="shared" si="520"/>
        <v>0</v>
      </c>
      <c r="N539" s="655">
        <f>+IF(OR($Q539=Parametres!$G$2,$Q539=Parametres!$G$3),I539,C539)</f>
        <v>0</v>
      </c>
      <c r="O539" s="655">
        <f>+IF(OR($Q539=Parametres!$G$2,$Q539=Parametres!$G$3),J539,D539)</f>
        <v>0</v>
      </c>
      <c r="P539" s="655">
        <f>+IF(OR($Q539=Parametres!$G$2,$Q539=Parametres!$G$3),K539,E539)</f>
        <v>0</v>
      </c>
      <c r="Q539" s="654">
        <f t="shared" ref="Q539:S539" si="549">+F539</f>
        <v>0</v>
      </c>
      <c r="R539" s="653">
        <f t="shared" si="549"/>
        <v>0</v>
      </c>
      <c r="S539" s="654">
        <f t="shared" si="549"/>
        <v>0</v>
      </c>
      <c r="T539" s="656" t="e">
        <f>+VLOOKUP($L539,Data_Validation!$A:$D,1,0)</f>
        <v>#N/A</v>
      </c>
      <c r="U539" s="656" t="e">
        <f>+VLOOKUP($L539,Data_Validation!$A:$D,3,0)</f>
        <v>#N/A</v>
      </c>
      <c r="V539" s="656" t="e">
        <f>+VLOOKUP($L539,Data_Validation!$A:$D,4,0)</f>
        <v>#N/A</v>
      </c>
      <c r="W539" s="656" t="e">
        <f>+VLOOKUP($L539,Data_Validation!$A:$E,5,0)</f>
        <v>#N/A</v>
      </c>
      <c r="X539" s="656" t="e">
        <f>+VLOOKUP($L539,Data_Validation!$A:$F,6,0)</f>
        <v>#N/A</v>
      </c>
    </row>
    <row r="540" spans="1:24" ht="15" customHeight="1">
      <c r="A540" s="714"/>
      <c r="B540" s="714"/>
      <c r="C540" s="715"/>
      <c r="D540" s="715"/>
      <c r="E540" s="715"/>
      <c r="F540" s="714"/>
      <c r="G540" s="714"/>
      <c r="H540" s="714"/>
      <c r="I540" s="716"/>
      <c r="J540" s="716"/>
      <c r="K540" s="716"/>
      <c r="L540" s="653" t="str">
        <f t="shared" si="524"/>
        <v>0</v>
      </c>
      <c r="M540" s="654">
        <f t="shared" si="520"/>
        <v>0</v>
      </c>
      <c r="N540" s="655">
        <f>+IF(OR($Q540=Parametres!$G$2,$Q540=Parametres!$G$3),I540,C540)</f>
        <v>0</v>
      </c>
      <c r="O540" s="655">
        <f>+IF(OR($Q540=Parametres!$G$2,$Q540=Parametres!$G$3),J540,D540)</f>
        <v>0</v>
      </c>
      <c r="P540" s="655">
        <f>+IF(OR($Q540=Parametres!$G$2,$Q540=Parametres!$G$3),K540,E540)</f>
        <v>0</v>
      </c>
      <c r="Q540" s="654">
        <f t="shared" ref="Q540:S540" si="550">+F540</f>
        <v>0</v>
      </c>
      <c r="R540" s="653">
        <f t="shared" si="550"/>
        <v>0</v>
      </c>
      <c r="S540" s="654">
        <f t="shared" si="550"/>
        <v>0</v>
      </c>
      <c r="T540" s="656" t="e">
        <f>+VLOOKUP($L540,Data_Validation!$A:$D,1,0)</f>
        <v>#N/A</v>
      </c>
      <c r="U540" s="656" t="e">
        <f>+VLOOKUP($L540,Data_Validation!$A:$D,3,0)</f>
        <v>#N/A</v>
      </c>
      <c r="V540" s="656" t="e">
        <f>+VLOOKUP($L540,Data_Validation!$A:$D,4,0)</f>
        <v>#N/A</v>
      </c>
      <c r="W540" s="656" t="e">
        <f>+VLOOKUP($L540,Data_Validation!$A:$E,5,0)</f>
        <v>#N/A</v>
      </c>
      <c r="X540" s="656" t="e">
        <f>+VLOOKUP($L540,Data_Validation!$A:$F,6,0)</f>
        <v>#N/A</v>
      </c>
    </row>
    <row r="541" spans="1:24" ht="15" customHeight="1">
      <c r="A541" s="714"/>
      <c r="B541" s="714"/>
      <c r="C541" s="715"/>
      <c r="D541" s="715"/>
      <c r="E541" s="715"/>
      <c r="F541" s="714"/>
      <c r="G541" s="714"/>
      <c r="H541" s="714"/>
      <c r="I541" s="716"/>
      <c r="J541" s="716"/>
      <c r="K541" s="716"/>
      <c r="L541" s="653" t="str">
        <f t="shared" si="524"/>
        <v>0</v>
      </c>
      <c r="M541" s="654">
        <f t="shared" si="520"/>
        <v>0</v>
      </c>
      <c r="N541" s="655">
        <f>+IF(OR($Q541=Parametres!$G$2,$Q541=Parametres!$G$3),I541,C541)</f>
        <v>0</v>
      </c>
      <c r="O541" s="655">
        <f>+IF(OR($Q541=Parametres!$G$2,$Q541=Parametres!$G$3),J541,D541)</f>
        <v>0</v>
      </c>
      <c r="P541" s="655">
        <f>+IF(OR($Q541=Parametres!$G$2,$Q541=Parametres!$G$3),K541,E541)</f>
        <v>0</v>
      </c>
      <c r="Q541" s="654">
        <f t="shared" ref="Q541:S541" si="551">+F541</f>
        <v>0</v>
      </c>
      <c r="R541" s="653">
        <f t="shared" si="551"/>
        <v>0</v>
      </c>
      <c r="S541" s="654">
        <f t="shared" si="551"/>
        <v>0</v>
      </c>
      <c r="T541" s="656" t="e">
        <f>+VLOOKUP($L541,Data_Validation!$A:$D,1,0)</f>
        <v>#N/A</v>
      </c>
      <c r="U541" s="656" t="e">
        <f>+VLOOKUP($L541,Data_Validation!$A:$D,3,0)</f>
        <v>#N/A</v>
      </c>
      <c r="V541" s="656" t="e">
        <f>+VLOOKUP($L541,Data_Validation!$A:$D,4,0)</f>
        <v>#N/A</v>
      </c>
      <c r="W541" s="656" t="e">
        <f>+VLOOKUP($L541,Data_Validation!$A:$E,5,0)</f>
        <v>#N/A</v>
      </c>
      <c r="X541" s="656" t="e">
        <f>+VLOOKUP($L541,Data_Validation!$A:$F,6,0)</f>
        <v>#N/A</v>
      </c>
    </row>
    <row r="542" spans="1:24" ht="15.75" customHeight="1">
      <c r="A542" s="714"/>
      <c r="B542" s="714"/>
      <c r="C542" s="715"/>
      <c r="D542" s="715"/>
      <c r="E542" s="715"/>
      <c r="F542" s="714"/>
      <c r="G542" s="714"/>
      <c r="H542" s="714"/>
      <c r="I542" s="716"/>
      <c r="J542" s="716"/>
      <c r="K542" s="716"/>
      <c r="L542" s="653" t="str">
        <f t="shared" si="524"/>
        <v>0</v>
      </c>
      <c r="M542" s="654">
        <f t="shared" si="520"/>
        <v>0</v>
      </c>
      <c r="N542" s="655">
        <f>+IF(OR($Q542=Parametres!$G$2,$Q542=Parametres!$G$3),I542,C542)</f>
        <v>0</v>
      </c>
      <c r="O542" s="655">
        <f>+IF(OR($Q542=Parametres!$G$2,$Q542=Parametres!$G$3),J542,D542)</f>
        <v>0</v>
      </c>
      <c r="P542" s="655">
        <f>+IF(OR($Q542=Parametres!$G$2,$Q542=Parametres!$G$3),K542,E542)</f>
        <v>0</v>
      </c>
      <c r="Q542" s="654">
        <f t="shared" ref="Q542:S542" si="552">+F542</f>
        <v>0</v>
      </c>
      <c r="R542" s="653">
        <f t="shared" si="552"/>
        <v>0</v>
      </c>
      <c r="S542" s="654">
        <f t="shared" si="552"/>
        <v>0</v>
      </c>
      <c r="T542" s="656" t="e">
        <f>+VLOOKUP($L542,Data_Validation!$A:$D,1,0)</f>
        <v>#N/A</v>
      </c>
      <c r="U542" s="656" t="e">
        <f>+VLOOKUP($L542,Data_Validation!$A:$D,3,0)</f>
        <v>#N/A</v>
      </c>
      <c r="V542" s="656" t="e">
        <f>+VLOOKUP($L542,Data_Validation!$A:$D,4,0)</f>
        <v>#N/A</v>
      </c>
      <c r="W542" s="656" t="e">
        <f>+VLOOKUP($L542,Data_Validation!$A:$E,5,0)</f>
        <v>#N/A</v>
      </c>
      <c r="X542" s="656" t="e">
        <f>+VLOOKUP($L542,Data_Validation!$A:$F,6,0)</f>
        <v>#N/A</v>
      </c>
    </row>
    <row r="543" spans="1:24" ht="15" customHeight="1">
      <c r="A543" s="714"/>
      <c r="B543" s="714"/>
      <c r="C543" s="715"/>
      <c r="D543" s="715"/>
      <c r="E543" s="715"/>
      <c r="F543" s="714"/>
      <c r="G543" s="714"/>
      <c r="H543" s="714"/>
      <c r="I543" s="716"/>
      <c r="J543" s="716"/>
      <c r="K543" s="716"/>
      <c r="L543" s="653" t="str">
        <f t="shared" si="524"/>
        <v>0</v>
      </c>
      <c r="M543" s="654">
        <f t="shared" si="520"/>
        <v>0</v>
      </c>
      <c r="N543" s="655">
        <f>+IF(OR($Q543=Parametres!$G$2,$Q543=Parametres!$G$3),I543,C543)</f>
        <v>0</v>
      </c>
      <c r="O543" s="655">
        <f>+IF(OR($Q543=Parametres!$G$2,$Q543=Parametres!$G$3),J543,D543)</f>
        <v>0</v>
      </c>
      <c r="P543" s="655">
        <f>+IF(OR($Q543=Parametres!$G$2,$Q543=Parametres!$G$3),K543,E543)</f>
        <v>0</v>
      </c>
      <c r="Q543" s="654">
        <f t="shared" ref="Q543:S543" si="553">+F543</f>
        <v>0</v>
      </c>
      <c r="R543" s="653">
        <f t="shared" si="553"/>
        <v>0</v>
      </c>
      <c r="S543" s="654">
        <f t="shared" si="553"/>
        <v>0</v>
      </c>
      <c r="T543" s="656" t="e">
        <f>+VLOOKUP($L543,Data_Validation!$A:$D,1,0)</f>
        <v>#N/A</v>
      </c>
      <c r="U543" s="656" t="e">
        <f>+VLOOKUP($L543,Data_Validation!$A:$D,3,0)</f>
        <v>#N/A</v>
      </c>
      <c r="V543" s="656" t="e">
        <f>+VLOOKUP($L543,Data_Validation!$A:$D,4,0)</f>
        <v>#N/A</v>
      </c>
      <c r="W543" s="656" t="e">
        <f>+VLOOKUP($L543,Data_Validation!$A:$E,5,0)</f>
        <v>#N/A</v>
      </c>
      <c r="X543" s="656" t="e">
        <f>+VLOOKUP($L543,Data_Validation!$A:$F,6,0)</f>
        <v>#N/A</v>
      </c>
    </row>
    <row r="544" spans="1:24" ht="15" customHeight="1">
      <c r="A544" s="714"/>
      <c r="B544" s="714"/>
      <c r="C544" s="715"/>
      <c r="D544" s="715"/>
      <c r="E544" s="715"/>
      <c r="F544" s="714"/>
      <c r="G544" s="714"/>
      <c r="H544" s="714"/>
      <c r="I544" s="716"/>
      <c r="J544" s="716"/>
      <c r="K544" s="716"/>
      <c r="L544" s="653" t="str">
        <f t="shared" si="524"/>
        <v>0</v>
      </c>
      <c r="M544" s="654">
        <f t="shared" si="520"/>
        <v>0</v>
      </c>
      <c r="N544" s="655">
        <f>+IF(OR($Q544=Parametres!$G$2,$Q544=Parametres!$G$3),I544,C544)</f>
        <v>0</v>
      </c>
      <c r="O544" s="655">
        <f>+IF(OR($Q544=Parametres!$G$2,$Q544=Parametres!$G$3),J544,D544)</f>
        <v>0</v>
      </c>
      <c r="P544" s="655">
        <f>+IF(OR($Q544=Parametres!$G$2,$Q544=Parametres!$G$3),K544,E544)</f>
        <v>0</v>
      </c>
      <c r="Q544" s="654">
        <f t="shared" ref="Q544:S544" si="554">+F544</f>
        <v>0</v>
      </c>
      <c r="R544" s="653">
        <f t="shared" si="554"/>
        <v>0</v>
      </c>
      <c r="S544" s="654">
        <f t="shared" si="554"/>
        <v>0</v>
      </c>
      <c r="T544" s="656" t="e">
        <f>+VLOOKUP($L544,Data_Validation!$A:$D,1,0)</f>
        <v>#N/A</v>
      </c>
      <c r="U544" s="656" t="e">
        <f>+VLOOKUP($L544,Data_Validation!$A:$D,3,0)</f>
        <v>#N/A</v>
      </c>
      <c r="V544" s="656" t="e">
        <f>+VLOOKUP($L544,Data_Validation!$A:$D,4,0)</f>
        <v>#N/A</v>
      </c>
      <c r="W544" s="656" t="e">
        <f>+VLOOKUP($L544,Data_Validation!$A:$E,5,0)</f>
        <v>#N/A</v>
      </c>
      <c r="X544" s="656" t="e">
        <f>+VLOOKUP($L544,Data_Validation!$A:$F,6,0)</f>
        <v>#N/A</v>
      </c>
    </row>
    <row r="545" spans="1:24" ht="15" customHeight="1">
      <c r="A545" s="714"/>
      <c r="B545" s="714"/>
      <c r="C545" s="715"/>
      <c r="D545" s="715"/>
      <c r="E545" s="715"/>
      <c r="F545" s="714"/>
      <c r="G545" s="714"/>
      <c r="H545" s="714"/>
      <c r="I545" s="716"/>
      <c r="J545" s="716"/>
      <c r="K545" s="716"/>
      <c r="L545" s="653" t="str">
        <f t="shared" si="524"/>
        <v>0</v>
      </c>
      <c r="M545" s="654">
        <f t="shared" si="520"/>
        <v>0</v>
      </c>
      <c r="N545" s="655">
        <f>+IF(OR($Q545=Parametres!$G$2,$Q545=Parametres!$G$3),I545,C545)</f>
        <v>0</v>
      </c>
      <c r="O545" s="655">
        <f>+IF(OR($Q545=Parametres!$G$2,$Q545=Parametres!$G$3),J545,D545)</f>
        <v>0</v>
      </c>
      <c r="P545" s="655">
        <f>+IF(OR($Q545=Parametres!$G$2,$Q545=Parametres!$G$3),K545,E545)</f>
        <v>0</v>
      </c>
      <c r="Q545" s="654">
        <f t="shared" ref="Q545:S545" si="555">+F545</f>
        <v>0</v>
      </c>
      <c r="R545" s="653">
        <f t="shared" si="555"/>
        <v>0</v>
      </c>
      <c r="S545" s="654">
        <f t="shared" si="555"/>
        <v>0</v>
      </c>
      <c r="T545" s="656" t="e">
        <f>+VLOOKUP($L545,Data_Validation!$A:$D,1,0)</f>
        <v>#N/A</v>
      </c>
      <c r="U545" s="656" t="e">
        <f>+VLOOKUP($L545,Data_Validation!$A:$D,3,0)</f>
        <v>#N/A</v>
      </c>
      <c r="V545" s="656" t="e">
        <f>+VLOOKUP($L545,Data_Validation!$A:$D,4,0)</f>
        <v>#N/A</v>
      </c>
      <c r="W545" s="656" t="e">
        <f>+VLOOKUP($L545,Data_Validation!$A:$E,5,0)</f>
        <v>#N/A</v>
      </c>
      <c r="X545" s="656" t="e">
        <f>+VLOOKUP($L545,Data_Validation!$A:$F,6,0)</f>
        <v>#N/A</v>
      </c>
    </row>
    <row r="546" spans="1:24" ht="15" customHeight="1">
      <c r="A546" s="714"/>
      <c r="B546" s="714"/>
      <c r="C546" s="715"/>
      <c r="D546" s="715"/>
      <c r="E546" s="715"/>
      <c r="F546" s="714"/>
      <c r="G546" s="714"/>
      <c r="H546" s="714"/>
      <c r="I546" s="716"/>
      <c r="J546" s="716"/>
      <c r="K546" s="716"/>
      <c r="L546" s="653" t="str">
        <f t="shared" si="524"/>
        <v>0</v>
      </c>
      <c r="M546" s="654">
        <f t="shared" si="520"/>
        <v>0</v>
      </c>
      <c r="N546" s="655">
        <f>+IF(OR($Q546=Parametres!$G$2,$Q546=Parametres!$G$3),I546,C546)</f>
        <v>0</v>
      </c>
      <c r="O546" s="655">
        <f>+IF(OR($Q546=Parametres!$G$2,$Q546=Parametres!$G$3),J546,D546)</f>
        <v>0</v>
      </c>
      <c r="P546" s="655">
        <f>+IF(OR($Q546=Parametres!$G$2,$Q546=Parametres!$G$3),K546,E546)</f>
        <v>0</v>
      </c>
      <c r="Q546" s="654">
        <f t="shared" ref="Q546:S546" si="556">+F546</f>
        <v>0</v>
      </c>
      <c r="R546" s="653">
        <f t="shared" si="556"/>
        <v>0</v>
      </c>
      <c r="S546" s="654">
        <f t="shared" si="556"/>
        <v>0</v>
      </c>
      <c r="T546" s="656" t="e">
        <f>+VLOOKUP($L546,Data_Validation!$A:$D,1,0)</f>
        <v>#N/A</v>
      </c>
      <c r="U546" s="656" t="e">
        <f>+VLOOKUP($L546,Data_Validation!$A:$D,3,0)</f>
        <v>#N/A</v>
      </c>
      <c r="V546" s="656" t="e">
        <f>+VLOOKUP($L546,Data_Validation!$A:$D,4,0)</f>
        <v>#N/A</v>
      </c>
      <c r="W546" s="656" t="e">
        <f>+VLOOKUP($L546,Data_Validation!$A:$E,5,0)</f>
        <v>#N/A</v>
      </c>
      <c r="X546" s="656" t="e">
        <f>+VLOOKUP($L546,Data_Validation!$A:$F,6,0)</f>
        <v>#N/A</v>
      </c>
    </row>
    <row r="547" spans="1:24" ht="15.75" customHeight="1">
      <c r="A547" s="714"/>
      <c r="B547" s="714"/>
      <c r="C547" s="715"/>
      <c r="D547" s="715"/>
      <c r="E547" s="715"/>
      <c r="F547" s="714"/>
      <c r="G547" s="714"/>
      <c r="H547" s="714"/>
      <c r="I547" s="716"/>
      <c r="J547" s="716"/>
      <c r="K547" s="716"/>
      <c r="L547" s="653" t="str">
        <f t="shared" si="524"/>
        <v>0</v>
      </c>
      <c r="M547" s="654">
        <f t="shared" si="520"/>
        <v>0</v>
      </c>
      <c r="N547" s="655">
        <f>+IF(OR($Q547=Parametres!$G$2,$Q547=Parametres!$G$3),I547,C547)</f>
        <v>0</v>
      </c>
      <c r="O547" s="655">
        <f>+IF(OR($Q547=Parametres!$G$2,$Q547=Parametres!$G$3),J547,D547)</f>
        <v>0</v>
      </c>
      <c r="P547" s="655">
        <f>+IF(OR($Q547=Parametres!$G$2,$Q547=Parametres!$G$3),K547,E547)</f>
        <v>0</v>
      </c>
      <c r="Q547" s="654">
        <f t="shared" ref="Q547:S547" si="557">+F547</f>
        <v>0</v>
      </c>
      <c r="R547" s="653">
        <f t="shared" si="557"/>
        <v>0</v>
      </c>
      <c r="S547" s="654">
        <f t="shared" si="557"/>
        <v>0</v>
      </c>
      <c r="T547" s="656" t="e">
        <f>+VLOOKUP($L547,Data_Validation!$A:$D,1,0)</f>
        <v>#N/A</v>
      </c>
      <c r="U547" s="656" t="e">
        <f>+VLOOKUP($L547,Data_Validation!$A:$D,3,0)</f>
        <v>#N/A</v>
      </c>
      <c r="V547" s="656" t="e">
        <f>+VLOOKUP($L547,Data_Validation!$A:$D,4,0)</f>
        <v>#N/A</v>
      </c>
      <c r="W547" s="656" t="e">
        <f>+VLOOKUP($L547,Data_Validation!$A:$E,5,0)</f>
        <v>#N/A</v>
      </c>
      <c r="X547" s="656" t="e">
        <f>+VLOOKUP($L547,Data_Validation!$A:$F,6,0)</f>
        <v>#N/A</v>
      </c>
    </row>
    <row r="548" spans="1:24" ht="15" customHeight="1">
      <c r="A548" s="714"/>
      <c r="B548" s="714"/>
      <c r="C548" s="715"/>
      <c r="D548" s="715"/>
      <c r="E548" s="715"/>
      <c r="F548" s="714"/>
      <c r="G548" s="714"/>
      <c r="H548" s="714"/>
      <c r="I548" s="716"/>
      <c r="J548" s="716"/>
      <c r="K548" s="716"/>
      <c r="L548" s="653" t="str">
        <f t="shared" si="524"/>
        <v>0</v>
      </c>
      <c r="M548" s="654">
        <f t="shared" si="520"/>
        <v>0</v>
      </c>
      <c r="N548" s="655">
        <f>+IF(OR($Q548=Parametres!$G$2,$Q548=Parametres!$G$3),I548,C548)</f>
        <v>0</v>
      </c>
      <c r="O548" s="655">
        <f>+IF(OR($Q548=Parametres!$G$2,$Q548=Parametres!$G$3),J548,D548)</f>
        <v>0</v>
      </c>
      <c r="P548" s="655">
        <f>+IF(OR($Q548=Parametres!$G$2,$Q548=Parametres!$G$3),K548,E548)</f>
        <v>0</v>
      </c>
      <c r="Q548" s="654">
        <f t="shared" ref="Q548:S548" si="558">+F548</f>
        <v>0</v>
      </c>
      <c r="R548" s="653">
        <f t="shared" si="558"/>
        <v>0</v>
      </c>
      <c r="S548" s="654">
        <f t="shared" si="558"/>
        <v>0</v>
      </c>
      <c r="T548" s="656" t="e">
        <f>+VLOOKUP($L548,Data_Validation!$A:$D,1,0)</f>
        <v>#N/A</v>
      </c>
      <c r="U548" s="656" t="e">
        <f>+VLOOKUP($L548,Data_Validation!$A:$D,3,0)</f>
        <v>#N/A</v>
      </c>
      <c r="V548" s="656" t="e">
        <f>+VLOOKUP($L548,Data_Validation!$A:$D,4,0)</f>
        <v>#N/A</v>
      </c>
      <c r="W548" s="656" t="e">
        <f>+VLOOKUP($L548,Data_Validation!$A:$E,5,0)</f>
        <v>#N/A</v>
      </c>
      <c r="X548" s="656" t="e">
        <f>+VLOOKUP($L548,Data_Validation!$A:$F,6,0)</f>
        <v>#N/A</v>
      </c>
    </row>
    <row r="549" spans="1:24" ht="15" customHeight="1">
      <c r="A549" s="714"/>
      <c r="B549" s="714"/>
      <c r="C549" s="715"/>
      <c r="D549" s="715"/>
      <c r="E549" s="715"/>
      <c r="F549" s="714"/>
      <c r="G549" s="714"/>
      <c r="H549" s="714"/>
      <c r="I549" s="716"/>
      <c r="J549" s="716"/>
      <c r="K549" s="716"/>
      <c r="L549" s="653" t="str">
        <f t="shared" si="524"/>
        <v>0</v>
      </c>
      <c r="M549" s="654">
        <f t="shared" si="520"/>
        <v>0</v>
      </c>
      <c r="N549" s="655">
        <f>+IF(OR($Q549=Parametres!$G$2,$Q549=Parametres!$G$3),I549,C549)</f>
        <v>0</v>
      </c>
      <c r="O549" s="655">
        <f>+IF(OR($Q549=Parametres!$G$2,$Q549=Parametres!$G$3),J549,D549)</f>
        <v>0</v>
      </c>
      <c r="P549" s="655">
        <f>+IF(OR($Q549=Parametres!$G$2,$Q549=Parametres!$G$3),K549,E549)</f>
        <v>0</v>
      </c>
      <c r="Q549" s="654">
        <f t="shared" ref="Q549:S549" si="559">+F549</f>
        <v>0</v>
      </c>
      <c r="R549" s="653">
        <f t="shared" si="559"/>
        <v>0</v>
      </c>
      <c r="S549" s="654">
        <f t="shared" si="559"/>
        <v>0</v>
      </c>
      <c r="T549" s="656" t="e">
        <f>+VLOOKUP($L549,Data_Validation!$A:$D,1,0)</f>
        <v>#N/A</v>
      </c>
      <c r="U549" s="656" t="e">
        <f>+VLOOKUP($L549,Data_Validation!$A:$D,3,0)</f>
        <v>#N/A</v>
      </c>
      <c r="V549" s="656" t="e">
        <f>+VLOOKUP($L549,Data_Validation!$A:$D,4,0)</f>
        <v>#N/A</v>
      </c>
      <c r="W549" s="656" t="e">
        <f>+VLOOKUP($L549,Data_Validation!$A:$E,5,0)</f>
        <v>#N/A</v>
      </c>
      <c r="X549" s="656" t="e">
        <f>+VLOOKUP($L549,Data_Validation!$A:$F,6,0)</f>
        <v>#N/A</v>
      </c>
    </row>
    <row r="550" spans="1:24" ht="15" customHeight="1">
      <c r="A550" s="714"/>
      <c r="B550" s="714"/>
      <c r="C550" s="715"/>
      <c r="D550" s="715"/>
      <c r="E550" s="715"/>
      <c r="F550" s="714"/>
      <c r="G550" s="714"/>
      <c r="H550" s="714"/>
      <c r="I550" s="716"/>
      <c r="J550" s="716"/>
      <c r="K550" s="716"/>
      <c r="L550" s="653" t="str">
        <f t="shared" si="524"/>
        <v>0</v>
      </c>
      <c r="M550" s="654">
        <f t="shared" si="520"/>
        <v>0</v>
      </c>
      <c r="N550" s="655">
        <f>+IF(OR($Q550=Parametres!$G$2,$Q550=Parametres!$G$3),I550,C550)</f>
        <v>0</v>
      </c>
      <c r="O550" s="655">
        <f>+IF(OR($Q550=Parametres!$G$2,$Q550=Parametres!$G$3),J550,D550)</f>
        <v>0</v>
      </c>
      <c r="P550" s="655">
        <f>+IF(OR($Q550=Parametres!$G$2,$Q550=Parametres!$G$3),K550,E550)</f>
        <v>0</v>
      </c>
      <c r="Q550" s="654">
        <f t="shared" ref="Q550:S550" si="560">+F550</f>
        <v>0</v>
      </c>
      <c r="R550" s="653">
        <f t="shared" si="560"/>
        <v>0</v>
      </c>
      <c r="S550" s="654">
        <f t="shared" si="560"/>
        <v>0</v>
      </c>
      <c r="T550" s="656" t="e">
        <f>+VLOOKUP($L550,Data_Validation!$A:$D,1,0)</f>
        <v>#N/A</v>
      </c>
      <c r="U550" s="656" t="e">
        <f>+VLOOKUP($L550,Data_Validation!$A:$D,3,0)</f>
        <v>#N/A</v>
      </c>
      <c r="V550" s="656" t="e">
        <f>+VLOOKUP($L550,Data_Validation!$A:$D,4,0)</f>
        <v>#N/A</v>
      </c>
      <c r="W550" s="656" t="e">
        <f>+VLOOKUP($L550,Data_Validation!$A:$E,5,0)</f>
        <v>#N/A</v>
      </c>
      <c r="X550" s="656" t="e">
        <f>+VLOOKUP($L550,Data_Validation!$A:$F,6,0)</f>
        <v>#N/A</v>
      </c>
    </row>
    <row r="551" spans="1:24" ht="15.75" customHeight="1">
      <c r="A551" s="714"/>
      <c r="B551" s="714"/>
      <c r="C551" s="715"/>
      <c r="D551" s="715"/>
      <c r="E551" s="715"/>
      <c r="F551" s="714"/>
      <c r="G551" s="714"/>
      <c r="H551" s="714"/>
      <c r="I551" s="716"/>
      <c r="J551" s="716"/>
      <c r="K551" s="716"/>
      <c r="L551" s="653" t="str">
        <f t="shared" si="524"/>
        <v>0</v>
      </c>
      <c r="M551" s="654">
        <f t="shared" si="520"/>
        <v>0</v>
      </c>
      <c r="N551" s="655">
        <f>+IF(OR($Q551=Parametres!$G$2,$Q551=Parametres!$G$3),I551,C551)</f>
        <v>0</v>
      </c>
      <c r="O551" s="655">
        <f>+IF(OR($Q551=Parametres!$G$2,$Q551=Parametres!$G$3),J551,D551)</f>
        <v>0</v>
      </c>
      <c r="P551" s="655">
        <f>+IF(OR($Q551=Parametres!$G$2,$Q551=Parametres!$G$3),K551,E551)</f>
        <v>0</v>
      </c>
      <c r="Q551" s="654">
        <f t="shared" ref="Q551:S551" si="561">+F551</f>
        <v>0</v>
      </c>
      <c r="R551" s="653">
        <f t="shared" si="561"/>
        <v>0</v>
      </c>
      <c r="S551" s="654">
        <f t="shared" si="561"/>
        <v>0</v>
      </c>
      <c r="T551" s="656" t="e">
        <f>+VLOOKUP($L551,Data_Validation!$A:$D,1,0)</f>
        <v>#N/A</v>
      </c>
      <c r="U551" s="656" t="e">
        <f>+VLOOKUP($L551,Data_Validation!$A:$D,3,0)</f>
        <v>#N/A</v>
      </c>
      <c r="V551" s="656" t="e">
        <f>+VLOOKUP($L551,Data_Validation!$A:$D,4,0)</f>
        <v>#N/A</v>
      </c>
      <c r="W551" s="656" t="e">
        <f>+VLOOKUP($L551,Data_Validation!$A:$E,5,0)</f>
        <v>#N/A</v>
      </c>
      <c r="X551" s="656" t="e">
        <f>+VLOOKUP($L551,Data_Validation!$A:$F,6,0)</f>
        <v>#N/A</v>
      </c>
    </row>
    <row r="552" spans="1:24" ht="15" customHeight="1">
      <c r="A552" s="714"/>
      <c r="B552" s="714"/>
      <c r="C552" s="715"/>
      <c r="D552" s="715"/>
      <c r="E552" s="715"/>
      <c r="F552" s="714"/>
      <c r="G552" s="714"/>
      <c r="H552" s="714"/>
      <c r="I552" s="716"/>
      <c r="J552" s="716"/>
      <c r="K552" s="716"/>
      <c r="L552" s="653" t="str">
        <f t="shared" si="524"/>
        <v>0</v>
      </c>
      <c r="M552" s="654">
        <f t="shared" si="520"/>
        <v>0</v>
      </c>
      <c r="N552" s="655">
        <f>+IF(OR($Q552=Parametres!$G$2,$Q552=Parametres!$G$3),I552,C552)</f>
        <v>0</v>
      </c>
      <c r="O552" s="655">
        <f>+IF(OR($Q552=Parametres!$G$2,$Q552=Parametres!$G$3),J552,D552)</f>
        <v>0</v>
      </c>
      <c r="P552" s="655">
        <f>+IF(OR($Q552=Parametres!$G$2,$Q552=Parametres!$G$3),K552,E552)</f>
        <v>0</v>
      </c>
      <c r="Q552" s="654">
        <f t="shared" ref="Q552:S552" si="562">+F552</f>
        <v>0</v>
      </c>
      <c r="R552" s="653">
        <f t="shared" si="562"/>
        <v>0</v>
      </c>
      <c r="S552" s="654">
        <f t="shared" si="562"/>
        <v>0</v>
      </c>
      <c r="T552" s="656" t="e">
        <f>+VLOOKUP($L552,Data_Validation!$A:$D,1,0)</f>
        <v>#N/A</v>
      </c>
      <c r="U552" s="656" t="e">
        <f>+VLOOKUP($L552,Data_Validation!$A:$D,3,0)</f>
        <v>#N/A</v>
      </c>
      <c r="V552" s="656" t="e">
        <f>+VLOOKUP($L552,Data_Validation!$A:$D,4,0)</f>
        <v>#N/A</v>
      </c>
      <c r="W552" s="656" t="e">
        <f>+VLOOKUP($L552,Data_Validation!$A:$E,5,0)</f>
        <v>#N/A</v>
      </c>
      <c r="X552" s="656" t="e">
        <f>+VLOOKUP($L552,Data_Validation!$A:$F,6,0)</f>
        <v>#N/A</v>
      </c>
    </row>
    <row r="553" spans="1:24" ht="15" customHeight="1">
      <c r="A553" s="714"/>
      <c r="B553" s="714"/>
      <c r="C553" s="715"/>
      <c r="D553" s="715"/>
      <c r="E553" s="715"/>
      <c r="F553" s="714"/>
      <c r="G553" s="714"/>
      <c r="H553" s="714"/>
      <c r="I553" s="716"/>
      <c r="J553" s="716"/>
      <c r="K553" s="716"/>
      <c r="L553" s="653" t="str">
        <f t="shared" si="524"/>
        <v>0</v>
      </c>
      <c r="M553" s="654">
        <f t="shared" si="520"/>
        <v>0</v>
      </c>
      <c r="N553" s="655">
        <f>+IF(OR($Q553=Parametres!$G$2,$Q553=Parametres!$G$3),I553,C553)</f>
        <v>0</v>
      </c>
      <c r="O553" s="655">
        <f>+IF(OR($Q553=Parametres!$G$2,$Q553=Parametres!$G$3),J553,D553)</f>
        <v>0</v>
      </c>
      <c r="P553" s="655">
        <f>+IF(OR($Q553=Parametres!$G$2,$Q553=Parametres!$G$3),K553,E553)</f>
        <v>0</v>
      </c>
      <c r="Q553" s="654">
        <f t="shared" ref="Q553:S553" si="563">+F553</f>
        <v>0</v>
      </c>
      <c r="R553" s="653">
        <f t="shared" si="563"/>
        <v>0</v>
      </c>
      <c r="S553" s="654">
        <f t="shared" si="563"/>
        <v>0</v>
      </c>
      <c r="T553" s="656" t="e">
        <f>+VLOOKUP($L553,Data_Validation!$A:$D,1,0)</f>
        <v>#N/A</v>
      </c>
      <c r="U553" s="656" t="e">
        <f>+VLOOKUP($L553,Data_Validation!$A:$D,3,0)</f>
        <v>#N/A</v>
      </c>
      <c r="V553" s="656" t="e">
        <f>+VLOOKUP($L553,Data_Validation!$A:$D,4,0)</f>
        <v>#N/A</v>
      </c>
      <c r="W553" s="656" t="e">
        <f>+VLOOKUP($L553,Data_Validation!$A:$E,5,0)</f>
        <v>#N/A</v>
      </c>
      <c r="X553" s="656" t="e">
        <f>+VLOOKUP($L553,Data_Validation!$A:$F,6,0)</f>
        <v>#N/A</v>
      </c>
    </row>
    <row r="554" spans="1:24" ht="15" customHeight="1">
      <c r="A554" s="714"/>
      <c r="B554" s="714"/>
      <c r="C554" s="715"/>
      <c r="D554" s="715"/>
      <c r="E554" s="715"/>
      <c r="F554" s="714"/>
      <c r="G554" s="714"/>
      <c r="H554" s="714"/>
      <c r="I554" s="716"/>
      <c r="J554" s="716"/>
      <c r="K554" s="716"/>
      <c r="L554" s="653" t="str">
        <f t="shared" si="524"/>
        <v>0</v>
      </c>
      <c r="M554" s="654">
        <f t="shared" si="520"/>
        <v>0</v>
      </c>
      <c r="N554" s="655">
        <f>+IF(OR($Q554=Parametres!$G$2,$Q554=Parametres!$G$3),I554,C554)</f>
        <v>0</v>
      </c>
      <c r="O554" s="655">
        <f>+IF(OR($Q554=Parametres!$G$2,$Q554=Parametres!$G$3),J554,D554)</f>
        <v>0</v>
      </c>
      <c r="P554" s="655">
        <f>+IF(OR($Q554=Parametres!$G$2,$Q554=Parametres!$G$3),K554,E554)</f>
        <v>0</v>
      </c>
      <c r="Q554" s="654">
        <f t="shared" ref="Q554:S554" si="564">+F554</f>
        <v>0</v>
      </c>
      <c r="R554" s="653">
        <f t="shared" si="564"/>
        <v>0</v>
      </c>
      <c r="S554" s="654">
        <f t="shared" si="564"/>
        <v>0</v>
      </c>
      <c r="T554" s="656" t="e">
        <f>+VLOOKUP($L554,Data_Validation!$A:$D,1,0)</f>
        <v>#N/A</v>
      </c>
      <c r="U554" s="656" t="e">
        <f>+VLOOKUP($L554,Data_Validation!$A:$D,3,0)</f>
        <v>#N/A</v>
      </c>
      <c r="V554" s="656" t="e">
        <f>+VLOOKUP($L554,Data_Validation!$A:$D,4,0)</f>
        <v>#N/A</v>
      </c>
      <c r="W554" s="656" t="e">
        <f>+VLOOKUP($L554,Data_Validation!$A:$E,5,0)</f>
        <v>#N/A</v>
      </c>
      <c r="X554" s="656" t="e">
        <f>+VLOOKUP($L554,Data_Validation!$A:$F,6,0)</f>
        <v>#N/A</v>
      </c>
    </row>
    <row r="555" spans="1:24" ht="15.75" customHeight="1">
      <c r="A555" s="714"/>
      <c r="B555" s="714"/>
      <c r="C555" s="715"/>
      <c r="D555" s="715"/>
      <c r="E555" s="715"/>
      <c r="F555" s="714"/>
      <c r="G555" s="714"/>
      <c r="H555" s="714"/>
      <c r="I555" s="716"/>
      <c r="J555" s="716"/>
      <c r="K555" s="716"/>
      <c r="L555" s="653" t="str">
        <f t="shared" si="524"/>
        <v>0</v>
      </c>
      <c r="M555" s="654">
        <f t="shared" si="520"/>
        <v>0</v>
      </c>
      <c r="N555" s="655">
        <f>+IF(OR($Q555=Parametres!$G$2,$Q555=Parametres!$G$3),I555,C555)</f>
        <v>0</v>
      </c>
      <c r="O555" s="655">
        <f>+IF(OR($Q555=Parametres!$G$2,$Q555=Parametres!$G$3),J555,D555)</f>
        <v>0</v>
      </c>
      <c r="P555" s="655">
        <f>+IF(OR($Q555=Parametres!$G$2,$Q555=Parametres!$G$3),K555,E555)</f>
        <v>0</v>
      </c>
      <c r="Q555" s="654">
        <f t="shared" ref="Q555:S555" si="565">+F555</f>
        <v>0</v>
      </c>
      <c r="R555" s="653">
        <f t="shared" si="565"/>
        <v>0</v>
      </c>
      <c r="S555" s="654">
        <f t="shared" si="565"/>
        <v>0</v>
      </c>
      <c r="T555" s="656" t="e">
        <f>+VLOOKUP($L555,Data_Validation!$A:$D,1,0)</f>
        <v>#N/A</v>
      </c>
      <c r="U555" s="656" t="e">
        <f>+VLOOKUP($L555,Data_Validation!$A:$D,3,0)</f>
        <v>#N/A</v>
      </c>
      <c r="V555" s="656" t="e">
        <f>+VLOOKUP($L555,Data_Validation!$A:$D,4,0)</f>
        <v>#N/A</v>
      </c>
      <c r="W555" s="656" t="e">
        <f>+VLOOKUP($L555,Data_Validation!$A:$E,5,0)</f>
        <v>#N/A</v>
      </c>
      <c r="X555" s="656" t="e">
        <f>+VLOOKUP($L555,Data_Validation!$A:$F,6,0)</f>
        <v>#N/A</v>
      </c>
    </row>
    <row r="556" spans="1:24" ht="15" customHeight="1">
      <c r="A556" s="714"/>
      <c r="B556" s="714"/>
      <c r="C556" s="715"/>
      <c r="D556" s="715"/>
      <c r="E556" s="715"/>
      <c r="F556" s="714"/>
      <c r="G556" s="714"/>
      <c r="H556" s="714"/>
      <c r="I556" s="716"/>
      <c r="J556" s="716"/>
      <c r="K556" s="716"/>
      <c r="L556" s="653" t="str">
        <f t="shared" si="524"/>
        <v>0</v>
      </c>
      <c r="M556" s="654">
        <f t="shared" si="520"/>
        <v>0</v>
      </c>
      <c r="N556" s="655">
        <f>+IF(OR($Q556=Parametres!$G$2,$Q556=Parametres!$G$3),I556,C556)</f>
        <v>0</v>
      </c>
      <c r="O556" s="655">
        <f>+IF(OR($Q556=Parametres!$G$2,$Q556=Parametres!$G$3),J556,D556)</f>
        <v>0</v>
      </c>
      <c r="P556" s="655">
        <f>+IF(OR($Q556=Parametres!$G$2,$Q556=Parametres!$G$3),K556,E556)</f>
        <v>0</v>
      </c>
      <c r="Q556" s="654">
        <f t="shared" ref="Q556:S556" si="566">+F556</f>
        <v>0</v>
      </c>
      <c r="R556" s="653">
        <f t="shared" si="566"/>
        <v>0</v>
      </c>
      <c r="S556" s="654">
        <f t="shared" si="566"/>
        <v>0</v>
      </c>
      <c r="T556" s="656" t="e">
        <f>+VLOOKUP($L556,Data_Validation!$A:$D,1,0)</f>
        <v>#N/A</v>
      </c>
      <c r="U556" s="656" t="e">
        <f>+VLOOKUP($L556,Data_Validation!$A:$D,3,0)</f>
        <v>#N/A</v>
      </c>
      <c r="V556" s="656" t="e">
        <f>+VLOOKUP($L556,Data_Validation!$A:$D,4,0)</f>
        <v>#N/A</v>
      </c>
      <c r="W556" s="656" t="e">
        <f>+VLOOKUP($L556,Data_Validation!$A:$E,5,0)</f>
        <v>#N/A</v>
      </c>
      <c r="X556" s="656" t="e">
        <f>+VLOOKUP($L556,Data_Validation!$A:$F,6,0)</f>
        <v>#N/A</v>
      </c>
    </row>
    <row r="557" spans="1:24" ht="15" customHeight="1">
      <c r="A557" s="714"/>
      <c r="B557" s="714"/>
      <c r="C557" s="715"/>
      <c r="D557" s="715"/>
      <c r="E557" s="715"/>
      <c r="F557" s="714"/>
      <c r="G557" s="714"/>
      <c r="H557" s="714"/>
      <c r="I557" s="716"/>
      <c r="J557" s="716"/>
      <c r="K557" s="716"/>
      <c r="L557" s="653" t="str">
        <f t="shared" si="524"/>
        <v>0</v>
      </c>
      <c r="M557" s="654">
        <f t="shared" si="520"/>
        <v>0</v>
      </c>
      <c r="N557" s="655">
        <f>+IF(OR($Q557=Parametres!$G$2,$Q557=Parametres!$G$3),I557,C557)</f>
        <v>0</v>
      </c>
      <c r="O557" s="655">
        <f>+IF(OR($Q557=Parametres!$G$2,$Q557=Parametres!$G$3),J557,D557)</f>
        <v>0</v>
      </c>
      <c r="P557" s="655">
        <f>+IF(OR($Q557=Parametres!$G$2,$Q557=Parametres!$G$3),K557,E557)</f>
        <v>0</v>
      </c>
      <c r="Q557" s="654">
        <f t="shared" ref="Q557:S557" si="567">+F557</f>
        <v>0</v>
      </c>
      <c r="R557" s="653">
        <f t="shared" si="567"/>
        <v>0</v>
      </c>
      <c r="S557" s="654">
        <f t="shared" si="567"/>
        <v>0</v>
      </c>
      <c r="T557" s="656" t="e">
        <f>+VLOOKUP($L557,Data_Validation!$A:$D,1,0)</f>
        <v>#N/A</v>
      </c>
      <c r="U557" s="656" t="e">
        <f>+VLOOKUP($L557,Data_Validation!$A:$D,3,0)</f>
        <v>#N/A</v>
      </c>
      <c r="V557" s="656" t="e">
        <f>+VLOOKUP($L557,Data_Validation!$A:$D,4,0)</f>
        <v>#N/A</v>
      </c>
      <c r="W557" s="656" t="e">
        <f>+VLOOKUP($L557,Data_Validation!$A:$E,5,0)</f>
        <v>#N/A</v>
      </c>
      <c r="X557" s="656" t="e">
        <f>+VLOOKUP($L557,Data_Validation!$A:$F,6,0)</f>
        <v>#N/A</v>
      </c>
    </row>
    <row r="558" spans="1:24" ht="15" customHeight="1">
      <c r="A558" s="714"/>
      <c r="B558" s="714"/>
      <c r="C558" s="715"/>
      <c r="D558" s="715"/>
      <c r="E558" s="715"/>
      <c r="F558" s="714"/>
      <c r="G558" s="714"/>
      <c r="H558" s="714"/>
      <c r="I558" s="716"/>
      <c r="J558" s="716"/>
      <c r="K558" s="716"/>
      <c r="L558" s="653" t="str">
        <f t="shared" si="524"/>
        <v>0</v>
      </c>
      <c r="M558" s="654">
        <f t="shared" si="520"/>
        <v>0</v>
      </c>
      <c r="N558" s="655">
        <f>+IF(OR($Q558=Parametres!$G$2,$Q558=Parametres!$G$3),I558,C558)</f>
        <v>0</v>
      </c>
      <c r="O558" s="655">
        <f>+IF(OR($Q558=Parametres!$G$2,$Q558=Parametres!$G$3),J558,D558)</f>
        <v>0</v>
      </c>
      <c r="P558" s="655">
        <f>+IF(OR($Q558=Parametres!$G$2,$Q558=Parametres!$G$3),K558,E558)</f>
        <v>0</v>
      </c>
      <c r="Q558" s="654">
        <f t="shared" ref="Q558:S558" si="568">+F558</f>
        <v>0</v>
      </c>
      <c r="R558" s="653">
        <f t="shared" si="568"/>
        <v>0</v>
      </c>
      <c r="S558" s="654">
        <f t="shared" si="568"/>
        <v>0</v>
      </c>
      <c r="T558" s="656" t="e">
        <f>+VLOOKUP($L558,Data_Validation!$A:$D,1,0)</f>
        <v>#N/A</v>
      </c>
      <c r="U558" s="656" t="e">
        <f>+VLOOKUP($L558,Data_Validation!$A:$D,3,0)</f>
        <v>#N/A</v>
      </c>
      <c r="V558" s="656" t="e">
        <f>+VLOOKUP($L558,Data_Validation!$A:$D,4,0)</f>
        <v>#N/A</v>
      </c>
      <c r="W558" s="656" t="e">
        <f>+VLOOKUP($L558,Data_Validation!$A:$E,5,0)</f>
        <v>#N/A</v>
      </c>
      <c r="X558" s="656" t="e">
        <f>+VLOOKUP($L558,Data_Validation!$A:$F,6,0)</f>
        <v>#N/A</v>
      </c>
    </row>
    <row r="559" spans="1:24" ht="15.75" customHeight="1">
      <c r="A559" s="714"/>
      <c r="B559" s="714"/>
      <c r="C559" s="715"/>
      <c r="D559" s="715"/>
      <c r="E559" s="715"/>
      <c r="F559" s="714"/>
      <c r="G559" s="714"/>
      <c r="H559" s="714"/>
      <c r="I559" s="716"/>
      <c r="J559" s="716"/>
      <c r="K559" s="716"/>
      <c r="L559" s="653" t="str">
        <f t="shared" si="524"/>
        <v>0</v>
      </c>
      <c r="M559" s="654">
        <f t="shared" si="520"/>
        <v>0</v>
      </c>
      <c r="N559" s="655">
        <f>+IF(OR($Q559=Parametres!$G$2,$Q559=Parametres!$G$3),I559,C559)</f>
        <v>0</v>
      </c>
      <c r="O559" s="655">
        <f>+IF(OR($Q559=Parametres!$G$2,$Q559=Parametres!$G$3),J559,D559)</f>
        <v>0</v>
      </c>
      <c r="P559" s="655">
        <f>+IF(OR($Q559=Parametres!$G$2,$Q559=Parametres!$G$3),K559,E559)</f>
        <v>0</v>
      </c>
      <c r="Q559" s="654">
        <f t="shared" ref="Q559:S559" si="569">+F559</f>
        <v>0</v>
      </c>
      <c r="R559" s="653">
        <f t="shared" si="569"/>
        <v>0</v>
      </c>
      <c r="S559" s="654">
        <f t="shared" si="569"/>
        <v>0</v>
      </c>
      <c r="T559" s="656" t="e">
        <f>+VLOOKUP($L559,Data_Validation!$A:$D,1,0)</f>
        <v>#N/A</v>
      </c>
      <c r="U559" s="656" t="e">
        <f>+VLOOKUP($L559,Data_Validation!$A:$D,3,0)</f>
        <v>#N/A</v>
      </c>
      <c r="V559" s="656" t="e">
        <f>+VLOOKUP($L559,Data_Validation!$A:$D,4,0)</f>
        <v>#N/A</v>
      </c>
      <c r="W559" s="656" t="e">
        <f>+VLOOKUP($L559,Data_Validation!$A:$E,5,0)</f>
        <v>#N/A</v>
      </c>
      <c r="X559" s="656" t="e">
        <f>+VLOOKUP($L559,Data_Validation!$A:$F,6,0)</f>
        <v>#N/A</v>
      </c>
    </row>
    <row r="560" spans="1:24" ht="15" customHeight="1">
      <c r="A560" s="714"/>
      <c r="B560" s="714"/>
      <c r="C560" s="715"/>
      <c r="D560" s="715"/>
      <c r="E560" s="715"/>
      <c r="F560" s="714"/>
      <c r="G560" s="714"/>
      <c r="H560" s="714"/>
      <c r="I560" s="716"/>
      <c r="J560" s="716"/>
      <c r="K560" s="716"/>
      <c r="L560" s="653" t="str">
        <f t="shared" si="524"/>
        <v>0</v>
      </c>
      <c r="M560" s="654">
        <f t="shared" si="520"/>
        <v>0</v>
      </c>
      <c r="N560" s="655">
        <f>+IF(OR($Q560=Parametres!$G$2,$Q560=Parametres!$G$3),I560,C560)</f>
        <v>0</v>
      </c>
      <c r="O560" s="655">
        <f>+IF(OR($Q560=Parametres!$G$2,$Q560=Parametres!$G$3),J560,D560)</f>
        <v>0</v>
      </c>
      <c r="P560" s="655">
        <f>+IF(OR($Q560=Parametres!$G$2,$Q560=Parametres!$G$3),K560,E560)</f>
        <v>0</v>
      </c>
      <c r="Q560" s="654">
        <f t="shared" ref="Q560:S560" si="570">+F560</f>
        <v>0</v>
      </c>
      <c r="R560" s="653">
        <f t="shared" si="570"/>
        <v>0</v>
      </c>
      <c r="S560" s="654">
        <f t="shared" si="570"/>
        <v>0</v>
      </c>
      <c r="T560" s="656" t="e">
        <f>+VLOOKUP($L560,Data_Validation!$A:$D,1,0)</f>
        <v>#N/A</v>
      </c>
      <c r="U560" s="656" t="e">
        <f>+VLOOKUP($L560,Data_Validation!$A:$D,3,0)</f>
        <v>#N/A</v>
      </c>
      <c r="V560" s="656" t="e">
        <f>+VLOOKUP($L560,Data_Validation!$A:$D,4,0)</f>
        <v>#N/A</v>
      </c>
      <c r="W560" s="656" t="e">
        <f>+VLOOKUP($L560,Data_Validation!$A:$E,5,0)</f>
        <v>#N/A</v>
      </c>
      <c r="X560" s="656" t="e">
        <f>+VLOOKUP($L560,Data_Validation!$A:$F,6,0)</f>
        <v>#N/A</v>
      </c>
    </row>
    <row r="561" spans="1:24" ht="15" customHeight="1">
      <c r="A561" s="714"/>
      <c r="B561" s="714"/>
      <c r="C561" s="715"/>
      <c r="D561" s="715"/>
      <c r="E561" s="715"/>
      <c r="F561" s="714"/>
      <c r="G561" s="714"/>
      <c r="H561" s="714"/>
      <c r="I561" s="716"/>
      <c r="J561" s="716"/>
      <c r="K561" s="716"/>
      <c r="L561" s="653" t="str">
        <f t="shared" si="524"/>
        <v>0</v>
      </c>
      <c r="M561" s="654">
        <f t="shared" si="520"/>
        <v>0</v>
      </c>
      <c r="N561" s="655">
        <f>+IF(OR($Q561=Parametres!$G$2,$Q561=Parametres!$G$3),I561,C561)</f>
        <v>0</v>
      </c>
      <c r="O561" s="655">
        <f>+IF(OR($Q561=Parametres!$G$2,$Q561=Parametres!$G$3),J561,D561)</f>
        <v>0</v>
      </c>
      <c r="P561" s="655">
        <f>+IF(OR($Q561=Parametres!$G$2,$Q561=Parametres!$G$3),K561,E561)</f>
        <v>0</v>
      </c>
      <c r="Q561" s="654">
        <f t="shared" ref="Q561:S561" si="571">+F561</f>
        <v>0</v>
      </c>
      <c r="R561" s="653">
        <f t="shared" si="571"/>
        <v>0</v>
      </c>
      <c r="S561" s="654">
        <f t="shared" si="571"/>
        <v>0</v>
      </c>
      <c r="T561" s="656" t="e">
        <f>+VLOOKUP($L561,Data_Validation!$A:$D,1,0)</f>
        <v>#N/A</v>
      </c>
      <c r="U561" s="656" t="e">
        <f>+VLOOKUP($L561,Data_Validation!$A:$D,3,0)</f>
        <v>#N/A</v>
      </c>
      <c r="V561" s="656" t="e">
        <f>+VLOOKUP($L561,Data_Validation!$A:$D,4,0)</f>
        <v>#N/A</v>
      </c>
      <c r="W561" s="656" t="e">
        <f>+VLOOKUP($L561,Data_Validation!$A:$E,5,0)</f>
        <v>#N/A</v>
      </c>
      <c r="X561" s="656" t="e">
        <f>+VLOOKUP($L561,Data_Validation!$A:$F,6,0)</f>
        <v>#N/A</v>
      </c>
    </row>
    <row r="562" spans="1:24" ht="15" customHeight="1">
      <c r="A562" s="714"/>
      <c r="B562" s="714"/>
      <c r="C562" s="715"/>
      <c r="D562" s="715"/>
      <c r="E562" s="715"/>
      <c r="F562" s="714"/>
      <c r="G562" s="714"/>
      <c r="H562" s="714"/>
      <c r="I562" s="716"/>
      <c r="J562" s="716"/>
      <c r="K562" s="716"/>
      <c r="L562" s="653" t="str">
        <f t="shared" si="524"/>
        <v>0</v>
      </c>
      <c r="M562" s="654">
        <f t="shared" si="520"/>
        <v>0</v>
      </c>
      <c r="N562" s="655">
        <f>+IF(OR($Q562=Parametres!$G$2,$Q562=Parametres!$G$3),I562,C562)</f>
        <v>0</v>
      </c>
      <c r="O562" s="655">
        <f>+IF(OR($Q562=Parametres!$G$2,$Q562=Parametres!$G$3),J562,D562)</f>
        <v>0</v>
      </c>
      <c r="P562" s="655">
        <f>+IF(OR($Q562=Parametres!$G$2,$Q562=Parametres!$G$3),K562,E562)</f>
        <v>0</v>
      </c>
      <c r="Q562" s="654">
        <f t="shared" ref="Q562:S562" si="572">+F562</f>
        <v>0</v>
      </c>
      <c r="R562" s="653">
        <f t="shared" si="572"/>
        <v>0</v>
      </c>
      <c r="S562" s="654">
        <f t="shared" si="572"/>
        <v>0</v>
      </c>
      <c r="T562" s="656" t="e">
        <f>+VLOOKUP($L562,Data_Validation!$A:$D,1,0)</f>
        <v>#N/A</v>
      </c>
      <c r="U562" s="656" t="e">
        <f>+VLOOKUP($L562,Data_Validation!$A:$D,3,0)</f>
        <v>#N/A</v>
      </c>
      <c r="V562" s="656" t="e">
        <f>+VLOOKUP($L562,Data_Validation!$A:$D,4,0)</f>
        <v>#N/A</v>
      </c>
      <c r="W562" s="656" t="e">
        <f>+VLOOKUP($L562,Data_Validation!$A:$E,5,0)</f>
        <v>#N/A</v>
      </c>
      <c r="X562" s="656" t="e">
        <f>+VLOOKUP($L562,Data_Validation!$A:$F,6,0)</f>
        <v>#N/A</v>
      </c>
    </row>
    <row r="563" spans="1:24" ht="15.75" customHeight="1">
      <c r="A563" s="714"/>
      <c r="B563" s="714"/>
      <c r="C563" s="715"/>
      <c r="D563" s="715"/>
      <c r="E563" s="715"/>
      <c r="F563" s="714"/>
      <c r="G563" s="714"/>
      <c r="H563" s="714"/>
      <c r="I563" s="716"/>
      <c r="J563" s="716"/>
      <c r="K563" s="716"/>
      <c r="L563" s="653" t="str">
        <f t="shared" si="524"/>
        <v>0</v>
      </c>
      <c r="M563" s="654">
        <f t="shared" si="520"/>
        <v>0</v>
      </c>
      <c r="N563" s="655">
        <f>+IF(OR($Q563=Parametres!$G$2,$Q563=Parametres!$G$3),I563,C563)</f>
        <v>0</v>
      </c>
      <c r="O563" s="655">
        <f>+IF(OR($Q563=Parametres!$G$2,$Q563=Parametres!$G$3),J563,D563)</f>
        <v>0</v>
      </c>
      <c r="P563" s="655">
        <f>+IF(OR($Q563=Parametres!$G$2,$Q563=Parametres!$G$3),K563,E563)</f>
        <v>0</v>
      </c>
      <c r="Q563" s="654">
        <f t="shared" ref="Q563:S563" si="573">+F563</f>
        <v>0</v>
      </c>
      <c r="R563" s="653">
        <f t="shared" si="573"/>
        <v>0</v>
      </c>
      <c r="S563" s="654">
        <f t="shared" si="573"/>
        <v>0</v>
      </c>
      <c r="T563" s="656" t="e">
        <f>+VLOOKUP($L563,Data_Validation!$A:$D,1,0)</f>
        <v>#N/A</v>
      </c>
      <c r="U563" s="656" t="e">
        <f>+VLOOKUP($L563,Data_Validation!$A:$D,3,0)</f>
        <v>#N/A</v>
      </c>
      <c r="V563" s="656" t="e">
        <f>+VLOOKUP($L563,Data_Validation!$A:$D,4,0)</f>
        <v>#N/A</v>
      </c>
      <c r="W563" s="656" t="e">
        <f>+VLOOKUP($L563,Data_Validation!$A:$E,5,0)</f>
        <v>#N/A</v>
      </c>
      <c r="X563" s="656" t="e">
        <f>+VLOOKUP($L563,Data_Validation!$A:$F,6,0)</f>
        <v>#N/A</v>
      </c>
    </row>
    <row r="564" spans="1:24" ht="15" customHeight="1">
      <c r="A564" s="714"/>
      <c r="B564" s="714"/>
      <c r="C564" s="715"/>
      <c r="D564" s="715"/>
      <c r="E564" s="715"/>
      <c r="F564" s="714"/>
      <c r="G564" s="714"/>
      <c r="H564" s="714"/>
      <c r="I564" s="716"/>
      <c r="J564" s="716"/>
      <c r="K564" s="716"/>
      <c r="L564" s="653" t="str">
        <f t="shared" si="524"/>
        <v>0</v>
      </c>
      <c r="M564" s="654">
        <f t="shared" si="520"/>
        <v>0</v>
      </c>
      <c r="N564" s="655">
        <f>+IF(OR($Q564=Parametres!$G$2,$Q564=Parametres!$G$3),I564,C564)</f>
        <v>0</v>
      </c>
      <c r="O564" s="655">
        <f>+IF(OR($Q564=Parametres!$G$2,$Q564=Parametres!$G$3),J564,D564)</f>
        <v>0</v>
      </c>
      <c r="P564" s="655">
        <f>+IF(OR($Q564=Parametres!$G$2,$Q564=Parametres!$G$3),K564,E564)</f>
        <v>0</v>
      </c>
      <c r="Q564" s="654">
        <f t="shared" ref="Q564:S564" si="574">+F564</f>
        <v>0</v>
      </c>
      <c r="R564" s="653">
        <f t="shared" si="574"/>
        <v>0</v>
      </c>
      <c r="S564" s="654">
        <f t="shared" si="574"/>
        <v>0</v>
      </c>
      <c r="T564" s="656" t="e">
        <f>+VLOOKUP($L564,Data_Validation!$A:$D,1,0)</f>
        <v>#N/A</v>
      </c>
      <c r="U564" s="656" t="e">
        <f>+VLOOKUP($L564,Data_Validation!$A:$D,3,0)</f>
        <v>#N/A</v>
      </c>
      <c r="V564" s="656" t="e">
        <f>+VLOOKUP($L564,Data_Validation!$A:$D,4,0)</f>
        <v>#N/A</v>
      </c>
      <c r="W564" s="656" t="e">
        <f>+VLOOKUP($L564,Data_Validation!$A:$E,5,0)</f>
        <v>#N/A</v>
      </c>
      <c r="X564" s="656" t="e">
        <f>+VLOOKUP($L564,Data_Validation!$A:$F,6,0)</f>
        <v>#N/A</v>
      </c>
    </row>
    <row r="565" spans="1:24" ht="15" customHeight="1">
      <c r="A565" s="714"/>
      <c r="B565" s="714"/>
      <c r="C565" s="715"/>
      <c r="D565" s="715"/>
      <c r="E565" s="715"/>
      <c r="F565" s="714"/>
      <c r="G565" s="714"/>
      <c r="H565" s="714"/>
      <c r="I565" s="716"/>
      <c r="J565" s="716"/>
      <c r="K565" s="716"/>
      <c r="L565" s="653" t="str">
        <f t="shared" si="524"/>
        <v>0</v>
      </c>
      <c r="M565" s="654">
        <f t="shared" si="520"/>
        <v>0</v>
      </c>
      <c r="N565" s="655">
        <f>+IF(OR($Q565=Parametres!$G$2,$Q565=Parametres!$G$3),I565,C565)</f>
        <v>0</v>
      </c>
      <c r="O565" s="655">
        <f>+IF(OR($Q565=Parametres!$G$2,$Q565=Parametres!$G$3),J565,D565)</f>
        <v>0</v>
      </c>
      <c r="P565" s="655">
        <f>+IF(OR($Q565=Parametres!$G$2,$Q565=Parametres!$G$3),K565,E565)</f>
        <v>0</v>
      </c>
      <c r="Q565" s="654">
        <f t="shared" ref="Q565:S565" si="575">+F565</f>
        <v>0</v>
      </c>
      <c r="R565" s="653">
        <f t="shared" si="575"/>
        <v>0</v>
      </c>
      <c r="S565" s="654">
        <f t="shared" si="575"/>
        <v>0</v>
      </c>
      <c r="T565" s="656" t="e">
        <f>+VLOOKUP($L565,Data_Validation!$A:$D,1,0)</f>
        <v>#N/A</v>
      </c>
      <c r="U565" s="656" t="e">
        <f>+VLOOKUP($L565,Data_Validation!$A:$D,3,0)</f>
        <v>#N/A</v>
      </c>
      <c r="V565" s="656" t="e">
        <f>+VLOOKUP($L565,Data_Validation!$A:$D,4,0)</f>
        <v>#N/A</v>
      </c>
      <c r="W565" s="656" t="e">
        <f>+VLOOKUP($L565,Data_Validation!$A:$E,5,0)</f>
        <v>#N/A</v>
      </c>
      <c r="X565" s="656" t="e">
        <f>+VLOOKUP($L565,Data_Validation!$A:$F,6,0)</f>
        <v>#N/A</v>
      </c>
    </row>
    <row r="566" spans="1:24" ht="15" customHeight="1">
      <c r="A566" s="714"/>
      <c r="B566" s="714"/>
      <c r="C566" s="715"/>
      <c r="D566" s="715"/>
      <c r="E566" s="715"/>
      <c r="F566" s="714"/>
      <c r="G566" s="714"/>
      <c r="H566" s="714"/>
      <c r="I566" s="716"/>
      <c r="J566" s="716"/>
      <c r="K566" s="716"/>
      <c r="L566" s="653" t="str">
        <f t="shared" si="524"/>
        <v>0</v>
      </c>
      <c r="M566" s="654">
        <f t="shared" si="520"/>
        <v>0</v>
      </c>
      <c r="N566" s="655">
        <f>+IF(OR($Q566=Parametres!$G$2,$Q566=Parametres!$G$3),I566,C566)</f>
        <v>0</v>
      </c>
      <c r="O566" s="655">
        <f>+IF(OR($Q566=Parametres!$G$2,$Q566=Parametres!$G$3),J566,D566)</f>
        <v>0</v>
      </c>
      <c r="P566" s="655">
        <f>+IF(OR($Q566=Parametres!$G$2,$Q566=Parametres!$G$3),K566,E566)</f>
        <v>0</v>
      </c>
      <c r="Q566" s="654">
        <f t="shared" ref="Q566:S566" si="576">+F566</f>
        <v>0</v>
      </c>
      <c r="R566" s="653">
        <f t="shared" si="576"/>
        <v>0</v>
      </c>
      <c r="S566" s="654">
        <f t="shared" si="576"/>
        <v>0</v>
      </c>
      <c r="T566" s="656" t="e">
        <f>+VLOOKUP($L566,Data_Validation!$A:$D,1,0)</f>
        <v>#N/A</v>
      </c>
      <c r="U566" s="656" t="e">
        <f>+VLOOKUP($L566,Data_Validation!$A:$D,3,0)</f>
        <v>#N/A</v>
      </c>
      <c r="V566" s="656" t="e">
        <f>+VLOOKUP($L566,Data_Validation!$A:$D,4,0)</f>
        <v>#N/A</v>
      </c>
      <c r="W566" s="656" t="e">
        <f>+VLOOKUP($L566,Data_Validation!$A:$E,5,0)</f>
        <v>#N/A</v>
      </c>
      <c r="X566" s="656" t="e">
        <f>+VLOOKUP($L566,Data_Validation!$A:$F,6,0)</f>
        <v>#N/A</v>
      </c>
    </row>
    <row r="567" spans="1:24" ht="15.75" customHeight="1">
      <c r="A567" s="714"/>
      <c r="B567" s="714"/>
      <c r="C567" s="715"/>
      <c r="D567" s="715"/>
      <c r="E567" s="715"/>
      <c r="F567" s="714"/>
      <c r="G567" s="714"/>
      <c r="H567" s="714"/>
      <c r="I567" s="716"/>
      <c r="J567" s="716"/>
      <c r="K567" s="716"/>
      <c r="L567" s="653" t="str">
        <f t="shared" si="524"/>
        <v>0</v>
      </c>
      <c r="M567" s="654">
        <f t="shared" si="520"/>
        <v>0</v>
      </c>
      <c r="N567" s="655">
        <f>+IF(OR($Q567=Parametres!$G$2,$Q567=Parametres!$G$3),I567,C567)</f>
        <v>0</v>
      </c>
      <c r="O567" s="655">
        <f>+IF(OR($Q567=Parametres!$G$2,$Q567=Parametres!$G$3),J567,D567)</f>
        <v>0</v>
      </c>
      <c r="P567" s="655">
        <f>+IF(OR($Q567=Parametres!$G$2,$Q567=Parametres!$G$3),K567,E567)</f>
        <v>0</v>
      </c>
      <c r="Q567" s="654">
        <f t="shared" ref="Q567:S567" si="577">+F567</f>
        <v>0</v>
      </c>
      <c r="R567" s="653">
        <f t="shared" si="577"/>
        <v>0</v>
      </c>
      <c r="S567" s="654">
        <f t="shared" si="577"/>
        <v>0</v>
      </c>
      <c r="T567" s="656" t="e">
        <f>+VLOOKUP($L567,Data_Validation!$A:$D,1,0)</f>
        <v>#N/A</v>
      </c>
      <c r="U567" s="656" t="e">
        <f>+VLOOKUP($L567,Data_Validation!$A:$D,3,0)</f>
        <v>#N/A</v>
      </c>
      <c r="V567" s="656" t="e">
        <f>+VLOOKUP($L567,Data_Validation!$A:$D,4,0)</f>
        <v>#N/A</v>
      </c>
      <c r="W567" s="656" t="e">
        <f>+VLOOKUP($L567,Data_Validation!$A:$E,5,0)</f>
        <v>#N/A</v>
      </c>
      <c r="X567" s="656" t="e">
        <f>+VLOOKUP($L567,Data_Validation!$A:$F,6,0)</f>
        <v>#N/A</v>
      </c>
    </row>
    <row r="568" spans="1:24" ht="15" customHeight="1">
      <c r="A568" s="714"/>
      <c r="B568" s="714"/>
      <c r="C568" s="715"/>
      <c r="D568" s="715"/>
      <c r="E568" s="715"/>
      <c r="F568" s="714"/>
      <c r="G568" s="714"/>
      <c r="H568" s="714"/>
      <c r="I568" s="716"/>
      <c r="J568" s="716"/>
      <c r="K568" s="716"/>
      <c r="L568" s="653" t="str">
        <f t="shared" si="524"/>
        <v>0</v>
      </c>
      <c r="M568" s="654">
        <f t="shared" si="520"/>
        <v>0</v>
      </c>
      <c r="N568" s="655">
        <f>+IF(OR($Q568=Parametres!$G$2,$Q568=Parametres!$G$3),I568,C568)</f>
        <v>0</v>
      </c>
      <c r="O568" s="655">
        <f>+IF(OR($Q568=Parametres!$G$2,$Q568=Parametres!$G$3),J568,D568)</f>
        <v>0</v>
      </c>
      <c r="P568" s="655">
        <f>+IF(OR($Q568=Parametres!$G$2,$Q568=Parametres!$G$3),K568,E568)</f>
        <v>0</v>
      </c>
      <c r="Q568" s="654">
        <f t="shared" ref="Q568:S568" si="578">+F568</f>
        <v>0</v>
      </c>
      <c r="R568" s="653">
        <f t="shared" si="578"/>
        <v>0</v>
      </c>
      <c r="S568" s="654">
        <f t="shared" si="578"/>
        <v>0</v>
      </c>
      <c r="T568" s="656" t="e">
        <f>+VLOOKUP($L568,Data_Validation!$A:$D,1,0)</f>
        <v>#N/A</v>
      </c>
      <c r="U568" s="656" t="e">
        <f>+VLOOKUP($L568,Data_Validation!$A:$D,3,0)</f>
        <v>#N/A</v>
      </c>
      <c r="V568" s="656" t="e">
        <f>+VLOOKUP($L568,Data_Validation!$A:$D,4,0)</f>
        <v>#N/A</v>
      </c>
      <c r="W568" s="656" t="e">
        <f>+VLOOKUP($L568,Data_Validation!$A:$E,5,0)</f>
        <v>#N/A</v>
      </c>
      <c r="X568" s="656" t="e">
        <f>+VLOOKUP($L568,Data_Validation!$A:$F,6,0)</f>
        <v>#N/A</v>
      </c>
    </row>
    <row r="569" spans="1:24" ht="15" customHeight="1">
      <c r="A569" s="714"/>
      <c r="B569" s="714"/>
      <c r="C569" s="715"/>
      <c r="D569" s="715"/>
      <c r="E569" s="715"/>
      <c r="F569" s="714"/>
      <c r="G569" s="714"/>
      <c r="H569" s="714"/>
      <c r="I569" s="716"/>
      <c r="J569" s="716"/>
      <c r="K569" s="716"/>
      <c r="L569" s="653" t="str">
        <f t="shared" si="524"/>
        <v>0</v>
      </c>
      <c r="M569" s="654">
        <f t="shared" si="520"/>
        <v>0</v>
      </c>
      <c r="N569" s="655">
        <f>+IF(OR($Q569=Parametres!$G$2,$Q569=Parametres!$G$3),I569,C569)</f>
        <v>0</v>
      </c>
      <c r="O569" s="655">
        <f>+IF(OR($Q569=Parametres!$G$2,$Q569=Parametres!$G$3),J569,D569)</f>
        <v>0</v>
      </c>
      <c r="P569" s="655">
        <f>+IF(OR($Q569=Parametres!$G$2,$Q569=Parametres!$G$3),K569,E569)</f>
        <v>0</v>
      </c>
      <c r="Q569" s="654">
        <f t="shared" ref="Q569:S569" si="579">+F569</f>
        <v>0</v>
      </c>
      <c r="R569" s="653">
        <f t="shared" si="579"/>
        <v>0</v>
      </c>
      <c r="S569" s="654">
        <f t="shared" si="579"/>
        <v>0</v>
      </c>
      <c r="T569" s="656" t="e">
        <f>+VLOOKUP($L569,Data_Validation!$A:$D,1,0)</f>
        <v>#N/A</v>
      </c>
      <c r="U569" s="656" t="e">
        <f>+VLOOKUP($L569,Data_Validation!$A:$D,3,0)</f>
        <v>#N/A</v>
      </c>
      <c r="V569" s="656" t="e">
        <f>+VLOOKUP($L569,Data_Validation!$A:$D,4,0)</f>
        <v>#N/A</v>
      </c>
      <c r="W569" s="656" t="e">
        <f>+VLOOKUP($L569,Data_Validation!$A:$E,5,0)</f>
        <v>#N/A</v>
      </c>
      <c r="X569" s="656" t="e">
        <f>+VLOOKUP($L569,Data_Validation!$A:$F,6,0)</f>
        <v>#N/A</v>
      </c>
    </row>
    <row r="570" spans="1:24" ht="15" customHeight="1">
      <c r="A570" s="714"/>
      <c r="B570" s="714"/>
      <c r="C570" s="715"/>
      <c r="D570" s="715"/>
      <c r="E570" s="715"/>
      <c r="F570" s="714"/>
      <c r="G570" s="714"/>
      <c r="H570" s="714"/>
      <c r="I570" s="716"/>
      <c r="J570" s="716"/>
      <c r="K570" s="716"/>
      <c r="L570" s="653" t="str">
        <f t="shared" si="524"/>
        <v>0</v>
      </c>
      <c r="M570" s="654">
        <f t="shared" si="520"/>
        <v>0</v>
      </c>
      <c r="N570" s="655">
        <f>+IF(OR($Q570=Parametres!$G$2,$Q570=Parametres!$G$3),I570,C570)</f>
        <v>0</v>
      </c>
      <c r="O570" s="655">
        <f>+IF(OR($Q570=Parametres!$G$2,$Q570=Parametres!$G$3),J570,D570)</f>
        <v>0</v>
      </c>
      <c r="P570" s="655">
        <f>+IF(OR($Q570=Parametres!$G$2,$Q570=Parametres!$G$3),K570,E570)</f>
        <v>0</v>
      </c>
      <c r="Q570" s="654">
        <f t="shared" ref="Q570:S570" si="580">+F570</f>
        <v>0</v>
      </c>
      <c r="R570" s="653">
        <f t="shared" si="580"/>
        <v>0</v>
      </c>
      <c r="S570" s="654">
        <f t="shared" si="580"/>
        <v>0</v>
      </c>
      <c r="T570" s="656" t="e">
        <f>+VLOOKUP($L570,Data_Validation!$A:$D,1,0)</f>
        <v>#N/A</v>
      </c>
      <c r="U570" s="656" t="e">
        <f>+VLOOKUP($L570,Data_Validation!$A:$D,3,0)</f>
        <v>#N/A</v>
      </c>
      <c r="V570" s="656" t="e">
        <f>+VLOOKUP($L570,Data_Validation!$A:$D,4,0)</f>
        <v>#N/A</v>
      </c>
      <c r="W570" s="656" t="e">
        <f>+VLOOKUP($L570,Data_Validation!$A:$E,5,0)</f>
        <v>#N/A</v>
      </c>
      <c r="X570" s="656" t="e">
        <f>+VLOOKUP($L570,Data_Validation!$A:$F,6,0)</f>
        <v>#N/A</v>
      </c>
    </row>
    <row r="571" spans="1:24" ht="15" customHeight="1">
      <c r="A571" s="714"/>
      <c r="B571" s="714"/>
      <c r="C571" s="715"/>
      <c r="D571" s="715"/>
      <c r="E571" s="715"/>
      <c r="F571" s="714"/>
      <c r="G571" s="714"/>
      <c r="H571" s="714"/>
      <c r="I571" s="716"/>
      <c r="J571" s="716"/>
      <c r="K571" s="716"/>
      <c r="L571" s="653" t="str">
        <f t="shared" si="524"/>
        <v>0</v>
      </c>
      <c r="M571" s="654">
        <f t="shared" si="520"/>
        <v>0</v>
      </c>
      <c r="N571" s="655">
        <f>+IF(OR($Q571=Parametres!$G$2,$Q571=Parametres!$G$3),I571,C571)</f>
        <v>0</v>
      </c>
      <c r="O571" s="655">
        <f>+IF(OR($Q571=Parametres!$G$2,$Q571=Parametres!$G$3),J571,D571)</f>
        <v>0</v>
      </c>
      <c r="P571" s="655">
        <f>+IF(OR($Q571=Parametres!$G$2,$Q571=Parametres!$G$3),K571,E571)</f>
        <v>0</v>
      </c>
      <c r="Q571" s="654">
        <f t="shared" ref="Q571:S571" si="581">+F571</f>
        <v>0</v>
      </c>
      <c r="R571" s="653">
        <f t="shared" si="581"/>
        <v>0</v>
      </c>
      <c r="S571" s="654">
        <f t="shared" si="581"/>
        <v>0</v>
      </c>
      <c r="T571" s="656" t="e">
        <f>+VLOOKUP($L571,Data_Validation!$A:$D,1,0)</f>
        <v>#N/A</v>
      </c>
      <c r="U571" s="656" t="e">
        <f>+VLOOKUP($L571,Data_Validation!$A:$D,3,0)</f>
        <v>#N/A</v>
      </c>
      <c r="V571" s="656" t="e">
        <f>+VLOOKUP($L571,Data_Validation!$A:$D,4,0)</f>
        <v>#N/A</v>
      </c>
      <c r="W571" s="656" t="e">
        <f>+VLOOKUP($L571,Data_Validation!$A:$E,5,0)</f>
        <v>#N/A</v>
      </c>
      <c r="X571" s="656" t="e">
        <f>+VLOOKUP($L571,Data_Validation!$A:$F,6,0)</f>
        <v>#N/A</v>
      </c>
    </row>
    <row r="572" spans="1:24" ht="15.75" customHeight="1">
      <c r="A572" s="714"/>
      <c r="B572" s="714"/>
      <c r="C572" s="715"/>
      <c r="D572" s="715"/>
      <c r="E572" s="715"/>
      <c r="F572" s="714"/>
      <c r="G572" s="714"/>
      <c r="H572" s="714"/>
      <c r="I572" s="716"/>
      <c r="J572" s="716"/>
      <c r="K572" s="716"/>
      <c r="L572" s="653" t="str">
        <f t="shared" si="524"/>
        <v>0</v>
      </c>
      <c r="M572" s="654">
        <f t="shared" si="520"/>
        <v>0</v>
      </c>
      <c r="N572" s="655">
        <f>+IF(OR($Q572=Parametres!$G$2,$Q572=Parametres!$G$3),I572,C572)</f>
        <v>0</v>
      </c>
      <c r="O572" s="655">
        <f>+IF(OR($Q572=Parametres!$G$2,$Q572=Parametres!$G$3),J572,D572)</f>
        <v>0</v>
      </c>
      <c r="P572" s="655">
        <f>+IF(OR($Q572=Parametres!$G$2,$Q572=Parametres!$G$3),K572,E572)</f>
        <v>0</v>
      </c>
      <c r="Q572" s="654">
        <f t="shared" ref="Q572:S572" si="582">+F572</f>
        <v>0</v>
      </c>
      <c r="R572" s="653">
        <f t="shared" si="582"/>
        <v>0</v>
      </c>
      <c r="S572" s="654">
        <f t="shared" si="582"/>
        <v>0</v>
      </c>
      <c r="T572" s="656" t="e">
        <f>+VLOOKUP($L572,Data_Validation!$A:$D,1,0)</f>
        <v>#N/A</v>
      </c>
      <c r="U572" s="656" t="e">
        <f>+VLOOKUP($L572,Data_Validation!$A:$D,3,0)</f>
        <v>#N/A</v>
      </c>
      <c r="V572" s="656" t="e">
        <f>+VLOOKUP($L572,Data_Validation!$A:$D,4,0)</f>
        <v>#N/A</v>
      </c>
      <c r="W572" s="656" t="e">
        <f>+VLOOKUP($L572,Data_Validation!$A:$E,5,0)</f>
        <v>#N/A</v>
      </c>
      <c r="X572" s="656" t="e">
        <f>+VLOOKUP($L572,Data_Validation!$A:$F,6,0)</f>
        <v>#N/A</v>
      </c>
    </row>
    <row r="573" spans="1:24" ht="15" customHeight="1">
      <c r="A573" s="714"/>
      <c r="B573" s="714"/>
      <c r="C573" s="715"/>
      <c r="D573" s="715"/>
      <c r="E573" s="715"/>
      <c r="F573" s="714"/>
      <c r="G573" s="714"/>
      <c r="H573" s="714"/>
      <c r="I573" s="716"/>
      <c r="J573" s="716"/>
      <c r="K573" s="716"/>
      <c r="L573" s="653" t="str">
        <f t="shared" si="524"/>
        <v>0</v>
      </c>
      <c r="M573" s="654">
        <f t="shared" si="520"/>
        <v>0</v>
      </c>
      <c r="N573" s="655">
        <f>+IF(OR($Q573=Parametres!$G$2,$Q573=Parametres!$G$3),I573,C573)</f>
        <v>0</v>
      </c>
      <c r="O573" s="655">
        <f>+IF(OR($Q573=Parametres!$G$2,$Q573=Parametres!$G$3),J573,D573)</f>
        <v>0</v>
      </c>
      <c r="P573" s="655">
        <f>+IF(OR($Q573=Parametres!$G$2,$Q573=Parametres!$G$3),K573,E573)</f>
        <v>0</v>
      </c>
      <c r="Q573" s="654">
        <f t="shared" ref="Q573:S573" si="583">+F573</f>
        <v>0</v>
      </c>
      <c r="R573" s="653">
        <f t="shared" si="583"/>
        <v>0</v>
      </c>
      <c r="S573" s="654">
        <f t="shared" si="583"/>
        <v>0</v>
      </c>
      <c r="T573" s="656" t="e">
        <f>+VLOOKUP($L573,Data_Validation!$A:$D,1,0)</f>
        <v>#N/A</v>
      </c>
      <c r="U573" s="656" t="e">
        <f>+VLOOKUP($L573,Data_Validation!$A:$D,3,0)</f>
        <v>#N/A</v>
      </c>
      <c r="V573" s="656" t="e">
        <f>+VLOOKUP($L573,Data_Validation!$A:$D,4,0)</f>
        <v>#N/A</v>
      </c>
      <c r="W573" s="656" t="e">
        <f>+VLOOKUP($L573,Data_Validation!$A:$E,5,0)</f>
        <v>#N/A</v>
      </c>
      <c r="X573" s="656" t="e">
        <f>+VLOOKUP($L573,Data_Validation!$A:$F,6,0)</f>
        <v>#N/A</v>
      </c>
    </row>
    <row r="574" spans="1:24" ht="15" customHeight="1">
      <c r="A574" s="714"/>
      <c r="B574" s="714"/>
      <c r="C574" s="715"/>
      <c r="D574" s="715"/>
      <c r="E574" s="715"/>
      <c r="F574" s="714"/>
      <c r="G574" s="714"/>
      <c r="H574" s="714"/>
      <c r="I574" s="716"/>
      <c r="J574" s="716"/>
      <c r="K574" s="716"/>
      <c r="L574" s="653" t="str">
        <f t="shared" si="524"/>
        <v>0</v>
      </c>
      <c r="M574" s="654">
        <f t="shared" si="520"/>
        <v>0</v>
      </c>
      <c r="N574" s="655">
        <f>+IF(OR($Q574=Parametres!$G$2,$Q574=Parametres!$G$3),I574,C574)</f>
        <v>0</v>
      </c>
      <c r="O574" s="655">
        <f>+IF(OR($Q574=Parametres!$G$2,$Q574=Parametres!$G$3),J574,D574)</f>
        <v>0</v>
      </c>
      <c r="P574" s="655">
        <f>+IF(OR($Q574=Parametres!$G$2,$Q574=Parametres!$G$3),K574,E574)</f>
        <v>0</v>
      </c>
      <c r="Q574" s="654">
        <f t="shared" ref="Q574:S574" si="584">+F574</f>
        <v>0</v>
      </c>
      <c r="R574" s="653">
        <f t="shared" si="584"/>
        <v>0</v>
      </c>
      <c r="S574" s="654">
        <f t="shared" si="584"/>
        <v>0</v>
      </c>
      <c r="T574" s="656" t="e">
        <f>+VLOOKUP($L574,Data_Validation!$A:$D,1,0)</f>
        <v>#N/A</v>
      </c>
      <c r="U574" s="656" t="e">
        <f>+VLOOKUP($L574,Data_Validation!$A:$D,3,0)</f>
        <v>#N/A</v>
      </c>
      <c r="V574" s="656" t="e">
        <f>+VLOOKUP($L574,Data_Validation!$A:$D,4,0)</f>
        <v>#N/A</v>
      </c>
      <c r="W574" s="656" t="e">
        <f>+VLOOKUP($L574,Data_Validation!$A:$E,5,0)</f>
        <v>#N/A</v>
      </c>
      <c r="X574" s="656" t="e">
        <f>+VLOOKUP($L574,Data_Validation!$A:$F,6,0)</f>
        <v>#N/A</v>
      </c>
    </row>
    <row r="575" spans="1:24" ht="15" customHeight="1">
      <c r="A575" s="714"/>
      <c r="B575" s="714"/>
      <c r="C575" s="715"/>
      <c r="D575" s="715"/>
      <c r="E575" s="715"/>
      <c r="F575" s="714"/>
      <c r="G575" s="714"/>
      <c r="H575" s="714"/>
      <c r="I575" s="716"/>
      <c r="J575" s="716"/>
      <c r="K575" s="716"/>
      <c r="L575" s="653" t="str">
        <f t="shared" si="524"/>
        <v>0</v>
      </c>
      <c r="M575" s="654">
        <f t="shared" si="520"/>
        <v>0</v>
      </c>
      <c r="N575" s="655">
        <f>+IF(OR($Q575=Parametres!$G$2,$Q575=Parametres!$G$3),I575,C575)</f>
        <v>0</v>
      </c>
      <c r="O575" s="655">
        <f>+IF(OR($Q575=Parametres!$G$2,$Q575=Parametres!$G$3),J575,D575)</f>
        <v>0</v>
      </c>
      <c r="P575" s="655">
        <f>+IF(OR($Q575=Parametres!$G$2,$Q575=Parametres!$G$3),K575,E575)</f>
        <v>0</v>
      </c>
      <c r="Q575" s="654">
        <f t="shared" ref="Q575:S575" si="585">+F575</f>
        <v>0</v>
      </c>
      <c r="R575" s="653">
        <f t="shared" si="585"/>
        <v>0</v>
      </c>
      <c r="S575" s="654">
        <f t="shared" si="585"/>
        <v>0</v>
      </c>
      <c r="T575" s="656" t="e">
        <f>+VLOOKUP($L575,Data_Validation!$A:$D,1,0)</f>
        <v>#N/A</v>
      </c>
      <c r="U575" s="656" t="e">
        <f>+VLOOKUP($L575,Data_Validation!$A:$D,3,0)</f>
        <v>#N/A</v>
      </c>
      <c r="V575" s="656" t="e">
        <f>+VLOOKUP($L575,Data_Validation!$A:$D,4,0)</f>
        <v>#N/A</v>
      </c>
      <c r="W575" s="656" t="e">
        <f>+VLOOKUP($L575,Data_Validation!$A:$E,5,0)</f>
        <v>#N/A</v>
      </c>
      <c r="X575" s="656" t="e">
        <f>+VLOOKUP($L575,Data_Validation!$A:$F,6,0)</f>
        <v>#N/A</v>
      </c>
    </row>
    <row r="576" spans="1:24" ht="15" customHeight="1">
      <c r="A576" s="714"/>
      <c r="B576" s="714"/>
      <c r="C576" s="715"/>
      <c r="D576" s="715"/>
      <c r="E576" s="715"/>
      <c r="F576" s="714"/>
      <c r="G576" s="714"/>
      <c r="H576" s="714"/>
      <c r="I576" s="716"/>
      <c r="J576" s="716"/>
      <c r="K576" s="716"/>
      <c r="L576" s="653" t="str">
        <f t="shared" si="524"/>
        <v>0</v>
      </c>
      <c r="M576" s="654">
        <f t="shared" si="520"/>
        <v>0</v>
      </c>
      <c r="N576" s="655">
        <f>+IF(OR($Q576=Parametres!$G$2,$Q576=Parametres!$G$3),I576,C576)</f>
        <v>0</v>
      </c>
      <c r="O576" s="655">
        <f>+IF(OR($Q576=Parametres!$G$2,$Q576=Parametres!$G$3),J576,D576)</f>
        <v>0</v>
      </c>
      <c r="P576" s="655">
        <f>+IF(OR($Q576=Parametres!$G$2,$Q576=Parametres!$G$3),K576,E576)</f>
        <v>0</v>
      </c>
      <c r="Q576" s="654">
        <f t="shared" ref="Q576:S576" si="586">+F576</f>
        <v>0</v>
      </c>
      <c r="R576" s="653">
        <f t="shared" si="586"/>
        <v>0</v>
      </c>
      <c r="S576" s="654">
        <f t="shared" si="586"/>
        <v>0</v>
      </c>
      <c r="T576" s="656" t="e">
        <f>+VLOOKUP($L576,Data_Validation!$A:$D,1,0)</f>
        <v>#N/A</v>
      </c>
      <c r="U576" s="656" t="e">
        <f>+VLOOKUP($L576,Data_Validation!$A:$D,3,0)</f>
        <v>#N/A</v>
      </c>
      <c r="V576" s="656" t="s">
        <v>223</v>
      </c>
      <c r="W576" s="656" t="e">
        <f>+VLOOKUP($L576,Data_Validation!$A:$E,5,0)</f>
        <v>#N/A</v>
      </c>
      <c r="X576" s="656" t="e">
        <f>+VLOOKUP($L576,Data_Validation!$A:$F,6,0)</f>
        <v>#N/A</v>
      </c>
    </row>
    <row r="577" spans="1:24" ht="15" customHeight="1">
      <c r="A577" s="714"/>
      <c r="B577" s="714"/>
      <c r="C577" s="715"/>
      <c r="D577" s="715"/>
      <c r="E577" s="715"/>
      <c r="F577" s="714"/>
      <c r="G577" s="714"/>
      <c r="H577" s="714"/>
      <c r="I577" s="716"/>
      <c r="J577" s="716"/>
      <c r="K577" s="716"/>
      <c r="L577" s="653" t="str">
        <f t="shared" si="524"/>
        <v>0</v>
      </c>
      <c r="M577" s="654">
        <f t="shared" si="520"/>
        <v>0</v>
      </c>
      <c r="N577" s="655">
        <f>+IF(OR($Q577=Parametres!$G$2,$Q577=Parametres!$G$3),I577,C577)</f>
        <v>0</v>
      </c>
      <c r="O577" s="655">
        <f>+IF(OR($Q577=Parametres!$G$2,$Q577=Parametres!$G$3),J577,D577)</f>
        <v>0</v>
      </c>
      <c r="P577" s="655">
        <f>+IF(OR($Q577=Parametres!$G$2,$Q577=Parametres!$G$3),K577,E577)</f>
        <v>0</v>
      </c>
      <c r="Q577" s="654">
        <f t="shared" ref="Q577:S577" si="587">+F577</f>
        <v>0</v>
      </c>
      <c r="R577" s="653">
        <f t="shared" si="587"/>
        <v>0</v>
      </c>
      <c r="S577" s="654">
        <f t="shared" si="587"/>
        <v>0</v>
      </c>
      <c r="T577" s="656" t="e">
        <f>+VLOOKUP($L577,Data_Validation!$A:$D,1,0)</f>
        <v>#N/A</v>
      </c>
      <c r="U577" s="656" t="e">
        <f>+VLOOKUP($L577,Data_Validation!$A:$D,3,0)</f>
        <v>#N/A</v>
      </c>
      <c r="V577" s="656" t="e">
        <f>+VLOOKUP($L577,Data_Validation!$A:$D,4,0)</f>
        <v>#N/A</v>
      </c>
      <c r="W577" s="656" t="e">
        <f>+VLOOKUP($L577,Data_Validation!$A:$E,5,0)</f>
        <v>#N/A</v>
      </c>
      <c r="X577" s="656" t="e">
        <f>+VLOOKUP($L577,Data_Validation!$A:$F,6,0)</f>
        <v>#N/A</v>
      </c>
    </row>
    <row r="578" spans="1:24" ht="15" customHeight="1">
      <c r="A578" s="714"/>
      <c r="B578" s="714"/>
      <c r="C578" s="715"/>
      <c r="D578" s="715"/>
      <c r="E578" s="715"/>
      <c r="F578" s="714"/>
      <c r="G578" s="714"/>
      <c r="H578" s="714"/>
      <c r="I578" s="716"/>
      <c r="J578" s="716"/>
      <c r="K578" s="716"/>
      <c r="L578" s="653" t="str">
        <f t="shared" si="524"/>
        <v>0</v>
      </c>
      <c r="M578" s="654">
        <f t="shared" si="520"/>
        <v>0</v>
      </c>
      <c r="N578" s="655">
        <f>+IF(OR($Q578=Parametres!$G$2,$Q578=Parametres!$G$3),I578,C578)</f>
        <v>0</v>
      </c>
      <c r="O578" s="655">
        <f>+IF(OR($Q578=Parametres!$G$2,$Q578=Parametres!$G$3),J578,D578)</f>
        <v>0</v>
      </c>
      <c r="P578" s="655">
        <f>+IF(OR($Q578=Parametres!$G$2,$Q578=Parametres!$G$3),K578,E578)</f>
        <v>0</v>
      </c>
      <c r="Q578" s="654">
        <f t="shared" ref="Q578:S578" si="588">+F578</f>
        <v>0</v>
      </c>
      <c r="R578" s="653">
        <f t="shared" si="588"/>
        <v>0</v>
      </c>
      <c r="S578" s="654">
        <f t="shared" si="588"/>
        <v>0</v>
      </c>
      <c r="T578" s="656" t="e">
        <f>+VLOOKUP($L578,Data_Validation!$A:$D,1,0)</f>
        <v>#N/A</v>
      </c>
      <c r="U578" s="656" t="e">
        <f>+VLOOKUP($L578,Data_Validation!$A:$D,3,0)</f>
        <v>#N/A</v>
      </c>
      <c r="V578" s="656" t="e">
        <f>+VLOOKUP($L578,Data_Validation!$A:$D,4,0)</f>
        <v>#N/A</v>
      </c>
      <c r="W578" s="656" t="e">
        <f>+VLOOKUP($L578,Data_Validation!$A:$E,5,0)</f>
        <v>#N/A</v>
      </c>
      <c r="X578" s="656" t="e">
        <f>+VLOOKUP($L578,Data_Validation!$A:$F,6,0)</f>
        <v>#N/A</v>
      </c>
    </row>
    <row r="579" spans="1:24" ht="15.75" customHeight="1">
      <c r="A579" s="714"/>
      <c r="B579" s="714"/>
      <c r="C579" s="715"/>
      <c r="D579" s="715"/>
      <c r="E579" s="715"/>
      <c r="F579" s="714"/>
      <c r="G579" s="714"/>
      <c r="H579" s="714"/>
      <c r="I579" s="716"/>
      <c r="J579" s="716"/>
      <c r="K579" s="716"/>
      <c r="L579" s="653" t="str">
        <f t="shared" ref="L579:L642" si="589">TEXT(B579,0)</f>
        <v>0</v>
      </c>
      <c r="M579" s="654">
        <f t="shared" si="520"/>
        <v>0</v>
      </c>
      <c r="N579" s="655">
        <f>+IF(OR($Q579=Parametres!$G$2,$Q579=Parametres!$G$3),I579,C579)</f>
        <v>0</v>
      </c>
      <c r="O579" s="655">
        <f>+IF(OR($Q579=Parametres!$G$2,$Q579=Parametres!$G$3),J579,D579)</f>
        <v>0</v>
      </c>
      <c r="P579" s="655">
        <f>+IF(OR($Q579=Parametres!$G$2,$Q579=Parametres!$G$3),K579,E579)</f>
        <v>0</v>
      </c>
      <c r="Q579" s="654">
        <f t="shared" ref="Q579:S579" si="590">+F579</f>
        <v>0</v>
      </c>
      <c r="R579" s="653">
        <f t="shared" si="590"/>
        <v>0</v>
      </c>
      <c r="S579" s="654">
        <f t="shared" si="590"/>
        <v>0</v>
      </c>
      <c r="T579" s="656" t="e">
        <f>+VLOOKUP($L579,Data_Validation!$A:$D,1,0)</f>
        <v>#N/A</v>
      </c>
      <c r="U579" s="656" t="e">
        <f>+VLOOKUP($L579,Data_Validation!$A:$D,3,0)</f>
        <v>#N/A</v>
      </c>
      <c r="V579" s="656" t="e">
        <f>+VLOOKUP($L579,Data_Validation!$A:$D,4,0)</f>
        <v>#N/A</v>
      </c>
      <c r="W579" s="656" t="e">
        <f>+VLOOKUP($L579,Data_Validation!$A:$E,5,0)</f>
        <v>#N/A</v>
      </c>
      <c r="X579" s="656" t="e">
        <f>+VLOOKUP($L579,Data_Validation!$A:$F,6,0)</f>
        <v>#N/A</v>
      </c>
    </row>
    <row r="580" spans="1:24" ht="15" customHeight="1">
      <c r="A580" s="714"/>
      <c r="B580" s="714"/>
      <c r="C580" s="715"/>
      <c r="D580" s="715"/>
      <c r="E580" s="715"/>
      <c r="F580" s="714"/>
      <c r="G580" s="714"/>
      <c r="H580" s="714"/>
      <c r="I580" s="716"/>
      <c r="J580" s="716"/>
      <c r="K580" s="716"/>
      <c r="L580" s="653" t="str">
        <f t="shared" si="589"/>
        <v>0</v>
      </c>
      <c r="M580" s="654">
        <f t="shared" si="520"/>
        <v>0</v>
      </c>
      <c r="N580" s="655">
        <f>+IF(OR($Q580=Parametres!$G$2,$Q580=Parametres!$G$3),I580,C580)</f>
        <v>0</v>
      </c>
      <c r="O580" s="655">
        <f>+IF(OR($Q580=Parametres!$G$2,$Q580=Parametres!$G$3),J580,D580)</f>
        <v>0</v>
      </c>
      <c r="P580" s="655">
        <f>+IF(OR($Q580=Parametres!$G$2,$Q580=Parametres!$G$3),K580,E580)</f>
        <v>0</v>
      </c>
      <c r="Q580" s="654">
        <f t="shared" ref="Q580:S580" si="591">+F580</f>
        <v>0</v>
      </c>
      <c r="R580" s="653">
        <f t="shared" si="591"/>
        <v>0</v>
      </c>
      <c r="S580" s="654">
        <f t="shared" si="591"/>
        <v>0</v>
      </c>
      <c r="T580" s="656" t="e">
        <f>+VLOOKUP($L580,Data_Validation!$A:$D,1,0)</f>
        <v>#N/A</v>
      </c>
      <c r="U580" s="656" t="e">
        <f>+VLOOKUP($L580,Data_Validation!$A:$D,3,0)</f>
        <v>#N/A</v>
      </c>
      <c r="V580" s="656" t="e">
        <f>+VLOOKUP($L580,Data_Validation!$A:$D,4,0)</f>
        <v>#N/A</v>
      </c>
      <c r="W580" s="656" t="e">
        <f>+VLOOKUP($L580,Data_Validation!$A:$E,5,0)</f>
        <v>#N/A</v>
      </c>
      <c r="X580" s="656" t="e">
        <f>+VLOOKUP($L580,Data_Validation!$A:$F,6,0)</f>
        <v>#N/A</v>
      </c>
    </row>
    <row r="581" spans="1:24" ht="15" customHeight="1">
      <c r="A581" s="714"/>
      <c r="B581" s="714"/>
      <c r="C581" s="715"/>
      <c r="D581" s="715"/>
      <c r="E581" s="715"/>
      <c r="F581" s="714"/>
      <c r="G581" s="714"/>
      <c r="H581" s="714"/>
      <c r="I581" s="716"/>
      <c r="J581" s="716"/>
      <c r="K581" s="716"/>
      <c r="L581" s="653" t="str">
        <f t="shared" si="589"/>
        <v>0</v>
      </c>
      <c r="M581" s="654">
        <f t="shared" si="520"/>
        <v>0</v>
      </c>
      <c r="N581" s="655">
        <f>+IF(OR($Q581=Parametres!$G$2,$Q581=Parametres!$G$3),I581,C581)</f>
        <v>0</v>
      </c>
      <c r="O581" s="655">
        <f>+IF(OR($Q581=Parametres!$G$2,$Q581=Parametres!$G$3),J581,D581)</f>
        <v>0</v>
      </c>
      <c r="P581" s="655">
        <f>+IF(OR($Q581=Parametres!$G$2,$Q581=Parametres!$G$3),K581,E581)</f>
        <v>0</v>
      </c>
      <c r="Q581" s="654">
        <f t="shared" ref="Q581:S581" si="592">+F581</f>
        <v>0</v>
      </c>
      <c r="R581" s="653">
        <f t="shared" si="592"/>
        <v>0</v>
      </c>
      <c r="S581" s="654">
        <f t="shared" si="592"/>
        <v>0</v>
      </c>
      <c r="T581" s="656" t="e">
        <f>+VLOOKUP($L581,Data_Validation!$A:$D,1,0)</f>
        <v>#N/A</v>
      </c>
      <c r="U581" s="656" t="e">
        <f>+VLOOKUP($L581,Data_Validation!$A:$D,3,0)</f>
        <v>#N/A</v>
      </c>
      <c r="V581" s="656" t="e">
        <f>+VLOOKUP($L581,Data_Validation!$A:$D,4,0)</f>
        <v>#N/A</v>
      </c>
      <c r="W581" s="656" t="e">
        <f>+VLOOKUP($L581,Data_Validation!$A:$E,5,0)</f>
        <v>#N/A</v>
      </c>
      <c r="X581" s="656" t="e">
        <f>+VLOOKUP($L581,Data_Validation!$A:$F,6,0)</f>
        <v>#N/A</v>
      </c>
    </row>
    <row r="582" spans="1:24" ht="15" customHeight="1">
      <c r="A582" s="714"/>
      <c r="B582" s="714"/>
      <c r="C582" s="715"/>
      <c r="D582" s="715"/>
      <c r="E582" s="715"/>
      <c r="F582" s="714"/>
      <c r="G582" s="714"/>
      <c r="H582" s="714"/>
      <c r="I582" s="716"/>
      <c r="J582" s="716"/>
      <c r="K582" s="716"/>
      <c r="L582" s="653" t="str">
        <f t="shared" si="589"/>
        <v>0</v>
      </c>
      <c r="M582" s="654">
        <f t="shared" si="520"/>
        <v>0</v>
      </c>
      <c r="N582" s="655">
        <f>+IF(OR($Q582=Parametres!$G$2,$Q582=Parametres!$G$3),I582,C582)</f>
        <v>0</v>
      </c>
      <c r="O582" s="655">
        <f>+IF(OR($Q582=Parametres!$G$2,$Q582=Parametres!$G$3),J582,D582)</f>
        <v>0</v>
      </c>
      <c r="P582" s="655">
        <f>+IF(OR($Q582=Parametres!$G$2,$Q582=Parametres!$G$3),K582,E582)</f>
        <v>0</v>
      </c>
      <c r="Q582" s="654">
        <f t="shared" ref="Q582:S582" si="593">+F582</f>
        <v>0</v>
      </c>
      <c r="R582" s="653">
        <f t="shared" si="593"/>
        <v>0</v>
      </c>
      <c r="S582" s="654">
        <f t="shared" si="593"/>
        <v>0</v>
      </c>
      <c r="T582" s="656" t="e">
        <f>+VLOOKUP($L582,Data_Validation!$A:$D,1,0)</f>
        <v>#N/A</v>
      </c>
      <c r="U582" s="656" t="e">
        <f>+VLOOKUP($L582,Data_Validation!$A:$D,3,0)</f>
        <v>#N/A</v>
      </c>
      <c r="V582" s="656" t="e">
        <f>+VLOOKUP($L582,Data_Validation!$A:$D,4,0)</f>
        <v>#N/A</v>
      </c>
      <c r="W582" s="656" t="e">
        <f>+VLOOKUP($L582,Data_Validation!$A:$E,5,0)</f>
        <v>#N/A</v>
      </c>
      <c r="X582" s="656" t="e">
        <f>+VLOOKUP($L582,Data_Validation!$A:$F,6,0)</f>
        <v>#N/A</v>
      </c>
    </row>
    <row r="583" spans="1:24" ht="15.75" customHeight="1">
      <c r="A583" s="714"/>
      <c r="B583" s="714"/>
      <c r="C583" s="715"/>
      <c r="D583" s="715"/>
      <c r="E583" s="715"/>
      <c r="F583" s="714"/>
      <c r="G583" s="714"/>
      <c r="H583" s="714"/>
      <c r="I583" s="716"/>
      <c r="J583" s="716"/>
      <c r="K583" s="716"/>
      <c r="L583" s="653" t="str">
        <f t="shared" si="589"/>
        <v>0</v>
      </c>
      <c r="M583" s="654">
        <f t="shared" si="520"/>
        <v>0</v>
      </c>
      <c r="N583" s="655">
        <f>+IF(OR($Q583=Parametres!$G$2,$Q583=Parametres!$G$3),I583,C583)</f>
        <v>0</v>
      </c>
      <c r="O583" s="655">
        <f>+IF(OR($Q583=Parametres!$G$2,$Q583=Parametres!$G$3),J583,D583)</f>
        <v>0</v>
      </c>
      <c r="P583" s="655">
        <f>+IF(OR($Q583=Parametres!$G$2,$Q583=Parametres!$G$3),K583,E583)</f>
        <v>0</v>
      </c>
      <c r="Q583" s="654">
        <f t="shared" ref="Q583:S583" si="594">+F583</f>
        <v>0</v>
      </c>
      <c r="R583" s="653">
        <f t="shared" si="594"/>
        <v>0</v>
      </c>
      <c r="S583" s="654">
        <f t="shared" si="594"/>
        <v>0</v>
      </c>
      <c r="T583" s="656" t="e">
        <f>+VLOOKUP($L583,Data_Validation!$A:$D,1,0)</f>
        <v>#N/A</v>
      </c>
      <c r="U583" s="656" t="e">
        <f>+VLOOKUP($L583,Data_Validation!$A:$D,3,0)</f>
        <v>#N/A</v>
      </c>
      <c r="V583" s="656" t="e">
        <f>+VLOOKUP($L583,Data_Validation!$A:$D,4,0)</f>
        <v>#N/A</v>
      </c>
      <c r="W583" s="656" t="e">
        <f>+VLOOKUP($L583,Data_Validation!$A:$E,5,0)</f>
        <v>#N/A</v>
      </c>
      <c r="X583" s="656" t="e">
        <f>+VLOOKUP($L583,Data_Validation!$A:$F,6,0)</f>
        <v>#N/A</v>
      </c>
    </row>
    <row r="584" spans="1:24" ht="15" customHeight="1">
      <c r="A584" s="714"/>
      <c r="B584" s="714"/>
      <c r="C584" s="715"/>
      <c r="D584" s="715"/>
      <c r="E584" s="715"/>
      <c r="F584" s="714"/>
      <c r="G584" s="714"/>
      <c r="H584" s="714"/>
      <c r="I584" s="716"/>
      <c r="J584" s="716"/>
      <c r="K584" s="716"/>
      <c r="L584" s="653" t="str">
        <f t="shared" si="589"/>
        <v>0</v>
      </c>
      <c r="M584" s="654">
        <f t="shared" si="520"/>
        <v>0</v>
      </c>
      <c r="N584" s="655">
        <f>+IF(OR($Q584=Parametres!$G$2,$Q584=Parametres!$G$3),I584,C584)</f>
        <v>0</v>
      </c>
      <c r="O584" s="655">
        <f>+IF(OR($Q584=Parametres!$G$2,$Q584=Parametres!$G$3),J584,D584)</f>
        <v>0</v>
      </c>
      <c r="P584" s="655">
        <f>+IF(OR($Q584=Parametres!$G$2,$Q584=Parametres!$G$3),K584,E584)</f>
        <v>0</v>
      </c>
      <c r="Q584" s="654">
        <f t="shared" ref="Q584:S584" si="595">+F584</f>
        <v>0</v>
      </c>
      <c r="R584" s="653">
        <f t="shared" si="595"/>
        <v>0</v>
      </c>
      <c r="S584" s="654">
        <f t="shared" si="595"/>
        <v>0</v>
      </c>
      <c r="T584" s="656" t="e">
        <f>+VLOOKUP($L584,Data_Validation!$A:$D,1,0)</f>
        <v>#N/A</v>
      </c>
      <c r="U584" s="656" t="e">
        <f>+VLOOKUP($L584,Data_Validation!$A:$D,3,0)</f>
        <v>#N/A</v>
      </c>
      <c r="V584" s="656" t="e">
        <f>+VLOOKUP($L584,Data_Validation!$A:$D,4,0)</f>
        <v>#N/A</v>
      </c>
      <c r="W584" s="656" t="e">
        <f>+VLOOKUP($L584,Data_Validation!$A:$E,5,0)</f>
        <v>#N/A</v>
      </c>
      <c r="X584" s="656" t="e">
        <f>+VLOOKUP($L584,Data_Validation!$A:$F,6,0)</f>
        <v>#N/A</v>
      </c>
    </row>
    <row r="585" spans="1:24" ht="15" customHeight="1">
      <c r="A585" s="714"/>
      <c r="B585" s="714"/>
      <c r="C585" s="715"/>
      <c r="D585" s="715"/>
      <c r="E585" s="715"/>
      <c r="F585" s="714"/>
      <c r="G585" s="714"/>
      <c r="H585" s="714"/>
      <c r="I585" s="716"/>
      <c r="J585" s="716"/>
      <c r="K585" s="716"/>
      <c r="L585" s="653" t="str">
        <f t="shared" si="589"/>
        <v>0</v>
      </c>
      <c r="M585" s="654">
        <f t="shared" si="520"/>
        <v>0</v>
      </c>
      <c r="N585" s="655">
        <f>+IF(OR($Q585=Parametres!$G$2,$Q585=Parametres!$G$3),I585,C585)</f>
        <v>0</v>
      </c>
      <c r="O585" s="655">
        <f>+IF(OR($Q585=Parametres!$G$2,$Q585=Parametres!$G$3),J585,D585)</f>
        <v>0</v>
      </c>
      <c r="P585" s="655">
        <f>+IF(OR($Q585=Parametres!$G$2,$Q585=Parametres!$G$3),K585,E585)</f>
        <v>0</v>
      </c>
      <c r="Q585" s="654">
        <f t="shared" ref="Q585:S585" si="596">+F585</f>
        <v>0</v>
      </c>
      <c r="R585" s="653">
        <f t="shared" si="596"/>
        <v>0</v>
      </c>
      <c r="S585" s="654">
        <f t="shared" si="596"/>
        <v>0</v>
      </c>
      <c r="T585" s="656" t="e">
        <f>+VLOOKUP($L585,Data_Validation!$A:$D,1,0)</f>
        <v>#N/A</v>
      </c>
      <c r="U585" s="656" t="e">
        <f>+VLOOKUP($L585,Data_Validation!$A:$D,3,0)</f>
        <v>#N/A</v>
      </c>
      <c r="V585" s="656" t="e">
        <f>+VLOOKUP($L585,Data_Validation!$A:$D,4,0)</f>
        <v>#N/A</v>
      </c>
      <c r="W585" s="656" t="e">
        <f>+VLOOKUP($L585,Data_Validation!$A:$E,5,0)</f>
        <v>#N/A</v>
      </c>
      <c r="X585" s="656" t="e">
        <f>+VLOOKUP($L585,Data_Validation!$A:$F,6,0)</f>
        <v>#N/A</v>
      </c>
    </row>
    <row r="586" spans="1:24" ht="15" customHeight="1">
      <c r="A586" s="714"/>
      <c r="B586" s="714"/>
      <c r="C586" s="715"/>
      <c r="D586" s="715"/>
      <c r="E586" s="715"/>
      <c r="F586" s="714"/>
      <c r="G586" s="714"/>
      <c r="H586" s="714"/>
      <c r="I586" s="716"/>
      <c r="J586" s="716"/>
      <c r="K586" s="716"/>
      <c r="L586" s="653" t="str">
        <f t="shared" si="589"/>
        <v>0</v>
      </c>
      <c r="M586" s="654">
        <f t="shared" si="520"/>
        <v>0</v>
      </c>
      <c r="N586" s="655">
        <f>+IF(OR($Q586=Parametres!$G$2,$Q586=Parametres!$G$3),I586,C586)</f>
        <v>0</v>
      </c>
      <c r="O586" s="655">
        <f>+IF(OR($Q586=Parametres!$G$2,$Q586=Parametres!$G$3),J586,D586)</f>
        <v>0</v>
      </c>
      <c r="P586" s="655">
        <f>+IF(OR($Q586=Parametres!$G$2,$Q586=Parametres!$G$3),K586,E586)</f>
        <v>0</v>
      </c>
      <c r="Q586" s="654">
        <f t="shared" ref="Q586:S586" si="597">+F586</f>
        <v>0</v>
      </c>
      <c r="R586" s="653">
        <f t="shared" si="597"/>
        <v>0</v>
      </c>
      <c r="S586" s="654">
        <f t="shared" si="597"/>
        <v>0</v>
      </c>
      <c r="T586" s="656" t="e">
        <f>+VLOOKUP($L586,Data_Validation!$A:$D,1,0)</f>
        <v>#N/A</v>
      </c>
      <c r="U586" s="656" t="e">
        <f>+VLOOKUP($L586,Data_Validation!$A:$D,3,0)</f>
        <v>#N/A</v>
      </c>
      <c r="V586" s="656" t="e">
        <f>+VLOOKUP($L586,Data_Validation!$A:$D,4,0)</f>
        <v>#N/A</v>
      </c>
      <c r="W586" s="656" t="e">
        <f>+VLOOKUP($L586,Data_Validation!$A:$E,5,0)</f>
        <v>#N/A</v>
      </c>
      <c r="X586" s="656" t="e">
        <f>+VLOOKUP($L586,Data_Validation!$A:$F,6,0)</f>
        <v>#N/A</v>
      </c>
    </row>
    <row r="587" spans="1:24" ht="15" customHeight="1">
      <c r="A587" s="714"/>
      <c r="B587" s="714"/>
      <c r="C587" s="715"/>
      <c r="D587" s="715"/>
      <c r="E587" s="715"/>
      <c r="F587" s="714"/>
      <c r="G587" s="714"/>
      <c r="H587" s="714"/>
      <c r="I587" s="716"/>
      <c r="J587" s="716"/>
      <c r="K587" s="716"/>
      <c r="L587" s="653" t="str">
        <f t="shared" si="589"/>
        <v>0</v>
      </c>
      <c r="M587" s="654">
        <f t="shared" si="520"/>
        <v>0</v>
      </c>
      <c r="N587" s="655">
        <f>+IF(OR($Q587=Parametres!$G$2,$Q587=Parametres!$G$3),I587,C587)</f>
        <v>0</v>
      </c>
      <c r="O587" s="655">
        <f>+IF(OR($Q587=Parametres!$G$2,$Q587=Parametres!$G$3),J587,D587)</f>
        <v>0</v>
      </c>
      <c r="P587" s="655">
        <f>+IF(OR($Q587=Parametres!$G$2,$Q587=Parametres!$G$3),K587,E587)</f>
        <v>0</v>
      </c>
      <c r="Q587" s="654">
        <f t="shared" ref="Q587:S587" si="598">+F587</f>
        <v>0</v>
      </c>
      <c r="R587" s="653">
        <f t="shared" si="598"/>
        <v>0</v>
      </c>
      <c r="S587" s="654">
        <f t="shared" si="598"/>
        <v>0</v>
      </c>
      <c r="T587" s="656" t="e">
        <f>+VLOOKUP($L587,Data_Validation!$A:$D,1,0)</f>
        <v>#N/A</v>
      </c>
      <c r="U587" s="656" t="e">
        <f>+VLOOKUP($L587,Data_Validation!$A:$D,3,0)</f>
        <v>#N/A</v>
      </c>
      <c r="V587" s="656" t="e">
        <f>+VLOOKUP($L587,Data_Validation!$A:$D,4,0)</f>
        <v>#N/A</v>
      </c>
      <c r="W587" s="656" t="e">
        <f>+VLOOKUP($L587,Data_Validation!$A:$E,5,0)</f>
        <v>#N/A</v>
      </c>
      <c r="X587" s="656" t="e">
        <f>+VLOOKUP($L587,Data_Validation!$A:$F,6,0)</f>
        <v>#N/A</v>
      </c>
    </row>
    <row r="588" spans="1:24" ht="15" customHeight="1">
      <c r="A588" s="714"/>
      <c r="B588" s="714"/>
      <c r="C588" s="715"/>
      <c r="D588" s="715"/>
      <c r="E588" s="715"/>
      <c r="F588" s="714"/>
      <c r="G588" s="714"/>
      <c r="H588" s="714"/>
      <c r="I588" s="716"/>
      <c r="J588" s="716"/>
      <c r="K588" s="716"/>
      <c r="L588" s="653" t="str">
        <f t="shared" si="589"/>
        <v>0</v>
      </c>
      <c r="M588" s="654">
        <f t="shared" si="520"/>
        <v>0</v>
      </c>
      <c r="N588" s="655">
        <f>+IF(OR($Q588=Parametres!$G$2,$Q588=Parametres!$G$3),I588,C588)</f>
        <v>0</v>
      </c>
      <c r="O588" s="655">
        <f>+IF(OR($Q588=Parametres!$G$2,$Q588=Parametres!$G$3),J588,D588)</f>
        <v>0</v>
      </c>
      <c r="P588" s="655">
        <f>+IF(OR($Q588=Parametres!$G$2,$Q588=Parametres!$G$3),K588,E588)</f>
        <v>0</v>
      </c>
      <c r="Q588" s="654">
        <f t="shared" ref="Q588:S588" si="599">+F588</f>
        <v>0</v>
      </c>
      <c r="R588" s="653">
        <f t="shared" si="599"/>
        <v>0</v>
      </c>
      <c r="S588" s="654">
        <f t="shared" si="599"/>
        <v>0</v>
      </c>
      <c r="T588" s="656" t="e">
        <f>+VLOOKUP($L588,Data_Validation!$A:$D,1,0)</f>
        <v>#N/A</v>
      </c>
      <c r="U588" s="656" t="e">
        <f>+VLOOKUP($L588,Data_Validation!$A:$D,3,0)</f>
        <v>#N/A</v>
      </c>
      <c r="V588" s="656" t="e">
        <f>+VLOOKUP($L588,Data_Validation!$A:$D,4,0)</f>
        <v>#N/A</v>
      </c>
      <c r="W588" s="656" t="e">
        <f>+VLOOKUP($L588,Data_Validation!$A:$E,5,0)</f>
        <v>#N/A</v>
      </c>
      <c r="X588" s="656" t="e">
        <f>+VLOOKUP($L588,Data_Validation!$A:$F,6,0)</f>
        <v>#N/A</v>
      </c>
    </row>
    <row r="589" spans="1:24" ht="15" customHeight="1">
      <c r="A589" s="714"/>
      <c r="B589" s="714"/>
      <c r="C589" s="715"/>
      <c r="D589" s="715"/>
      <c r="E589" s="715"/>
      <c r="F589" s="714"/>
      <c r="G589" s="714"/>
      <c r="H589" s="714"/>
      <c r="I589" s="716"/>
      <c r="J589" s="716"/>
      <c r="K589" s="716"/>
      <c r="L589" s="653" t="str">
        <f t="shared" si="589"/>
        <v>0</v>
      </c>
      <c r="M589" s="654">
        <f t="shared" si="520"/>
        <v>0</v>
      </c>
      <c r="N589" s="655">
        <f>+IF(OR($Q589=Parametres!$G$2,$Q589=Parametres!$G$3),I589,C589)</f>
        <v>0</v>
      </c>
      <c r="O589" s="655">
        <f>+IF(OR($Q589=Parametres!$G$2,$Q589=Parametres!$G$3),J589,D589)</f>
        <v>0</v>
      </c>
      <c r="P589" s="655">
        <f>+IF(OR($Q589=Parametres!$G$2,$Q589=Parametres!$G$3),K589,E589)</f>
        <v>0</v>
      </c>
      <c r="Q589" s="654">
        <f t="shared" ref="Q589:S589" si="600">+F589</f>
        <v>0</v>
      </c>
      <c r="R589" s="653">
        <f t="shared" si="600"/>
        <v>0</v>
      </c>
      <c r="S589" s="654">
        <f t="shared" si="600"/>
        <v>0</v>
      </c>
      <c r="T589" s="656" t="e">
        <f>+VLOOKUP($L589,Data_Validation!$A:$D,1,0)</f>
        <v>#N/A</v>
      </c>
      <c r="U589" s="656" t="e">
        <f>+VLOOKUP($L589,Data_Validation!$A:$D,3,0)</f>
        <v>#N/A</v>
      </c>
      <c r="V589" s="656" t="e">
        <f>+VLOOKUP($L589,Data_Validation!$A:$D,4,0)</f>
        <v>#N/A</v>
      </c>
      <c r="W589" s="656" t="e">
        <f>+VLOOKUP($L589,Data_Validation!$A:$E,5,0)</f>
        <v>#N/A</v>
      </c>
      <c r="X589" s="656" t="e">
        <f>+VLOOKUP($L589,Data_Validation!$A:$F,6,0)</f>
        <v>#N/A</v>
      </c>
    </row>
    <row r="590" spans="1:24" ht="15" customHeight="1">
      <c r="A590" s="714"/>
      <c r="B590" s="714"/>
      <c r="C590" s="715"/>
      <c r="D590" s="715"/>
      <c r="E590" s="715"/>
      <c r="F590" s="714"/>
      <c r="G590" s="714"/>
      <c r="H590" s="714"/>
      <c r="I590" s="716"/>
      <c r="J590" s="716"/>
      <c r="K590" s="716"/>
      <c r="L590" s="653" t="str">
        <f t="shared" si="589"/>
        <v>0</v>
      </c>
      <c r="M590" s="654">
        <f t="shared" si="520"/>
        <v>0</v>
      </c>
      <c r="N590" s="655">
        <f>+IF(OR($Q590=Parametres!$G$2,$Q590=Parametres!$G$3),I590,C590)</f>
        <v>0</v>
      </c>
      <c r="O590" s="655">
        <f>+IF(OR($Q590=Parametres!$G$2,$Q590=Parametres!$G$3),J590,D590)</f>
        <v>0</v>
      </c>
      <c r="P590" s="655">
        <f>+IF(OR($Q590=Parametres!$G$2,$Q590=Parametres!$G$3),K590,E590)</f>
        <v>0</v>
      </c>
      <c r="Q590" s="654">
        <f t="shared" ref="Q590:S590" si="601">+F590</f>
        <v>0</v>
      </c>
      <c r="R590" s="653">
        <f t="shared" si="601"/>
        <v>0</v>
      </c>
      <c r="S590" s="654">
        <f t="shared" si="601"/>
        <v>0</v>
      </c>
      <c r="T590" s="656" t="e">
        <f>+VLOOKUP($L590,Data_Validation!$A:$D,1,0)</f>
        <v>#N/A</v>
      </c>
      <c r="U590" s="656" t="e">
        <f>+VLOOKUP($L590,Data_Validation!$A:$D,3,0)</f>
        <v>#N/A</v>
      </c>
      <c r="V590" s="656" t="e">
        <f>+VLOOKUP($L590,Data_Validation!$A:$D,4,0)</f>
        <v>#N/A</v>
      </c>
      <c r="W590" s="656" t="e">
        <f>+VLOOKUP($L590,Data_Validation!$A:$E,5,0)</f>
        <v>#N/A</v>
      </c>
      <c r="X590" s="656" t="e">
        <f>+VLOOKUP($L590,Data_Validation!$A:$F,6,0)</f>
        <v>#N/A</v>
      </c>
    </row>
    <row r="591" spans="1:24" ht="15" customHeight="1">
      <c r="A591" s="714"/>
      <c r="B591" s="714"/>
      <c r="C591" s="715"/>
      <c r="D591" s="715"/>
      <c r="E591" s="715"/>
      <c r="F591" s="714"/>
      <c r="G591" s="714"/>
      <c r="H591" s="714"/>
      <c r="I591" s="716"/>
      <c r="J591" s="716"/>
      <c r="K591" s="716"/>
      <c r="L591" s="653" t="str">
        <f t="shared" si="589"/>
        <v>0</v>
      </c>
      <c r="M591" s="654">
        <f t="shared" si="520"/>
        <v>0</v>
      </c>
      <c r="N591" s="655">
        <f>+IF(OR($Q591=Parametres!$G$2,$Q591=Parametres!$G$3),I591,C591)</f>
        <v>0</v>
      </c>
      <c r="O591" s="655">
        <f>+IF(OR($Q591=Parametres!$G$2,$Q591=Parametres!$G$3),J591,D591)</f>
        <v>0</v>
      </c>
      <c r="P591" s="655">
        <f>+IF(OR($Q591=Parametres!$G$2,$Q591=Parametres!$G$3),K591,E591)</f>
        <v>0</v>
      </c>
      <c r="Q591" s="654">
        <f t="shared" ref="Q591:S591" si="602">+F591</f>
        <v>0</v>
      </c>
      <c r="R591" s="653">
        <f t="shared" si="602"/>
        <v>0</v>
      </c>
      <c r="S591" s="654">
        <f t="shared" si="602"/>
        <v>0</v>
      </c>
      <c r="T591" s="656" t="e">
        <f>+VLOOKUP($L591,Data_Validation!$A:$D,1,0)</f>
        <v>#N/A</v>
      </c>
      <c r="U591" s="656" t="e">
        <f>+VLOOKUP($L591,Data_Validation!$A:$D,3,0)</f>
        <v>#N/A</v>
      </c>
      <c r="V591" s="656" t="e">
        <f>+VLOOKUP($L591,Data_Validation!$A:$D,4,0)</f>
        <v>#N/A</v>
      </c>
      <c r="W591" s="656" t="e">
        <f>+VLOOKUP($L591,Data_Validation!$A:$E,5,0)</f>
        <v>#N/A</v>
      </c>
      <c r="X591" s="656" t="e">
        <f>+VLOOKUP($L591,Data_Validation!$A:$F,6,0)</f>
        <v>#N/A</v>
      </c>
    </row>
    <row r="592" spans="1:24" ht="15" customHeight="1">
      <c r="A592" s="714"/>
      <c r="B592" s="714"/>
      <c r="C592" s="715"/>
      <c r="D592" s="715"/>
      <c r="E592" s="715"/>
      <c r="F592" s="714"/>
      <c r="G592" s="714"/>
      <c r="H592" s="714"/>
      <c r="I592" s="716"/>
      <c r="J592" s="716"/>
      <c r="K592" s="716"/>
      <c r="L592" s="653" t="str">
        <f t="shared" si="589"/>
        <v>0</v>
      </c>
      <c r="M592" s="654">
        <f t="shared" si="520"/>
        <v>0</v>
      </c>
      <c r="N592" s="655">
        <f>+IF(OR($Q592=Parametres!$G$2,$Q592=Parametres!$G$3),I592,C592)</f>
        <v>0</v>
      </c>
      <c r="O592" s="655">
        <f>+IF(OR($Q592=Parametres!$G$2,$Q592=Parametres!$G$3),J592,D592)</f>
        <v>0</v>
      </c>
      <c r="P592" s="655">
        <f>+IF(OR($Q592=Parametres!$G$2,$Q592=Parametres!$G$3),K592,E592)</f>
        <v>0</v>
      </c>
      <c r="Q592" s="654">
        <f t="shared" ref="Q592:S592" si="603">+F592</f>
        <v>0</v>
      </c>
      <c r="R592" s="653">
        <f t="shared" si="603"/>
        <v>0</v>
      </c>
      <c r="S592" s="654">
        <f t="shared" si="603"/>
        <v>0</v>
      </c>
      <c r="T592" s="656" t="e">
        <f>+VLOOKUP($L592,Data_Validation!$A:$D,1,0)</f>
        <v>#N/A</v>
      </c>
      <c r="U592" s="656" t="e">
        <f>+VLOOKUP($L592,Data_Validation!$A:$D,3,0)</f>
        <v>#N/A</v>
      </c>
      <c r="V592" s="656" t="e">
        <f>+VLOOKUP($L592,Data_Validation!$A:$D,4,0)</f>
        <v>#N/A</v>
      </c>
      <c r="W592" s="656" t="e">
        <f>+VLOOKUP($L592,Data_Validation!$A:$E,5,0)</f>
        <v>#N/A</v>
      </c>
      <c r="X592" s="656" t="e">
        <f>+VLOOKUP($L592,Data_Validation!$A:$F,6,0)</f>
        <v>#N/A</v>
      </c>
    </row>
    <row r="593" spans="1:24" ht="15" customHeight="1">
      <c r="A593" s="714"/>
      <c r="B593" s="714"/>
      <c r="C593" s="715"/>
      <c r="D593" s="715"/>
      <c r="E593" s="715"/>
      <c r="F593" s="714"/>
      <c r="G593" s="714"/>
      <c r="H593" s="714"/>
      <c r="I593" s="716"/>
      <c r="J593" s="716"/>
      <c r="K593" s="716"/>
      <c r="L593" s="653" t="str">
        <f t="shared" si="589"/>
        <v>0</v>
      </c>
      <c r="M593" s="654">
        <f t="shared" si="520"/>
        <v>0</v>
      </c>
      <c r="N593" s="655">
        <f>+IF(OR($Q593=Parametres!$G$2,$Q593=Parametres!$G$3),I593,C593)</f>
        <v>0</v>
      </c>
      <c r="O593" s="655">
        <f>+IF(OR($Q593=Parametres!$G$2,$Q593=Parametres!$G$3),J593,D593)</f>
        <v>0</v>
      </c>
      <c r="P593" s="655">
        <f>+IF(OR($Q593=Parametres!$G$2,$Q593=Parametres!$G$3),K593,E593)</f>
        <v>0</v>
      </c>
      <c r="Q593" s="654">
        <f t="shared" ref="Q593:S593" si="604">+F593</f>
        <v>0</v>
      </c>
      <c r="R593" s="653">
        <f t="shared" si="604"/>
        <v>0</v>
      </c>
      <c r="S593" s="654">
        <f t="shared" si="604"/>
        <v>0</v>
      </c>
      <c r="T593" s="656" t="e">
        <f>+VLOOKUP($L593,Data_Validation!$A:$D,1,0)</f>
        <v>#N/A</v>
      </c>
      <c r="U593" s="656" t="e">
        <f>+VLOOKUP($L593,Data_Validation!$A:$D,3,0)</f>
        <v>#N/A</v>
      </c>
      <c r="V593" s="656" t="e">
        <f>+VLOOKUP($L593,Data_Validation!$A:$D,4,0)</f>
        <v>#N/A</v>
      </c>
      <c r="W593" s="656" t="e">
        <f>+VLOOKUP($L593,Data_Validation!$A:$E,5,0)</f>
        <v>#N/A</v>
      </c>
      <c r="X593" s="656" t="e">
        <f>+VLOOKUP($L593,Data_Validation!$A:$F,6,0)</f>
        <v>#N/A</v>
      </c>
    </row>
    <row r="594" spans="1:24" ht="15" customHeight="1">
      <c r="A594" s="714"/>
      <c r="B594" s="714"/>
      <c r="C594" s="715"/>
      <c r="D594" s="715"/>
      <c r="E594" s="715"/>
      <c r="F594" s="714"/>
      <c r="G594" s="714"/>
      <c r="H594" s="714"/>
      <c r="I594" s="716"/>
      <c r="J594" s="716"/>
      <c r="K594" s="716"/>
      <c r="L594" s="653" t="str">
        <f t="shared" si="589"/>
        <v>0</v>
      </c>
      <c r="M594" s="654">
        <f t="shared" si="520"/>
        <v>0</v>
      </c>
      <c r="N594" s="655">
        <f>+IF(OR($Q594=Parametres!$G$2,$Q594=Parametres!$G$3),I594,C594)</f>
        <v>0</v>
      </c>
      <c r="O594" s="655">
        <f>+IF(OR($Q594=Parametres!$G$2,$Q594=Parametres!$G$3),J594,D594)</f>
        <v>0</v>
      </c>
      <c r="P594" s="655">
        <f>+IF(OR($Q594=Parametres!$G$2,$Q594=Parametres!$G$3),K594,E594)</f>
        <v>0</v>
      </c>
      <c r="Q594" s="654">
        <f t="shared" ref="Q594:S594" si="605">+F594</f>
        <v>0</v>
      </c>
      <c r="R594" s="653">
        <f t="shared" si="605"/>
        <v>0</v>
      </c>
      <c r="S594" s="654">
        <f t="shared" si="605"/>
        <v>0</v>
      </c>
      <c r="T594" s="656" t="e">
        <f>+VLOOKUP($L594,Data_Validation!$A:$D,1,0)</f>
        <v>#N/A</v>
      </c>
      <c r="U594" s="656" t="e">
        <f>+VLOOKUP($L594,Data_Validation!$A:$D,3,0)</f>
        <v>#N/A</v>
      </c>
      <c r="V594" s="656" t="e">
        <f>+VLOOKUP($L594,Data_Validation!$A:$D,4,0)</f>
        <v>#N/A</v>
      </c>
      <c r="W594" s="656" t="e">
        <f>+VLOOKUP($L594,Data_Validation!$A:$E,5,0)</f>
        <v>#N/A</v>
      </c>
      <c r="X594" s="656" t="e">
        <f>+VLOOKUP($L594,Data_Validation!$A:$F,6,0)</f>
        <v>#N/A</v>
      </c>
    </row>
    <row r="595" spans="1:24" ht="15" customHeight="1">
      <c r="A595" s="714"/>
      <c r="B595" s="714"/>
      <c r="C595" s="715"/>
      <c r="D595" s="715"/>
      <c r="E595" s="715"/>
      <c r="F595" s="714"/>
      <c r="G595" s="714"/>
      <c r="H595" s="714"/>
      <c r="I595" s="716"/>
      <c r="J595" s="716"/>
      <c r="K595" s="716"/>
      <c r="L595" s="653" t="str">
        <f t="shared" si="589"/>
        <v>0</v>
      </c>
      <c r="M595" s="654">
        <f t="shared" si="520"/>
        <v>0</v>
      </c>
      <c r="N595" s="655">
        <f>+IF(OR($Q595=Parametres!$G$2,$Q595=Parametres!$G$3),I595,C595)</f>
        <v>0</v>
      </c>
      <c r="O595" s="655">
        <f>+IF(OR($Q595=Parametres!$G$2,$Q595=Parametres!$G$3),J595,D595)</f>
        <v>0</v>
      </c>
      <c r="P595" s="655">
        <f>+IF(OR($Q595=Parametres!$G$2,$Q595=Parametres!$G$3),K595,E595)</f>
        <v>0</v>
      </c>
      <c r="Q595" s="654">
        <f t="shared" ref="Q595:S595" si="606">+F595</f>
        <v>0</v>
      </c>
      <c r="R595" s="653">
        <f t="shared" si="606"/>
        <v>0</v>
      </c>
      <c r="S595" s="654">
        <f t="shared" si="606"/>
        <v>0</v>
      </c>
      <c r="T595" s="656" t="e">
        <f>+VLOOKUP($L595,Data_Validation!$A:$D,1,0)</f>
        <v>#N/A</v>
      </c>
      <c r="U595" s="656" t="e">
        <f>+VLOOKUP($L595,Data_Validation!$A:$D,3,0)</f>
        <v>#N/A</v>
      </c>
      <c r="V595" s="656" t="e">
        <f>+VLOOKUP($L595,Data_Validation!$A:$D,4,0)</f>
        <v>#N/A</v>
      </c>
      <c r="W595" s="656" t="e">
        <f>+VLOOKUP($L595,Data_Validation!$A:$E,5,0)</f>
        <v>#N/A</v>
      </c>
      <c r="X595" s="656" t="e">
        <f>+VLOOKUP($L595,Data_Validation!$A:$F,6,0)</f>
        <v>#N/A</v>
      </c>
    </row>
    <row r="596" spans="1:24" ht="15" customHeight="1">
      <c r="A596" s="714"/>
      <c r="B596" s="714"/>
      <c r="C596" s="715"/>
      <c r="D596" s="715"/>
      <c r="E596" s="715"/>
      <c r="F596" s="714"/>
      <c r="G596" s="714"/>
      <c r="H596" s="714"/>
      <c r="I596" s="716"/>
      <c r="J596" s="716"/>
      <c r="K596" s="716"/>
      <c r="L596" s="653" t="str">
        <f t="shared" si="589"/>
        <v>0</v>
      </c>
      <c r="M596" s="654">
        <f t="shared" si="520"/>
        <v>0</v>
      </c>
      <c r="N596" s="655">
        <f>+IF(OR($Q596=Parametres!$G$2,$Q596=Parametres!$G$3),I596,C596)</f>
        <v>0</v>
      </c>
      <c r="O596" s="655">
        <f>+IF(OR($Q596=Parametres!$G$2,$Q596=Parametres!$G$3),J596,D596)</f>
        <v>0</v>
      </c>
      <c r="P596" s="655">
        <f>+IF(OR($Q596=Parametres!$G$2,$Q596=Parametres!$G$3),K596,E596)</f>
        <v>0</v>
      </c>
      <c r="Q596" s="654">
        <f t="shared" ref="Q596:S596" si="607">+F596</f>
        <v>0</v>
      </c>
      <c r="R596" s="653">
        <f t="shared" si="607"/>
        <v>0</v>
      </c>
      <c r="S596" s="654">
        <f t="shared" si="607"/>
        <v>0</v>
      </c>
      <c r="T596" s="656" t="e">
        <f>+VLOOKUP($L596,Data_Validation!$A:$D,1,0)</f>
        <v>#N/A</v>
      </c>
      <c r="U596" s="656" t="e">
        <f>+VLOOKUP($L596,Data_Validation!$A:$D,3,0)</f>
        <v>#N/A</v>
      </c>
      <c r="V596" s="656" t="e">
        <f>+VLOOKUP($L596,Data_Validation!$A:$D,4,0)</f>
        <v>#N/A</v>
      </c>
      <c r="W596" s="656" t="e">
        <f>+VLOOKUP($L596,Data_Validation!$A:$E,5,0)</f>
        <v>#N/A</v>
      </c>
      <c r="X596" s="656" t="e">
        <f>+VLOOKUP($L596,Data_Validation!$A:$F,6,0)</f>
        <v>#N/A</v>
      </c>
    </row>
    <row r="597" spans="1:24" ht="15" customHeight="1">
      <c r="A597" s="714"/>
      <c r="B597" s="714"/>
      <c r="C597" s="715"/>
      <c r="D597" s="715"/>
      <c r="E597" s="715"/>
      <c r="F597" s="714"/>
      <c r="G597" s="714"/>
      <c r="H597" s="714"/>
      <c r="I597" s="716"/>
      <c r="J597" s="716"/>
      <c r="K597" s="716"/>
      <c r="L597" s="653" t="str">
        <f t="shared" si="589"/>
        <v>0</v>
      </c>
      <c r="M597" s="654">
        <f t="shared" si="520"/>
        <v>0</v>
      </c>
      <c r="N597" s="655">
        <f>+IF(OR($Q597=Parametres!$G$2,$Q597=Parametres!$G$3),I597,C597)</f>
        <v>0</v>
      </c>
      <c r="O597" s="655">
        <f>+IF(OR($Q597=Parametres!$G$2,$Q597=Parametres!$G$3),J597,D597)</f>
        <v>0</v>
      </c>
      <c r="P597" s="655">
        <f>+IF(OR($Q597=Parametres!$G$2,$Q597=Parametres!$G$3),K597,E597)</f>
        <v>0</v>
      </c>
      <c r="Q597" s="654">
        <f t="shared" ref="Q597:S597" si="608">+F597</f>
        <v>0</v>
      </c>
      <c r="R597" s="653">
        <f t="shared" si="608"/>
        <v>0</v>
      </c>
      <c r="S597" s="654">
        <f t="shared" si="608"/>
        <v>0</v>
      </c>
      <c r="T597" s="656" t="e">
        <f>+VLOOKUP($L597,Data_Validation!$A:$D,1,0)</f>
        <v>#N/A</v>
      </c>
      <c r="U597" s="656" t="e">
        <f>+VLOOKUP($L597,Data_Validation!$A:$D,3,0)</f>
        <v>#N/A</v>
      </c>
      <c r="V597" s="656" t="e">
        <f>+VLOOKUP($L597,Data_Validation!$A:$D,4,0)</f>
        <v>#N/A</v>
      </c>
      <c r="W597" s="656" t="e">
        <f>+VLOOKUP($L597,Data_Validation!$A:$E,5,0)</f>
        <v>#N/A</v>
      </c>
      <c r="X597" s="656" t="e">
        <f>+VLOOKUP($L597,Data_Validation!$A:$F,6,0)</f>
        <v>#N/A</v>
      </c>
    </row>
    <row r="598" spans="1:24" ht="15" customHeight="1">
      <c r="A598" s="714"/>
      <c r="B598" s="714"/>
      <c r="C598" s="715"/>
      <c r="D598" s="715"/>
      <c r="E598" s="715"/>
      <c r="F598" s="714"/>
      <c r="G598" s="714"/>
      <c r="H598" s="714"/>
      <c r="I598" s="716"/>
      <c r="J598" s="716"/>
      <c r="K598" s="716"/>
      <c r="L598" s="653" t="str">
        <f t="shared" si="589"/>
        <v>0</v>
      </c>
      <c r="M598" s="654">
        <f t="shared" si="520"/>
        <v>0</v>
      </c>
      <c r="N598" s="655">
        <f>+IF(OR($Q598=Parametres!$G$2,$Q598=Parametres!$G$3),I598,C598)</f>
        <v>0</v>
      </c>
      <c r="O598" s="655">
        <f>+IF(OR($Q598=Parametres!$G$2,$Q598=Parametres!$G$3),J598,D598)</f>
        <v>0</v>
      </c>
      <c r="P598" s="655">
        <f>+IF(OR($Q598=Parametres!$G$2,$Q598=Parametres!$G$3),K598,E598)</f>
        <v>0</v>
      </c>
      <c r="Q598" s="654">
        <f t="shared" ref="Q598:S598" si="609">+F598</f>
        <v>0</v>
      </c>
      <c r="R598" s="653">
        <f t="shared" si="609"/>
        <v>0</v>
      </c>
      <c r="S598" s="654">
        <f t="shared" si="609"/>
        <v>0</v>
      </c>
      <c r="T598" s="656" t="e">
        <f>+VLOOKUP($L598,Data_Validation!$A:$D,1,0)</f>
        <v>#N/A</v>
      </c>
      <c r="U598" s="656" t="e">
        <f>+VLOOKUP($L598,Data_Validation!$A:$D,3,0)</f>
        <v>#N/A</v>
      </c>
      <c r="V598" s="656" t="e">
        <f>+VLOOKUP($L598,Data_Validation!$A:$D,4,0)</f>
        <v>#N/A</v>
      </c>
      <c r="W598" s="656" t="e">
        <f>+VLOOKUP($L598,Data_Validation!$A:$E,5,0)</f>
        <v>#N/A</v>
      </c>
      <c r="X598" s="656" t="e">
        <f>+VLOOKUP($L598,Data_Validation!$A:$F,6,0)</f>
        <v>#N/A</v>
      </c>
    </row>
    <row r="599" spans="1:24" ht="15" customHeight="1">
      <c r="A599" s="714"/>
      <c r="B599" s="714"/>
      <c r="C599" s="715"/>
      <c r="D599" s="715"/>
      <c r="E599" s="715"/>
      <c r="F599" s="714"/>
      <c r="G599" s="714"/>
      <c r="H599" s="714"/>
      <c r="I599" s="716"/>
      <c r="J599" s="716"/>
      <c r="K599" s="716"/>
      <c r="L599" s="653" t="str">
        <f t="shared" si="589"/>
        <v>0</v>
      </c>
      <c r="M599" s="654">
        <f t="shared" si="520"/>
        <v>0</v>
      </c>
      <c r="N599" s="655">
        <f>+IF(OR($Q599=Parametres!$G$2,$Q599=Parametres!$G$3),I599,C599)</f>
        <v>0</v>
      </c>
      <c r="O599" s="655">
        <f>+IF(OR($Q599=Parametres!$G$2,$Q599=Parametres!$G$3),J599,D599)</f>
        <v>0</v>
      </c>
      <c r="P599" s="655">
        <f>+IF(OR($Q599=Parametres!$G$2,$Q599=Parametres!$G$3),K599,E599)</f>
        <v>0</v>
      </c>
      <c r="Q599" s="654">
        <f t="shared" ref="Q599:S599" si="610">+F599</f>
        <v>0</v>
      </c>
      <c r="R599" s="653">
        <f t="shared" si="610"/>
        <v>0</v>
      </c>
      <c r="S599" s="654">
        <f t="shared" si="610"/>
        <v>0</v>
      </c>
      <c r="T599" s="656" t="e">
        <f>+VLOOKUP($L599,Data_Validation!$A:$D,1,0)</f>
        <v>#N/A</v>
      </c>
      <c r="U599" s="656" t="e">
        <f>+VLOOKUP($L599,Data_Validation!$A:$D,3,0)</f>
        <v>#N/A</v>
      </c>
      <c r="V599" s="656" t="e">
        <f>+VLOOKUP($L599,Data_Validation!$A:$D,4,0)</f>
        <v>#N/A</v>
      </c>
      <c r="W599" s="656" t="e">
        <f>+VLOOKUP($L599,Data_Validation!$A:$E,5,0)</f>
        <v>#N/A</v>
      </c>
      <c r="X599" s="656" t="e">
        <f>+VLOOKUP($L599,Data_Validation!$A:$F,6,0)</f>
        <v>#N/A</v>
      </c>
    </row>
    <row r="600" spans="1:24" ht="15" customHeight="1">
      <c r="A600" s="714"/>
      <c r="B600" s="714"/>
      <c r="C600" s="715"/>
      <c r="D600" s="715"/>
      <c r="E600" s="715"/>
      <c r="F600" s="714"/>
      <c r="G600" s="714"/>
      <c r="H600" s="714"/>
      <c r="I600" s="716"/>
      <c r="J600" s="716"/>
      <c r="K600" s="716"/>
      <c r="L600" s="653" t="str">
        <f t="shared" si="589"/>
        <v>0</v>
      </c>
      <c r="M600" s="654">
        <f t="shared" si="520"/>
        <v>0</v>
      </c>
      <c r="N600" s="655">
        <f>+IF(OR($Q600=Parametres!$G$2,$Q600=Parametres!$G$3),I600,C600)</f>
        <v>0</v>
      </c>
      <c r="O600" s="655">
        <f>+IF(OR($Q600=Parametres!$G$2,$Q600=Parametres!$G$3),J600,D600)</f>
        <v>0</v>
      </c>
      <c r="P600" s="655">
        <f>+IF(OR($Q600=Parametres!$G$2,$Q600=Parametres!$G$3),K600,E600)</f>
        <v>0</v>
      </c>
      <c r="Q600" s="654">
        <f t="shared" ref="Q600:S600" si="611">+F600</f>
        <v>0</v>
      </c>
      <c r="R600" s="653">
        <f t="shared" si="611"/>
        <v>0</v>
      </c>
      <c r="S600" s="654">
        <f t="shared" si="611"/>
        <v>0</v>
      </c>
      <c r="T600" s="656" t="e">
        <f>+VLOOKUP($L600,Data_Validation!$A:$D,1,0)</f>
        <v>#N/A</v>
      </c>
      <c r="U600" s="656" t="e">
        <f>+VLOOKUP($L600,Data_Validation!$A:$D,3,0)</f>
        <v>#N/A</v>
      </c>
      <c r="V600" s="656" t="e">
        <f>+VLOOKUP($L600,Data_Validation!$A:$D,4,0)</f>
        <v>#N/A</v>
      </c>
      <c r="W600" s="656" t="e">
        <f>+VLOOKUP($L600,Data_Validation!$A:$E,5,0)</f>
        <v>#N/A</v>
      </c>
      <c r="X600" s="656" t="e">
        <f>+VLOOKUP($L600,Data_Validation!$A:$F,6,0)</f>
        <v>#N/A</v>
      </c>
    </row>
    <row r="601" spans="1:24" ht="15" customHeight="1">
      <c r="A601" s="714"/>
      <c r="B601" s="714"/>
      <c r="C601" s="715"/>
      <c r="D601" s="715"/>
      <c r="E601" s="715"/>
      <c r="F601" s="714"/>
      <c r="G601" s="714"/>
      <c r="H601" s="714"/>
      <c r="I601" s="716"/>
      <c r="J601" s="716"/>
      <c r="K601" s="716"/>
      <c r="L601" s="653" t="str">
        <f t="shared" si="589"/>
        <v>0</v>
      </c>
      <c r="M601" s="654">
        <f t="shared" si="520"/>
        <v>0</v>
      </c>
      <c r="N601" s="655">
        <f>+IF(OR($Q601=Parametres!$G$2,$Q601=Parametres!$G$3),I601,C601)</f>
        <v>0</v>
      </c>
      <c r="O601" s="655">
        <f>+IF(OR($Q601=Parametres!$G$2,$Q601=Parametres!$G$3),J601,D601)</f>
        <v>0</v>
      </c>
      <c r="P601" s="655">
        <f>+IF(OR($Q601=Parametres!$G$2,$Q601=Parametres!$G$3),K601,E601)</f>
        <v>0</v>
      </c>
      <c r="Q601" s="654">
        <f t="shared" ref="Q601:S601" si="612">+F601</f>
        <v>0</v>
      </c>
      <c r="R601" s="653">
        <f t="shared" si="612"/>
        <v>0</v>
      </c>
      <c r="S601" s="654">
        <f t="shared" si="612"/>
        <v>0</v>
      </c>
      <c r="T601" s="656" t="e">
        <f>+VLOOKUP($L601,Data_Validation!$A:$D,1,0)</f>
        <v>#N/A</v>
      </c>
      <c r="U601" s="656" t="e">
        <f>+VLOOKUP($L601,Data_Validation!$A:$D,3,0)</f>
        <v>#N/A</v>
      </c>
      <c r="V601" s="656" t="e">
        <f>+VLOOKUP($L601,Data_Validation!$A:$D,4,0)</f>
        <v>#N/A</v>
      </c>
      <c r="W601" s="656" t="e">
        <f>+VLOOKUP($L601,Data_Validation!$A:$E,5,0)</f>
        <v>#N/A</v>
      </c>
      <c r="X601" s="656" t="e">
        <f>+VLOOKUP($L601,Data_Validation!$A:$F,6,0)</f>
        <v>#N/A</v>
      </c>
    </row>
    <row r="602" spans="1:24" ht="15" customHeight="1">
      <c r="A602" s="714"/>
      <c r="B602" s="714"/>
      <c r="C602" s="715"/>
      <c r="D602" s="715"/>
      <c r="E602" s="715"/>
      <c r="F602" s="714"/>
      <c r="G602" s="714"/>
      <c r="H602" s="714"/>
      <c r="I602" s="716"/>
      <c r="J602" s="716"/>
      <c r="K602" s="716"/>
      <c r="L602" s="653" t="str">
        <f t="shared" si="589"/>
        <v>0</v>
      </c>
      <c r="M602" s="654">
        <f t="shared" si="520"/>
        <v>0</v>
      </c>
      <c r="N602" s="655">
        <f>+IF(OR($Q602=Parametres!$G$2,$Q602=Parametres!$G$3),I602,C602)</f>
        <v>0</v>
      </c>
      <c r="O602" s="655">
        <f>+IF(OR($Q602=Parametres!$G$2,$Q602=Parametres!$G$3),J602,D602)</f>
        <v>0</v>
      </c>
      <c r="P602" s="655">
        <f>+IF(OR($Q602=Parametres!$G$2,$Q602=Parametres!$G$3),K602,E602)</f>
        <v>0</v>
      </c>
      <c r="Q602" s="654">
        <f t="shared" ref="Q602:S602" si="613">+F602</f>
        <v>0</v>
      </c>
      <c r="R602" s="653">
        <f t="shared" si="613"/>
        <v>0</v>
      </c>
      <c r="S602" s="654">
        <f t="shared" si="613"/>
        <v>0</v>
      </c>
      <c r="T602" s="656" t="e">
        <f>+VLOOKUP($L602,Data_Validation!$A:$D,1,0)</f>
        <v>#N/A</v>
      </c>
      <c r="U602" s="656" t="e">
        <f>+VLOOKUP($L602,Data_Validation!$A:$D,3,0)</f>
        <v>#N/A</v>
      </c>
      <c r="V602" s="656" t="e">
        <f>+VLOOKUP($L602,Data_Validation!$A:$D,4,0)</f>
        <v>#N/A</v>
      </c>
      <c r="W602" s="656" t="e">
        <f>+VLOOKUP($L602,Data_Validation!$A:$E,5,0)</f>
        <v>#N/A</v>
      </c>
      <c r="X602" s="656" t="e">
        <f>+VLOOKUP($L602,Data_Validation!$A:$F,6,0)</f>
        <v>#N/A</v>
      </c>
    </row>
    <row r="603" spans="1:24" ht="15" customHeight="1">
      <c r="A603" s="714"/>
      <c r="B603" s="714"/>
      <c r="C603" s="715"/>
      <c r="D603" s="715"/>
      <c r="E603" s="715"/>
      <c r="F603" s="714"/>
      <c r="G603" s="714"/>
      <c r="H603" s="714"/>
      <c r="I603" s="716"/>
      <c r="J603" s="716"/>
      <c r="K603" s="716"/>
      <c r="L603" s="653" t="str">
        <f t="shared" si="589"/>
        <v>0</v>
      </c>
      <c r="M603" s="654">
        <f t="shared" si="520"/>
        <v>0</v>
      </c>
      <c r="N603" s="655">
        <f>+IF(OR($Q603=Parametres!$G$2,$Q603=Parametres!$G$3),I603,C603)</f>
        <v>0</v>
      </c>
      <c r="O603" s="655">
        <f>+IF(OR($Q603=Parametres!$G$2,$Q603=Parametres!$G$3),J603,D603)</f>
        <v>0</v>
      </c>
      <c r="P603" s="655">
        <f>+IF(OR($Q603=Parametres!$G$2,$Q603=Parametres!$G$3),K603,E603)</f>
        <v>0</v>
      </c>
      <c r="Q603" s="654">
        <f t="shared" ref="Q603:S603" si="614">+F603</f>
        <v>0</v>
      </c>
      <c r="R603" s="653">
        <f t="shared" si="614"/>
        <v>0</v>
      </c>
      <c r="S603" s="654">
        <f t="shared" si="614"/>
        <v>0</v>
      </c>
      <c r="T603" s="656" t="e">
        <f>+VLOOKUP($L603,Data_Validation!$A:$D,1,0)</f>
        <v>#N/A</v>
      </c>
      <c r="U603" s="656" t="e">
        <f>+VLOOKUP($L603,Data_Validation!$A:$D,3,0)</f>
        <v>#N/A</v>
      </c>
      <c r="V603" s="656" t="e">
        <f>+VLOOKUP($L603,Data_Validation!$A:$D,4,0)</f>
        <v>#N/A</v>
      </c>
      <c r="W603" s="656" t="e">
        <f>+VLOOKUP($L603,Data_Validation!$A:$E,5,0)</f>
        <v>#N/A</v>
      </c>
      <c r="X603" s="656" t="e">
        <f>+VLOOKUP($L603,Data_Validation!$A:$F,6,0)</f>
        <v>#N/A</v>
      </c>
    </row>
    <row r="604" spans="1:24" ht="15" customHeight="1">
      <c r="A604" s="714"/>
      <c r="B604" s="714"/>
      <c r="C604" s="715"/>
      <c r="D604" s="715"/>
      <c r="E604" s="715"/>
      <c r="F604" s="714"/>
      <c r="G604" s="714"/>
      <c r="H604" s="714"/>
      <c r="I604" s="716"/>
      <c r="J604" s="716"/>
      <c r="K604" s="716"/>
      <c r="L604" s="653" t="str">
        <f t="shared" si="589"/>
        <v>0</v>
      </c>
      <c r="M604" s="654">
        <f t="shared" si="520"/>
        <v>0</v>
      </c>
      <c r="N604" s="655">
        <f>+IF(OR($Q604=Parametres!$G$2,$Q604=Parametres!$G$3),I604,C604)</f>
        <v>0</v>
      </c>
      <c r="O604" s="655">
        <f>+IF(OR($Q604=Parametres!$G$2,$Q604=Parametres!$G$3),J604,D604)</f>
        <v>0</v>
      </c>
      <c r="P604" s="655">
        <f>+IF(OR($Q604=Parametres!$G$2,$Q604=Parametres!$G$3),K604,E604)</f>
        <v>0</v>
      </c>
      <c r="Q604" s="654">
        <f t="shared" ref="Q604:S604" si="615">+F604</f>
        <v>0</v>
      </c>
      <c r="R604" s="653">
        <f t="shared" si="615"/>
        <v>0</v>
      </c>
      <c r="S604" s="654">
        <f t="shared" si="615"/>
        <v>0</v>
      </c>
      <c r="T604" s="656" t="e">
        <f>+VLOOKUP($L604,Data_Validation!$A:$D,1,0)</f>
        <v>#N/A</v>
      </c>
      <c r="U604" s="656" t="e">
        <f>+VLOOKUP($L604,Data_Validation!$A:$D,3,0)</f>
        <v>#N/A</v>
      </c>
      <c r="V604" s="656" t="e">
        <f>+VLOOKUP($L604,Data_Validation!$A:$D,4,0)</f>
        <v>#N/A</v>
      </c>
      <c r="W604" s="656" t="e">
        <f>+VLOOKUP($L604,Data_Validation!$A:$E,5,0)</f>
        <v>#N/A</v>
      </c>
      <c r="X604" s="656" t="e">
        <f>+VLOOKUP($L604,Data_Validation!$A:$F,6,0)</f>
        <v>#N/A</v>
      </c>
    </row>
    <row r="605" spans="1:24" ht="15" customHeight="1">
      <c r="A605" s="714"/>
      <c r="B605" s="714"/>
      <c r="C605" s="715"/>
      <c r="D605" s="715"/>
      <c r="E605" s="715"/>
      <c r="F605" s="714"/>
      <c r="G605" s="714"/>
      <c r="H605" s="714"/>
      <c r="I605" s="716"/>
      <c r="J605" s="716"/>
      <c r="K605" s="716"/>
      <c r="L605" s="653" t="str">
        <f t="shared" si="589"/>
        <v>0</v>
      </c>
      <c r="M605" s="654">
        <f t="shared" si="520"/>
        <v>0</v>
      </c>
      <c r="N605" s="655">
        <f>+IF(OR($Q605=Parametres!$G$2,$Q605=Parametres!$G$3),I605,C605)</f>
        <v>0</v>
      </c>
      <c r="O605" s="655">
        <f>+IF(OR($Q605=Parametres!$G$2,$Q605=Parametres!$G$3),J605,D605)</f>
        <v>0</v>
      </c>
      <c r="P605" s="655">
        <f>+IF(OR($Q605=Parametres!$G$2,$Q605=Parametres!$G$3),K605,E605)</f>
        <v>0</v>
      </c>
      <c r="Q605" s="654">
        <f t="shared" ref="Q605:S605" si="616">+F605</f>
        <v>0</v>
      </c>
      <c r="R605" s="653">
        <f t="shared" si="616"/>
        <v>0</v>
      </c>
      <c r="S605" s="654">
        <f t="shared" si="616"/>
        <v>0</v>
      </c>
      <c r="T605" s="656" t="e">
        <f>+VLOOKUP($L605,Data_Validation!$A:$D,1,0)</f>
        <v>#N/A</v>
      </c>
      <c r="U605" s="656" t="e">
        <f>+VLOOKUP($L605,Data_Validation!$A:$D,3,0)</f>
        <v>#N/A</v>
      </c>
      <c r="V605" s="656" t="e">
        <f>+VLOOKUP($L605,Data_Validation!$A:$D,4,0)</f>
        <v>#N/A</v>
      </c>
      <c r="W605" s="656" t="e">
        <f>+VLOOKUP($L605,Data_Validation!$A:$E,5,0)</f>
        <v>#N/A</v>
      </c>
      <c r="X605" s="656" t="e">
        <f>+VLOOKUP($L605,Data_Validation!$A:$F,6,0)</f>
        <v>#N/A</v>
      </c>
    </row>
    <row r="606" spans="1:24" ht="15" customHeight="1">
      <c r="A606" s="714"/>
      <c r="B606" s="714"/>
      <c r="C606" s="715"/>
      <c r="D606" s="715"/>
      <c r="E606" s="715"/>
      <c r="F606" s="714"/>
      <c r="G606" s="714"/>
      <c r="H606" s="714"/>
      <c r="I606" s="716"/>
      <c r="J606" s="716"/>
      <c r="K606" s="716"/>
      <c r="L606" s="653" t="str">
        <f t="shared" si="589"/>
        <v>0</v>
      </c>
      <c r="M606" s="654">
        <f t="shared" si="520"/>
        <v>0</v>
      </c>
      <c r="N606" s="655">
        <f>+IF(OR($Q606=Parametres!$G$2,$Q606=Parametres!$G$3),I606,C606)</f>
        <v>0</v>
      </c>
      <c r="O606" s="655">
        <f>+IF(OR($Q606=Parametres!$G$2,$Q606=Parametres!$G$3),J606,D606)</f>
        <v>0</v>
      </c>
      <c r="P606" s="655">
        <f>+IF(OR($Q606=Parametres!$G$2,$Q606=Parametres!$G$3),K606,E606)</f>
        <v>0</v>
      </c>
      <c r="Q606" s="654">
        <f t="shared" ref="Q606:S606" si="617">+F606</f>
        <v>0</v>
      </c>
      <c r="R606" s="653">
        <f t="shared" si="617"/>
        <v>0</v>
      </c>
      <c r="S606" s="654">
        <f t="shared" si="617"/>
        <v>0</v>
      </c>
      <c r="T606" s="656" t="e">
        <f>+VLOOKUP($L606,Data_Validation!$A:$D,1,0)</f>
        <v>#N/A</v>
      </c>
      <c r="U606" s="656" t="e">
        <f>+VLOOKUP($L606,Data_Validation!$A:$D,3,0)</f>
        <v>#N/A</v>
      </c>
      <c r="V606" s="656" t="e">
        <f>+VLOOKUP($L606,Data_Validation!$A:$D,4,0)</f>
        <v>#N/A</v>
      </c>
      <c r="W606" s="656" t="e">
        <f>+VLOOKUP($L606,Data_Validation!$A:$E,5,0)</f>
        <v>#N/A</v>
      </c>
      <c r="X606" s="656" t="e">
        <f>+VLOOKUP($L606,Data_Validation!$A:$F,6,0)</f>
        <v>#N/A</v>
      </c>
    </row>
    <row r="607" spans="1:24" ht="15" customHeight="1">
      <c r="A607" s="714"/>
      <c r="B607" s="714"/>
      <c r="C607" s="715"/>
      <c r="D607" s="715"/>
      <c r="E607" s="715"/>
      <c r="F607" s="714"/>
      <c r="G607" s="714"/>
      <c r="H607" s="714"/>
      <c r="I607" s="716"/>
      <c r="J607" s="716"/>
      <c r="K607" s="716"/>
      <c r="L607" s="653" t="str">
        <f t="shared" si="589"/>
        <v>0</v>
      </c>
      <c r="M607" s="654">
        <f t="shared" si="520"/>
        <v>0</v>
      </c>
      <c r="N607" s="655">
        <f>+IF(OR($Q607=Parametres!$G$2,$Q607=Parametres!$G$3),I607,C607)</f>
        <v>0</v>
      </c>
      <c r="O607" s="655">
        <f>+IF(OR($Q607=Parametres!$G$2,$Q607=Parametres!$G$3),J607,D607)</f>
        <v>0</v>
      </c>
      <c r="P607" s="655">
        <f>+IF(OR($Q607=Parametres!$G$2,$Q607=Parametres!$G$3),K607,E607)</f>
        <v>0</v>
      </c>
      <c r="Q607" s="654">
        <f t="shared" ref="Q607:S607" si="618">+F607</f>
        <v>0</v>
      </c>
      <c r="R607" s="653">
        <f t="shared" si="618"/>
        <v>0</v>
      </c>
      <c r="S607" s="654">
        <f t="shared" si="618"/>
        <v>0</v>
      </c>
      <c r="T607" s="656" t="e">
        <f>+VLOOKUP($L607,Data_Validation!$A:$D,1,0)</f>
        <v>#N/A</v>
      </c>
      <c r="U607" s="656" t="e">
        <f>+VLOOKUP($L607,Data_Validation!$A:$D,3,0)</f>
        <v>#N/A</v>
      </c>
      <c r="V607" s="656" t="e">
        <f>+VLOOKUP($L607,Data_Validation!$A:$D,4,0)</f>
        <v>#N/A</v>
      </c>
      <c r="W607" s="656" t="e">
        <f>+VLOOKUP($L607,Data_Validation!$A:$E,5,0)</f>
        <v>#N/A</v>
      </c>
      <c r="X607" s="656" t="e">
        <f>+VLOOKUP($L607,Data_Validation!$A:$F,6,0)</f>
        <v>#N/A</v>
      </c>
    </row>
    <row r="608" spans="1:24" ht="15" customHeight="1">
      <c r="A608" s="714"/>
      <c r="B608" s="714"/>
      <c r="C608" s="715"/>
      <c r="D608" s="715"/>
      <c r="E608" s="715"/>
      <c r="F608" s="714"/>
      <c r="G608" s="714"/>
      <c r="H608" s="714"/>
      <c r="I608" s="716"/>
      <c r="J608" s="716"/>
      <c r="K608" s="716"/>
      <c r="L608" s="653" t="str">
        <f t="shared" si="589"/>
        <v>0</v>
      </c>
      <c r="M608" s="654">
        <f t="shared" si="520"/>
        <v>0</v>
      </c>
      <c r="N608" s="655">
        <f>+IF(OR($Q608=Parametres!$G$2,$Q608=Parametres!$G$3),I608,C608)</f>
        <v>0</v>
      </c>
      <c r="O608" s="655">
        <f>+IF(OR($Q608=Parametres!$G$2,$Q608=Parametres!$G$3),J608,D608)</f>
        <v>0</v>
      </c>
      <c r="P608" s="655">
        <f>+IF(OR($Q608=Parametres!$G$2,$Q608=Parametres!$G$3),K608,E608)</f>
        <v>0</v>
      </c>
      <c r="Q608" s="654">
        <f t="shared" ref="Q608:S608" si="619">+F608</f>
        <v>0</v>
      </c>
      <c r="R608" s="653">
        <f t="shared" si="619"/>
        <v>0</v>
      </c>
      <c r="S608" s="654">
        <f t="shared" si="619"/>
        <v>0</v>
      </c>
      <c r="T608" s="656" t="e">
        <f>+VLOOKUP($L608,Data_Validation!$A:$D,1,0)</f>
        <v>#N/A</v>
      </c>
      <c r="U608" s="656" t="e">
        <f>+VLOOKUP($L608,Data_Validation!$A:$D,3,0)</f>
        <v>#N/A</v>
      </c>
      <c r="V608" s="656" t="e">
        <f>+VLOOKUP($L608,Data_Validation!$A:$D,4,0)</f>
        <v>#N/A</v>
      </c>
      <c r="W608" s="656" t="e">
        <f>+VLOOKUP($L608,Data_Validation!$A:$E,5,0)</f>
        <v>#N/A</v>
      </c>
      <c r="X608" s="656" t="e">
        <f>+VLOOKUP($L608,Data_Validation!$A:$F,6,0)</f>
        <v>#N/A</v>
      </c>
    </row>
    <row r="609" spans="1:24" ht="15" customHeight="1">
      <c r="A609" s="714"/>
      <c r="B609" s="714"/>
      <c r="C609" s="715"/>
      <c r="D609" s="715"/>
      <c r="E609" s="715"/>
      <c r="F609" s="714"/>
      <c r="G609" s="714"/>
      <c r="H609" s="714"/>
      <c r="I609" s="716"/>
      <c r="J609" s="716"/>
      <c r="K609" s="716"/>
      <c r="L609" s="653" t="str">
        <f t="shared" si="589"/>
        <v>0</v>
      </c>
      <c r="M609" s="654">
        <f t="shared" si="520"/>
        <v>0</v>
      </c>
      <c r="N609" s="655">
        <f>+IF(OR($Q609=Parametres!$G$2,$Q609=Parametres!$G$3),I609,C609)</f>
        <v>0</v>
      </c>
      <c r="O609" s="655">
        <f>+IF(OR($Q609=Parametres!$G$2,$Q609=Parametres!$G$3),J609,D609)</f>
        <v>0</v>
      </c>
      <c r="P609" s="655">
        <f>+IF(OR($Q609=Parametres!$G$2,$Q609=Parametres!$G$3),K609,E609)</f>
        <v>0</v>
      </c>
      <c r="Q609" s="654">
        <f t="shared" ref="Q609:S609" si="620">+F609</f>
        <v>0</v>
      </c>
      <c r="R609" s="653">
        <f t="shared" si="620"/>
        <v>0</v>
      </c>
      <c r="S609" s="654">
        <f t="shared" si="620"/>
        <v>0</v>
      </c>
      <c r="T609" s="656" t="e">
        <f>+VLOOKUP($L609,Data_Validation!$A:$D,1,0)</f>
        <v>#N/A</v>
      </c>
      <c r="U609" s="656" t="e">
        <f>+VLOOKUP($L609,Data_Validation!$A:$D,3,0)</f>
        <v>#N/A</v>
      </c>
      <c r="V609" s="656" t="e">
        <f>+VLOOKUP($L609,Data_Validation!$A:$D,4,0)</f>
        <v>#N/A</v>
      </c>
      <c r="W609" s="656" t="e">
        <f>+VLOOKUP($L609,Data_Validation!$A:$E,5,0)</f>
        <v>#N/A</v>
      </c>
      <c r="X609" s="656" t="e">
        <f>+VLOOKUP($L609,Data_Validation!$A:$F,6,0)</f>
        <v>#N/A</v>
      </c>
    </row>
    <row r="610" spans="1:24" ht="15" customHeight="1">
      <c r="A610" s="714"/>
      <c r="B610" s="714"/>
      <c r="C610" s="715"/>
      <c r="D610" s="715"/>
      <c r="E610" s="715"/>
      <c r="F610" s="714"/>
      <c r="G610" s="714"/>
      <c r="H610" s="714"/>
      <c r="I610" s="716"/>
      <c r="J610" s="716"/>
      <c r="K610" s="716"/>
      <c r="L610" s="653" t="str">
        <f t="shared" si="589"/>
        <v>0</v>
      </c>
      <c r="M610" s="654">
        <f t="shared" si="520"/>
        <v>0</v>
      </c>
      <c r="N610" s="655">
        <f>+IF(OR($Q610=Parametres!$G$2,$Q610=Parametres!$G$3),I610,C610)</f>
        <v>0</v>
      </c>
      <c r="O610" s="655">
        <f>+IF(OR($Q610=Parametres!$G$2,$Q610=Parametres!$G$3),J610,D610)</f>
        <v>0</v>
      </c>
      <c r="P610" s="655">
        <f>+IF(OR($Q610=Parametres!$G$2,$Q610=Parametres!$G$3),K610,E610)</f>
        <v>0</v>
      </c>
      <c r="Q610" s="654">
        <f t="shared" ref="Q610:S610" si="621">+F610</f>
        <v>0</v>
      </c>
      <c r="R610" s="653">
        <f t="shared" si="621"/>
        <v>0</v>
      </c>
      <c r="S610" s="654">
        <f t="shared" si="621"/>
        <v>0</v>
      </c>
      <c r="T610" s="656" t="e">
        <f>+VLOOKUP($L610,Data_Validation!$A:$D,1,0)</f>
        <v>#N/A</v>
      </c>
      <c r="U610" s="656" t="e">
        <f>+VLOOKUP($L610,Data_Validation!$A:$D,3,0)</f>
        <v>#N/A</v>
      </c>
      <c r="V610" s="656" t="e">
        <f>+VLOOKUP($L610,Data_Validation!$A:$D,4,0)</f>
        <v>#N/A</v>
      </c>
      <c r="W610" s="656" t="e">
        <f>+VLOOKUP($L610,Data_Validation!$A:$E,5,0)</f>
        <v>#N/A</v>
      </c>
      <c r="X610" s="656" t="e">
        <f>+VLOOKUP($L610,Data_Validation!$A:$F,6,0)</f>
        <v>#N/A</v>
      </c>
    </row>
    <row r="611" spans="1:24" ht="15" customHeight="1">
      <c r="A611" s="714"/>
      <c r="B611" s="714"/>
      <c r="C611" s="715"/>
      <c r="D611" s="715"/>
      <c r="E611" s="715"/>
      <c r="F611" s="714"/>
      <c r="G611" s="714"/>
      <c r="H611" s="714"/>
      <c r="I611" s="716"/>
      <c r="J611" s="716"/>
      <c r="K611" s="716"/>
      <c r="L611" s="653" t="str">
        <f t="shared" si="589"/>
        <v>0</v>
      </c>
      <c r="M611" s="654">
        <f t="shared" si="520"/>
        <v>0</v>
      </c>
      <c r="N611" s="655">
        <f>+IF(OR($Q611=Parametres!$G$2,$Q611=Parametres!$G$3),I611,C611)</f>
        <v>0</v>
      </c>
      <c r="O611" s="655">
        <f>+IF(OR($Q611=Parametres!$G$2,$Q611=Parametres!$G$3),J611,D611)</f>
        <v>0</v>
      </c>
      <c r="P611" s="655">
        <f>+IF(OR($Q611=Parametres!$G$2,$Q611=Parametres!$G$3),K611,E611)</f>
        <v>0</v>
      </c>
      <c r="Q611" s="654">
        <f t="shared" ref="Q611:S611" si="622">+F611</f>
        <v>0</v>
      </c>
      <c r="R611" s="653">
        <f t="shared" si="622"/>
        <v>0</v>
      </c>
      <c r="S611" s="654">
        <f t="shared" si="622"/>
        <v>0</v>
      </c>
      <c r="T611" s="656" t="e">
        <f>+VLOOKUP($L611,Data_Validation!$A:$D,1,0)</f>
        <v>#N/A</v>
      </c>
      <c r="U611" s="656" t="e">
        <f>+VLOOKUP($L611,Data_Validation!$A:$D,3,0)</f>
        <v>#N/A</v>
      </c>
      <c r="V611" s="656" t="e">
        <f>+VLOOKUP($L611,Data_Validation!$A:$D,4,0)</f>
        <v>#N/A</v>
      </c>
      <c r="W611" s="656" t="e">
        <f>+VLOOKUP($L611,Data_Validation!$A:$E,5,0)</f>
        <v>#N/A</v>
      </c>
      <c r="X611" s="656" t="e">
        <f>+VLOOKUP($L611,Data_Validation!$A:$F,6,0)</f>
        <v>#N/A</v>
      </c>
    </row>
    <row r="612" spans="1:24" ht="15" customHeight="1">
      <c r="A612" s="714"/>
      <c r="B612" s="714"/>
      <c r="C612" s="715"/>
      <c r="D612" s="715"/>
      <c r="E612" s="715"/>
      <c r="F612" s="714"/>
      <c r="G612" s="714"/>
      <c r="H612" s="714"/>
      <c r="I612" s="716"/>
      <c r="J612" s="716"/>
      <c r="K612" s="716"/>
      <c r="L612" s="653" t="str">
        <f t="shared" si="589"/>
        <v>0</v>
      </c>
      <c r="M612" s="654">
        <f t="shared" si="520"/>
        <v>0</v>
      </c>
      <c r="N612" s="655">
        <f>+IF(OR($Q612=Parametres!$G$2,$Q612=Parametres!$G$3),I612,C612)</f>
        <v>0</v>
      </c>
      <c r="O612" s="655">
        <f>+IF(OR($Q612=Parametres!$G$2,$Q612=Parametres!$G$3),J612,D612)</f>
        <v>0</v>
      </c>
      <c r="P612" s="655">
        <f>+IF(OR($Q612=Parametres!$G$2,$Q612=Parametres!$G$3),K612,E612)</f>
        <v>0</v>
      </c>
      <c r="Q612" s="654">
        <f t="shared" ref="Q612:S612" si="623">+F612</f>
        <v>0</v>
      </c>
      <c r="R612" s="653">
        <f t="shared" si="623"/>
        <v>0</v>
      </c>
      <c r="S612" s="654">
        <f t="shared" si="623"/>
        <v>0</v>
      </c>
      <c r="T612" s="656" t="e">
        <f>+VLOOKUP($L612,Data_Validation!$A:$D,1,0)</f>
        <v>#N/A</v>
      </c>
      <c r="U612" s="656" t="e">
        <f>+VLOOKUP($L612,Data_Validation!$A:$D,3,0)</f>
        <v>#N/A</v>
      </c>
      <c r="V612" s="656" t="e">
        <f>+VLOOKUP($L612,Data_Validation!$A:$D,4,0)</f>
        <v>#N/A</v>
      </c>
      <c r="W612" s="656" t="e">
        <f>+VLOOKUP($L612,Data_Validation!$A:$E,5,0)</f>
        <v>#N/A</v>
      </c>
      <c r="X612" s="656" t="e">
        <f>+VLOOKUP($L612,Data_Validation!$A:$F,6,0)</f>
        <v>#N/A</v>
      </c>
    </row>
    <row r="613" spans="1:24" ht="15" customHeight="1">
      <c r="A613" s="714"/>
      <c r="B613" s="714"/>
      <c r="C613" s="715"/>
      <c r="D613" s="715"/>
      <c r="E613" s="715"/>
      <c r="F613" s="714"/>
      <c r="G613" s="714"/>
      <c r="H613" s="714"/>
      <c r="I613" s="716"/>
      <c r="J613" s="716"/>
      <c r="K613" s="716"/>
      <c r="L613" s="653" t="str">
        <f t="shared" si="589"/>
        <v>0</v>
      </c>
      <c r="M613" s="654">
        <f t="shared" si="520"/>
        <v>0</v>
      </c>
      <c r="N613" s="655">
        <f>+IF(OR($Q613=Parametres!$G$2,$Q613=Parametres!$G$3),I613,C613)</f>
        <v>0</v>
      </c>
      <c r="O613" s="655">
        <f>+IF(OR($Q613=Parametres!$G$2,$Q613=Parametres!$G$3),J613,D613)</f>
        <v>0</v>
      </c>
      <c r="P613" s="655">
        <f>+IF(OR($Q613=Parametres!$G$2,$Q613=Parametres!$G$3),K613,E613)</f>
        <v>0</v>
      </c>
      <c r="Q613" s="654">
        <f t="shared" ref="Q613:S613" si="624">+F613</f>
        <v>0</v>
      </c>
      <c r="R613" s="653">
        <f t="shared" si="624"/>
        <v>0</v>
      </c>
      <c r="S613" s="654">
        <f t="shared" si="624"/>
        <v>0</v>
      </c>
      <c r="T613" s="656" t="e">
        <f>+VLOOKUP($L613,Data_Validation!$A:$D,1,0)</f>
        <v>#N/A</v>
      </c>
      <c r="U613" s="656" t="e">
        <f>+VLOOKUP($L613,Data_Validation!$A:$D,3,0)</f>
        <v>#N/A</v>
      </c>
      <c r="V613" s="656" t="e">
        <f>+VLOOKUP($L613,Data_Validation!$A:$D,4,0)</f>
        <v>#N/A</v>
      </c>
      <c r="W613" s="656" t="e">
        <f>+VLOOKUP($L613,Data_Validation!$A:$E,5,0)</f>
        <v>#N/A</v>
      </c>
      <c r="X613" s="656" t="e">
        <f>+VLOOKUP($L613,Data_Validation!$A:$F,6,0)</f>
        <v>#N/A</v>
      </c>
    </row>
    <row r="614" spans="1:24" ht="15" customHeight="1">
      <c r="A614" s="714"/>
      <c r="B614" s="714"/>
      <c r="C614" s="715"/>
      <c r="D614" s="715"/>
      <c r="E614" s="715"/>
      <c r="F614" s="714"/>
      <c r="G614" s="714"/>
      <c r="H614" s="714"/>
      <c r="I614" s="716"/>
      <c r="J614" s="716"/>
      <c r="K614" s="716"/>
      <c r="L614" s="653" t="str">
        <f t="shared" si="589"/>
        <v>0</v>
      </c>
      <c r="M614" s="654">
        <f t="shared" si="520"/>
        <v>0</v>
      </c>
      <c r="N614" s="655">
        <f>+IF(OR($Q614=Parametres!$G$2,$Q614=Parametres!$G$3),I614,C614)</f>
        <v>0</v>
      </c>
      <c r="O614" s="655">
        <f>+IF(OR($Q614=Parametres!$G$2,$Q614=Parametres!$G$3),J614,D614)</f>
        <v>0</v>
      </c>
      <c r="P614" s="655">
        <f>+IF(OR($Q614=Parametres!$G$2,$Q614=Parametres!$G$3),K614,E614)</f>
        <v>0</v>
      </c>
      <c r="Q614" s="654">
        <f t="shared" ref="Q614:S614" si="625">+F614</f>
        <v>0</v>
      </c>
      <c r="R614" s="653">
        <f t="shared" si="625"/>
        <v>0</v>
      </c>
      <c r="S614" s="654">
        <f t="shared" si="625"/>
        <v>0</v>
      </c>
      <c r="T614" s="656" t="e">
        <f>+VLOOKUP($L614,Data_Validation!$A:$D,1,0)</f>
        <v>#N/A</v>
      </c>
      <c r="U614" s="656" t="e">
        <f>+VLOOKUP($L614,Data_Validation!$A:$D,3,0)</f>
        <v>#N/A</v>
      </c>
      <c r="V614" s="656" t="e">
        <f>+VLOOKUP($L614,Data_Validation!$A:$D,4,0)</f>
        <v>#N/A</v>
      </c>
      <c r="W614" s="656" t="e">
        <f>+VLOOKUP($L614,Data_Validation!$A:$E,5,0)</f>
        <v>#N/A</v>
      </c>
      <c r="X614" s="656" t="e">
        <f>+VLOOKUP($L614,Data_Validation!$A:$F,6,0)</f>
        <v>#N/A</v>
      </c>
    </row>
    <row r="615" spans="1:24" ht="15" customHeight="1">
      <c r="A615" s="714"/>
      <c r="B615" s="714"/>
      <c r="C615" s="715"/>
      <c r="D615" s="715"/>
      <c r="E615" s="715"/>
      <c r="F615" s="714"/>
      <c r="G615" s="714"/>
      <c r="H615" s="714"/>
      <c r="I615" s="716"/>
      <c r="J615" s="716"/>
      <c r="K615" s="716"/>
      <c r="L615" s="653" t="str">
        <f t="shared" si="589"/>
        <v>0</v>
      </c>
      <c r="M615" s="654">
        <f t="shared" si="520"/>
        <v>0</v>
      </c>
      <c r="N615" s="655">
        <f>+IF(OR($Q615=Parametres!$G$2,$Q615=Parametres!$G$3),I615,C615)</f>
        <v>0</v>
      </c>
      <c r="O615" s="655">
        <f>+IF(OR($Q615=Parametres!$G$2,$Q615=Parametres!$G$3),J615,D615)</f>
        <v>0</v>
      </c>
      <c r="P615" s="655">
        <f>+IF(OR($Q615=Parametres!$G$2,$Q615=Parametres!$G$3),K615,E615)</f>
        <v>0</v>
      </c>
      <c r="Q615" s="654">
        <f t="shared" ref="Q615:S615" si="626">+F615</f>
        <v>0</v>
      </c>
      <c r="R615" s="653">
        <f t="shared" si="626"/>
        <v>0</v>
      </c>
      <c r="S615" s="654">
        <f t="shared" si="626"/>
        <v>0</v>
      </c>
      <c r="T615" s="656" t="e">
        <f>+VLOOKUP($L615,Data_Validation!$A:$D,1,0)</f>
        <v>#N/A</v>
      </c>
      <c r="U615" s="656" t="e">
        <f>+VLOOKUP($L615,Data_Validation!$A:$D,3,0)</f>
        <v>#N/A</v>
      </c>
      <c r="V615" s="656" t="e">
        <f>+VLOOKUP($L615,Data_Validation!$A:$D,4,0)</f>
        <v>#N/A</v>
      </c>
      <c r="W615" s="656" t="e">
        <f>+VLOOKUP($L615,Data_Validation!$A:$E,5,0)</f>
        <v>#N/A</v>
      </c>
      <c r="X615" s="656" t="e">
        <f>+VLOOKUP($L615,Data_Validation!$A:$F,6,0)</f>
        <v>#N/A</v>
      </c>
    </row>
    <row r="616" spans="1:24" ht="15" customHeight="1">
      <c r="A616" s="714"/>
      <c r="B616" s="714"/>
      <c r="C616" s="715"/>
      <c r="D616" s="715"/>
      <c r="E616" s="715"/>
      <c r="F616" s="714"/>
      <c r="G616" s="714"/>
      <c r="H616" s="714"/>
      <c r="I616" s="716"/>
      <c r="J616" s="716"/>
      <c r="K616" s="716"/>
      <c r="L616" s="653" t="str">
        <f t="shared" si="589"/>
        <v>0</v>
      </c>
      <c r="M616" s="654">
        <f t="shared" si="520"/>
        <v>0</v>
      </c>
      <c r="N616" s="655">
        <f>+IF(OR($Q616=Parametres!$G$2,$Q616=Parametres!$G$3),I616,C616)</f>
        <v>0</v>
      </c>
      <c r="O616" s="655">
        <f>+IF(OR($Q616=Parametres!$G$2,$Q616=Parametres!$G$3),J616,D616)</f>
        <v>0</v>
      </c>
      <c r="P616" s="655">
        <f>+IF(OR($Q616=Parametres!$G$2,$Q616=Parametres!$G$3),K616,E616)</f>
        <v>0</v>
      </c>
      <c r="Q616" s="654">
        <f t="shared" ref="Q616:S616" si="627">+F616</f>
        <v>0</v>
      </c>
      <c r="R616" s="653">
        <f t="shared" si="627"/>
        <v>0</v>
      </c>
      <c r="S616" s="654">
        <f t="shared" si="627"/>
        <v>0</v>
      </c>
      <c r="T616" s="656" t="e">
        <f>+VLOOKUP($L616,Data_Validation!$A:$D,1,0)</f>
        <v>#N/A</v>
      </c>
      <c r="U616" s="656" t="e">
        <f>+VLOOKUP($L616,Data_Validation!$A:$D,3,0)</f>
        <v>#N/A</v>
      </c>
      <c r="V616" s="656" t="e">
        <f>+VLOOKUP($L616,Data_Validation!$A:$D,4,0)</f>
        <v>#N/A</v>
      </c>
      <c r="W616" s="656" t="e">
        <f>+VLOOKUP($L616,Data_Validation!$A:$E,5,0)</f>
        <v>#N/A</v>
      </c>
      <c r="X616" s="656" t="e">
        <f>+VLOOKUP($L616,Data_Validation!$A:$F,6,0)</f>
        <v>#N/A</v>
      </c>
    </row>
    <row r="617" spans="1:24" ht="15" customHeight="1">
      <c r="A617" s="714"/>
      <c r="B617" s="714"/>
      <c r="C617" s="715"/>
      <c r="D617" s="715"/>
      <c r="E617" s="715"/>
      <c r="F617" s="714"/>
      <c r="G617" s="714"/>
      <c r="H617" s="714"/>
      <c r="I617" s="716"/>
      <c r="J617" s="716"/>
      <c r="K617" s="716"/>
      <c r="L617" s="653" t="str">
        <f t="shared" si="589"/>
        <v>0</v>
      </c>
      <c r="M617" s="654">
        <f t="shared" si="520"/>
        <v>0</v>
      </c>
      <c r="N617" s="655">
        <f>+IF(OR($Q617=Parametres!$G$2,$Q617=Parametres!$G$3),I617,C617)</f>
        <v>0</v>
      </c>
      <c r="O617" s="655">
        <f>+IF(OR($Q617=Parametres!$G$2,$Q617=Parametres!$G$3),J617,D617)</f>
        <v>0</v>
      </c>
      <c r="P617" s="655">
        <f>+IF(OR($Q617=Parametres!$G$2,$Q617=Parametres!$G$3),K617,E617)</f>
        <v>0</v>
      </c>
      <c r="Q617" s="654">
        <f t="shared" ref="Q617:S617" si="628">+F617</f>
        <v>0</v>
      </c>
      <c r="R617" s="653">
        <f t="shared" si="628"/>
        <v>0</v>
      </c>
      <c r="S617" s="654">
        <f t="shared" si="628"/>
        <v>0</v>
      </c>
      <c r="T617" s="656" t="e">
        <f>+VLOOKUP($L617,Data_Validation!$A:$D,1,0)</f>
        <v>#N/A</v>
      </c>
      <c r="U617" s="656" t="e">
        <f>+VLOOKUP($L617,Data_Validation!$A:$D,3,0)</f>
        <v>#N/A</v>
      </c>
      <c r="V617" s="656" t="e">
        <f>+VLOOKUP($L617,Data_Validation!$A:$D,4,0)</f>
        <v>#N/A</v>
      </c>
      <c r="W617" s="656" t="e">
        <f>+VLOOKUP($L617,Data_Validation!$A:$E,5,0)</f>
        <v>#N/A</v>
      </c>
      <c r="X617" s="656" t="e">
        <f>+VLOOKUP($L617,Data_Validation!$A:$F,6,0)</f>
        <v>#N/A</v>
      </c>
    </row>
    <row r="618" spans="1:24" ht="15" customHeight="1">
      <c r="A618" s="714"/>
      <c r="B618" s="714"/>
      <c r="C618" s="715"/>
      <c r="D618" s="715"/>
      <c r="E618" s="715"/>
      <c r="F618" s="714"/>
      <c r="G618" s="714"/>
      <c r="H618" s="714"/>
      <c r="I618" s="716"/>
      <c r="J618" s="716"/>
      <c r="K618" s="716"/>
      <c r="L618" s="653" t="str">
        <f t="shared" si="589"/>
        <v>0</v>
      </c>
      <c r="M618" s="654">
        <f t="shared" si="520"/>
        <v>0</v>
      </c>
      <c r="N618" s="655">
        <f>+IF(OR($Q618=Parametres!$G$2,$Q618=Parametres!$G$3),I618,C618)</f>
        <v>0</v>
      </c>
      <c r="O618" s="655">
        <f>+IF(OR($Q618=Parametres!$G$2,$Q618=Parametres!$G$3),J618,D618)</f>
        <v>0</v>
      </c>
      <c r="P618" s="655">
        <f>+IF(OR($Q618=Parametres!$G$2,$Q618=Parametres!$G$3),K618,E618)</f>
        <v>0</v>
      </c>
      <c r="Q618" s="654">
        <f t="shared" ref="Q618:S618" si="629">+F618</f>
        <v>0</v>
      </c>
      <c r="R618" s="653">
        <f t="shared" si="629"/>
        <v>0</v>
      </c>
      <c r="S618" s="654">
        <f t="shared" si="629"/>
        <v>0</v>
      </c>
      <c r="T618" s="656" t="e">
        <f>+VLOOKUP($L618,Data_Validation!$A:$D,1,0)</f>
        <v>#N/A</v>
      </c>
      <c r="U618" s="656" t="e">
        <f>+VLOOKUP($L618,Data_Validation!$A:$D,3,0)</f>
        <v>#N/A</v>
      </c>
      <c r="V618" s="656" t="e">
        <f>+VLOOKUP($L618,Data_Validation!$A:$D,4,0)</f>
        <v>#N/A</v>
      </c>
      <c r="W618" s="656" t="e">
        <f>+VLOOKUP($L618,Data_Validation!$A:$E,5,0)</f>
        <v>#N/A</v>
      </c>
      <c r="X618" s="656" t="e">
        <f>+VLOOKUP($L618,Data_Validation!$A:$F,6,0)</f>
        <v>#N/A</v>
      </c>
    </row>
    <row r="619" spans="1:24" ht="15" customHeight="1">
      <c r="A619" s="714"/>
      <c r="B619" s="714"/>
      <c r="C619" s="715"/>
      <c r="D619" s="715"/>
      <c r="E619" s="715"/>
      <c r="F619" s="714"/>
      <c r="G619" s="714"/>
      <c r="H619" s="714"/>
      <c r="I619" s="716"/>
      <c r="J619" s="716"/>
      <c r="K619" s="716"/>
      <c r="L619" s="653" t="str">
        <f t="shared" si="589"/>
        <v>0</v>
      </c>
      <c r="M619" s="654">
        <f t="shared" si="520"/>
        <v>0</v>
      </c>
      <c r="N619" s="655">
        <f>+IF(OR($Q619=Parametres!$G$2,$Q619=Parametres!$G$3),I619,C619)</f>
        <v>0</v>
      </c>
      <c r="O619" s="655">
        <f>+IF(OR($Q619=Parametres!$G$2,$Q619=Parametres!$G$3),J619,D619)</f>
        <v>0</v>
      </c>
      <c r="P619" s="655">
        <f>+IF(OR($Q619=Parametres!$G$2,$Q619=Parametres!$G$3),K619,E619)</f>
        <v>0</v>
      </c>
      <c r="Q619" s="654">
        <f t="shared" ref="Q619:S619" si="630">+F619</f>
        <v>0</v>
      </c>
      <c r="R619" s="653">
        <f t="shared" si="630"/>
        <v>0</v>
      </c>
      <c r="S619" s="654">
        <f t="shared" si="630"/>
        <v>0</v>
      </c>
      <c r="T619" s="656" t="e">
        <f>+VLOOKUP($L619,Data_Validation!$A:$D,1,0)</f>
        <v>#N/A</v>
      </c>
      <c r="U619" s="656" t="e">
        <f>+VLOOKUP($L619,Data_Validation!$A:$D,3,0)</f>
        <v>#N/A</v>
      </c>
      <c r="V619" s="656" t="e">
        <f>+VLOOKUP($L619,Data_Validation!$A:$D,4,0)</f>
        <v>#N/A</v>
      </c>
      <c r="W619" s="656" t="e">
        <f>+VLOOKUP($L619,Data_Validation!$A:$E,5,0)</f>
        <v>#N/A</v>
      </c>
      <c r="X619" s="656" t="e">
        <f>+VLOOKUP($L619,Data_Validation!$A:$F,6,0)</f>
        <v>#N/A</v>
      </c>
    </row>
    <row r="620" spans="1:24" ht="15" customHeight="1">
      <c r="A620" s="714"/>
      <c r="B620" s="714"/>
      <c r="C620" s="715"/>
      <c r="D620" s="715"/>
      <c r="E620" s="715"/>
      <c r="F620" s="714"/>
      <c r="G620" s="714"/>
      <c r="H620" s="714"/>
      <c r="I620" s="716"/>
      <c r="J620" s="716"/>
      <c r="K620" s="716"/>
      <c r="L620" s="653" t="str">
        <f t="shared" si="589"/>
        <v>0</v>
      </c>
      <c r="M620" s="654">
        <f t="shared" si="520"/>
        <v>0</v>
      </c>
      <c r="N620" s="655">
        <f>+IF(OR($Q620=Parametres!$G$2,$Q620=Parametres!$G$3),I620,C620)</f>
        <v>0</v>
      </c>
      <c r="O620" s="655">
        <f>+IF(OR($Q620=Parametres!$G$2,$Q620=Parametres!$G$3),J620,D620)</f>
        <v>0</v>
      </c>
      <c r="P620" s="655">
        <f>+IF(OR($Q620=Parametres!$G$2,$Q620=Parametres!$G$3),K620,E620)</f>
        <v>0</v>
      </c>
      <c r="Q620" s="654">
        <f t="shared" ref="Q620:S620" si="631">+F620</f>
        <v>0</v>
      </c>
      <c r="R620" s="653">
        <f t="shared" si="631"/>
        <v>0</v>
      </c>
      <c r="S620" s="654">
        <f t="shared" si="631"/>
        <v>0</v>
      </c>
      <c r="T620" s="656" t="e">
        <f>+VLOOKUP($L620,Data_Validation!$A:$D,1,0)</f>
        <v>#N/A</v>
      </c>
      <c r="U620" s="656" t="e">
        <f>+VLOOKUP($L620,Data_Validation!$A:$D,3,0)</f>
        <v>#N/A</v>
      </c>
      <c r="V620" s="656" t="e">
        <f>+VLOOKUP($L620,Data_Validation!$A:$D,4,0)</f>
        <v>#N/A</v>
      </c>
      <c r="W620" s="656" t="e">
        <f>+VLOOKUP($L620,Data_Validation!$A:$E,5,0)</f>
        <v>#N/A</v>
      </c>
      <c r="X620" s="656" t="e">
        <f>+VLOOKUP($L620,Data_Validation!$A:$F,6,0)</f>
        <v>#N/A</v>
      </c>
    </row>
    <row r="621" spans="1:24" ht="15" customHeight="1">
      <c r="A621" s="714"/>
      <c r="B621" s="714"/>
      <c r="C621" s="715"/>
      <c r="D621" s="715"/>
      <c r="E621" s="715"/>
      <c r="F621" s="714"/>
      <c r="G621" s="714"/>
      <c r="H621" s="714"/>
      <c r="I621" s="716"/>
      <c r="J621" s="716"/>
      <c r="K621" s="716"/>
      <c r="L621" s="653" t="str">
        <f t="shared" si="589"/>
        <v>0</v>
      </c>
      <c r="M621" s="654">
        <f t="shared" si="520"/>
        <v>0</v>
      </c>
      <c r="N621" s="655">
        <f>+IF(OR($Q621=Parametres!$G$2,$Q621=Parametres!$G$3),I621,C621)</f>
        <v>0</v>
      </c>
      <c r="O621" s="655">
        <f>+IF(OR($Q621=Parametres!$G$2,$Q621=Parametres!$G$3),J621,D621)</f>
        <v>0</v>
      </c>
      <c r="P621" s="655">
        <f>+IF(OR($Q621=Parametres!$G$2,$Q621=Parametres!$G$3),K621,E621)</f>
        <v>0</v>
      </c>
      <c r="Q621" s="654">
        <f t="shared" ref="Q621:S621" si="632">+F621</f>
        <v>0</v>
      </c>
      <c r="R621" s="653">
        <f t="shared" si="632"/>
        <v>0</v>
      </c>
      <c r="S621" s="654">
        <f t="shared" si="632"/>
        <v>0</v>
      </c>
      <c r="T621" s="656" t="e">
        <f>+VLOOKUP($L621,Data_Validation!$A:$D,1,0)</f>
        <v>#N/A</v>
      </c>
      <c r="U621" s="656" t="e">
        <f>+VLOOKUP($L621,Data_Validation!$A:$D,3,0)</f>
        <v>#N/A</v>
      </c>
      <c r="V621" s="656" t="e">
        <f>+VLOOKUP($L621,Data_Validation!$A:$D,4,0)</f>
        <v>#N/A</v>
      </c>
      <c r="W621" s="656" t="e">
        <f>+VLOOKUP($L621,Data_Validation!$A:$E,5,0)</f>
        <v>#N/A</v>
      </c>
      <c r="X621" s="656" t="e">
        <f>+VLOOKUP($L621,Data_Validation!$A:$F,6,0)</f>
        <v>#N/A</v>
      </c>
    </row>
    <row r="622" spans="1:24" ht="15" customHeight="1">
      <c r="A622" s="714"/>
      <c r="B622" s="714"/>
      <c r="C622" s="715"/>
      <c r="D622" s="715"/>
      <c r="E622" s="715"/>
      <c r="F622" s="714"/>
      <c r="G622" s="714"/>
      <c r="H622" s="714"/>
      <c r="I622" s="716"/>
      <c r="J622" s="716"/>
      <c r="K622" s="716"/>
      <c r="L622" s="653" t="str">
        <f t="shared" si="589"/>
        <v>0</v>
      </c>
      <c r="M622" s="654">
        <f t="shared" si="520"/>
        <v>0</v>
      </c>
      <c r="N622" s="655">
        <f>+IF(OR($Q622=Parametres!$G$2,$Q622=Parametres!$G$3),I622,C622)</f>
        <v>0</v>
      </c>
      <c r="O622" s="713">
        <f>+IF(OR($Q622=Parametres!$G$2,$Q622=Parametres!$G$3),J622,D622)</f>
        <v>0</v>
      </c>
      <c r="P622" s="655">
        <f>+IF(OR($Q622=Parametres!$G$2,$Q622=Parametres!$G$3),K622,E622)</f>
        <v>0</v>
      </c>
      <c r="Q622" s="654">
        <f t="shared" ref="Q622:S622" si="633">+F622</f>
        <v>0</v>
      </c>
      <c r="R622" s="653">
        <f t="shared" si="633"/>
        <v>0</v>
      </c>
      <c r="S622" s="654">
        <f t="shared" si="633"/>
        <v>0</v>
      </c>
      <c r="T622" s="656" t="e">
        <f>+VLOOKUP($L622,Data_Validation!$A:$D,1,0)</f>
        <v>#N/A</v>
      </c>
      <c r="U622" s="656" t="e">
        <f>+VLOOKUP($L622,Data_Validation!$A:$D,3,0)</f>
        <v>#N/A</v>
      </c>
      <c r="V622" s="656" t="e">
        <f>+VLOOKUP($L622,Data_Validation!$A:$D,4,0)</f>
        <v>#N/A</v>
      </c>
      <c r="W622" s="656" t="e">
        <f>+VLOOKUP($L622,Data_Validation!$A:$E,5,0)</f>
        <v>#N/A</v>
      </c>
      <c r="X622" s="656" t="e">
        <f>+VLOOKUP($L622,Data_Validation!$A:$F,6,0)</f>
        <v>#N/A</v>
      </c>
    </row>
    <row r="623" spans="1:24" ht="15" customHeight="1">
      <c r="A623" s="714"/>
      <c r="B623" s="714"/>
      <c r="C623" s="715"/>
      <c r="D623" s="715"/>
      <c r="E623" s="715"/>
      <c r="F623" s="714"/>
      <c r="G623" s="714"/>
      <c r="H623" s="714"/>
      <c r="I623" s="716"/>
      <c r="J623" s="716"/>
      <c r="K623" s="716"/>
      <c r="L623" s="653" t="str">
        <f t="shared" si="589"/>
        <v>0</v>
      </c>
      <c r="M623" s="654">
        <f t="shared" si="520"/>
        <v>0</v>
      </c>
      <c r="N623" s="655">
        <f>+IF(OR($Q623=Parametres!$G$2,$Q623=Parametres!$G$3),I623,C623)</f>
        <v>0</v>
      </c>
      <c r="O623" s="655">
        <f>+IF(OR($Q623=Parametres!$G$2,$Q623=Parametres!$G$3),J623,D623)</f>
        <v>0</v>
      </c>
      <c r="P623" s="655">
        <f>+IF(OR($Q623=Parametres!$G$2,$Q623=Parametres!$G$3),K623,E623)</f>
        <v>0</v>
      </c>
      <c r="Q623" s="654">
        <f t="shared" ref="Q623:S623" si="634">+F623</f>
        <v>0</v>
      </c>
      <c r="R623" s="653">
        <f t="shared" si="634"/>
        <v>0</v>
      </c>
      <c r="S623" s="654">
        <f t="shared" si="634"/>
        <v>0</v>
      </c>
      <c r="T623" s="656" t="e">
        <f>+VLOOKUP($L623,Data_Validation!$A:$D,1,0)</f>
        <v>#N/A</v>
      </c>
      <c r="U623" s="656" t="e">
        <f>+VLOOKUP($L623,Data_Validation!$A:$D,3,0)</f>
        <v>#N/A</v>
      </c>
      <c r="V623" s="656" t="e">
        <f>+VLOOKUP($L623,Data_Validation!$A:$D,4,0)</f>
        <v>#N/A</v>
      </c>
      <c r="W623" s="656" t="e">
        <f>+VLOOKUP($L623,Data_Validation!$A:$E,5,0)</f>
        <v>#N/A</v>
      </c>
      <c r="X623" s="656" t="e">
        <f>+VLOOKUP($L623,Data_Validation!$A:$F,6,0)</f>
        <v>#N/A</v>
      </c>
    </row>
    <row r="624" spans="1:24" ht="15" customHeight="1">
      <c r="A624" s="714"/>
      <c r="B624" s="714"/>
      <c r="C624" s="715"/>
      <c r="D624" s="715"/>
      <c r="E624" s="715"/>
      <c r="F624" s="714"/>
      <c r="G624" s="714"/>
      <c r="H624" s="714"/>
      <c r="I624" s="716"/>
      <c r="J624" s="716"/>
      <c r="K624" s="716"/>
      <c r="L624" s="653" t="str">
        <f t="shared" si="589"/>
        <v>0</v>
      </c>
      <c r="M624" s="654">
        <f t="shared" si="520"/>
        <v>0</v>
      </c>
      <c r="N624" s="655">
        <f>+IF(OR($Q624=Parametres!$G$2,$Q624=Parametres!$G$3),I624,C624)</f>
        <v>0</v>
      </c>
      <c r="O624" s="655">
        <f>+IF(OR($Q624=Parametres!$G$2,$Q624=Parametres!$G$3),J624,D624)</f>
        <v>0</v>
      </c>
      <c r="P624" s="655">
        <f>+IF(OR($Q624=Parametres!$G$2,$Q624=Parametres!$G$3),K624,E624)</f>
        <v>0</v>
      </c>
      <c r="Q624" s="654">
        <f t="shared" ref="Q624:S624" si="635">+F624</f>
        <v>0</v>
      </c>
      <c r="R624" s="653">
        <f t="shared" si="635"/>
        <v>0</v>
      </c>
      <c r="S624" s="654">
        <f t="shared" si="635"/>
        <v>0</v>
      </c>
      <c r="T624" s="656" t="e">
        <f>+VLOOKUP($L624,Data_Validation!$A:$D,1,0)</f>
        <v>#N/A</v>
      </c>
      <c r="U624" s="656" t="e">
        <f>+VLOOKUP($L624,Data_Validation!$A:$D,3,0)</f>
        <v>#N/A</v>
      </c>
      <c r="V624" s="656" t="e">
        <f>+VLOOKUP($L624,Data_Validation!$A:$D,4,0)</f>
        <v>#N/A</v>
      </c>
      <c r="W624" s="656" t="e">
        <f>+VLOOKUP($L624,Data_Validation!$A:$E,5,0)</f>
        <v>#N/A</v>
      </c>
      <c r="X624" s="656" t="e">
        <f>+VLOOKUP($L624,Data_Validation!$A:$F,6,0)</f>
        <v>#N/A</v>
      </c>
    </row>
    <row r="625" spans="1:24" ht="15" customHeight="1">
      <c r="A625" s="714"/>
      <c r="B625" s="714"/>
      <c r="C625" s="715"/>
      <c r="D625" s="715"/>
      <c r="E625" s="715"/>
      <c r="F625" s="714"/>
      <c r="G625" s="714"/>
      <c r="H625" s="714"/>
      <c r="I625" s="716"/>
      <c r="J625" s="716"/>
      <c r="K625" s="716"/>
      <c r="L625" s="653" t="str">
        <f t="shared" si="589"/>
        <v>0</v>
      </c>
      <c r="M625" s="654">
        <f t="shared" si="520"/>
        <v>0</v>
      </c>
      <c r="N625" s="655">
        <f>+IF(OR($Q625=Parametres!$G$2,$Q625=Parametres!$G$3),I625,C625)</f>
        <v>0</v>
      </c>
      <c r="O625" s="655">
        <f>+IF(OR($Q625=Parametres!$G$2,$Q625=Parametres!$G$3),J625,D625)</f>
        <v>0</v>
      </c>
      <c r="P625" s="655">
        <f>+IF(OR($Q625=Parametres!$G$2,$Q625=Parametres!$G$3),K625,E625)</f>
        <v>0</v>
      </c>
      <c r="Q625" s="654">
        <f t="shared" ref="Q625:S625" si="636">+F625</f>
        <v>0</v>
      </c>
      <c r="R625" s="653">
        <f t="shared" si="636"/>
        <v>0</v>
      </c>
      <c r="S625" s="654">
        <f t="shared" si="636"/>
        <v>0</v>
      </c>
      <c r="T625" s="656" t="e">
        <f>+VLOOKUP($L625,Data_Validation!$A:$D,1,0)</f>
        <v>#N/A</v>
      </c>
      <c r="U625" s="656" t="e">
        <f>+VLOOKUP($L625,Data_Validation!$A:$D,3,0)</f>
        <v>#N/A</v>
      </c>
      <c r="V625" s="656" t="e">
        <f>+VLOOKUP($L625,Data_Validation!$A:$D,4,0)</f>
        <v>#N/A</v>
      </c>
      <c r="W625" s="656" t="e">
        <f>+VLOOKUP($L625,Data_Validation!$A:$E,5,0)</f>
        <v>#N/A</v>
      </c>
      <c r="X625" s="656" t="e">
        <f>+VLOOKUP($L625,Data_Validation!$A:$F,6,0)</f>
        <v>#N/A</v>
      </c>
    </row>
    <row r="626" spans="1:24" ht="15" customHeight="1">
      <c r="A626" s="714"/>
      <c r="B626" s="714"/>
      <c r="C626" s="715"/>
      <c r="D626" s="715"/>
      <c r="E626" s="715"/>
      <c r="F626" s="714"/>
      <c r="G626" s="714"/>
      <c r="H626" s="714"/>
      <c r="I626" s="716"/>
      <c r="J626" s="716"/>
      <c r="K626" s="716"/>
      <c r="L626" s="653" t="str">
        <f t="shared" si="589"/>
        <v>0</v>
      </c>
      <c r="M626" s="654">
        <f t="shared" si="520"/>
        <v>0</v>
      </c>
      <c r="N626" s="655">
        <f>+IF(OR($Q626=Parametres!$G$2,$Q626=Parametres!$G$3),I626,C626)</f>
        <v>0</v>
      </c>
      <c r="O626" s="655">
        <f>+IF(OR($Q626=Parametres!$G$2,$Q626=Parametres!$G$3),J626,D626)</f>
        <v>0</v>
      </c>
      <c r="P626" s="655">
        <f>+IF(OR($Q626=Parametres!$G$2,$Q626=Parametres!$G$3),K626,E626)</f>
        <v>0</v>
      </c>
      <c r="Q626" s="654">
        <f t="shared" ref="Q626:S626" si="637">+F626</f>
        <v>0</v>
      </c>
      <c r="R626" s="653">
        <f t="shared" si="637"/>
        <v>0</v>
      </c>
      <c r="S626" s="654">
        <f t="shared" si="637"/>
        <v>0</v>
      </c>
      <c r="T626" s="656" t="e">
        <f>+VLOOKUP($L626,Data_Validation!$A:$D,1,0)</f>
        <v>#N/A</v>
      </c>
      <c r="U626" s="656" t="e">
        <f>+VLOOKUP($L626,Data_Validation!$A:$D,3,0)</f>
        <v>#N/A</v>
      </c>
      <c r="V626" s="656" t="e">
        <f>+VLOOKUP($L626,Data_Validation!$A:$D,4,0)</f>
        <v>#N/A</v>
      </c>
      <c r="W626" s="656" t="e">
        <f>+VLOOKUP($L626,Data_Validation!$A:$E,5,0)</f>
        <v>#N/A</v>
      </c>
      <c r="X626" s="656" t="e">
        <f>+VLOOKUP($L626,Data_Validation!$A:$F,6,0)</f>
        <v>#N/A</v>
      </c>
    </row>
    <row r="627" spans="1:24" ht="15" customHeight="1">
      <c r="A627" s="714"/>
      <c r="B627" s="714"/>
      <c r="C627" s="715"/>
      <c r="D627" s="715"/>
      <c r="E627" s="715"/>
      <c r="F627" s="714"/>
      <c r="G627" s="714"/>
      <c r="H627" s="714"/>
      <c r="I627" s="716"/>
      <c r="J627" s="716"/>
      <c r="K627" s="716"/>
      <c r="L627" s="653" t="str">
        <f t="shared" si="589"/>
        <v>0</v>
      </c>
      <c r="M627" s="654">
        <f t="shared" si="520"/>
        <v>0</v>
      </c>
      <c r="N627" s="655">
        <f>+IF(OR($Q627=Parametres!$G$2,$Q627=Parametres!$G$3),I627,C627)</f>
        <v>0</v>
      </c>
      <c r="O627" s="655">
        <f>+IF(OR($Q627=Parametres!$G$2,$Q627=Parametres!$G$3),J627,D627)</f>
        <v>0</v>
      </c>
      <c r="P627" s="655">
        <f>+IF(OR($Q627=Parametres!$G$2,$Q627=Parametres!$G$3),K627,E627)</f>
        <v>0</v>
      </c>
      <c r="Q627" s="654">
        <f t="shared" ref="Q627:S627" si="638">+F627</f>
        <v>0</v>
      </c>
      <c r="R627" s="653">
        <f t="shared" si="638"/>
        <v>0</v>
      </c>
      <c r="S627" s="654">
        <f t="shared" si="638"/>
        <v>0</v>
      </c>
      <c r="T627" s="656" t="e">
        <f>+VLOOKUP($L627,Data_Validation!$A:$D,1,0)</f>
        <v>#N/A</v>
      </c>
      <c r="U627" s="656" t="e">
        <f>+VLOOKUP($L627,Data_Validation!$A:$D,3,0)</f>
        <v>#N/A</v>
      </c>
      <c r="V627" s="656" t="e">
        <f>+VLOOKUP($L627,Data_Validation!$A:$D,4,0)</f>
        <v>#N/A</v>
      </c>
      <c r="W627" s="656" t="e">
        <f>+VLOOKUP($L627,Data_Validation!$A:$E,5,0)</f>
        <v>#N/A</v>
      </c>
      <c r="X627" s="656" t="e">
        <f>+VLOOKUP($L627,Data_Validation!$A:$F,6,0)</f>
        <v>#N/A</v>
      </c>
    </row>
    <row r="628" spans="1:24" ht="15" customHeight="1">
      <c r="A628" s="714"/>
      <c r="B628" s="714"/>
      <c r="C628" s="715"/>
      <c r="D628" s="715"/>
      <c r="E628" s="715"/>
      <c r="F628" s="714"/>
      <c r="G628" s="714"/>
      <c r="H628" s="714"/>
      <c r="I628" s="716"/>
      <c r="J628" s="716"/>
      <c r="K628" s="716"/>
      <c r="L628" s="653" t="str">
        <f t="shared" si="589"/>
        <v>0</v>
      </c>
      <c r="M628" s="654">
        <f t="shared" si="520"/>
        <v>0</v>
      </c>
      <c r="N628" s="655">
        <f>+IF(OR($Q628=Parametres!$G$2,$Q628=Parametres!$G$3),I628,C628)</f>
        <v>0</v>
      </c>
      <c r="O628" s="655">
        <f>+IF(OR($Q628=Parametres!$G$2,$Q628=Parametres!$G$3),J628,D628)</f>
        <v>0</v>
      </c>
      <c r="P628" s="655">
        <f>+IF(OR($Q628=Parametres!$G$2,$Q628=Parametres!$G$3),K628,E628)</f>
        <v>0</v>
      </c>
      <c r="Q628" s="654">
        <f t="shared" ref="Q628:S628" si="639">+F628</f>
        <v>0</v>
      </c>
      <c r="R628" s="653">
        <f t="shared" si="639"/>
        <v>0</v>
      </c>
      <c r="S628" s="654">
        <f t="shared" si="639"/>
        <v>0</v>
      </c>
      <c r="T628" s="656" t="e">
        <f>+VLOOKUP($L628,Data_Validation!$A:$D,1,0)</f>
        <v>#N/A</v>
      </c>
      <c r="U628" s="656" t="e">
        <f>+VLOOKUP($L628,Data_Validation!$A:$D,3,0)</f>
        <v>#N/A</v>
      </c>
      <c r="V628" s="656" t="e">
        <f>+VLOOKUP($L628,Data_Validation!$A:$D,4,0)</f>
        <v>#N/A</v>
      </c>
      <c r="W628" s="656" t="e">
        <f>+VLOOKUP($L628,Data_Validation!$A:$E,5,0)</f>
        <v>#N/A</v>
      </c>
      <c r="X628" s="656" t="e">
        <f>+VLOOKUP($L628,Data_Validation!$A:$F,6,0)</f>
        <v>#N/A</v>
      </c>
    </row>
    <row r="629" spans="1:24" ht="15" customHeight="1">
      <c r="A629" s="714"/>
      <c r="B629" s="714"/>
      <c r="C629" s="715"/>
      <c r="D629" s="715"/>
      <c r="E629" s="715"/>
      <c r="F629" s="714"/>
      <c r="G629" s="714"/>
      <c r="H629" s="714"/>
      <c r="I629" s="716"/>
      <c r="J629" s="716"/>
      <c r="K629" s="716"/>
      <c r="L629" s="653" t="str">
        <f t="shared" si="589"/>
        <v>0</v>
      </c>
      <c r="M629" s="654">
        <f t="shared" si="520"/>
        <v>0</v>
      </c>
      <c r="N629" s="655">
        <f>+IF(OR($Q629=Parametres!$G$2,$Q629=Parametres!$G$3),I629,C629)</f>
        <v>0</v>
      </c>
      <c r="O629" s="655">
        <f>+IF(OR($Q629=Parametres!$G$2,$Q629=Parametres!$G$3),J629,D629)</f>
        <v>0</v>
      </c>
      <c r="P629" s="655">
        <f>+IF(OR($Q629=Parametres!$G$2,$Q629=Parametres!$G$3),K629,E629)</f>
        <v>0</v>
      </c>
      <c r="Q629" s="654">
        <f t="shared" ref="Q629:S629" si="640">+F629</f>
        <v>0</v>
      </c>
      <c r="R629" s="653">
        <f t="shared" si="640"/>
        <v>0</v>
      </c>
      <c r="S629" s="654">
        <f t="shared" si="640"/>
        <v>0</v>
      </c>
      <c r="T629" s="656" t="e">
        <f>+VLOOKUP($L629,Data_Validation!$A:$D,1,0)</f>
        <v>#N/A</v>
      </c>
      <c r="U629" s="656" t="e">
        <f>+VLOOKUP($L629,Data_Validation!$A:$D,3,0)</f>
        <v>#N/A</v>
      </c>
      <c r="V629" s="656" t="e">
        <f>+VLOOKUP($L629,Data_Validation!$A:$D,4,0)</f>
        <v>#N/A</v>
      </c>
      <c r="W629" s="656" t="e">
        <f>+VLOOKUP($L629,Data_Validation!$A:$E,5,0)</f>
        <v>#N/A</v>
      </c>
      <c r="X629" s="656" t="e">
        <f>+VLOOKUP($L629,Data_Validation!$A:$F,6,0)</f>
        <v>#N/A</v>
      </c>
    </row>
    <row r="630" spans="1:24" ht="15" customHeight="1">
      <c r="A630" s="714"/>
      <c r="B630" s="714"/>
      <c r="C630" s="715"/>
      <c r="D630" s="715"/>
      <c r="E630" s="715"/>
      <c r="F630" s="714"/>
      <c r="G630" s="714"/>
      <c r="H630" s="714"/>
      <c r="I630" s="716"/>
      <c r="J630" s="716"/>
      <c r="K630" s="716"/>
      <c r="L630" s="653" t="str">
        <f t="shared" si="589"/>
        <v>0</v>
      </c>
      <c r="M630" s="654">
        <f t="shared" si="520"/>
        <v>0</v>
      </c>
      <c r="N630" s="655">
        <f>+IF(OR($Q630=Parametres!$G$2,$Q630=Parametres!$G$3),I630,C630)</f>
        <v>0</v>
      </c>
      <c r="O630" s="655">
        <f>+IF(OR($Q630=Parametres!$G$2,$Q630=Parametres!$G$3),J630,D630)</f>
        <v>0</v>
      </c>
      <c r="P630" s="655">
        <f>+IF(OR($Q630=Parametres!$G$2,$Q630=Parametres!$G$3),K630,E630)</f>
        <v>0</v>
      </c>
      <c r="Q630" s="654">
        <f t="shared" ref="Q630:S630" si="641">+F630</f>
        <v>0</v>
      </c>
      <c r="R630" s="653">
        <f t="shared" si="641"/>
        <v>0</v>
      </c>
      <c r="S630" s="654">
        <f t="shared" si="641"/>
        <v>0</v>
      </c>
      <c r="T630" s="656" t="e">
        <f>+VLOOKUP($L630,Data_Validation!$A:$D,1,0)</f>
        <v>#N/A</v>
      </c>
      <c r="U630" s="656" t="e">
        <f>+VLOOKUP($L630,Data_Validation!$A:$D,3,0)</f>
        <v>#N/A</v>
      </c>
      <c r="V630" s="656" t="e">
        <f>+VLOOKUP($L630,Data_Validation!$A:$D,4,0)</f>
        <v>#N/A</v>
      </c>
      <c r="W630" s="656" t="e">
        <f>+VLOOKUP($L630,Data_Validation!$A:$E,5,0)</f>
        <v>#N/A</v>
      </c>
      <c r="X630" s="656" t="e">
        <f>+VLOOKUP($L630,Data_Validation!$A:$F,6,0)</f>
        <v>#N/A</v>
      </c>
    </row>
    <row r="631" spans="1:24" ht="15" customHeight="1">
      <c r="A631" s="714"/>
      <c r="B631" s="714"/>
      <c r="C631" s="715"/>
      <c r="D631" s="715"/>
      <c r="E631" s="715"/>
      <c r="F631" s="714"/>
      <c r="G631" s="714"/>
      <c r="H631" s="714"/>
      <c r="I631" s="716"/>
      <c r="J631" s="716"/>
      <c r="K631" s="716"/>
      <c r="L631" s="653" t="str">
        <f t="shared" si="589"/>
        <v>0</v>
      </c>
      <c r="M631" s="654">
        <f t="shared" si="520"/>
        <v>0</v>
      </c>
      <c r="N631" s="655">
        <f>+IF(OR($Q631=Parametres!$G$2,$Q631=Parametres!$G$3),I631,C631)</f>
        <v>0</v>
      </c>
      <c r="O631" s="655">
        <f>+IF(OR($Q631=Parametres!$G$2,$Q631=Parametres!$G$3),J631,D631)</f>
        <v>0</v>
      </c>
      <c r="P631" s="655">
        <f>+IF(OR($Q631=Parametres!$G$2,$Q631=Parametres!$G$3),K631,E631)</f>
        <v>0</v>
      </c>
      <c r="Q631" s="654">
        <f t="shared" ref="Q631:S631" si="642">+F631</f>
        <v>0</v>
      </c>
      <c r="R631" s="653">
        <f t="shared" si="642"/>
        <v>0</v>
      </c>
      <c r="S631" s="654">
        <f t="shared" si="642"/>
        <v>0</v>
      </c>
      <c r="T631" s="656" t="e">
        <f>+VLOOKUP($L631,Data_Validation!$A:$D,1,0)</f>
        <v>#N/A</v>
      </c>
      <c r="U631" s="656" t="e">
        <f>+VLOOKUP($L631,Data_Validation!$A:$D,3,0)</f>
        <v>#N/A</v>
      </c>
      <c r="V631" s="656" t="e">
        <f>+VLOOKUP($L631,Data_Validation!$A:$D,4,0)</f>
        <v>#N/A</v>
      </c>
      <c r="W631" s="656" t="e">
        <f>+VLOOKUP($L631,Data_Validation!$A:$E,5,0)</f>
        <v>#N/A</v>
      </c>
      <c r="X631" s="656" t="e">
        <f>+VLOOKUP($L631,Data_Validation!$A:$F,6,0)</f>
        <v>#N/A</v>
      </c>
    </row>
    <row r="632" spans="1:24" ht="15" customHeight="1">
      <c r="A632" s="714"/>
      <c r="B632" s="714"/>
      <c r="C632" s="715"/>
      <c r="D632" s="715"/>
      <c r="E632" s="715"/>
      <c r="F632" s="714"/>
      <c r="G632" s="714"/>
      <c r="H632" s="714"/>
      <c r="I632" s="716"/>
      <c r="J632" s="716"/>
      <c r="K632" s="716"/>
      <c r="L632" s="653" t="str">
        <f t="shared" si="589"/>
        <v>0</v>
      </c>
      <c r="M632" s="654">
        <f t="shared" si="520"/>
        <v>0</v>
      </c>
      <c r="N632" s="655">
        <f>+IF(OR($Q632=Parametres!$G$2,$Q632=Parametres!$G$3),I632,C632)</f>
        <v>0</v>
      </c>
      <c r="O632" s="655">
        <f>+IF(OR($Q632=Parametres!$G$2,$Q632=Parametres!$G$3),J632,D632)</f>
        <v>0</v>
      </c>
      <c r="P632" s="655">
        <f>+IF(OR($Q632=Parametres!$G$2,$Q632=Parametres!$G$3),K632,E632)</f>
        <v>0</v>
      </c>
      <c r="Q632" s="654">
        <f t="shared" ref="Q632:S632" si="643">+F632</f>
        <v>0</v>
      </c>
      <c r="R632" s="653">
        <f t="shared" si="643"/>
        <v>0</v>
      </c>
      <c r="S632" s="654">
        <f t="shared" si="643"/>
        <v>0</v>
      </c>
      <c r="T632" s="656" t="e">
        <f>+VLOOKUP($L632,Data_Validation!$A:$D,1,0)</f>
        <v>#N/A</v>
      </c>
      <c r="U632" s="656" t="e">
        <f>+VLOOKUP($L632,Data_Validation!$A:$D,3,0)</f>
        <v>#N/A</v>
      </c>
      <c r="V632" s="656" t="e">
        <f>+VLOOKUP($L632,Data_Validation!$A:$D,4,0)</f>
        <v>#N/A</v>
      </c>
      <c r="W632" s="656" t="e">
        <f>+VLOOKUP($L632,Data_Validation!$A:$E,5,0)</f>
        <v>#N/A</v>
      </c>
      <c r="X632" s="656" t="e">
        <f>+VLOOKUP($L632,Data_Validation!$A:$F,6,0)</f>
        <v>#N/A</v>
      </c>
    </row>
    <row r="633" spans="1:24" ht="15" customHeight="1">
      <c r="A633" s="714"/>
      <c r="B633" s="714"/>
      <c r="C633" s="715"/>
      <c r="D633" s="715"/>
      <c r="E633" s="715"/>
      <c r="F633" s="714"/>
      <c r="G633" s="714"/>
      <c r="H633" s="714"/>
      <c r="I633" s="716"/>
      <c r="J633" s="716"/>
      <c r="K633" s="716"/>
      <c r="L633" s="653" t="str">
        <f t="shared" si="589"/>
        <v>0</v>
      </c>
      <c r="M633" s="654">
        <f t="shared" si="520"/>
        <v>0</v>
      </c>
      <c r="N633" s="655">
        <f>+IF(OR($Q633=Parametres!$G$2,$Q633=Parametres!$G$3),I633,C633)</f>
        <v>0</v>
      </c>
      <c r="O633" s="655">
        <f>+IF(OR($Q633=Parametres!$G$2,$Q633=Parametres!$G$3),J633,D633)</f>
        <v>0</v>
      </c>
      <c r="P633" s="655">
        <f>+IF(OR($Q633=Parametres!$G$2,$Q633=Parametres!$G$3),K633,E633)</f>
        <v>0</v>
      </c>
      <c r="Q633" s="654">
        <f t="shared" ref="Q633:S633" si="644">+F633</f>
        <v>0</v>
      </c>
      <c r="R633" s="653">
        <f t="shared" si="644"/>
        <v>0</v>
      </c>
      <c r="S633" s="654">
        <f t="shared" si="644"/>
        <v>0</v>
      </c>
      <c r="T633" s="656" t="e">
        <f>+VLOOKUP($L633,Data_Validation!$A:$D,1,0)</f>
        <v>#N/A</v>
      </c>
      <c r="U633" s="656" t="e">
        <f>+VLOOKUP($L633,Data_Validation!$A:$D,3,0)</f>
        <v>#N/A</v>
      </c>
      <c r="V633" s="656" t="e">
        <f>+VLOOKUP($L633,Data_Validation!$A:$D,4,0)</f>
        <v>#N/A</v>
      </c>
      <c r="W633" s="656" t="e">
        <f>+VLOOKUP($L633,Data_Validation!$A:$E,5,0)</f>
        <v>#N/A</v>
      </c>
      <c r="X633" s="656" t="e">
        <f>+VLOOKUP($L633,Data_Validation!$A:$F,6,0)</f>
        <v>#N/A</v>
      </c>
    </row>
    <row r="634" spans="1:24" ht="15" customHeight="1">
      <c r="A634" s="714"/>
      <c r="B634" s="714"/>
      <c r="C634" s="715"/>
      <c r="D634" s="715"/>
      <c r="E634" s="715"/>
      <c r="F634" s="714"/>
      <c r="G634" s="714"/>
      <c r="H634" s="714"/>
      <c r="I634" s="716"/>
      <c r="J634" s="716"/>
      <c r="K634" s="716"/>
      <c r="L634" s="653" t="str">
        <f t="shared" si="589"/>
        <v>0</v>
      </c>
      <c r="M634" s="654">
        <f t="shared" si="520"/>
        <v>0</v>
      </c>
      <c r="N634" s="655">
        <f>+IF(OR($Q634=Parametres!$G$2,$Q634=Parametres!$G$3),I634,C634)</f>
        <v>0</v>
      </c>
      <c r="O634" s="655">
        <f>+IF(OR($Q634=Parametres!$G$2,$Q634=Parametres!$G$3),J634,D634)</f>
        <v>0</v>
      </c>
      <c r="P634" s="655">
        <f>+IF(OR($Q634=Parametres!$G$2,$Q634=Parametres!$G$3),K634,E634)</f>
        <v>0</v>
      </c>
      <c r="Q634" s="654">
        <f t="shared" ref="Q634:S634" si="645">+F634</f>
        <v>0</v>
      </c>
      <c r="R634" s="653">
        <f t="shared" si="645"/>
        <v>0</v>
      </c>
      <c r="S634" s="654">
        <f t="shared" si="645"/>
        <v>0</v>
      </c>
      <c r="T634" s="656" t="e">
        <f>+VLOOKUP($L634,Data_Validation!$A:$D,1,0)</f>
        <v>#N/A</v>
      </c>
      <c r="U634" s="656" t="e">
        <f>+VLOOKUP($L634,Data_Validation!$A:$D,3,0)</f>
        <v>#N/A</v>
      </c>
      <c r="V634" s="656" t="e">
        <f>+VLOOKUP($L634,Data_Validation!$A:$D,4,0)</f>
        <v>#N/A</v>
      </c>
      <c r="W634" s="656" t="e">
        <f>+VLOOKUP($L634,Data_Validation!$A:$E,5,0)</f>
        <v>#N/A</v>
      </c>
      <c r="X634" s="656" t="e">
        <f>+VLOOKUP($L634,Data_Validation!$A:$F,6,0)</f>
        <v>#N/A</v>
      </c>
    </row>
    <row r="635" spans="1:24" ht="15" customHeight="1">
      <c r="A635" s="714"/>
      <c r="B635" s="714"/>
      <c r="C635" s="715"/>
      <c r="D635" s="715"/>
      <c r="E635" s="715"/>
      <c r="F635" s="714"/>
      <c r="G635" s="714"/>
      <c r="H635" s="714"/>
      <c r="I635" s="716"/>
      <c r="J635" s="716"/>
      <c r="K635" s="716"/>
      <c r="L635" s="653" t="str">
        <f t="shared" si="589"/>
        <v>0</v>
      </c>
      <c r="M635" s="654">
        <f t="shared" si="520"/>
        <v>0</v>
      </c>
      <c r="N635" s="655">
        <f>+IF(OR($Q635=Parametres!$G$2,$Q635=Parametres!$G$3),I635,C635)</f>
        <v>0</v>
      </c>
      <c r="O635" s="655">
        <f>+IF(OR($Q635=Parametres!$G$2,$Q635=Parametres!$G$3),J635,D635)</f>
        <v>0</v>
      </c>
      <c r="P635" s="655">
        <f>+IF(OR($Q635=Parametres!$G$2,$Q635=Parametres!$G$3),K635,E635)</f>
        <v>0</v>
      </c>
      <c r="Q635" s="654">
        <f t="shared" ref="Q635:S635" si="646">+F635</f>
        <v>0</v>
      </c>
      <c r="R635" s="653">
        <f t="shared" si="646"/>
        <v>0</v>
      </c>
      <c r="S635" s="654">
        <f t="shared" si="646"/>
        <v>0</v>
      </c>
      <c r="T635" s="656" t="e">
        <f>+VLOOKUP($L635,Data_Validation!$A:$D,1,0)</f>
        <v>#N/A</v>
      </c>
      <c r="U635" s="656" t="e">
        <f>+VLOOKUP($L635,Data_Validation!$A:$D,3,0)</f>
        <v>#N/A</v>
      </c>
      <c r="V635" s="656" t="e">
        <f>+VLOOKUP($L635,Data_Validation!$A:$D,4,0)</f>
        <v>#N/A</v>
      </c>
      <c r="W635" s="656" t="e">
        <f>+VLOOKUP($L635,Data_Validation!$A:$E,5,0)</f>
        <v>#N/A</v>
      </c>
      <c r="X635" s="656" t="e">
        <f>+VLOOKUP($L635,Data_Validation!$A:$F,6,0)</f>
        <v>#N/A</v>
      </c>
    </row>
    <row r="636" spans="1:24" ht="15" customHeight="1">
      <c r="A636" s="714"/>
      <c r="B636" s="714"/>
      <c r="C636" s="715"/>
      <c r="D636" s="715"/>
      <c r="E636" s="715"/>
      <c r="F636" s="714"/>
      <c r="G636" s="714"/>
      <c r="H636" s="714"/>
      <c r="I636" s="716"/>
      <c r="J636" s="716"/>
      <c r="K636" s="716"/>
      <c r="L636" s="653" t="str">
        <f t="shared" si="589"/>
        <v>0</v>
      </c>
      <c r="M636" s="654">
        <f t="shared" si="520"/>
        <v>0</v>
      </c>
      <c r="N636" s="655">
        <f>+IF(OR($Q636=Parametres!$G$2,$Q636=Parametres!$G$3),I636,C636)</f>
        <v>0</v>
      </c>
      <c r="O636" s="655">
        <f>+IF(OR($Q636=Parametres!$G$2,$Q636=Parametres!$G$3),J636,D636)</f>
        <v>0</v>
      </c>
      <c r="P636" s="655">
        <f>+IF(OR($Q636=Parametres!$G$2,$Q636=Parametres!$G$3),K636,E636)</f>
        <v>0</v>
      </c>
      <c r="Q636" s="654">
        <f t="shared" ref="Q636:S636" si="647">+F636</f>
        <v>0</v>
      </c>
      <c r="R636" s="653">
        <f t="shared" si="647"/>
        <v>0</v>
      </c>
      <c r="S636" s="654">
        <f t="shared" si="647"/>
        <v>0</v>
      </c>
      <c r="T636" s="656" t="e">
        <f>+VLOOKUP($L636,Data_Validation!$A:$D,1,0)</f>
        <v>#N/A</v>
      </c>
      <c r="U636" s="656" t="e">
        <f>+VLOOKUP($L636,Data_Validation!$A:$D,3,0)</f>
        <v>#N/A</v>
      </c>
      <c r="V636" s="656" t="e">
        <f>+VLOOKUP($L636,Data_Validation!$A:$D,4,0)</f>
        <v>#N/A</v>
      </c>
      <c r="W636" s="656" t="e">
        <f>+VLOOKUP($L636,Data_Validation!$A:$E,5,0)</f>
        <v>#N/A</v>
      </c>
      <c r="X636" s="656" t="e">
        <f>+VLOOKUP($L636,Data_Validation!$A:$F,6,0)</f>
        <v>#N/A</v>
      </c>
    </row>
    <row r="637" spans="1:24" ht="15" customHeight="1">
      <c r="A637" s="714"/>
      <c r="B637" s="714"/>
      <c r="C637" s="715"/>
      <c r="D637" s="715"/>
      <c r="E637" s="715"/>
      <c r="F637" s="714"/>
      <c r="G637" s="714"/>
      <c r="H637" s="714"/>
      <c r="I637" s="716"/>
      <c r="J637" s="716"/>
      <c r="K637" s="716"/>
      <c r="L637" s="653" t="str">
        <f t="shared" si="589"/>
        <v>0</v>
      </c>
      <c r="M637" s="654">
        <f t="shared" si="520"/>
        <v>0</v>
      </c>
      <c r="N637" s="655">
        <f>+IF(OR($Q637=Parametres!$G$2,$Q637=Parametres!$G$3),I637,C637)</f>
        <v>0</v>
      </c>
      <c r="O637" s="655">
        <f>+IF(OR($Q637=Parametres!$G$2,$Q637=Parametres!$G$3),J637,D637)</f>
        <v>0</v>
      </c>
      <c r="P637" s="655">
        <f>+IF(OR($Q637=Parametres!$G$2,$Q637=Parametres!$G$3),K637,E637)</f>
        <v>0</v>
      </c>
      <c r="Q637" s="654">
        <f t="shared" ref="Q637:S637" si="648">+F637</f>
        <v>0</v>
      </c>
      <c r="R637" s="653">
        <f t="shared" si="648"/>
        <v>0</v>
      </c>
      <c r="S637" s="654">
        <f t="shared" si="648"/>
        <v>0</v>
      </c>
      <c r="T637" s="656" t="e">
        <f>+VLOOKUP($L637,Data_Validation!$A:$D,1,0)</f>
        <v>#N/A</v>
      </c>
      <c r="U637" s="656" t="e">
        <f>+VLOOKUP($L637,Data_Validation!$A:$D,3,0)</f>
        <v>#N/A</v>
      </c>
      <c r="V637" s="656" t="e">
        <f>+VLOOKUP($L637,Data_Validation!$A:$D,4,0)</f>
        <v>#N/A</v>
      </c>
      <c r="W637" s="656" t="e">
        <f>+VLOOKUP($L637,Data_Validation!$A:$E,5,0)</f>
        <v>#N/A</v>
      </c>
      <c r="X637" s="656" t="e">
        <f>+VLOOKUP($L637,Data_Validation!$A:$F,6,0)</f>
        <v>#N/A</v>
      </c>
    </row>
    <row r="638" spans="1:24" ht="15" customHeight="1">
      <c r="A638" s="714"/>
      <c r="B638" s="714"/>
      <c r="C638" s="715"/>
      <c r="D638" s="715"/>
      <c r="E638" s="715"/>
      <c r="F638" s="714"/>
      <c r="G638" s="714"/>
      <c r="H638" s="714"/>
      <c r="I638" s="716"/>
      <c r="J638" s="716"/>
      <c r="K638" s="716"/>
      <c r="L638" s="653" t="str">
        <f t="shared" si="589"/>
        <v>0</v>
      </c>
      <c r="M638" s="654">
        <f t="shared" si="520"/>
        <v>0</v>
      </c>
      <c r="N638" s="655">
        <f>+IF(OR($Q638=Parametres!$G$2,$Q638=Parametres!$G$3),I638,C638)</f>
        <v>0</v>
      </c>
      <c r="O638" s="655">
        <f>+IF(OR($Q638=Parametres!$G$2,$Q638=Parametres!$G$3),J638,D638)</f>
        <v>0</v>
      </c>
      <c r="P638" s="655">
        <f>+IF(OR($Q638=Parametres!$G$2,$Q638=Parametres!$G$3),K638,E638)</f>
        <v>0</v>
      </c>
      <c r="Q638" s="654">
        <f t="shared" ref="Q638:S638" si="649">+F638</f>
        <v>0</v>
      </c>
      <c r="R638" s="653">
        <f t="shared" si="649"/>
        <v>0</v>
      </c>
      <c r="S638" s="654">
        <f t="shared" si="649"/>
        <v>0</v>
      </c>
      <c r="T638" s="656" t="e">
        <f>+VLOOKUP($L638,Data_Validation!$A:$D,1,0)</f>
        <v>#N/A</v>
      </c>
      <c r="U638" s="656" t="e">
        <f>+VLOOKUP($L638,Data_Validation!$A:$D,3,0)</f>
        <v>#N/A</v>
      </c>
      <c r="V638" s="656" t="e">
        <f>+VLOOKUP($L638,Data_Validation!$A:$D,4,0)</f>
        <v>#N/A</v>
      </c>
      <c r="W638" s="656" t="e">
        <f>+VLOOKUP($L638,Data_Validation!$A:$E,5,0)</f>
        <v>#N/A</v>
      </c>
      <c r="X638" s="656" t="e">
        <f>+VLOOKUP($L638,Data_Validation!$A:$F,6,0)</f>
        <v>#N/A</v>
      </c>
    </row>
    <row r="639" spans="1:24" ht="15.75" customHeight="1">
      <c r="A639" s="714"/>
      <c r="B639" s="714"/>
      <c r="C639" s="715"/>
      <c r="D639" s="715"/>
      <c r="E639" s="715"/>
      <c r="F639" s="714"/>
      <c r="G639" s="714"/>
      <c r="H639" s="714"/>
      <c r="I639" s="716"/>
      <c r="J639" s="716"/>
      <c r="K639" s="716"/>
      <c r="L639" s="653" t="str">
        <f t="shared" si="589"/>
        <v>0</v>
      </c>
      <c r="M639" s="654">
        <f t="shared" si="520"/>
        <v>0</v>
      </c>
      <c r="N639" s="655">
        <f>+IF(OR($Q639=Parametres!$G$2,$Q639=Parametres!$G$3),I639,C639)</f>
        <v>0</v>
      </c>
      <c r="O639" s="655">
        <f>+IF(OR($Q639=Parametres!$G$2,$Q639=Parametres!$G$3),J639,D639)</f>
        <v>0</v>
      </c>
      <c r="P639" s="655">
        <f>+IF(OR($Q639=Parametres!$G$2,$Q639=Parametres!$G$3),K639,E639)</f>
        <v>0</v>
      </c>
      <c r="Q639" s="654">
        <f t="shared" ref="Q639:S639" si="650">+F639</f>
        <v>0</v>
      </c>
      <c r="R639" s="653">
        <f t="shared" si="650"/>
        <v>0</v>
      </c>
      <c r="S639" s="654">
        <f t="shared" si="650"/>
        <v>0</v>
      </c>
      <c r="T639" s="656" t="e">
        <f>+VLOOKUP($L639,Data_Validation!$A:$D,1,0)</f>
        <v>#N/A</v>
      </c>
      <c r="U639" s="656" t="e">
        <f>+VLOOKUP($L639,Data_Validation!$A:$D,3,0)</f>
        <v>#N/A</v>
      </c>
      <c r="V639" s="656" t="e">
        <f>+VLOOKUP($L639,Data_Validation!$A:$D,4,0)</f>
        <v>#N/A</v>
      </c>
      <c r="W639" s="656" t="e">
        <f>+VLOOKUP($L639,Data_Validation!$A:$E,5,0)</f>
        <v>#N/A</v>
      </c>
      <c r="X639" s="656" t="e">
        <f>+VLOOKUP($L639,Data_Validation!$A:$F,6,0)</f>
        <v>#N/A</v>
      </c>
    </row>
    <row r="640" spans="1:24" ht="15.75" customHeight="1">
      <c r="A640" s="714"/>
      <c r="B640" s="714"/>
      <c r="C640" s="715"/>
      <c r="D640" s="715"/>
      <c r="E640" s="715"/>
      <c r="F640" s="714"/>
      <c r="G640" s="714"/>
      <c r="H640" s="714"/>
      <c r="I640" s="716"/>
      <c r="J640" s="716"/>
      <c r="K640" s="716"/>
      <c r="L640" s="653" t="str">
        <f t="shared" si="589"/>
        <v>0</v>
      </c>
      <c r="M640" s="654">
        <f t="shared" si="520"/>
        <v>0</v>
      </c>
      <c r="N640" s="655">
        <f>+IF(OR($Q640=Parametres!$G$2,$Q640=Parametres!$G$3),I640,C640)</f>
        <v>0</v>
      </c>
      <c r="O640" s="655">
        <f>+IF(OR($Q640=Parametres!$G$2,$Q640=Parametres!$G$3),J640,D640)</f>
        <v>0</v>
      </c>
      <c r="P640" s="655">
        <f>+IF(OR($Q640=Parametres!$G$2,$Q640=Parametres!$G$3),K640,E640)</f>
        <v>0</v>
      </c>
      <c r="Q640" s="654">
        <f t="shared" ref="Q640:S640" si="651">+F640</f>
        <v>0</v>
      </c>
      <c r="R640" s="653">
        <f t="shared" si="651"/>
        <v>0</v>
      </c>
      <c r="S640" s="654">
        <f t="shared" si="651"/>
        <v>0</v>
      </c>
      <c r="T640" s="656" t="e">
        <f>+VLOOKUP($L640,Data_Validation!$A:$D,1,0)</f>
        <v>#N/A</v>
      </c>
      <c r="U640" s="656" t="e">
        <f>+VLOOKUP($L640,Data_Validation!$A:$D,3,0)</f>
        <v>#N/A</v>
      </c>
      <c r="V640" s="656" t="e">
        <f>+VLOOKUP($L640,Data_Validation!$A:$D,4,0)</f>
        <v>#N/A</v>
      </c>
      <c r="W640" s="656" t="e">
        <f>+VLOOKUP($L640,Data_Validation!$A:$E,5,0)</f>
        <v>#N/A</v>
      </c>
      <c r="X640" s="656" t="e">
        <f>+VLOOKUP($L640,Data_Validation!$A:$F,6,0)</f>
        <v>#N/A</v>
      </c>
    </row>
    <row r="641" spans="1:24" ht="15.75" customHeight="1">
      <c r="A641" s="714"/>
      <c r="B641" s="714"/>
      <c r="C641" s="715"/>
      <c r="D641" s="715"/>
      <c r="E641" s="715"/>
      <c r="F641" s="714"/>
      <c r="G641" s="714"/>
      <c r="H641" s="714"/>
      <c r="I641" s="716"/>
      <c r="J641" s="716"/>
      <c r="K641" s="716"/>
      <c r="L641" s="653" t="str">
        <f t="shared" si="589"/>
        <v>0</v>
      </c>
      <c r="M641" s="654">
        <f t="shared" si="520"/>
        <v>0</v>
      </c>
      <c r="N641" s="655">
        <f>+IF(OR($Q641=Parametres!$G$2,$Q641=Parametres!$G$3),I641,C641)</f>
        <v>0</v>
      </c>
      <c r="O641" s="655">
        <f>+IF(OR($Q641=Parametres!$G$2,$Q641=Parametres!$G$3),J641,D641)</f>
        <v>0</v>
      </c>
      <c r="P641" s="655">
        <f>+IF(OR($Q641=Parametres!$G$2,$Q641=Parametres!$G$3),K641,E641)</f>
        <v>0</v>
      </c>
      <c r="Q641" s="654">
        <f t="shared" ref="Q641:S641" si="652">+F641</f>
        <v>0</v>
      </c>
      <c r="R641" s="653">
        <f t="shared" si="652"/>
        <v>0</v>
      </c>
      <c r="S641" s="654">
        <f t="shared" si="652"/>
        <v>0</v>
      </c>
      <c r="T641" s="656" t="e">
        <f>+VLOOKUP($L641,Data_Validation!$A:$D,1,0)</f>
        <v>#N/A</v>
      </c>
      <c r="U641" s="656" t="e">
        <f>+VLOOKUP($L641,Data_Validation!$A:$D,3,0)</f>
        <v>#N/A</v>
      </c>
      <c r="V641" s="656" t="e">
        <f>+VLOOKUP($L641,Data_Validation!$A:$D,4,0)</f>
        <v>#N/A</v>
      </c>
      <c r="W641" s="656" t="e">
        <f>+VLOOKUP($L641,Data_Validation!$A:$E,5,0)</f>
        <v>#N/A</v>
      </c>
      <c r="X641" s="656" t="e">
        <f>+VLOOKUP($L641,Data_Validation!$A:$F,6,0)</f>
        <v>#N/A</v>
      </c>
    </row>
    <row r="642" spans="1:24" ht="15.75" customHeight="1">
      <c r="A642" s="714"/>
      <c r="B642" s="714"/>
      <c r="C642" s="715"/>
      <c r="D642" s="715"/>
      <c r="E642" s="715"/>
      <c r="F642" s="714"/>
      <c r="G642" s="714"/>
      <c r="H642" s="714"/>
      <c r="I642" s="716"/>
      <c r="J642" s="716"/>
      <c r="K642" s="716"/>
      <c r="L642" s="653" t="str">
        <f t="shared" si="589"/>
        <v>0</v>
      </c>
      <c r="M642" s="654">
        <f t="shared" si="520"/>
        <v>0</v>
      </c>
      <c r="N642" s="655">
        <f>+IF(OR($Q642=Parametres!$G$2,$Q642=Parametres!$G$3),I642,C642)</f>
        <v>0</v>
      </c>
      <c r="O642" s="655">
        <f>+IF(OR($Q642=Parametres!$G$2,$Q642=Parametres!$G$3),J642,D642)</f>
        <v>0</v>
      </c>
      <c r="P642" s="655">
        <f>+IF(OR($Q642=Parametres!$G$2,$Q642=Parametres!$G$3),K642,E642)</f>
        <v>0</v>
      </c>
      <c r="Q642" s="654">
        <f t="shared" ref="Q642:S642" si="653">+F642</f>
        <v>0</v>
      </c>
      <c r="R642" s="653">
        <f t="shared" si="653"/>
        <v>0</v>
      </c>
      <c r="S642" s="654">
        <f t="shared" si="653"/>
        <v>0</v>
      </c>
      <c r="T642" s="656" t="e">
        <f>+VLOOKUP($L642,Data_Validation!$A:$D,1,0)</f>
        <v>#N/A</v>
      </c>
      <c r="U642" s="656" t="e">
        <f>+VLOOKUP($L642,Data_Validation!$A:$D,3,0)</f>
        <v>#N/A</v>
      </c>
      <c r="V642" s="656" t="e">
        <f>+VLOOKUP($L642,Data_Validation!$A:$D,4,0)</f>
        <v>#N/A</v>
      </c>
      <c r="W642" s="656" t="e">
        <f>+VLOOKUP($L642,Data_Validation!$A:$E,5,0)</f>
        <v>#N/A</v>
      </c>
      <c r="X642" s="656" t="e">
        <f>+VLOOKUP($L642,Data_Validation!$A:$F,6,0)</f>
        <v>#N/A</v>
      </c>
    </row>
    <row r="643" spans="1:24" ht="15.75" customHeight="1">
      <c r="A643" s="714"/>
      <c r="B643" s="714"/>
      <c r="C643" s="715"/>
      <c r="D643" s="715"/>
      <c r="E643" s="715"/>
      <c r="F643" s="714"/>
      <c r="G643" s="714"/>
      <c r="H643" s="714"/>
      <c r="I643" s="716"/>
      <c r="J643" s="716"/>
      <c r="K643" s="716"/>
      <c r="L643" s="653" t="str">
        <f t="shared" ref="L643:L706" si="654">TEXT(B643,0)</f>
        <v>0</v>
      </c>
      <c r="M643" s="654">
        <f t="shared" si="520"/>
        <v>0</v>
      </c>
      <c r="N643" s="655">
        <f>+IF(OR($Q643=Parametres!$G$2,$Q643=Parametres!$G$3),I643,C643)</f>
        <v>0</v>
      </c>
      <c r="O643" s="655">
        <f>+IF(OR($Q643=Parametres!$G$2,$Q643=Parametres!$G$3),J643,D643)</f>
        <v>0</v>
      </c>
      <c r="P643" s="655">
        <f>+IF(OR($Q643=Parametres!$G$2,$Q643=Parametres!$G$3),K643,E643)</f>
        <v>0</v>
      </c>
      <c r="Q643" s="654">
        <f t="shared" ref="Q643:S643" si="655">+F643</f>
        <v>0</v>
      </c>
      <c r="R643" s="653">
        <f t="shared" si="655"/>
        <v>0</v>
      </c>
      <c r="S643" s="654">
        <f t="shared" si="655"/>
        <v>0</v>
      </c>
      <c r="T643" s="656" t="e">
        <f>+VLOOKUP($L643,Data_Validation!$A:$D,1,0)</f>
        <v>#N/A</v>
      </c>
      <c r="U643" s="656" t="e">
        <f>+VLOOKUP($L643,Data_Validation!$A:$D,3,0)</f>
        <v>#N/A</v>
      </c>
      <c r="V643" s="656" t="e">
        <f>+VLOOKUP($L643,Data_Validation!$A:$D,4,0)</f>
        <v>#N/A</v>
      </c>
      <c r="W643" s="656" t="e">
        <f>+VLOOKUP($L643,Data_Validation!$A:$E,5,0)</f>
        <v>#N/A</v>
      </c>
      <c r="X643" s="656" t="e">
        <f>+VLOOKUP($L643,Data_Validation!$A:$F,6,0)</f>
        <v>#N/A</v>
      </c>
    </row>
    <row r="644" spans="1:24" ht="15.75" customHeight="1">
      <c r="A644" s="714"/>
      <c r="B644" s="714"/>
      <c r="C644" s="715"/>
      <c r="D644" s="715"/>
      <c r="E644" s="715"/>
      <c r="F644" s="714"/>
      <c r="G644" s="714"/>
      <c r="H644" s="714"/>
      <c r="I644" s="716"/>
      <c r="J644" s="716"/>
      <c r="K644" s="716"/>
      <c r="L644" s="653" t="str">
        <f t="shared" si="654"/>
        <v>0</v>
      </c>
      <c r="M644" s="654">
        <f t="shared" si="520"/>
        <v>0</v>
      </c>
      <c r="N644" s="655">
        <f>+IF(OR($Q644=Parametres!$G$2,$Q644=Parametres!$G$3),I644,C644)</f>
        <v>0</v>
      </c>
      <c r="O644" s="655">
        <f>+IF(OR($Q644=Parametres!$G$2,$Q644=Parametres!$G$3),J644,D644)</f>
        <v>0</v>
      </c>
      <c r="P644" s="655">
        <f>+IF(OR($Q644=Parametres!$G$2,$Q644=Parametres!$G$3),K644,E644)</f>
        <v>0</v>
      </c>
      <c r="Q644" s="654">
        <f t="shared" ref="Q644:S644" si="656">+F644</f>
        <v>0</v>
      </c>
      <c r="R644" s="653">
        <f t="shared" si="656"/>
        <v>0</v>
      </c>
      <c r="S644" s="654">
        <f t="shared" si="656"/>
        <v>0</v>
      </c>
      <c r="T644" s="656" t="e">
        <f>+VLOOKUP($L644,Data_Validation!$A:$D,1,0)</f>
        <v>#N/A</v>
      </c>
      <c r="U644" s="656" t="e">
        <f>+VLOOKUP($L644,Data_Validation!$A:$D,3,0)</f>
        <v>#N/A</v>
      </c>
      <c r="V644" s="656" t="e">
        <f>+VLOOKUP($L644,Data_Validation!$A:$D,4,0)</f>
        <v>#N/A</v>
      </c>
      <c r="W644" s="656" t="e">
        <f>+VLOOKUP($L644,Data_Validation!$A:$E,5,0)</f>
        <v>#N/A</v>
      </c>
      <c r="X644" s="656" t="e">
        <f>+VLOOKUP($L644,Data_Validation!$A:$F,6,0)</f>
        <v>#N/A</v>
      </c>
    </row>
    <row r="645" spans="1:24" ht="15.75" customHeight="1">
      <c r="A645" s="714"/>
      <c r="B645" s="714"/>
      <c r="C645" s="715"/>
      <c r="D645" s="715"/>
      <c r="E645" s="715"/>
      <c r="F645" s="714"/>
      <c r="G645" s="714"/>
      <c r="H645" s="714"/>
      <c r="I645" s="716"/>
      <c r="J645" s="716"/>
      <c r="K645" s="716"/>
      <c r="L645" s="653" t="str">
        <f t="shared" si="654"/>
        <v>0</v>
      </c>
      <c r="M645" s="654">
        <f t="shared" si="520"/>
        <v>0</v>
      </c>
      <c r="N645" s="655">
        <f>+IF(OR($Q645=Parametres!$G$2,$Q645=Parametres!$G$3),I645,C645)</f>
        <v>0</v>
      </c>
      <c r="O645" s="655">
        <f>+IF(OR($Q645=Parametres!$G$2,$Q645=Parametres!$G$3),J645,D645)</f>
        <v>0</v>
      </c>
      <c r="P645" s="655">
        <f>+IF(OR($Q645=Parametres!$G$2,$Q645=Parametres!$G$3),K645,E645)</f>
        <v>0</v>
      </c>
      <c r="Q645" s="654">
        <f t="shared" ref="Q645:S645" si="657">+F645</f>
        <v>0</v>
      </c>
      <c r="R645" s="653">
        <f t="shared" si="657"/>
        <v>0</v>
      </c>
      <c r="S645" s="654">
        <f t="shared" si="657"/>
        <v>0</v>
      </c>
      <c r="T645" s="656" t="e">
        <f>+VLOOKUP($L645,Data_Validation!$A:$D,1,0)</f>
        <v>#N/A</v>
      </c>
      <c r="U645" s="656" t="e">
        <f>+VLOOKUP($L645,Data_Validation!$A:$D,3,0)</f>
        <v>#N/A</v>
      </c>
      <c r="V645" s="656" t="e">
        <f>+VLOOKUP($L645,Data_Validation!$A:$D,4,0)</f>
        <v>#N/A</v>
      </c>
      <c r="W645" s="656" t="e">
        <f>+VLOOKUP($L645,Data_Validation!$A:$E,5,0)</f>
        <v>#N/A</v>
      </c>
      <c r="X645" s="656" t="e">
        <f>+VLOOKUP($L645,Data_Validation!$A:$F,6,0)</f>
        <v>#N/A</v>
      </c>
    </row>
    <row r="646" spans="1:24" ht="15.75" customHeight="1">
      <c r="A646" s="714"/>
      <c r="B646" s="714"/>
      <c r="C646" s="715"/>
      <c r="D646" s="715"/>
      <c r="E646" s="715"/>
      <c r="F646" s="714"/>
      <c r="G646" s="714"/>
      <c r="H646" s="714"/>
      <c r="I646" s="716"/>
      <c r="J646" s="716"/>
      <c r="K646" s="716"/>
      <c r="L646" s="653" t="str">
        <f t="shared" si="654"/>
        <v>0</v>
      </c>
      <c r="M646" s="654">
        <f t="shared" si="520"/>
        <v>0</v>
      </c>
      <c r="N646" s="655">
        <f>+IF(OR($Q646=Parametres!$G$2,$Q646=Parametres!$G$3),I646,C646)</f>
        <v>0</v>
      </c>
      <c r="O646" s="655">
        <f>+IF(OR($Q646=Parametres!$G$2,$Q646=Parametres!$G$3),J646,D646)</f>
        <v>0</v>
      </c>
      <c r="P646" s="655">
        <f>+IF(OR($Q646=Parametres!$G$2,$Q646=Parametres!$G$3),K646,E646)</f>
        <v>0</v>
      </c>
      <c r="Q646" s="654">
        <f t="shared" ref="Q646:S646" si="658">+F646</f>
        <v>0</v>
      </c>
      <c r="R646" s="653">
        <f t="shared" si="658"/>
        <v>0</v>
      </c>
      <c r="S646" s="654">
        <f t="shared" si="658"/>
        <v>0</v>
      </c>
      <c r="T646" s="656" t="e">
        <f>+VLOOKUP($L646,Data_Validation!$A:$D,1,0)</f>
        <v>#N/A</v>
      </c>
      <c r="U646" s="656" t="e">
        <f>+VLOOKUP($L646,Data_Validation!$A:$D,3,0)</f>
        <v>#N/A</v>
      </c>
      <c r="V646" s="656" t="e">
        <f>+VLOOKUP($L646,Data_Validation!$A:$D,4,0)</f>
        <v>#N/A</v>
      </c>
      <c r="W646" s="656" t="e">
        <f>+VLOOKUP($L646,Data_Validation!$A:$E,5,0)</f>
        <v>#N/A</v>
      </c>
      <c r="X646" s="656" t="e">
        <f>+VLOOKUP($L646,Data_Validation!$A:$F,6,0)</f>
        <v>#N/A</v>
      </c>
    </row>
    <row r="647" spans="1:24" ht="15.75" customHeight="1">
      <c r="A647" s="714"/>
      <c r="B647" s="714"/>
      <c r="C647" s="715"/>
      <c r="D647" s="715"/>
      <c r="E647" s="715"/>
      <c r="F647" s="714"/>
      <c r="G647" s="714"/>
      <c r="H647" s="714"/>
      <c r="I647" s="716"/>
      <c r="J647" s="716"/>
      <c r="K647" s="716"/>
      <c r="L647" s="653" t="str">
        <f t="shared" si="654"/>
        <v>0</v>
      </c>
      <c r="M647" s="654">
        <f t="shared" si="520"/>
        <v>0</v>
      </c>
      <c r="N647" s="655">
        <f>+IF(OR($Q647=Parametres!$G$2,$Q647=Parametres!$G$3),I647,C647)</f>
        <v>0</v>
      </c>
      <c r="O647" s="655">
        <f>+IF(OR($Q647=Parametres!$G$2,$Q647=Parametres!$G$3),J647,D647)</f>
        <v>0</v>
      </c>
      <c r="P647" s="655">
        <f>+IF(OR($Q647=Parametres!$G$2,$Q647=Parametres!$G$3),K647,E647)</f>
        <v>0</v>
      </c>
      <c r="Q647" s="654">
        <f t="shared" ref="Q647:S647" si="659">+F647</f>
        <v>0</v>
      </c>
      <c r="R647" s="653">
        <f t="shared" si="659"/>
        <v>0</v>
      </c>
      <c r="S647" s="654">
        <f t="shared" si="659"/>
        <v>0</v>
      </c>
      <c r="T647" s="656" t="e">
        <f>+VLOOKUP($L647,Data_Validation!$A:$D,1,0)</f>
        <v>#N/A</v>
      </c>
      <c r="U647" s="656" t="e">
        <f>+VLOOKUP($L647,Data_Validation!$A:$D,3,0)</f>
        <v>#N/A</v>
      </c>
      <c r="V647" s="656" t="e">
        <f>+VLOOKUP($L647,Data_Validation!$A:$D,4,0)</f>
        <v>#N/A</v>
      </c>
      <c r="W647" s="656" t="e">
        <f>+VLOOKUP($L647,Data_Validation!$A:$E,5,0)</f>
        <v>#N/A</v>
      </c>
      <c r="X647" s="656" t="e">
        <f>+VLOOKUP($L647,Data_Validation!$A:$F,6,0)</f>
        <v>#N/A</v>
      </c>
    </row>
    <row r="648" spans="1:24" ht="15.75" customHeight="1">
      <c r="A648" s="714"/>
      <c r="B648" s="714"/>
      <c r="C648" s="715"/>
      <c r="D648" s="715"/>
      <c r="E648" s="715"/>
      <c r="F648" s="714"/>
      <c r="G648" s="714"/>
      <c r="H648" s="714"/>
      <c r="I648" s="716"/>
      <c r="J648" s="716"/>
      <c r="K648" s="716"/>
      <c r="L648" s="653" t="str">
        <f t="shared" si="654"/>
        <v>0</v>
      </c>
      <c r="M648" s="654">
        <f t="shared" si="520"/>
        <v>0</v>
      </c>
      <c r="N648" s="655">
        <f>+IF(OR($Q648=Parametres!$G$2,$Q648=Parametres!$G$3),I648,C648)</f>
        <v>0</v>
      </c>
      <c r="O648" s="655">
        <f>+IF(OR($Q648=Parametres!$G$2,$Q648=Parametres!$G$3),J648,D648)</f>
        <v>0</v>
      </c>
      <c r="P648" s="655">
        <f>+IF(OR($Q648=Parametres!$G$2,$Q648=Parametres!$G$3),K648,E648)</f>
        <v>0</v>
      </c>
      <c r="Q648" s="654">
        <f t="shared" ref="Q648:S648" si="660">+F648</f>
        <v>0</v>
      </c>
      <c r="R648" s="653">
        <f t="shared" si="660"/>
        <v>0</v>
      </c>
      <c r="S648" s="654">
        <f t="shared" si="660"/>
        <v>0</v>
      </c>
      <c r="T648" s="656" t="e">
        <f>+VLOOKUP($L648,Data_Validation!$A:$D,1,0)</f>
        <v>#N/A</v>
      </c>
      <c r="U648" s="656" t="e">
        <f>+VLOOKUP($L648,Data_Validation!$A:$D,3,0)</f>
        <v>#N/A</v>
      </c>
      <c r="V648" s="656" t="e">
        <f>+VLOOKUP($L648,Data_Validation!$A:$D,4,0)</f>
        <v>#N/A</v>
      </c>
      <c r="W648" s="656" t="e">
        <f>+VLOOKUP($L648,Data_Validation!$A:$E,5,0)</f>
        <v>#N/A</v>
      </c>
      <c r="X648" s="656" t="e">
        <f>+VLOOKUP($L648,Data_Validation!$A:$F,6,0)</f>
        <v>#N/A</v>
      </c>
    </row>
    <row r="649" spans="1:24" ht="15.75" customHeight="1">
      <c r="A649" s="714"/>
      <c r="B649" s="714"/>
      <c r="C649" s="715"/>
      <c r="D649" s="715"/>
      <c r="E649" s="715"/>
      <c r="F649" s="714"/>
      <c r="G649" s="714"/>
      <c r="H649" s="714"/>
      <c r="I649" s="716"/>
      <c r="J649" s="716"/>
      <c r="K649" s="716"/>
      <c r="L649" s="653" t="str">
        <f t="shared" si="654"/>
        <v>0</v>
      </c>
      <c r="M649" s="654">
        <f t="shared" si="520"/>
        <v>0</v>
      </c>
      <c r="N649" s="655">
        <f>+IF(OR($Q649=Parametres!$G$2,$Q649=Parametres!$G$3),I649,C649)</f>
        <v>0</v>
      </c>
      <c r="O649" s="655">
        <f>+IF(OR($Q649=Parametres!$G$2,$Q649=Parametres!$G$3),J649,D649)</f>
        <v>0</v>
      </c>
      <c r="P649" s="655">
        <f>+IF(OR($Q649=Parametres!$G$2,$Q649=Parametres!$G$3),K649,E649)</f>
        <v>0</v>
      </c>
      <c r="Q649" s="654">
        <f t="shared" ref="Q649:S649" si="661">+F649</f>
        <v>0</v>
      </c>
      <c r="R649" s="653">
        <f t="shared" si="661"/>
        <v>0</v>
      </c>
      <c r="S649" s="654">
        <f t="shared" si="661"/>
        <v>0</v>
      </c>
      <c r="T649" s="656" t="e">
        <f>+VLOOKUP($L649,Data_Validation!$A:$D,1,0)</f>
        <v>#N/A</v>
      </c>
      <c r="U649" s="656" t="e">
        <f>+VLOOKUP($L649,Data_Validation!$A:$D,3,0)</f>
        <v>#N/A</v>
      </c>
      <c r="V649" s="656" t="e">
        <f>+VLOOKUP($L649,Data_Validation!$A:$D,4,0)</f>
        <v>#N/A</v>
      </c>
      <c r="W649" s="656" t="e">
        <f>+VLOOKUP($L649,Data_Validation!$A:$E,5,0)</f>
        <v>#N/A</v>
      </c>
      <c r="X649" s="656" t="e">
        <f>+VLOOKUP($L649,Data_Validation!$A:$F,6,0)</f>
        <v>#N/A</v>
      </c>
    </row>
    <row r="650" spans="1:24" ht="15.75" customHeight="1">
      <c r="A650" s="714"/>
      <c r="B650" s="714"/>
      <c r="C650" s="715"/>
      <c r="D650" s="715"/>
      <c r="E650" s="715"/>
      <c r="F650" s="714"/>
      <c r="G650" s="714"/>
      <c r="H650" s="714"/>
      <c r="I650" s="716"/>
      <c r="J650" s="716"/>
      <c r="K650" s="716"/>
      <c r="L650" s="653" t="str">
        <f t="shared" si="654"/>
        <v>0</v>
      </c>
      <c r="M650" s="654">
        <f t="shared" si="520"/>
        <v>0</v>
      </c>
      <c r="N650" s="655">
        <f>+IF(OR($Q650=Parametres!$G$2,$Q650=Parametres!$G$3),I650,C650)</f>
        <v>0</v>
      </c>
      <c r="O650" s="655">
        <f>+IF(OR($Q650=Parametres!$G$2,$Q650=Parametres!$G$3),J650,D650)</f>
        <v>0</v>
      </c>
      <c r="P650" s="655">
        <f>+IF(OR($Q650=Parametres!$G$2,$Q650=Parametres!$G$3),K650,E650)</f>
        <v>0</v>
      </c>
      <c r="Q650" s="654">
        <f t="shared" ref="Q650:S650" si="662">+F650</f>
        <v>0</v>
      </c>
      <c r="R650" s="653">
        <f t="shared" si="662"/>
        <v>0</v>
      </c>
      <c r="S650" s="654">
        <f t="shared" si="662"/>
        <v>0</v>
      </c>
      <c r="T650" s="656" t="e">
        <f>+VLOOKUP($L650,Data_Validation!$A:$D,1,0)</f>
        <v>#N/A</v>
      </c>
      <c r="U650" s="656" t="e">
        <f>+VLOOKUP($L650,Data_Validation!$A:$D,3,0)</f>
        <v>#N/A</v>
      </c>
      <c r="V650" s="656" t="e">
        <f>+VLOOKUP($L650,Data_Validation!$A:$D,4,0)</f>
        <v>#N/A</v>
      </c>
      <c r="W650" s="656" t="e">
        <f>+VLOOKUP($L650,Data_Validation!$A:$E,5,0)</f>
        <v>#N/A</v>
      </c>
      <c r="X650" s="656" t="e">
        <f>+VLOOKUP($L650,Data_Validation!$A:$F,6,0)</f>
        <v>#N/A</v>
      </c>
    </row>
    <row r="651" spans="1:24" ht="15.75" customHeight="1">
      <c r="A651" s="714"/>
      <c r="B651" s="714"/>
      <c r="C651" s="715"/>
      <c r="D651" s="715"/>
      <c r="E651" s="715"/>
      <c r="F651" s="714"/>
      <c r="G651" s="714"/>
      <c r="H651" s="714"/>
      <c r="I651" s="716"/>
      <c r="J651" s="716"/>
      <c r="K651" s="716"/>
      <c r="L651" s="653" t="str">
        <f t="shared" si="654"/>
        <v>0</v>
      </c>
      <c r="M651" s="654">
        <f t="shared" si="520"/>
        <v>0</v>
      </c>
      <c r="N651" s="655">
        <f>+IF(OR($Q651=Parametres!$G$2,$Q651=Parametres!$G$3),I651,C651)</f>
        <v>0</v>
      </c>
      <c r="O651" s="655">
        <f>+IF(OR($Q651=Parametres!$G$2,$Q651=Parametres!$G$3),J651,D651)</f>
        <v>0</v>
      </c>
      <c r="P651" s="655">
        <f>+IF(OR($Q651=Parametres!$G$2,$Q651=Parametres!$G$3),K651,E651)</f>
        <v>0</v>
      </c>
      <c r="Q651" s="654">
        <f t="shared" ref="Q651:S651" si="663">+F651</f>
        <v>0</v>
      </c>
      <c r="R651" s="653">
        <f t="shared" si="663"/>
        <v>0</v>
      </c>
      <c r="S651" s="654">
        <f t="shared" si="663"/>
        <v>0</v>
      </c>
      <c r="T651" s="656" t="e">
        <f>+VLOOKUP($L651,Data_Validation!$A:$D,1,0)</f>
        <v>#N/A</v>
      </c>
      <c r="U651" s="656" t="e">
        <f>+VLOOKUP($L651,Data_Validation!$A:$D,3,0)</f>
        <v>#N/A</v>
      </c>
      <c r="V651" s="656" t="e">
        <f>+VLOOKUP($L651,Data_Validation!$A:$D,4,0)</f>
        <v>#N/A</v>
      </c>
      <c r="W651" s="656" t="e">
        <f>+VLOOKUP($L651,Data_Validation!$A:$E,5,0)</f>
        <v>#N/A</v>
      </c>
      <c r="X651" s="656" t="e">
        <f>+VLOOKUP($L651,Data_Validation!$A:$F,6,0)</f>
        <v>#N/A</v>
      </c>
    </row>
    <row r="652" spans="1:24" ht="15.75" customHeight="1">
      <c r="A652" s="714"/>
      <c r="B652" s="714"/>
      <c r="C652" s="715"/>
      <c r="D652" s="715"/>
      <c r="E652" s="715"/>
      <c r="F652" s="714"/>
      <c r="G652" s="714"/>
      <c r="H652" s="714"/>
      <c r="I652" s="716"/>
      <c r="J652" s="716"/>
      <c r="K652" s="716"/>
      <c r="L652" s="653" t="str">
        <f t="shared" si="654"/>
        <v>0</v>
      </c>
      <c r="M652" s="654">
        <f t="shared" si="520"/>
        <v>0</v>
      </c>
      <c r="N652" s="655">
        <f>+IF(OR($Q652=Parametres!$G$2,$Q652=Parametres!$G$3),I652,C652)</f>
        <v>0</v>
      </c>
      <c r="O652" s="655">
        <f>+IF(OR($Q652=Parametres!$G$2,$Q652=Parametres!$G$3),J652,D652)</f>
        <v>0</v>
      </c>
      <c r="P652" s="655">
        <f>+IF(OR($Q652=Parametres!$G$2,$Q652=Parametres!$G$3),K652,E652)</f>
        <v>0</v>
      </c>
      <c r="Q652" s="654">
        <f t="shared" ref="Q652:S652" si="664">+F652</f>
        <v>0</v>
      </c>
      <c r="R652" s="653">
        <f t="shared" si="664"/>
        <v>0</v>
      </c>
      <c r="S652" s="654">
        <f t="shared" si="664"/>
        <v>0</v>
      </c>
      <c r="T652" s="656" t="e">
        <f>+VLOOKUP($L652,Data_Validation!$A:$D,1,0)</f>
        <v>#N/A</v>
      </c>
      <c r="U652" s="656" t="e">
        <f>+VLOOKUP($L652,Data_Validation!$A:$D,3,0)</f>
        <v>#N/A</v>
      </c>
      <c r="V652" s="656" t="e">
        <f>+VLOOKUP($L652,Data_Validation!$A:$D,4,0)</f>
        <v>#N/A</v>
      </c>
      <c r="W652" s="656" t="e">
        <f>+VLOOKUP($L652,Data_Validation!$A:$E,5,0)</f>
        <v>#N/A</v>
      </c>
      <c r="X652" s="656" t="e">
        <f>+VLOOKUP($L652,Data_Validation!$A:$F,6,0)</f>
        <v>#N/A</v>
      </c>
    </row>
    <row r="653" spans="1:24" ht="15.75" customHeight="1">
      <c r="A653" s="714"/>
      <c r="B653" s="714"/>
      <c r="C653" s="715"/>
      <c r="D653" s="715"/>
      <c r="E653" s="715"/>
      <c r="F653" s="714"/>
      <c r="G653" s="714"/>
      <c r="H653" s="714"/>
      <c r="I653" s="716"/>
      <c r="J653" s="716"/>
      <c r="K653" s="716"/>
      <c r="L653" s="653" t="str">
        <f t="shared" si="654"/>
        <v>0</v>
      </c>
      <c r="M653" s="654">
        <f t="shared" si="520"/>
        <v>0</v>
      </c>
      <c r="N653" s="655">
        <f>+IF(OR($Q653=Parametres!$G$2,$Q653=Parametres!$G$3),I653,C653)</f>
        <v>0</v>
      </c>
      <c r="O653" s="655">
        <f>+IF(OR($Q653=Parametres!$G$2,$Q653=Parametres!$G$3),J653,D653)</f>
        <v>0</v>
      </c>
      <c r="P653" s="655">
        <f>+IF(OR($Q653=Parametres!$G$2,$Q653=Parametres!$G$3),K653,E653)</f>
        <v>0</v>
      </c>
      <c r="Q653" s="654">
        <f t="shared" ref="Q653:S653" si="665">+F653</f>
        <v>0</v>
      </c>
      <c r="R653" s="653">
        <f t="shared" si="665"/>
        <v>0</v>
      </c>
      <c r="S653" s="654">
        <f t="shared" si="665"/>
        <v>0</v>
      </c>
      <c r="T653" s="656" t="e">
        <f>+VLOOKUP($L653,Data_Validation!$A:$D,1,0)</f>
        <v>#N/A</v>
      </c>
      <c r="U653" s="656" t="e">
        <f>+VLOOKUP($L653,Data_Validation!$A:$D,3,0)</f>
        <v>#N/A</v>
      </c>
      <c r="V653" s="656" t="e">
        <f>+VLOOKUP($L653,Data_Validation!$A:$D,4,0)</f>
        <v>#N/A</v>
      </c>
      <c r="W653" s="656" t="e">
        <f>+VLOOKUP($L653,Data_Validation!$A:$E,5,0)</f>
        <v>#N/A</v>
      </c>
      <c r="X653" s="656" t="e">
        <f>+VLOOKUP($L653,Data_Validation!$A:$F,6,0)</f>
        <v>#N/A</v>
      </c>
    </row>
    <row r="654" spans="1:24" ht="15.75" customHeight="1">
      <c r="A654" s="714"/>
      <c r="B654" s="714"/>
      <c r="C654" s="715"/>
      <c r="D654" s="715"/>
      <c r="E654" s="715"/>
      <c r="F654" s="714"/>
      <c r="G654" s="714"/>
      <c r="H654" s="714"/>
      <c r="I654" s="716"/>
      <c r="J654" s="716"/>
      <c r="K654" s="716"/>
      <c r="L654" s="653" t="str">
        <f t="shared" si="654"/>
        <v>0</v>
      </c>
      <c r="M654" s="654">
        <f t="shared" si="520"/>
        <v>0</v>
      </c>
      <c r="N654" s="655">
        <f>+IF(OR($Q654=Parametres!$G$2,$Q654=Parametres!$G$3),I654,C654)</f>
        <v>0</v>
      </c>
      <c r="O654" s="655">
        <f>+IF(OR($Q654=Parametres!$G$2,$Q654=Parametres!$G$3),J654,D654)</f>
        <v>0</v>
      </c>
      <c r="P654" s="655">
        <f>+IF(OR($Q654=Parametres!$G$2,$Q654=Parametres!$G$3),K654,E654)</f>
        <v>0</v>
      </c>
      <c r="Q654" s="654">
        <f t="shared" ref="Q654:S654" si="666">+F654</f>
        <v>0</v>
      </c>
      <c r="R654" s="653">
        <f t="shared" si="666"/>
        <v>0</v>
      </c>
      <c r="S654" s="654">
        <f t="shared" si="666"/>
        <v>0</v>
      </c>
      <c r="T654" s="656" t="e">
        <f>+VLOOKUP($L654,Data_Validation!$A:$D,1,0)</f>
        <v>#N/A</v>
      </c>
      <c r="U654" s="656" t="e">
        <f>+VLOOKUP($L654,Data_Validation!$A:$D,3,0)</f>
        <v>#N/A</v>
      </c>
      <c r="V654" s="656" t="e">
        <f>+VLOOKUP($L654,Data_Validation!$A:$D,4,0)</f>
        <v>#N/A</v>
      </c>
      <c r="W654" s="656" t="e">
        <f>+VLOOKUP($L654,Data_Validation!$A:$E,5,0)</f>
        <v>#N/A</v>
      </c>
      <c r="X654" s="656" t="e">
        <f>+VLOOKUP($L654,Data_Validation!$A:$F,6,0)</f>
        <v>#N/A</v>
      </c>
    </row>
    <row r="655" spans="1:24" ht="15.75" customHeight="1">
      <c r="A655" s="714"/>
      <c r="B655" s="714"/>
      <c r="C655" s="715"/>
      <c r="D655" s="715"/>
      <c r="E655" s="715"/>
      <c r="F655" s="714"/>
      <c r="G655" s="714"/>
      <c r="H655" s="714"/>
      <c r="I655" s="716"/>
      <c r="J655" s="716"/>
      <c r="K655" s="716"/>
      <c r="L655" s="653" t="str">
        <f t="shared" si="654"/>
        <v>0</v>
      </c>
      <c r="M655" s="654">
        <f t="shared" si="520"/>
        <v>0</v>
      </c>
      <c r="N655" s="655">
        <f>+IF(OR($Q655=Parametres!$G$2,$Q655=Parametres!$G$3),I655,C655)</f>
        <v>0</v>
      </c>
      <c r="O655" s="655">
        <f>+IF(OR($Q655=Parametres!$G$2,$Q655=Parametres!$G$3),J655,D655)</f>
        <v>0</v>
      </c>
      <c r="P655" s="655">
        <f>+IF(OR($Q655=Parametres!$G$2,$Q655=Parametres!$G$3),K655,E655)</f>
        <v>0</v>
      </c>
      <c r="Q655" s="654">
        <f t="shared" ref="Q655:S655" si="667">+F655</f>
        <v>0</v>
      </c>
      <c r="R655" s="653">
        <f t="shared" si="667"/>
        <v>0</v>
      </c>
      <c r="S655" s="654">
        <f t="shared" si="667"/>
        <v>0</v>
      </c>
      <c r="T655" s="656" t="e">
        <f>+VLOOKUP($L655,Data_Validation!$A:$D,1,0)</f>
        <v>#N/A</v>
      </c>
      <c r="U655" s="656" t="e">
        <f>+VLOOKUP($L655,Data_Validation!$A:$D,3,0)</f>
        <v>#N/A</v>
      </c>
      <c r="V655" s="656" t="e">
        <f>+VLOOKUP($L655,Data_Validation!$A:$D,4,0)</f>
        <v>#N/A</v>
      </c>
      <c r="W655" s="656" t="e">
        <f>+VLOOKUP($L655,Data_Validation!$A:$E,5,0)</f>
        <v>#N/A</v>
      </c>
      <c r="X655" s="656" t="e">
        <f>+VLOOKUP($L655,Data_Validation!$A:$F,6,0)</f>
        <v>#N/A</v>
      </c>
    </row>
    <row r="656" spans="1:24" ht="15.75" customHeight="1">
      <c r="A656" s="714"/>
      <c r="B656" s="714"/>
      <c r="C656" s="715"/>
      <c r="D656" s="715"/>
      <c r="E656" s="715"/>
      <c r="F656" s="714"/>
      <c r="G656" s="714"/>
      <c r="H656" s="714"/>
      <c r="I656" s="716"/>
      <c r="J656" s="716"/>
      <c r="K656" s="716"/>
      <c r="L656" s="653" t="str">
        <f t="shared" si="654"/>
        <v>0</v>
      </c>
      <c r="M656" s="654">
        <f t="shared" si="520"/>
        <v>0</v>
      </c>
      <c r="N656" s="655">
        <f>+IF(OR($Q656=Parametres!$G$2,$Q656=Parametres!$G$3),I656,C656)</f>
        <v>0</v>
      </c>
      <c r="O656" s="655">
        <f>+IF(OR($Q656=Parametres!$G$2,$Q656=Parametres!$G$3),J656,D656)</f>
        <v>0</v>
      </c>
      <c r="P656" s="655">
        <f>+IF(OR($Q656=Parametres!$G$2,$Q656=Parametres!$G$3),K656,E656)</f>
        <v>0</v>
      </c>
      <c r="Q656" s="654">
        <f t="shared" ref="Q656:S656" si="668">+F656</f>
        <v>0</v>
      </c>
      <c r="R656" s="653">
        <f t="shared" si="668"/>
        <v>0</v>
      </c>
      <c r="S656" s="654">
        <f t="shared" si="668"/>
        <v>0</v>
      </c>
      <c r="T656" s="656" t="e">
        <f>+VLOOKUP($L656,Data_Validation!$A:$D,1,0)</f>
        <v>#N/A</v>
      </c>
      <c r="U656" s="656" t="e">
        <f>+VLOOKUP($L656,Data_Validation!$A:$D,3,0)</f>
        <v>#N/A</v>
      </c>
      <c r="V656" s="656" t="e">
        <f>+VLOOKUP($L656,Data_Validation!$A:$D,4,0)</f>
        <v>#N/A</v>
      </c>
      <c r="W656" s="656" t="e">
        <f>+VLOOKUP($L656,Data_Validation!$A:$E,5,0)</f>
        <v>#N/A</v>
      </c>
      <c r="X656" s="656" t="e">
        <f>+VLOOKUP($L656,Data_Validation!$A:$F,6,0)</f>
        <v>#N/A</v>
      </c>
    </row>
    <row r="657" spans="1:24" ht="15.75" customHeight="1">
      <c r="A657" s="714"/>
      <c r="B657" s="714"/>
      <c r="C657" s="715"/>
      <c r="D657" s="715"/>
      <c r="E657" s="715"/>
      <c r="F657" s="714"/>
      <c r="G657" s="714"/>
      <c r="H657" s="714"/>
      <c r="I657" s="716"/>
      <c r="J657" s="716"/>
      <c r="K657" s="716"/>
      <c r="L657" s="653" t="str">
        <f t="shared" si="654"/>
        <v>0</v>
      </c>
      <c r="M657" s="654">
        <f t="shared" si="520"/>
        <v>0</v>
      </c>
      <c r="N657" s="655">
        <f>+IF(OR($Q657=Parametres!$G$2,$Q657=Parametres!$G$3),I657,C657)</f>
        <v>0</v>
      </c>
      <c r="O657" s="655">
        <f>+IF(OR($Q657=Parametres!$G$2,$Q657=Parametres!$G$3),J657,D657)</f>
        <v>0</v>
      </c>
      <c r="P657" s="655">
        <f>+IF(OR($Q657=Parametres!$G$2,$Q657=Parametres!$G$3),K657,E657)</f>
        <v>0</v>
      </c>
      <c r="Q657" s="654">
        <f t="shared" ref="Q657:S657" si="669">+F657</f>
        <v>0</v>
      </c>
      <c r="R657" s="653">
        <f t="shared" si="669"/>
        <v>0</v>
      </c>
      <c r="S657" s="654">
        <f t="shared" si="669"/>
        <v>0</v>
      </c>
      <c r="T657" s="656" t="e">
        <f>+VLOOKUP($L657,Data_Validation!$A:$D,1,0)</f>
        <v>#N/A</v>
      </c>
      <c r="U657" s="656" t="e">
        <f>+VLOOKUP($L657,Data_Validation!$A:$D,3,0)</f>
        <v>#N/A</v>
      </c>
      <c r="V657" s="656" t="e">
        <f>+VLOOKUP($L657,Data_Validation!$A:$D,4,0)</f>
        <v>#N/A</v>
      </c>
      <c r="W657" s="656" t="e">
        <f>+VLOOKUP($L657,Data_Validation!$A:$E,5,0)</f>
        <v>#N/A</v>
      </c>
      <c r="X657" s="656" t="e">
        <f>+VLOOKUP($L657,Data_Validation!$A:$F,6,0)</f>
        <v>#N/A</v>
      </c>
    </row>
    <row r="658" spans="1:24" ht="15.75" customHeight="1">
      <c r="A658" s="714"/>
      <c r="B658" s="714"/>
      <c r="C658" s="715"/>
      <c r="D658" s="715"/>
      <c r="E658" s="715"/>
      <c r="F658" s="714"/>
      <c r="G658" s="714"/>
      <c r="H658" s="714"/>
      <c r="I658" s="716"/>
      <c r="J658" s="716"/>
      <c r="K658" s="716"/>
      <c r="L658" s="653" t="str">
        <f t="shared" si="654"/>
        <v>0</v>
      </c>
      <c r="M658" s="654">
        <f t="shared" si="520"/>
        <v>0</v>
      </c>
      <c r="N658" s="655">
        <f>+IF(OR($Q658=Parametres!$G$2,$Q658=Parametres!$G$3),I658,C658)</f>
        <v>0</v>
      </c>
      <c r="O658" s="655">
        <f>+IF(OR($Q658=Parametres!$G$2,$Q658=Parametres!$G$3),J658,D658)</f>
        <v>0</v>
      </c>
      <c r="P658" s="655">
        <f>+IF(OR($Q658=Parametres!$G$2,$Q658=Parametres!$G$3),K658,E658)</f>
        <v>0</v>
      </c>
      <c r="Q658" s="654">
        <f t="shared" ref="Q658:S658" si="670">+F658</f>
        <v>0</v>
      </c>
      <c r="R658" s="653">
        <f t="shared" si="670"/>
        <v>0</v>
      </c>
      <c r="S658" s="654">
        <f t="shared" si="670"/>
        <v>0</v>
      </c>
      <c r="T658" s="656" t="e">
        <f>+VLOOKUP($L658,Data_Validation!$A:$D,1,0)</f>
        <v>#N/A</v>
      </c>
      <c r="U658" s="656" t="e">
        <f>+VLOOKUP($L658,Data_Validation!$A:$D,3,0)</f>
        <v>#N/A</v>
      </c>
      <c r="V658" s="656" t="e">
        <f>+VLOOKUP($L658,Data_Validation!$A:$D,4,0)</f>
        <v>#N/A</v>
      </c>
      <c r="W658" s="656" t="e">
        <f>+VLOOKUP($L658,Data_Validation!$A:$E,5,0)</f>
        <v>#N/A</v>
      </c>
      <c r="X658" s="656" t="e">
        <f>+VLOOKUP($L658,Data_Validation!$A:$F,6,0)</f>
        <v>#N/A</v>
      </c>
    </row>
    <row r="659" spans="1:24" ht="15.75" customHeight="1">
      <c r="A659" s="714"/>
      <c r="B659" s="714"/>
      <c r="C659" s="715"/>
      <c r="D659" s="715"/>
      <c r="E659" s="715"/>
      <c r="F659" s="714"/>
      <c r="G659" s="714"/>
      <c r="H659" s="714"/>
      <c r="I659" s="716"/>
      <c r="J659" s="716"/>
      <c r="K659" s="716"/>
      <c r="L659" s="653" t="str">
        <f t="shared" si="654"/>
        <v>0</v>
      </c>
      <c r="M659" s="654">
        <f t="shared" si="520"/>
        <v>0</v>
      </c>
      <c r="N659" s="655">
        <f>+IF(OR($Q659=Parametres!$G$2,$Q659=Parametres!$G$3),I659,C659)</f>
        <v>0</v>
      </c>
      <c r="O659" s="655">
        <f>+IF(OR($Q659=Parametres!$G$2,$Q659=Parametres!$G$3),J659,D659)</f>
        <v>0</v>
      </c>
      <c r="P659" s="655">
        <f>+IF(OR($Q659=Parametres!$G$2,$Q659=Parametres!$G$3),K659,E659)</f>
        <v>0</v>
      </c>
      <c r="Q659" s="654">
        <f t="shared" ref="Q659:S659" si="671">+F659</f>
        <v>0</v>
      </c>
      <c r="R659" s="653">
        <f t="shared" si="671"/>
        <v>0</v>
      </c>
      <c r="S659" s="654">
        <f t="shared" si="671"/>
        <v>0</v>
      </c>
      <c r="T659" s="656" t="e">
        <f>+VLOOKUP($L659,Data_Validation!$A:$D,1,0)</f>
        <v>#N/A</v>
      </c>
      <c r="U659" s="656" t="e">
        <f>+VLOOKUP($L659,Data_Validation!$A:$D,3,0)</f>
        <v>#N/A</v>
      </c>
      <c r="V659" s="656" t="e">
        <f>+VLOOKUP($L659,Data_Validation!$A:$D,4,0)</f>
        <v>#N/A</v>
      </c>
      <c r="W659" s="656" t="e">
        <f>+VLOOKUP($L659,Data_Validation!$A:$E,5,0)</f>
        <v>#N/A</v>
      </c>
      <c r="X659" s="656" t="e">
        <f>+VLOOKUP($L659,Data_Validation!$A:$F,6,0)</f>
        <v>#N/A</v>
      </c>
    </row>
    <row r="660" spans="1:24" ht="15.75" customHeight="1">
      <c r="A660" s="714"/>
      <c r="B660" s="714"/>
      <c r="C660" s="715"/>
      <c r="D660" s="715"/>
      <c r="E660" s="715"/>
      <c r="F660" s="714"/>
      <c r="G660" s="714"/>
      <c r="H660" s="714"/>
      <c r="I660" s="716"/>
      <c r="J660" s="716"/>
      <c r="K660" s="716"/>
      <c r="L660" s="653" t="str">
        <f t="shared" si="654"/>
        <v>0</v>
      </c>
      <c r="M660" s="654">
        <f t="shared" si="520"/>
        <v>0</v>
      </c>
      <c r="N660" s="655">
        <f>+IF(OR($Q660=Parametres!$G$2,$Q660=Parametres!$G$3),I660,C660)</f>
        <v>0</v>
      </c>
      <c r="O660" s="655">
        <f>+IF(OR($Q660=Parametres!$G$2,$Q660=Parametres!$G$3),J660,D660)</f>
        <v>0</v>
      </c>
      <c r="P660" s="655">
        <f>+IF(OR($Q660=Parametres!$G$2,$Q660=Parametres!$G$3),K660,E660)</f>
        <v>0</v>
      </c>
      <c r="Q660" s="654">
        <f t="shared" ref="Q660:S660" si="672">+F660</f>
        <v>0</v>
      </c>
      <c r="R660" s="653">
        <f t="shared" si="672"/>
        <v>0</v>
      </c>
      <c r="S660" s="654">
        <f t="shared" si="672"/>
        <v>0</v>
      </c>
      <c r="T660" s="656" t="e">
        <f>+VLOOKUP($L660,Data_Validation!$A:$D,1,0)</f>
        <v>#N/A</v>
      </c>
      <c r="U660" s="656" t="e">
        <f>+VLOOKUP($L660,Data_Validation!$A:$D,3,0)</f>
        <v>#N/A</v>
      </c>
      <c r="V660" s="656" t="e">
        <f>+VLOOKUP($L660,Data_Validation!$A:$D,4,0)</f>
        <v>#N/A</v>
      </c>
      <c r="W660" s="656" t="e">
        <f>+VLOOKUP($L660,Data_Validation!$A:$E,5,0)</f>
        <v>#N/A</v>
      </c>
      <c r="X660" s="656" t="e">
        <f>+VLOOKUP($L660,Data_Validation!$A:$F,6,0)</f>
        <v>#N/A</v>
      </c>
    </row>
    <row r="661" spans="1:24" ht="15.75" customHeight="1">
      <c r="A661" s="714"/>
      <c r="B661" s="714"/>
      <c r="C661" s="715"/>
      <c r="D661" s="715"/>
      <c r="E661" s="715"/>
      <c r="F661" s="714"/>
      <c r="G661" s="714"/>
      <c r="H661" s="714"/>
      <c r="I661" s="716"/>
      <c r="J661" s="716"/>
      <c r="K661" s="716"/>
      <c r="L661" s="653" t="str">
        <f t="shared" si="654"/>
        <v>0</v>
      </c>
      <c r="M661" s="654">
        <f t="shared" si="520"/>
        <v>0</v>
      </c>
      <c r="N661" s="655">
        <f>+IF(OR($Q661=Parametres!$G$2,$Q661=Parametres!$G$3),I661,C661)</f>
        <v>0</v>
      </c>
      <c r="O661" s="655">
        <f>+IF(OR($Q661=Parametres!$G$2,$Q661=Parametres!$G$3),J661,D661)</f>
        <v>0</v>
      </c>
      <c r="P661" s="655">
        <f>+IF(OR($Q661=Parametres!$G$2,$Q661=Parametres!$G$3),K661,E661)</f>
        <v>0</v>
      </c>
      <c r="Q661" s="654">
        <f t="shared" ref="Q661:S661" si="673">+F661</f>
        <v>0</v>
      </c>
      <c r="R661" s="653">
        <f t="shared" si="673"/>
        <v>0</v>
      </c>
      <c r="S661" s="654">
        <f t="shared" si="673"/>
        <v>0</v>
      </c>
      <c r="T661" s="656" t="e">
        <f>+VLOOKUP($L661,Data_Validation!$A:$D,1,0)</f>
        <v>#N/A</v>
      </c>
      <c r="U661" s="656" t="e">
        <f>+VLOOKUP($L661,Data_Validation!$A:$D,3,0)</f>
        <v>#N/A</v>
      </c>
      <c r="V661" s="656" t="e">
        <f>+VLOOKUP($L661,Data_Validation!$A:$D,4,0)</f>
        <v>#N/A</v>
      </c>
      <c r="W661" s="656" t="e">
        <f>+VLOOKUP($L661,Data_Validation!$A:$E,5,0)</f>
        <v>#N/A</v>
      </c>
      <c r="X661" s="656" t="e">
        <f>+VLOOKUP($L661,Data_Validation!$A:$F,6,0)</f>
        <v>#N/A</v>
      </c>
    </row>
    <row r="662" spans="1:24" ht="15.75" customHeight="1">
      <c r="A662" s="714"/>
      <c r="B662" s="714"/>
      <c r="C662" s="715"/>
      <c r="D662" s="715"/>
      <c r="E662" s="715"/>
      <c r="F662" s="714"/>
      <c r="G662" s="714"/>
      <c r="H662" s="714"/>
      <c r="I662" s="716"/>
      <c r="J662" s="716"/>
      <c r="K662" s="716"/>
      <c r="L662" s="653" t="str">
        <f t="shared" si="654"/>
        <v>0</v>
      </c>
      <c r="M662" s="654">
        <f t="shared" si="520"/>
        <v>0</v>
      </c>
      <c r="N662" s="655">
        <f>+IF(OR($Q662=Parametres!$G$2,$Q662=Parametres!$G$3),I662,C662)</f>
        <v>0</v>
      </c>
      <c r="O662" s="713">
        <f>+IF(OR($Q662=Parametres!$G$2,$Q662=Parametres!$G$3),J662,D662)</f>
        <v>0</v>
      </c>
      <c r="P662" s="655">
        <f>+IF(OR($Q662=Parametres!$G$2,$Q662=Parametres!$G$3),K662,E662)</f>
        <v>0</v>
      </c>
      <c r="Q662" s="654">
        <f t="shared" ref="Q662:S662" si="674">+F662</f>
        <v>0</v>
      </c>
      <c r="R662" s="653">
        <f t="shared" si="674"/>
        <v>0</v>
      </c>
      <c r="S662" s="654">
        <f t="shared" si="674"/>
        <v>0</v>
      </c>
      <c r="T662" s="656" t="e">
        <f>+VLOOKUP($L662,Data_Validation!$A:$D,1,0)</f>
        <v>#N/A</v>
      </c>
      <c r="U662" s="656" t="e">
        <f>+VLOOKUP($L662,Data_Validation!$A:$D,3,0)</f>
        <v>#N/A</v>
      </c>
      <c r="V662" s="656" t="e">
        <f>+VLOOKUP($L662,Data_Validation!$A:$D,4,0)</f>
        <v>#N/A</v>
      </c>
      <c r="W662" s="656" t="e">
        <f>+VLOOKUP($L662,Data_Validation!$A:$E,5,0)</f>
        <v>#N/A</v>
      </c>
      <c r="X662" s="656" t="e">
        <f>+VLOOKUP($L662,Data_Validation!$A:$F,6,0)</f>
        <v>#N/A</v>
      </c>
    </row>
    <row r="663" spans="1:24" ht="15.75" customHeight="1">
      <c r="A663" s="714"/>
      <c r="B663" s="714"/>
      <c r="C663" s="715"/>
      <c r="D663" s="715"/>
      <c r="E663" s="715"/>
      <c r="F663" s="714"/>
      <c r="G663" s="714"/>
      <c r="H663" s="714"/>
      <c r="I663" s="716"/>
      <c r="J663" s="716"/>
      <c r="K663" s="716"/>
      <c r="L663" s="653" t="str">
        <f t="shared" si="654"/>
        <v>0</v>
      </c>
      <c r="M663" s="654">
        <f t="shared" si="520"/>
        <v>0</v>
      </c>
      <c r="N663" s="655">
        <f>+IF(OR($Q663=Parametres!$G$2,$Q663=Parametres!$G$3),I663,C663)</f>
        <v>0</v>
      </c>
      <c r="O663" s="655">
        <f>+IF(OR($Q663=Parametres!$G$2,$Q663=Parametres!$G$3),J663,D663)</f>
        <v>0</v>
      </c>
      <c r="P663" s="655">
        <f>+IF(OR($Q663=Parametres!$G$2,$Q663=Parametres!$G$3),K663,E663)</f>
        <v>0</v>
      </c>
      <c r="Q663" s="654">
        <f t="shared" ref="Q663:S663" si="675">+F663</f>
        <v>0</v>
      </c>
      <c r="R663" s="653">
        <f t="shared" si="675"/>
        <v>0</v>
      </c>
      <c r="S663" s="654">
        <f t="shared" si="675"/>
        <v>0</v>
      </c>
      <c r="T663" s="656" t="e">
        <f>+VLOOKUP($L663,Data_Validation!$A:$D,1,0)</f>
        <v>#N/A</v>
      </c>
      <c r="U663" s="656" t="e">
        <f>+VLOOKUP($L663,Data_Validation!$A:$D,3,0)</f>
        <v>#N/A</v>
      </c>
      <c r="V663" s="656" t="e">
        <f>+VLOOKUP($L663,Data_Validation!$A:$D,4,0)</f>
        <v>#N/A</v>
      </c>
      <c r="W663" s="656" t="e">
        <f>+VLOOKUP($L663,Data_Validation!$A:$E,5,0)</f>
        <v>#N/A</v>
      </c>
      <c r="X663" s="656" t="e">
        <f>+VLOOKUP($L663,Data_Validation!$A:$F,6,0)</f>
        <v>#N/A</v>
      </c>
    </row>
    <row r="664" spans="1:24" ht="15.75" customHeight="1">
      <c r="A664" s="714"/>
      <c r="B664" s="714"/>
      <c r="C664" s="715"/>
      <c r="D664" s="715"/>
      <c r="E664" s="715"/>
      <c r="F664" s="714"/>
      <c r="G664" s="714"/>
      <c r="H664" s="714"/>
      <c r="I664" s="716"/>
      <c r="J664" s="716"/>
      <c r="K664" s="716"/>
      <c r="L664" s="653" t="str">
        <f t="shared" si="654"/>
        <v>0</v>
      </c>
      <c r="M664" s="654">
        <f t="shared" si="520"/>
        <v>0</v>
      </c>
      <c r="N664" s="655">
        <f>+IF(OR($Q664=Parametres!$G$2,$Q664=Parametres!$G$3),I664,C664)</f>
        <v>0</v>
      </c>
      <c r="O664" s="655">
        <f>+IF(OR($Q664=Parametres!$G$2,$Q664=Parametres!$G$3),J664,D664)</f>
        <v>0</v>
      </c>
      <c r="P664" s="655">
        <f>+IF(OR($Q664=Parametres!$G$2,$Q664=Parametres!$G$3),K664,E664)</f>
        <v>0</v>
      </c>
      <c r="Q664" s="654">
        <f t="shared" ref="Q664:S664" si="676">+F664</f>
        <v>0</v>
      </c>
      <c r="R664" s="653">
        <f t="shared" si="676"/>
        <v>0</v>
      </c>
      <c r="S664" s="654">
        <f t="shared" si="676"/>
        <v>0</v>
      </c>
      <c r="T664" s="656" t="e">
        <f>+VLOOKUP($L664,Data_Validation!$A:$D,1,0)</f>
        <v>#N/A</v>
      </c>
      <c r="U664" s="656" t="e">
        <f>+VLOOKUP($L664,Data_Validation!$A:$D,3,0)</f>
        <v>#N/A</v>
      </c>
      <c r="V664" s="656" t="e">
        <f>+VLOOKUP($L664,Data_Validation!$A:$D,4,0)</f>
        <v>#N/A</v>
      </c>
      <c r="W664" s="656" t="e">
        <f>+VLOOKUP($L664,Data_Validation!$A:$E,5,0)</f>
        <v>#N/A</v>
      </c>
      <c r="X664" s="656" t="e">
        <f>+VLOOKUP($L664,Data_Validation!$A:$F,6,0)</f>
        <v>#N/A</v>
      </c>
    </row>
    <row r="665" spans="1:24" ht="15.75" customHeight="1">
      <c r="A665" s="714"/>
      <c r="B665" s="714"/>
      <c r="C665" s="715"/>
      <c r="D665" s="715"/>
      <c r="E665" s="715"/>
      <c r="F665" s="714"/>
      <c r="G665" s="714"/>
      <c r="H665" s="714"/>
      <c r="I665" s="716"/>
      <c r="J665" s="716"/>
      <c r="K665" s="716"/>
      <c r="L665" s="653" t="str">
        <f t="shared" si="654"/>
        <v>0</v>
      </c>
      <c r="M665" s="654">
        <f t="shared" si="520"/>
        <v>0</v>
      </c>
      <c r="N665" s="655">
        <f>+IF(OR($Q665=Parametres!$G$2,$Q665=Parametres!$G$3),I665,C665)</f>
        <v>0</v>
      </c>
      <c r="O665" s="655">
        <f>+IF(OR($Q665=Parametres!$G$2,$Q665=Parametres!$G$3),J665,D665)</f>
        <v>0</v>
      </c>
      <c r="P665" s="655">
        <f>+IF(OR($Q665=Parametres!$G$2,$Q665=Parametres!$G$3),K665,E665)</f>
        <v>0</v>
      </c>
      <c r="Q665" s="654">
        <f t="shared" ref="Q665:S665" si="677">+F665</f>
        <v>0</v>
      </c>
      <c r="R665" s="653">
        <f t="shared" si="677"/>
        <v>0</v>
      </c>
      <c r="S665" s="654">
        <f t="shared" si="677"/>
        <v>0</v>
      </c>
      <c r="T665" s="656" t="e">
        <f>+VLOOKUP($L665,Data_Validation!$A:$D,1,0)</f>
        <v>#N/A</v>
      </c>
      <c r="U665" s="656" t="e">
        <f>+VLOOKUP($L665,Data_Validation!$A:$D,3,0)</f>
        <v>#N/A</v>
      </c>
      <c r="V665" s="656" t="e">
        <f>+VLOOKUP($L665,Data_Validation!$A:$D,4,0)</f>
        <v>#N/A</v>
      </c>
      <c r="W665" s="656" t="e">
        <f>+VLOOKUP($L665,Data_Validation!$A:$E,5,0)</f>
        <v>#N/A</v>
      </c>
      <c r="X665" s="656" t="e">
        <f>+VLOOKUP($L665,Data_Validation!$A:$F,6,0)</f>
        <v>#N/A</v>
      </c>
    </row>
    <row r="666" spans="1:24" ht="15.75" customHeight="1">
      <c r="A666" s="714"/>
      <c r="B666" s="714"/>
      <c r="C666" s="715"/>
      <c r="D666" s="715"/>
      <c r="E666" s="715"/>
      <c r="F666" s="714"/>
      <c r="G666" s="714"/>
      <c r="H666" s="714"/>
      <c r="I666" s="716"/>
      <c r="J666" s="716"/>
      <c r="K666" s="716"/>
      <c r="L666" s="653" t="str">
        <f t="shared" si="654"/>
        <v>0</v>
      </c>
      <c r="M666" s="654">
        <f t="shared" si="520"/>
        <v>0</v>
      </c>
      <c r="N666" s="655">
        <f>+IF(OR($Q666=Parametres!$G$2,$Q666=Parametres!$G$3),I666,C666)</f>
        <v>0</v>
      </c>
      <c r="O666" s="655">
        <f>+IF(OR($Q666=Parametres!$G$2,$Q666=Parametres!$G$3),J666,D666)</f>
        <v>0</v>
      </c>
      <c r="P666" s="655">
        <f>+IF(OR($Q666=Parametres!$G$2,$Q666=Parametres!$G$3),K666,E666)</f>
        <v>0</v>
      </c>
      <c r="Q666" s="654">
        <f t="shared" ref="Q666:S666" si="678">+F666</f>
        <v>0</v>
      </c>
      <c r="R666" s="653">
        <f t="shared" si="678"/>
        <v>0</v>
      </c>
      <c r="S666" s="654">
        <f t="shared" si="678"/>
        <v>0</v>
      </c>
      <c r="T666" s="656" t="e">
        <f>+VLOOKUP($L666,Data_Validation!$A:$D,1,0)</f>
        <v>#N/A</v>
      </c>
      <c r="U666" s="656" t="e">
        <f>+VLOOKUP($L666,Data_Validation!$A:$D,3,0)</f>
        <v>#N/A</v>
      </c>
      <c r="V666" s="656" t="e">
        <f>+VLOOKUP($L666,Data_Validation!$A:$D,4,0)</f>
        <v>#N/A</v>
      </c>
      <c r="W666" s="656" t="e">
        <f>+VLOOKUP($L666,Data_Validation!$A:$E,5,0)</f>
        <v>#N/A</v>
      </c>
      <c r="X666" s="656" t="e">
        <f>+VLOOKUP($L666,Data_Validation!$A:$F,6,0)</f>
        <v>#N/A</v>
      </c>
    </row>
    <row r="667" spans="1:24" ht="15.75" customHeight="1">
      <c r="A667" s="714"/>
      <c r="B667" s="714"/>
      <c r="C667" s="715"/>
      <c r="D667" s="715"/>
      <c r="E667" s="715"/>
      <c r="F667" s="714"/>
      <c r="G667" s="714"/>
      <c r="H667" s="714"/>
      <c r="I667" s="716"/>
      <c r="J667" s="716"/>
      <c r="K667" s="716"/>
      <c r="L667" s="653" t="str">
        <f t="shared" si="654"/>
        <v>0</v>
      </c>
      <c r="M667" s="654">
        <f t="shared" si="520"/>
        <v>0</v>
      </c>
      <c r="N667" s="655">
        <f>+IF(OR($Q667=Parametres!$G$2,$Q667=Parametres!$G$3),I667,C667)</f>
        <v>0</v>
      </c>
      <c r="O667" s="655">
        <f>+IF(OR($Q667=Parametres!$G$2,$Q667=Parametres!$G$3),J667,D667)</f>
        <v>0</v>
      </c>
      <c r="P667" s="655">
        <f>+IF(OR($Q667=Parametres!$G$2,$Q667=Parametres!$G$3),K667,E667)</f>
        <v>0</v>
      </c>
      <c r="Q667" s="654">
        <f t="shared" ref="Q667:S667" si="679">+F667</f>
        <v>0</v>
      </c>
      <c r="R667" s="653">
        <f t="shared" si="679"/>
        <v>0</v>
      </c>
      <c r="S667" s="654">
        <f t="shared" si="679"/>
        <v>0</v>
      </c>
      <c r="T667" s="656" t="e">
        <f>+VLOOKUP($L667,Data_Validation!$A:$D,1,0)</f>
        <v>#N/A</v>
      </c>
      <c r="U667" s="656" t="e">
        <f>+VLOOKUP($L667,Data_Validation!$A:$D,3,0)</f>
        <v>#N/A</v>
      </c>
      <c r="V667" s="656" t="e">
        <f>+VLOOKUP($L667,Data_Validation!$A:$D,4,0)</f>
        <v>#N/A</v>
      </c>
      <c r="W667" s="656" t="e">
        <f>+VLOOKUP($L667,Data_Validation!$A:$E,5,0)</f>
        <v>#N/A</v>
      </c>
      <c r="X667" s="656" t="e">
        <f>+VLOOKUP($L667,Data_Validation!$A:$F,6,0)</f>
        <v>#N/A</v>
      </c>
    </row>
    <row r="668" spans="1:24" ht="15.75" customHeight="1">
      <c r="A668" s="714"/>
      <c r="B668" s="714"/>
      <c r="C668" s="715"/>
      <c r="D668" s="715"/>
      <c r="E668" s="715"/>
      <c r="F668" s="714"/>
      <c r="G668" s="714"/>
      <c r="H668" s="714"/>
      <c r="I668" s="716"/>
      <c r="J668" s="716"/>
      <c r="K668" s="716"/>
      <c r="L668" s="653" t="str">
        <f t="shared" si="654"/>
        <v>0</v>
      </c>
      <c r="M668" s="654">
        <f t="shared" si="520"/>
        <v>0</v>
      </c>
      <c r="N668" s="655">
        <f>+IF(OR($Q668=Parametres!$G$2,$Q668=Parametres!$G$3),I668,C668)</f>
        <v>0</v>
      </c>
      <c r="O668" s="655">
        <f>+IF(OR($Q668=Parametres!$G$2,$Q668=Parametres!$G$3),J668,D668)</f>
        <v>0</v>
      </c>
      <c r="P668" s="655">
        <f>+IF(OR($Q668=Parametres!$G$2,$Q668=Parametres!$G$3),K668,E668)</f>
        <v>0</v>
      </c>
      <c r="Q668" s="654">
        <f t="shared" ref="Q668:S668" si="680">+F668</f>
        <v>0</v>
      </c>
      <c r="R668" s="653">
        <f t="shared" si="680"/>
        <v>0</v>
      </c>
      <c r="S668" s="654">
        <f t="shared" si="680"/>
        <v>0</v>
      </c>
      <c r="T668" s="656" t="e">
        <f>+VLOOKUP($L668,Data_Validation!$A:$D,1,0)</f>
        <v>#N/A</v>
      </c>
      <c r="U668" s="656" t="e">
        <f>+VLOOKUP($L668,Data_Validation!$A:$D,3,0)</f>
        <v>#N/A</v>
      </c>
      <c r="V668" s="656" t="e">
        <f>+VLOOKUP($L668,Data_Validation!$A:$D,4,0)</f>
        <v>#N/A</v>
      </c>
      <c r="W668" s="656" t="e">
        <f>+VLOOKUP($L668,Data_Validation!$A:$E,5,0)</f>
        <v>#N/A</v>
      </c>
      <c r="X668" s="656" t="e">
        <f>+VLOOKUP($L668,Data_Validation!$A:$F,6,0)</f>
        <v>#N/A</v>
      </c>
    </row>
    <row r="669" spans="1:24" ht="15.75" customHeight="1">
      <c r="A669" s="714"/>
      <c r="B669" s="714"/>
      <c r="C669" s="715"/>
      <c r="D669" s="715"/>
      <c r="E669" s="715"/>
      <c r="F669" s="714"/>
      <c r="G669" s="714"/>
      <c r="H669" s="714"/>
      <c r="I669" s="716"/>
      <c r="J669" s="716"/>
      <c r="K669" s="716"/>
      <c r="L669" s="653" t="str">
        <f t="shared" si="654"/>
        <v>0</v>
      </c>
      <c r="M669" s="654">
        <f t="shared" si="520"/>
        <v>0</v>
      </c>
      <c r="N669" s="655">
        <f>+IF(OR($Q669=Parametres!$G$2,$Q669=Parametres!$G$3),I669,C669)</f>
        <v>0</v>
      </c>
      <c r="O669" s="655">
        <f>+IF(OR($Q669=Parametres!$G$2,$Q669=Parametres!$G$3),J669,D669)</f>
        <v>0</v>
      </c>
      <c r="P669" s="655">
        <f>+IF(OR($Q669=Parametres!$G$2,$Q669=Parametres!$G$3),K669,E669)</f>
        <v>0</v>
      </c>
      <c r="Q669" s="654">
        <f t="shared" ref="Q669:S669" si="681">+F669</f>
        <v>0</v>
      </c>
      <c r="R669" s="653">
        <f t="shared" si="681"/>
        <v>0</v>
      </c>
      <c r="S669" s="654">
        <f t="shared" si="681"/>
        <v>0</v>
      </c>
      <c r="T669" s="656" t="e">
        <f>+VLOOKUP($L669,Data_Validation!$A:$D,1,0)</f>
        <v>#N/A</v>
      </c>
      <c r="U669" s="656" t="e">
        <f>+VLOOKUP($L669,Data_Validation!$A:$D,3,0)</f>
        <v>#N/A</v>
      </c>
      <c r="V669" s="656" t="e">
        <f>+VLOOKUP($L669,Data_Validation!$A:$D,4,0)</f>
        <v>#N/A</v>
      </c>
      <c r="W669" s="656" t="e">
        <f>+VLOOKUP($L669,Data_Validation!$A:$E,5,0)</f>
        <v>#N/A</v>
      </c>
      <c r="X669" s="656" t="e">
        <f>+VLOOKUP($L669,Data_Validation!$A:$F,6,0)</f>
        <v>#N/A</v>
      </c>
    </row>
    <row r="670" spans="1:24" ht="15.75" customHeight="1">
      <c r="A670" s="714"/>
      <c r="B670" s="714"/>
      <c r="C670" s="715"/>
      <c r="D670" s="715"/>
      <c r="E670" s="715"/>
      <c r="F670" s="714"/>
      <c r="G670" s="714"/>
      <c r="H670" s="714"/>
      <c r="I670" s="716"/>
      <c r="J670" s="716"/>
      <c r="K670" s="716"/>
      <c r="L670" s="653" t="str">
        <f t="shared" si="654"/>
        <v>0</v>
      </c>
      <c r="M670" s="654">
        <f t="shared" si="520"/>
        <v>0</v>
      </c>
      <c r="N670" s="655">
        <f>+IF(OR($Q670=Parametres!$G$2,$Q670=Parametres!$G$3),I670,C670)</f>
        <v>0</v>
      </c>
      <c r="O670" s="655">
        <f>+IF(OR($Q670=Parametres!$G$2,$Q670=Parametres!$G$3),J670,D670)</f>
        <v>0</v>
      </c>
      <c r="P670" s="655">
        <f>+IF(OR($Q670=Parametres!$G$2,$Q670=Parametres!$G$3),K670,E670)</f>
        <v>0</v>
      </c>
      <c r="Q670" s="654">
        <f t="shared" ref="Q670:S670" si="682">+F670</f>
        <v>0</v>
      </c>
      <c r="R670" s="653">
        <f t="shared" si="682"/>
        <v>0</v>
      </c>
      <c r="S670" s="654">
        <f t="shared" si="682"/>
        <v>0</v>
      </c>
      <c r="T670" s="656" t="e">
        <f>+VLOOKUP($L670,Data_Validation!$A:$D,1,0)</f>
        <v>#N/A</v>
      </c>
      <c r="U670" s="656" t="e">
        <f>+VLOOKUP($L670,Data_Validation!$A:$D,3,0)</f>
        <v>#N/A</v>
      </c>
      <c r="V670" s="656" t="e">
        <f>+VLOOKUP($L670,Data_Validation!$A:$D,4,0)</f>
        <v>#N/A</v>
      </c>
      <c r="W670" s="656" t="e">
        <f>+VLOOKUP($L670,Data_Validation!$A:$E,5,0)</f>
        <v>#N/A</v>
      </c>
      <c r="X670" s="656" t="e">
        <f>+VLOOKUP($L670,Data_Validation!$A:$F,6,0)</f>
        <v>#N/A</v>
      </c>
    </row>
    <row r="671" spans="1:24" ht="15.75" customHeight="1">
      <c r="A671" s="714"/>
      <c r="B671" s="714"/>
      <c r="C671" s="715"/>
      <c r="D671" s="715"/>
      <c r="E671" s="715"/>
      <c r="F671" s="714"/>
      <c r="G671" s="714"/>
      <c r="H671" s="714"/>
      <c r="I671" s="716"/>
      <c r="J671" s="716"/>
      <c r="K671" s="716"/>
      <c r="L671" s="653" t="str">
        <f t="shared" si="654"/>
        <v>0</v>
      </c>
      <c r="M671" s="654">
        <f t="shared" si="520"/>
        <v>0</v>
      </c>
      <c r="N671" s="655">
        <f>+IF(OR($Q671=Parametres!$G$2,$Q671=Parametres!$G$3),I671,C671)</f>
        <v>0</v>
      </c>
      <c r="O671" s="655">
        <f>+IF(OR($Q671=Parametres!$G$2,$Q671=Parametres!$G$3),J671,D671)</f>
        <v>0</v>
      </c>
      <c r="P671" s="655">
        <f>+IF(OR($Q671=Parametres!$G$2,$Q671=Parametres!$G$3),K671,E671)</f>
        <v>0</v>
      </c>
      <c r="Q671" s="654">
        <f t="shared" ref="Q671:S671" si="683">+F671</f>
        <v>0</v>
      </c>
      <c r="R671" s="653">
        <f t="shared" si="683"/>
        <v>0</v>
      </c>
      <c r="S671" s="654">
        <f t="shared" si="683"/>
        <v>0</v>
      </c>
      <c r="T671" s="656" t="e">
        <f>+VLOOKUP($L671,Data_Validation!$A:$D,1,0)</f>
        <v>#N/A</v>
      </c>
      <c r="U671" s="656" t="e">
        <f>+VLOOKUP($L671,Data_Validation!$A:$D,3,0)</f>
        <v>#N/A</v>
      </c>
      <c r="V671" s="656" t="e">
        <f>+VLOOKUP($L671,Data_Validation!$A:$D,4,0)</f>
        <v>#N/A</v>
      </c>
      <c r="W671" s="656" t="e">
        <f>+VLOOKUP($L671,Data_Validation!$A:$E,5,0)</f>
        <v>#N/A</v>
      </c>
      <c r="X671" s="656" t="e">
        <f>+VLOOKUP($L671,Data_Validation!$A:$F,6,0)</f>
        <v>#N/A</v>
      </c>
    </row>
    <row r="672" spans="1:24" ht="15.75" customHeight="1">
      <c r="A672" s="714"/>
      <c r="B672" s="714"/>
      <c r="C672" s="715"/>
      <c r="D672" s="715"/>
      <c r="E672" s="715"/>
      <c r="F672" s="714"/>
      <c r="G672" s="714"/>
      <c r="H672" s="714"/>
      <c r="I672" s="716"/>
      <c r="J672" s="716"/>
      <c r="K672" s="716"/>
      <c r="L672" s="653" t="str">
        <f t="shared" si="654"/>
        <v>0</v>
      </c>
      <c r="M672" s="654">
        <f t="shared" si="520"/>
        <v>0</v>
      </c>
      <c r="N672" s="655">
        <f>+IF(OR($Q672=Parametres!$G$2,$Q672=Parametres!$G$3),I672,C672)</f>
        <v>0</v>
      </c>
      <c r="O672" s="655">
        <f>+IF(OR($Q672=Parametres!$G$2,$Q672=Parametres!$G$3),J672,D672)</f>
        <v>0</v>
      </c>
      <c r="P672" s="655">
        <f>+IF(OR($Q672=Parametres!$G$2,$Q672=Parametres!$G$3),K672,E672)</f>
        <v>0</v>
      </c>
      <c r="Q672" s="654">
        <f t="shared" ref="Q672:S672" si="684">+F672</f>
        <v>0</v>
      </c>
      <c r="R672" s="653">
        <f t="shared" si="684"/>
        <v>0</v>
      </c>
      <c r="S672" s="654">
        <f t="shared" si="684"/>
        <v>0</v>
      </c>
      <c r="T672" s="656" t="e">
        <f>+VLOOKUP($L672,Data_Validation!$A:$D,1,0)</f>
        <v>#N/A</v>
      </c>
      <c r="U672" s="656" t="e">
        <f>+VLOOKUP($L672,Data_Validation!$A:$D,3,0)</f>
        <v>#N/A</v>
      </c>
      <c r="V672" s="656" t="e">
        <f>+VLOOKUP($L672,Data_Validation!$A:$D,4,0)</f>
        <v>#N/A</v>
      </c>
      <c r="W672" s="656" t="e">
        <f>+VLOOKUP($L672,Data_Validation!$A:$E,5,0)</f>
        <v>#N/A</v>
      </c>
      <c r="X672" s="656" t="e">
        <f>+VLOOKUP($L672,Data_Validation!$A:$F,6,0)</f>
        <v>#N/A</v>
      </c>
    </row>
    <row r="673" spans="1:24" ht="15.75" customHeight="1">
      <c r="A673" s="714"/>
      <c r="B673" s="714"/>
      <c r="C673" s="715"/>
      <c r="D673" s="715"/>
      <c r="E673" s="715"/>
      <c r="F673" s="714"/>
      <c r="G673" s="714"/>
      <c r="H673" s="714"/>
      <c r="I673" s="716"/>
      <c r="J673" s="716"/>
      <c r="K673" s="716"/>
      <c r="L673" s="653" t="str">
        <f t="shared" si="654"/>
        <v>0</v>
      </c>
      <c r="M673" s="654">
        <f t="shared" si="520"/>
        <v>0</v>
      </c>
      <c r="N673" s="655">
        <f>+IF(OR($Q673=Parametres!$G$2,$Q673=Parametres!$G$3),I673,C673)</f>
        <v>0</v>
      </c>
      <c r="O673" s="655">
        <f>+IF(OR($Q673=Parametres!$G$2,$Q673=Parametres!$G$3),J673,D673)</f>
        <v>0</v>
      </c>
      <c r="P673" s="655">
        <f>+IF(OR($Q673=Parametres!$G$2,$Q673=Parametres!$G$3),K673,E673)</f>
        <v>0</v>
      </c>
      <c r="Q673" s="654">
        <f t="shared" ref="Q673:S673" si="685">+F673</f>
        <v>0</v>
      </c>
      <c r="R673" s="653">
        <f t="shared" si="685"/>
        <v>0</v>
      </c>
      <c r="S673" s="654">
        <f t="shared" si="685"/>
        <v>0</v>
      </c>
      <c r="T673" s="656" t="e">
        <f>+VLOOKUP($L673,Data_Validation!$A:$D,1,0)</f>
        <v>#N/A</v>
      </c>
      <c r="U673" s="656" t="e">
        <f>+VLOOKUP($L673,Data_Validation!$A:$D,3,0)</f>
        <v>#N/A</v>
      </c>
      <c r="V673" s="656" t="e">
        <f>+VLOOKUP($L673,Data_Validation!$A:$D,4,0)</f>
        <v>#N/A</v>
      </c>
      <c r="W673" s="656" t="e">
        <f>+VLOOKUP($L673,Data_Validation!$A:$E,5,0)</f>
        <v>#N/A</v>
      </c>
      <c r="X673" s="656" t="e">
        <f>+VLOOKUP($L673,Data_Validation!$A:$F,6,0)</f>
        <v>#N/A</v>
      </c>
    </row>
    <row r="674" spans="1:24" ht="15.75" customHeight="1">
      <c r="A674" s="714"/>
      <c r="B674" s="714"/>
      <c r="C674" s="715"/>
      <c r="D674" s="715"/>
      <c r="E674" s="715"/>
      <c r="F674" s="714"/>
      <c r="G674" s="714"/>
      <c r="H674" s="714"/>
      <c r="I674" s="716"/>
      <c r="J674" s="716"/>
      <c r="K674" s="716"/>
      <c r="L674" s="653" t="str">
        <f t="shared" si="654"/>
        <v>0</v>
      </c>
      <c r="M674" s="654">
        <f t="shared" si="520"/>
        <v>0</v>
      </c>
      <c r="N674" s="655">
        <f>+IF(OR($Q674=Parametres!$G$2,$Q674=Parametres!$G$3),I674,C674)</f>
        <v>0</v>
      </c>
      <c r="O674" s="655">
        <f>+IF(OR($Q674=Parametres!$G$2,$Q674=Parametres!$G$3),J674,D674)</f>
        <v>0</v>
      </c>
      <c r="P674" s="655">
        <f>+IF(OR($Q674=Parametres!$G$2,$Q674=Parametres!$G$3),K674,E674)</f>
        <v>0</v>
      </c>
      <c r="Q674" s="654">
        <f t="shared" ref="Q674:S674" si="686">+F674</f>
        <v>0</v>
      </c>
      <c r="R674" s="653">
        <f t="shared" si="686"/>
        <v>0</v>
      </c>
      <c r="S674" s="654">
        <f t="shared" si="686"/>
        <v>0</v>
      </c>
      <c r="T674" s="656" t="e">
        <f>+VLOOKUP($L674,Data_Validation!$A:$D,1,0)</f>
        <v>#N/A</v>
      </c>
      <c r="U674" s="656" t="e">
        <f>+VLOOKUP($L674,Data_Validation!$A:$D,3,0)</f>
        <v>#N/A</v>
      </c>
      <c r="V674" s="656" t="e">
        <f>+VLOOKUP($L674,Data_Validation!$A:$D,4,0)</f>
        <v>#N/A</v>
      </c>
      <c r="W674" s="656" t="e">
        <f>+VLOOKUP($L674,Data_Validation!$A:$E,5,0)</f>
        <v>#N/A</v>
      </c>
      <c r="X674" s="656" t="e">
        <f>+VLOOKUP($L674,Data_Validation!$A:$F,6,0)</f>
        <v>#N/A</v>
      </c>
    </row>
    <row r="675" spans="1:24" ht="15.75" customHeight="1">
      <c r="A675" s="714"/>
      <c r="B675" s="714"/>
      <c r="C675" s="715"/>
      <c r="D675" s="715"/>
      <c r="E675" s="715"/>
      <c r="F675" s="714"/>
      <c r="G675" s="714"/>
      <c r="H675" s="714"/>
      <c r="I675" s="716"/>
      <c r="J675" s="716"/>
      <c r="K675" s="716"/>
      <c r="L675" s="653" t="str">
        <f t="shared" si="654"/>
        <v>0</v>
      </c>
      <c r="M675" s="654">
        <f t="shared" si="520"/>
        <v>0</v>
      </c>
      <c r="N675" s="655">
        <f>+IF(OR($Q675=Parametres!$G$2,$Q675=Parametres!$G$3),I675,C675)</f>
        <v>0</v>
      </c>
      <c r="O675" s="655">
        <f>+IF(OR($Q675=Parametres!$G$2,$Q675=Parametres!$G$3),J675,D675)</f>
        <v>0</v>
      </c>
      <c r="P675" s="655">
        <f>+IF(OR($Q675=Parametres!$G$2,$Q675=Parametres!$G$3),K675,E675)</f>
        <v>0</v>
      </c>
      <c r="Q675" s="654">
        <f t="shared" ref="Q675:S675" si="687">+F675</f>
        <v>0</v>
      </c>
      <c r="R675" s="653">
        <f t="shared" si="687"/>
        <v>0</v>
      </c>
      <c r="S675" s="654">
        <f t="shared" si="687"/>
        <v>0</v>
      </c>
      <c r="T675" s="656" t="e">
        <f>+VLOOKUP($L675,Data_Validation!$A:$D,1,0)</f>
        <v>#N/A</v>
      </c>
      <c r="U675" s="656" t="e">
        <f>+VLOOKUP($L675,Data_Validation!$A:$D,3,0)</f>
        <v>#N/A</v>
      </c>
      <c r="V675" s="656" t="e">
        <f>+VLOOKUP($L675,Data_Validation!$A:$D,4,0)</f>
        <v>#N/A</v>
      </c>
      <c r="W675" s="656" t="e">
        <f>+VLOOKUP($L675,Data_Validation!$A:$E,5,0)</f>
        <v>#N/A</v>
      </c>
      <c r="X675" s="656" t="e">
        <f>+VLOOKUP($L675,Data_Validation!$A:$F,6,0)</f>
        <v>#N/A</v>
      </c>
    </row>
    <row r="676" spans="1:24" ht="15.75" customHeight="1">
      <c r="A676" s="714"/>
      <c r="B676" s="714"/>
      <c r="C676" s="715"/>
      <c r="D676" s="715"/>
      <c r="E676" s="715"/>
      <c r="F676" s="714"/>
      <c r="G676" s="714"/>
      <c r="H676" s="714"/>
      <c r="I676" s="716"/>
      <c r="J676" s="716"/>
      <c r="K676" s="716"/>
      <c r="L676" s="653" t="str">
        <f t="shared" si="654"/>
        <v>0</v>
      </c>
      <c r="M676" s="654">
        <f t="shared" si="520"/>
        <v>0</v>
      </c>
      <c r="N676" s="655">
        <f>+IF(OR($Q676=Parametres!$G$2,$Q676=Parametres!$G$3),I676,C676)</f>
        <v>0</v>
      </c>
      <c r="O676" s="655">
        <f>+IF(OR($Q676=Parametres!$G$2,$Q676=Parametres!$G$3),J676,D676)</f>
        <v>0</v>
      </c>
      <c r="P676" s="655">
        <f>+IF(OR($Q676=Parametres!$G$2,$Q676=Parametres!$G$3),K676,E676)</f>
        <v>0</v>
      </c>
      <c r="Q676" s="654">
        <f t="shared" ref="Q676:S676" si="688">+F676</f>
        <v>0</v>
      </c>
      <c r="R676" s="653">
        <f t="shared" si="688"/>
        <v>0</v>
      </c>
      <c r="S676" s="654">
        <f t="shared" si="688"/>
        <v>0</v>
      </c>
      <c r="T676" s="656" t="e">
        <f>+VLOOKUP($L676,Data_Validation!$A:$D,1,0)</f>
        <v>#N/A</v>
      </c>
      <c r="U676" s="656" t="e">
        <f>+VLOOKUP($L676,Data_Validation!$A:$D,3,0)</f>
        <v>#N/A</v>
      </c>
      <c r="V676" s="656" t="e">
        <f>+VLOOKUP($L676,Data_Validation!$A:$D,4,0)</f>
        <v>#N/A</v>
      </c>
      <c r="W676" s="656" t="e">
        <f>+VLOOKUP($L676,Data_Validation!$A:$E,5,0)</f>
        <v>#N/A</v>
      </c>
      <c r="X676" s="656" t="e">
        <f>+VLOOKUP($L676,Data_Validation!$A:$F,6,0)</f>
        <v>#N/A</v>
      </c>
    </row>
    <row r="677" spans="1:24" ht="15.75" customHeight="1">
      <c r="A677" s="714"/>
      <c r="B677" s="714"/>
      <c r="C677" s="715"/>
      <c r="D677" s="715"/>
      <c r="E677" s="715"/>
      <c r="F677" s="714"/>
      <c r="G677" s="714"/>
      <c r="H677" s="714"/>
      <c r="I677" s="716"/>
      <c r="J677" s="716"/>
      <c r="K677" s="716"/>
      <c r="L677" s="653" t="str">
        <f t="shared" si="654"/>
        <v>0</v>
      </c>
      <c r="M677" s="654">
        <f t="shared" si="520"/>
        <v>0</v>
      </c>
      <c r="N677" s="655">
        <f>+IF(OR($Q677=Parametres!$G$2,$Q677=Parametres!$G$3),I677,C677)</f>
        <v>0</v>
      </c>
      <c r="O677" s="655">
        <f>+IF(OR($Q677=Parametres!$G$2,$Q677=Parametres!$G$3),J677,D677)</f>
        <v>0</v>
      </c>
      <c r="P677" s="655">
        <f>+IF(OR($Q677=Parametres!$G$2,$Q677=Parametres!$G$3),K677,E677)</f>
        <v>0</v>
      </c>
      <c r="Q677" s="654">
        <f t="shared" ref="Q677:S677" si="689">+F677</f>
        <v>0</v>
      </c>
      <c r="R677" s="653">
        <f t="shared" si="689"/>
        <v>0</v>
      </c>
      <c r="S677" s="654">
        <f t="shared" si="689"/>
        <v>0</v>
      </c>
      <c r="T677" s="656" t="e">
        <f>+VLOOKUP($L677,Data_Validation!$A:$D,1,0)</f>
        <v>#N/A</v>
      </c>
      <c r="U677" s="656" t="e">
        <f>+VLOOKUP($L677,Data_Validation!$A:$D,3,0)</f>
        <v>#N/A</v>
      </c>
      <c r="V677" s="656" t="e">
        <f>+VLOOKUP($L677,Data_Validation!$A:$D,4,0)</f>
        <v>#N/A</v>
      </c>
      <c r="W677" s="656" t="e">
        <f>+VLOOKUP($L677,Data_Validation!$A:$E,5,0)</f>
        <v>#N/A</v>
      </c>
      <c r="X677" s="656" t="e">
        <f>+VLOOKUP($L677,Data_Validation!$A:$F,6,0)</f>
        <v>#N/A</v>
      </c>
    </row>
    <row r="678" spans="1:24" ht="15.75" customHeight="1">
      <c r="A678" s="714"/>
      <c r="B678" s="714"/>
      <c r="C678" s="715"/>
      <c r="D678" s="715"/>
      <c r="E678" s="715"/>
      <c r="F678" s="714"/>
      <c r="G678" s="714"/>
      <c r="H678" s="714"/>
      <c r="I678" s="716"/>
      <c r="J678" s="716"/>
      <c r="K678" s="716"/>
      <c r="L678" s="653" t="str">
        <f t="shared" si="654"/>
        <v>0</v>
      </c>
      <c r="M678" s="654">
        <f t="shared" si="520"/>
        <v>0</v>
      </c>
      <c r="N678" s="655">
        <f>+IF(OR($Q678=Parametres!$G$2,$Q678=Parametres!$G$3),I678,C678)</f>
        <v>0</v>
      </c>
      <c r="O678" s="655">
        <f>+IF(OR($Q678=Parametres!$G$2,$Q678=Parametres!$G$3),J678,D678)</f>
        <v>0</v>
      </c>
      <c r="P678" s="655">
        <f>+IF(OR($Q678=Parametres!$G$2,$Q678=Parametres!$G$3),K678,E678)</f>
        <v>0</v>
      </c>
      <c r="Q678" s="654">
        <f t="shared" ref="Q678:S678" si="690">+F678</f>
        <v>0</v>
      </c>
      <c r="R678" s="653">
        <f t="shared" si="690"/>
        <v>0</v>
      </c>
      <c r="S678" s="654">
        <f t="shared" si="690"/>
        <v>0</v>
      </c>
      <c r="T678" s="656" t="e">
        <f>+VLOOKUP($L678,Data_Validation!$A:$D,1,0)</f>
        <v>#N/A</v>
      </c>
      <c r="U678" s="656" t="e">
        <f>+VLOOKUP($L678,Data_Validation!$A:$D,3,0)</f>
        <v>#N/A</v>
      </c>
      <c r="V678" s="656" t="e">
        <f>+VLOOKUP($L678,Data_Validation!$A:$D,4,0)</f>
        <v>#N/A</v>
      </c>
      <c r="W678" s="656" t="e">
        <f>+VLOOKUP($L678,Data_Validation!$A:$E,5,0)</f>
        <v>#N/A</v>
      </c>
      <c r="X678" s="656" t="e">
        <f>+VLOOKUP($L678,Data_Validation!$A:$F,6,0)</f>
        <v>#N/A</v>
      </c>
    </row>
    <row r="679" spans="1:24" ht="15.75" customHeight="1">
      <c r="A679" s="714"/>
      <c r="B679" s="714"/>
      <c r="C679" s="715"/>
      <c r="D679" s="715"/>
      <c r="E679" s="715"/>
      <c r="F679" s="714"/>
      <c r="G679" s="714"/>
      <c r="H679" s="714"/>
      <c r="I679" s="716"/>
      <c r="J679" s="716"/>
      <c r="K679" s="716"/>
      <c r="L679" s="653" t="str">
        <f t="shared" si="654"/>
        <v>0</v>
      </c>
      <c r="M679" s="654">
        <f t="shared" si="520"/>
        <v>0</v>
      </c>
      <c r="N679" s="655">
        <f>+IF(OR($Q679=Parametres!$G$2,$Q679=Parametres!$G$3),I679,C679)</f>
        <v>0</v>
      </c>
      <c r="O679" s="655">
        <f>+IF(OR($Q679=Parametres!$G$2,$Q679=Parametres!$G$3),J679,D679)</f>
        <v>0</v>
      </c>
      <c r="P679" s="655">
        <f>+IF(OR($Q679=Parametres!$G$2,$Q679=Parametres!$G$3),K679,E679)</f>
        <v>0</v>
      </c>
      <c r="Q679" s="654">
        <f t="shared" ref="Q679:S679" si="691">+F679</f>
        <v>0</v>
      </c>
      <c r="R679" s="653">
        <f t="shared" si="691"/>
        <v>0</v>
      </c>
      <c r="S679" s="654">
        <f t="shared" si="691"/>
        <v>0</v>
      </c>
      <c r="T679" s="656" t="e">
        <f>+VLOOKUP($L679,Data_Validation!$A:$D,1,0)</f>
        <v>#N/A</v>
      </c>
      <c r="U679" s="656" t="e">
        <f>+VLOOKUP($L679,Data_Validation!$A:$D,3,0)</f>
        <v>#N/A</v>
      </c>
      <c r="V679" s="656" t="e">
        <f>+VLOOKUP($L679,Data_Validation!$A:$D,4,0)</f>
        <v>#N/A</v>
      </c>
      <c r="W679" s="656" t="e">
        <f>+VLOOKUP($L679,Data_Validation!$A:$E,5,0)</f>
        <v>#N/A</v>
      </c>
      <c r="X679" s="656" t="e">
        <f>+VLOOKUP($L679,Data_Validation!$A:$F,6,0)</f>
        <v>#N/A</v>
      </c>
    </row>
    <row r="680" spans="1:24" ht="15.75" customHeight="1">
      <c r="A680" s="714"/>
      <c r="B680" s="714"/>
      <c r="C680" s="715"/>
      <c r="D680" s="715"/>
      <c r="E680" s="715"/>
      <c r="F680" s="714"/>
      <c r="G680" s="714"/>
      <c r="H680" s="714"/>
      <c r="I680" s="716"/>
      <c r="J680" s="716"/>
      <c r="K680" s="716"/>
      <c r="L680" s="653" t="str">
        <f t="shared" si="654"/>
        <v>0</v>
      </c>
      <c r="M680" s="654">
        <f t="shared" si="520"/>
        <v>0</v>
      </c>
      <c r="N680" s="655">
        <f>+IF(OR($Q680=Parametres!$G$2,$Q680=Parametres!$G$3),I680,C680)</f>
        <v>0</v>
      </c>
      <c r="O680" s="655">
        <f>+IF(OR($Q680=Parametres!$G$2,$Q680=Parametres!$G$3),J680,D680)</f>
        <v>0</v>
      </c>
      <c r="P680" s="655">
        <f>+IF(OR($Q680=Parametres!$G$2,$Q680=Parametres!$G$3),K680,E680)</f>
        <v>0</v>
      </c>
      <c r="Q680" s="654">
        <f t="shared" ref="Q680:S680" si="692">+F680</f>
        <v>0</v>
      </c>
      <c r="R680" s="653">
        <f t="shared" si="692"/>
        <v>0</v>
      </c>
      <c r="S680" s="654">
        <f t="shared" si="692"/>
        <v>0</v>
      </c>
      <c r="T680" s="656" t="e">
        <f>+VLOOKUP($L680,Data_Validation!$A:$D,1,0)</f>
        <v>#N/A</v>
      </c>
      <c r="U680" s="656" t="e">
        <f>+VLOOKUP($L680,Data_Validation!$A:$D,3,0)</f>
        <v>#N/A</v>
      </c>
      <c r="V680" s="656" t="e">
        <f>+VLOOKUP($L680,Data_Validation!$A:$D,4,0)</f>
        <v>#N/A</v>
      </c>
      <c r="W680" s="656" t="e">
        <f>+VLOOKUP($L680,Data_Validation!$A:$E,5,0)</f>
        <v>#N/A</v>
      </c>
      <c r="X680" s="656" t="e">
        <f>+VLOOKUP($L680,Data_Validation!$A:$F,6,0)</f>
        <v>#N/A</v>
      </c>
    </row>
    <row r="681" spans="1:24" ht="15.75" customHeight="1">
      <c r="A681" s="714"/>
      <c r="B681" s="714"/>
      <c r="C681" s="715"/>
      <c r="D681" s="715"/>
      <c r="E681" s="715"/>
      <c r="F681" s="714"/>
      <c r="G681" s="714"/>
      <c r="H681" s="714"/>
      <c r="I681" s="716"/>
      <c r="J681" s="716"/>
      <c r="K681" s="716"/>
      <c r="L681" s="653" t="str">
        <f t="shared" si="654"/>
        <v>0</v>
      </c>
      <c r="M681" s="654">
        <f t="shared" si="520"/>
        <v>0</v>
      </c>
      <c r="N681" s="655">
        <f>+IF(OR($Q681=Parametres!$G$2,$Q681=Parametres!$G$3),I681,C681)</f>
        <v>0</v>
      </c>
      <c r="O681" s="655">
        <f>+IF(OR($Q681=Parametres!$G$2,$Q681=Parametres!$G$3),J681,D681)</f>
        <v>0</v>
      </c>
      <c r="P681" s="655">
        <f>+IF(OR($Q681=Parametres!$G$2,$Q681=Parametres!$G$3),K681,E681)</f>
        <v>0</v>
      </c>
      <c r="Q681" s="654">
        <f t="shared" ref="Q681:S681" si="693">+F681</f>
        <v>0</v>
      </c>
      <c r="R681" s="653">
        <f t="shared" si="693"/>
        <v>0</v>
      </c>
      <c r="S681" s="654">
        <f t="shared" si="693"/>
        <v>0</v>
      </c>
      <c r="T681" s="656" t="e">
        <f>+VLOOKUP($L681,Data_Validation!$A:$D,1,0)</f>
        <v>#N/A</v>
      </c>
      <c r="U681" s="656" t="e">
        <f>+VLOOKUP($L681,Data_Validation!$A:$D,3,0)</f>
        <v>#N/A</v>
      </c>
      <c r="V681" s="656" t="e">
        <f>+VLOOKUP($L681,Data_Validation!$A:$D,4,0)</f>
        <v>#N/A</v>
      </c>
      <c r="W681" s="656" t="e">
        <f>+VLOOKUP($L681,Data_Validation!$A:$E,5,0)</f>
        <v>#N/A</v>
      </c>
      <c r="X681" s="656" t="e">
        <f>+VLOOKUP($L681,Data_Validation!$A:$F,6,0)</f>
        <v>#N/A</v>
      </c>
    </row>
    <row r="682" spans="1:24" ht="15.75" customHeight="1">
      <c r="A682" s="714"/>
      <c r="B682" s="714"/>
      <c r="C682" s="715"/>
      <c r="D682" s="715"/>
      <c r="E682" s="715"/>
      <c r="F682" s="714"/>
      <c r="G682" s="714"/>
      <c r="H682" s="714"/>
      <c r="I682" s="716"/>
      <c r="J682" s="716"/>
      <c r="K682" s="716"/>
      <c r="L682" s="653" t="str">
        <f t="shared" si="654"/>
        <v>0</v>
      </c>
      <c r="M682" s="654">
        <f t="shared" si="520"/>
        <v>0</v>
      </c>
      <c r="N682" s="655">
        <f>+IF(OR($Q682=Parametres!$G$2,$Q682=Parametres!$G$3),I682,C682)</f>
        <v>0</v>
      </c>
      <c r="O682" s="655">
        <f>+IF(OR($Q682=Parametres!$G$2,$Q682=Parametres!$G$3),J682,D682)</f>
        <v>0</v>
      </c>
      <c r="P682" s="655">
        <f>+IF(OR($Q682=Parametres!$G$2,$Q682=Parametres!$G$3),K682,E682)</f>
        <v>0</v>
      </c>
      <c r="Q682" s="654">
        <f t="shared" ref="Q682:S682" si="694">+F682</f>
        <v>0</v>
      </c>
      <c r="R682" s="653">
        <f t="shared" si="694"/>
        <v>0</v>
      </c>
      <c r="S682" s="654">
        <f t="shared" si="694"/>
        <v>0</v>
      </c>
      <c r="T682" s="656" t="e">
        <f>+VLOOKUP($L682,Data_Validation!$A:$D,1,0)</f>
        <v>#N/A</v>
      </c>
      <c r="U682" s="656" t="e">
        <f>+VLOOKUP($L682,Data_Validation!$A:$D,3,0)</f>
        <v>#N/A</v>
      </c>
      <c r="V682" s="656" t="e">
        <f>+VLOOKUP($L682,Data_Validation!$A:$D,4,0)</f>
        <v>#N/A</v>
      </c>
      <c r="W682" s="656" t="e">
        <f>+VLOOKUP($L682,Data_Validation!$A:$E,5,0)</f>
        <v>#N/A</v>
      </c>
      <c r="X682" s="656" t="e">
        <f>+VLOOKUP($L682,Data_Validation!$A:$F,6,0)</f>
        <v>#N/A</v>
      </c>
    </row>
    <row r="683" spans="1:24" ht="15.75" customHeight="1">
      <c r="A683" s="714"/>
      <c r="B683" s="714"/>
      <c r="C683" s="715"/>
      <c r="D683" s="715"/>
      <c r="E683" s="715"/>
      <c r="F683" s="714"/>
      <c r="G683" s="714"/>
      <c r="H683" s="714"/>
      <c r="I683" s="716"/>
      <c r="J683" s="716"/>
      <c r="K683" s="716"/>
      <c r="L683" s="653" t="str">
        <f t="shared" si="654"/>
        <v>0</v>
      </c>
      <c r="M683" s="654">
        <f t="shared" si="520"/>
        <v>0</v>
      </c>
      <c r="N683" s="655">
        <f>+IF(OR($Q683=Parametres!$G$2,$Q683=Parametres!$G$3),I683,C683)</f>
        <v>0</v>
      </c>
      <c r="O683" s="655">
        <f>+IF(OR($Q683=Parametres!$G$2,$Q683=Parametres!$G$3),J683,D683)</f>
        <v>0</v>
      </c>
      <c r="P683" s="655">
        <f>+IF(OR($Q683=Parametres!$G$2,$Q683=Parametres!$G$3),K683,E683)</f>
        <v>0</v>
      </c>
      <c r="Q683" s="654">
        <f t="shared" ref="Q683:S683" si="695">+F683</f>
        <v>0</v>
      </c>
      <c r="R683" s="653">
        <f t="shared" si="695"/>
        <v>0</v>
      </c>
      <c r="S683" s="654">
        <f t="shared" si="695"/>
        <v>0</v>
      </c>
      <c r="T683" s="656" t="e">
        <f>+VLOOKUP($L683,Data_Validation!$A:$D,1,0)</f>
        <v>#N/A</v>
      </c>
      <c r="U683" s="656" t="e">
        <f>+VLOOKUP($L683,Data_Validation!$A:$D,3,0)</f>
        <v>#N/A</v>
      </c>
      <c r="V683" s="656" t="e">
        <f>+VLOOKUP($L683,Data_Validation!$A:$D,4,0)</f>
        <v>#N/A</v>
      </c>
      <c r="W683" s="656" t="e">
        <f>+VLOOKUP($L683,Data_Validation!$A:$E,5,0)</f>
        <v>#N/A</v>
      </c>
      <c r="X683" s="656" t="e">
        <f>+VLOOKUP($L683,Data_Validation!$A:$F,6,0)</f>
        <v>#N/A</v>
      </c>
    </row>
    <row r="684" spans="1:24" ht="15.75" customHeight="1">
      <c r="A684" s="714"/>
      <c r="B684" s="714"/>
      <c r="C684" s="715"/>
      <c r="D684" s="715"/>
      <c r="E684" s="715"/>
      <c r="F684" s="714"/>
      <c r="G684" s="714"/>
      <c r="H684" s="714"/>
      <c r="I684" s="716"/>
      <c r="J684" s="716"/>
      <c r="K684" s="716"/>
      <c r="L684" s="653" t="str">
        <f t="shared" si="654"/>
        <v>0</v>
      </c>
      <c r="M684" s="654">
        <f t="shared" si="520"/>
        <v>0</v>
      </c>
      <c r="N684" s="655">
        <f>+IF(OR($Q684=Parametres!$G$2,$Q684=Parametres!$G$3),I684,C684)</f>
        <v>0</v>
      </c>
      <c r="O684" s="655">
        <f>+IF(OR($Q684=Parametres!$G$2,$Q684=Parametres!$G$3),J684,D684)</f>
        <v>0</v>
      </c>
      <c r="P684" s="655">
        <f>+IF(OR($Q684=Parametres!$G$2,$Q684=Parametres!$G$3),K684,E684)</f>
        <v>0</v>
      </c>
      <c r="Q684" s="654">
        <f t="shared" ref="Q684:S684" si="696">+F684</f>
        <v>0</v>
      </c>
      <c r="R684" s="653">
        <f t="shared" si="696"/>
        <v>0</v>
      </c>
      <c r="S684" s="654">
        <f t="shared" si="696"/>
        <v>0</v>
      </c>
      <c r="T684" s="656" t="e">
        <f>+VLOOKUP($L684,Data_Validation!$A:$D,1,0)</f>
        <v>#N/A</v>
      </c>
      <c r="U684" s="656" t="e">
        <f>+VLOOKUP($L684,Data_Validation!$A:$D,3,0)</f>
        <v>#N/A</v>
      </c>
      <c r="V684" s="656" t="e">
        <f>+VLOOKUP($L684,Data_Validation!$A:$D,4,0)</f>
        <v>#N/A</v>
      </c>
      <c r="W684" s="656" t="e">
        <f>+VLOOKUP($L684,Data_Validation!$A:$E,5,0)</f>
        <v>#N/A</v>
      </c>
      <c r="X684" s="656" t="e">
        <f>+VLOOKUP($L684,Data_Validation!$A:$F,6,0)</f>
        <v>#N/A</v>
      </c>
    </row>
    <row r="685" spans="1:24" ht="15.75" customHeight="1">
      <c r="A685" s="714"/>
      <c r="B685" s="714"/>
      <c r="C685" s="715"/>
      <c r="D685" s="715"/>
      <c r="E685" s="715"/>
      <c r="F685" s="714"/>
      <c r="G685" s="714"/>
      <c r="H685" s="714"/>
      <c r="I685" s="716"/>
      <c r="J685" s="716"/>
      <c r="K685" s="716"/>
      <c r="L685" s="653" t="str">
        <f t="shared" si="654"/>
        <v>0</v>
      </c>
      <c r="M685" s="654">
        <f t="shared" si="520"/>
        <v>0</v>
      </c>
      <c r="N685" s="655">
        <f>+IF(OR($Q685=Parametres!$G$2,$Q685=Parametres!$G$3),I685,C685)</f>
        <v>0</v>
      </c>
      <c r="O685" s="655">
        <f>+IF(OR($Q685=Parametres!$G$2,$Q685=Parametres!$G$3),J685,D685)</f>
        <v>0</v>
      </c>
      <c r="P685" s="655">
        <f>+IF(OR($Q685=Parametres!$G$2,$Q685=Parametres!$G$3),K685,E685)</f>
        <v>0</v>
      </c>
      <c r="Q685" s="654">
        <f t="shared" ref="Q685:S685" si="697">+F685</f>
        <v>0</v>
      </c>
      <c r="R685" s="653">
        <f t="shared" si="697"/>
        <v>0</v>
      </c>
      <c r="S685" s="654">
        <f t="shared" si="697"/>
        <v>0</v>
      </c>
      <c r="T685" s="656" t="e">
        <f>+VLOOKUP($L685,Data_Validation!$A:$D,1,0)</f>
        <v>#N/A</v>
      </c>
      <c r="U685" s="656" t="e">
        <f>+VLOOKUP($L685,Data_Validation!$A:$D,3,0)</f>
        <v>#N/A</v>
      </c>
      <c r="V685" s="656" t="e">
        <f>+VLOOKUP($L685,Data_Validation!$A:$D,4,0)</f>
        <v>#N/A</v>
      </c>
      <c r="W685" s="656" t="e">
        <f>+VLOOKUP($L685,Data_Validation!$A:$E,5,0)</f>
        <v>#N/A</v>
      </c>
      <c r="X685" s="656" t="e">
        <f>+VLOOKUP($L685,Data_Validation!$A:$F,6,0)</f>
        <v>#N/A</v>
      </c>
    </row>
    <row r="686" spans="1:24" ht="15.75" customHeight="1">
      <c r="A686" s="714"/>
      <c r="B686" s="714"/>
      <c r="C686" s="715"/>
      <c r="D686" s="715"/>
      <c r="E686" s="715"/>
      <c r="F686" s="714"/>
      <c r="G686" s="714"/>
      <c r="H686" s="714"/>
      <c r="I686" s="716"/>
      <c r="J686" s="716"/>
      <c r="K686" s="716"/>
      <c r="L686" s="653" t="str">
        <f t="shared" si="654"/>
        <v>0</v>
      </c>
      <c r="M686" s="654">
        <f t="shared" si="520"/>
        <v>0</v>
      </c>
      <c r="N686" s="655">
        <f>+IF(OR($Q686=Parametres!$G$2,$Q686=Parametres!$G$3),I686,C686)</f>
        <v>0</v>
      </c>
      <c r="O686" s="655">
        <f>+IF(OR($Q686=Parametres!$G$2,$Q686=Parametres!$G$3),J686,D686)</f>
        <v>0</v>
      </c>
      <c r="P686" s="655">
        <f>+IF(OR($Q686=Parametres!$G$2,$Q686=Parametres!$G$3),K686,E686)</f>
        <v>0</v>
      </c>
      <c r="Q686" s="654">
        <f t="shared" ref="Q686:S686" si="698">+F686</f>
        <v>0</v>
      </c>
      <c r="R686" s="653">
        <f t="shared" si="698"/>
        <v>0</v>
      </c>
      <c r="S686" s="654">
        <f t="shared" si="698"/>
        <v>0</v>
      </c>
      <c r="T686" s="656" t="e">
        <f>+VLOOKUP($L686,Data_Validation!$A:$D,1,0)</f>
        <v>#N/A</v>
      </c>
      <c r="U686" s="656" t="e">
        <f>+VLOOKUP($L686,Data_Validation!$A:$D,3,0)</f>
        <v>#N/A</v>
      </c>
      <c r="V686" s="656" t="e">
        <f>+VLOOKUP($L686,Data_Validation!$A:$D,4,0)</f>
        <v>#N/A</v>
      </c>
      <c r="W686" s="656" t="e">
        <f>+VLOOKUP($L686,Data_Validation!$A:$E,5,0)</f>
        <v>#N/A</v>
      </c>
      <c r="X686" s="656" t="e">
        <f>+VLOOKUP($L686,Data_Validation!$A:$F,6,0)</f>
        <v>#N/A</v>
      </c>
    </row>
    <row r="687" spans="1:24" ht="15.75" customHeight="1">
      <c r="A687" s="714"/>
      <c r="B687" s="714"/>
      <c r="C687" s="715"/>
      <c r="D687" s="715"/>
      <c r="E687" s="715"/>
      <c r="F687" s="714"/>
      <c r="G687" s="714"/>
      <c r="H687" s="714"/>
      <c r="I687" s="716"/>
      <c r="J687" s="716"/>
      <c r="K687" s="716"/>
      <c r="L687" s="653" t="str">
        <f t="shared" si="654"/>
        <v>0</v>
      </c>
      <c r="M687" s="654">
        <f t="shared" si="520"/>
        <v>0</v>
      </c>
      <c r="N687" s="655">
        <f>+IF(OR($Q687=Parametres!$G$2,$Q687=Parametres!$G$3),I687,C687)</f>
        <v>0</v>
      </c>
      <c r="O687" s="655">
        <f>+IF(OR($Q687=Parametres!$G$2,$Q687=Parametres!$G$3),J687,D687)</f>
        <v>0</v>
      </c>
      <c r="P687" s="655">
        <f>+IF(OR($Q687=Parametres!$G$2,$Q687=Parametres!$G$3),K687,E687)</f>
        <v>0</v>
      </c>
      <c r="Q687" s="654">
        <f t="shared" ref="Q687:S687" si="699">+F687</f>
        <v>0</v>
      </c>
      <c r="R687" s="653">
        <f t="shared" si="699"/>
        <v>0</v>
      </c>
      <c r="S687" s="654">
        <f t="shared" si="699"/>
        <v>0</v>
      </c>
      <c r="T687" s="656" t="e">
        <f>+VLOOKUP($L687,Data_Validation!$A:$D,1,0)</f>
        <v>#N/A</v>
      </c>
      <c r="U687" s="656" t="e">
        <f>+VLOOKUP($L687,Data_Validation!$A:$D,3,0)</f>
        <v>#N/A</v>
      </c>
      <c r="V687" s="656" t="e">
        <f>+VLOOKUP($L687,Data_Validation!$A:$D,4,0)</f>
        <v>#N/A</v>
      </c>
      <c r="W687" s="656" t="e">
        <f>+VLOOKUP($L687,Data_Validation!$A:$E,5,0)</f>
        <v>#N/A</v>
      </c>
      <c r="X687" s="656" t="e">
        <f>+VLOOKUP($L687,Data_Validation!$A:$F,6,0)</f>
        <v>#N/A</v>
      </c>
    </row>
    <row r="688" spans="1:24" ht="15.75" customHeight="1">
      <c r="A688" s="714"/>
      <c r="B688" s="714"/>
      <c r="C688" s="715"/>
      <c r="D688" s="715"/>
      <c r="E688" s="715"/>
      <c r="F688" s="714"/>
      <c r="G688" s="714"/>
      <c r="H688" s="714"/>
      <c r="I688" s="716"/>
      <c r="J688" s="716"/>
      <c r="K688" s="716"/>
      <c r="L688" s="653" t="str">
        <f t="shared" si="654"/>
        <v>0</v>
      </c>
      <c r="M688" s="654">
        <f t="shared" si="520"/>
        <v>0</v>
      </c>
      <c r="N688" s="655">
        <f>+IF(OR($Q688=Parametres!$G$2,$Q688=Parametres!$G$3),I688,C688)</f>
        <v>0</v>
      </c>
      <c r="O688" s="655">
        <f>+IF(OR($Q688=Parametres!$G$2,$Q688=Parametres!$G$3),J688,D688)</f>
        <v>0</v>
      </c>
      <c r="P688" s="655">
        <f>+IF(OR($Q688=Parametres!$G$2,$Q688=Parametres!$G$3),K688,E688)</f>
        <v>0</v>
      </c>
      <c r="Q688" s="654">
        <f t="shared" ref="Q688:S688" si="700">+F688</f>
        <v>0</v>
      </c>
      <c r="R688" s="653">
        <f t="shared" si="700"/>
        <v>0</v>
      </c>
      <c r="S688" s="654">
        <f t="shared" si="700"/>
        <v>0</v>
      </c>
      <c r="T688" s="656" t="e">
        <f>+VLOOKUP($L688,Data_Validation!$A:$D,1,0)</f>
        <v>#N/A</v>
      </c>
      <c r="U688" s="656" t="e">
        <f>+VLOOKUP($L688,Data_Validation!$A:$D,3,0)</f>
        <v>#N/A</v>
      </c>
      <c r="V688" s="656" t="e">
        <f>+VLOOKUP($L688,Data_Validation!$A:$D,4,0)</f>
        <v>#N/A</v>
      </c>
      <c r="W688" s="656" t="e">
        <f>+VLOOKUP($L688,Data_Validation!$A:$E,5,0)</f>
        <v>#N/A</v>
      </c>
      <c r="X688" s="656" t="e">
        <f>+VLOOKUP($L688,Data_Validation!$A:$F,6,0)</f>
        <v>#N/A</v>
      </c>
    </row>
    <row r="689" spans="1:24" ht="15.75" customHeight="1">
      <c r="A689" s="714"/>
      <c r="B689" s="714"/>
      <c r="C689" s="715"/>
      <c r="D689" s="715"/>
      <c r="E689" s="715"/>
      <c r="F689" s="714"/>
      <c r="G689" s="714"/>
      <c r="H689" s="714"/>
      <c r="I689" s="716"/>
      <c r="J689" s="716"/>
      <c r="K689" s="716"/>
      <c r="L689" s="653" t="str">
        <f t="shared" si="654"/>
        <v>0</v>
      </c>
      <c r="M689" s="654">
        <f t="shared" si="520"/>
        <v>0</v>
      </c>
      <c r="N689" s="655">
        <f>+IF(OR($Q689=Parametres!$G$2,$Q689=Parametres!$G$3),I689,C689)</f>
        <v>0</v>
      </c>
      <c r="O689" s="655">
        <f>+IF(OR($Q689=Parametres!$G$2,$Q689=Parametres!$G$3),J689,D689)</f>
        <v>0</v>
      </c>
      <c r="P689" s="655">
        <f>+IF(OR($Q689=Parametres!$G$2,$Q689=Parametres!$G$3),K689,E689)</f>
        <v>0</v>
      </c>
      <c r="Q689" s="654">
        <f t="shared" ref="Q689:S689" si="701">+F689</f>
        <v>0</v>
      </c>
      <c r="R689" s="653">
        <f t="shared" si="701"/>
        <v>0</v>
      </c>
      <c r="S689" s="654">
        <f t="shared" si="701"/>
        <v>0</v>
      </c>
      <c r="T689" s="656" t="e">
        <f>+VLOOKUP($L689,Data_Validation!$A:$D,1,0)</f>
        <v>#N/A</v>
      </c>
      <c r="U689" s="656" t="e">
        <f>+VLOOKUP($L689,Data_Validation!$A:$D,3,0)</f>
        <v>#N/A</v>
      </c>
      <c r="V689" s="656" t="e">
        <f>+VLOOKUP($L689,Data_Validation!$A:$D,4,0)</f>
        <v>#N/A</v>
      </c>
      <c r="W689" s="656" t="e">
        <f>+VLOOKUP($L689,Data_Validation!$A:$E,5,0)</f>
        <v>#N/A</v>
      </c>
      <c r="X689" s="656" t="e">
        <f>+VLOOKUP($L689,Data_Validation!$A:$F,6,0)</f>
        <v>#N/A</v>
      </c>
    </row>
    <row r="690" spans="1:24" ht="15.75" customHeight="1">
      <c r="A690" s="714"/>
      <c r="B690" s="714"/>
      <c r="C690" s="715"/>
      <c r="D690" s="715"/>
      <c r="E690" s="715"/>
      <c r="F690" s="714"/>
      <c r="G690" s="714"/>
      <c r="H690" s="714"/>
      <c r="I690" s="716"/>
      <c r="J690" s="716"/>
      <c r="K690" s="716"/>
      <c r="L690" s="653" t="str">
        <f t="shared" si="654"/>
        <v>0</v>
      </c>
      <c r="M690" s="654">
        <f t="shared" si="520"/>
        <v>0</v>
      </c>
      <c r="N690" s="655">
        <f>+IF(OR($Q690=Parametres!$G$2,$Q690=Parametres!$G$3),I690,C690)</f>
        <v>0</v>
      </c>
      <c r="O690" s="655">
        <f>+IF(OR($Q690=Parametres!$G$2,$Q690=Parametres!$G$3),J690,D690)</f>
        <v>0</v>
      </c>
      <c r="P690" s="655">
        <f>+IF(OR($Q690=Parametres!$G$2,$Q690=Parametres!$G$3),K690,E690)</f>
        <v>0</v>
      </c>
      <c r="Q690" s="654">
        <f t="shared" ref="Q690:S690" si="702">+F690</f>
        <v>0</v>
      </c>
      <c r="R690" s="653">
        <f t="shared" si="702"/>
        <v>0</v>
      </c>
      <c r="S690" s="654">
        <f t="shared" si="702"/>
        <v>0</v>
      </c>
      <c r="T690" s="656" t="e">
        <f>+VLOOKUP($L690,Data_Validation!$A:$D,1,0)</f>
        <v>#N/A</v>
      </c>
      <c r="U690" s="656" t="e">
        <f>+VLOOKUP($L690,Data_Validation!$A:$D,3,0)</f>
        <v>#N/A</v>
      </c>
      <c r="V690" s="656" t="e">
        <f>+VLOOKUP($L690,Data_Validation!$A:$D,4,0)</f>
        <v>#N/A</v>
      </c>
      <c r="W690" s="656" t="e">
        <f>+VLOOKUP($L690,Data_Validation!$A:$E,5,0)</f>
        <v>#N/A</v>
      </c>
      <c r="X690" s="656" t="e">
        <f>+VLOOKUP($L690,Data_Validation!$A:$F,6,0)</f>
        <v>#N/A</v>
      </c>
    </row>
    <row r="691" spans="1:24" ht="15.75" customHeight="1">
      <c r="A691" s="714"/>
      <c r="B691" s="714"/>
      <c r="C691" s="715"/>
      <c r="D691" s="715"/>
      <c r="E691" s="715"/>
      <c r="F691" s="714"/>
      <c r="G691" s="714"/>
      <c r="H691" s="714"/>
      <c r="I691" s="716"/>
      <c r="J691" s="716"/>
      <c r="K691" s="716"/>
      <c r="L691" s="653" t="str">
        <f t="shared" si="654"/>
        <v>0</v>
      </c>
      <c r="M691" s="654">
        <f t="shared" si="520"/>
        <v>0</v>
      </c>
      <c r="N691" s="655">
        <f>+IF(OR($Q691=Parametres!$G$2,$Q691=Parametres!$G$3),I691,C691)</f>
        <v>0</v>
      </c>
      <c r="O691" s="655">
        <f>+IF(OR($Q691=Parametres!$G$2,$Q691=Parametres!$G$3),J691,D691)</f>
        <v>0</v>
      </c>
      <c r="P691" s="655">
        <f>+IF(OR($Q691=Parametres!$G$2,$Q691=Parametres!$G$3),K691,E691)</f>
        <v>0</v>
      </c>
      <c r="Q691" s="654">
        <f t="shared" ref="Q691:S691" si="703">+F691</f>
        <v>0</v>
      </c>
      <c r="R691" s="653">
        <f t="shared" si="703"/>
        <v>0</v>
      </c>
      <c r="S691" s="654">
        <f t="shared" si="703"/>
        <v>0</v>
      </c>
      <c r="T691" s="656" t="e">
        <f>+VLOOKUP($L691,Data_Validation!$A:$D,1,0)</f>
        <v>#N/A</v>
      </c>
      <c r="U691" s="656" t="e">
        <f>+VLOOKUP($L691,Data_Validation!$A:$D,3,0)</f>
        <v>#N/A</v>
      </c>
      <c r="V691" s="656" t="e">
        <f>+VLOOKUP($L691,Data_Validation!$A:$D,4,0)</f>
        <v>#N/A</v>
      </c>
      <c r="W691" s="656" t="e">
        <f>+VLOOKUP($L691,Data_Validation!$A:$E,5,0)</f>
        <v>#N/A</v>
      </c>
      <c r="X691" s="656" t="e">
        <f>+VLOOKUP($L691,Data_Validation!$A:$F,6,0)</f>
        <v>#N/A</v>
      </c>
    </row>
    <row r="692" spans="1:24" ht="15.75" customHeight="1">
      <c r="A692" s="714"/>
      <c r="B692" s="714"/>
      <c r="C692" s="715"/>
      <c r="D692" s="715"/>
      <c r="E692" s="715"/>
      <c r="F692" s="714"/>
      <c r="G692" s="714"/>
      <c r="H692" s="714"/>
      <c r="I692" s="716"/>
      <c r="J692" s="716"/>
      <c r="K692" s="716"/>
      <c r="L692" s="653" t="str">
        <f t="shared" si="654"/>
        <v>0</v>
      </c>
      <c r="M692" s="654">
        <f t="shared" si="520"/>
        <v>0</v>
      </c>
      <c r="N692" s="655">
        <f>+IF(OR($Q692=Parametres!$G$2,$Q692=Parametres!$G$3),I692,C692)</f>
        <v>0</v>
      </c>
      <c r="O692" s="655">
        <f>+IF(OR($Q692=Parametres!$G$2,$Q692=Parametres!$G$3),J692,D692)</f>
        <v>0</v>
      </c>
      <c r="P692" s="655">
        <f>+IF(OR($Q692=Parametres!$G$2,$Q692=Parametres!$G$3),K692,E692)</f>
        <v>0</v>
      </c>
      <c r="Q692" s="654">
        <f t="shared" ref="Q692:S692" si="704">+F692</f>
        <v>0</v>
      </c>
      <c r="R692" s="653">
        <f t="shared" si="704"/>
        <v>0</v>
      </c>
      <c r="S692" s="654">
        <f t="shared" si="704"/>
        <v>0</v>
      </c>
      <c r="T692" s="656" t="e">
        <f>+VLOOKUP($L692,Data_Validation!$A:$D,1,0)</f>
        <v>#N/A</v>
      </c>
      <c r="U692" s="656" t="e">
        <f>+VLOOKUP($L692,Data_Validation!$A:$D,3,0)</f>
        <v>#N/A</v>
      </c>
      <c r="V692" s="656" t="e">
        <f>+VLOOKUP($L692,Data_Validation!$A:$D,4,0)</f>
        <v>#N/A</v>
      </c>
      <c r="W692" s="656" t="e">
        <f>+VLOOKUP($L692,Data_Validation!$A:$E,5,0)</f>
        <v>#N/A</v>
      </c>
      <c r="X692" s="656" t="e">
        <f>+VLOOKUP($L692,Data_Validation!$A:$F,6,0)</f>
        <v>#N/A</v>
      </c>
    </row>
    <row r="693" spans="1:24" ht="15.75" customHeight="1">
      <c r="A693" s="714"/>
      <c r="B693" s="714"/>
      <c r="C693" s="715"/>
      <c r="D693" s="715"/>
      <c r="E693" s="715"/>
      <c r="F693" s="714"/>
      <c r="G693" s="714"/>
      <c r="H693" s="714"/>
      <c r="I693" s="716"/>
      <c r="J693" s="716"/>
      <c r="K693" s="716"/>
      <c r="L693" s="653" t="str">
        <f t="shared" si="654"/>
        <v>0</v>
      </c>
      <c r="M693" s="654">
        <f t="shared" si="520"/>
        <v>0</v>
      </c>
      <c r="N693" s="655">
        <f>+IF(OR($Q693=Parametres!$G$2,$Q693=Parametres!$G$3),I693,C693)</f>
        <v>0</v>
      </c>
      <c r="O693" s="655">
        <f>+IF(OR($Q693=Parametres!$G$2,$Q693=Parametres!$G$3),J693,D693)</f>
        <v>0</v>
      </c>
      <c r="P693" s="655">
        <f>+IF(OR($Q693=Parametres!$G$2,$Q693=Parametres!$G$3),K693,E693)</f>
        <v>0</v>
      </c>
      <c r="Q693" s="654">
        <f t="shared" ref="Q693:S693" si="705">+F693</f>
        <v>0</v>
      </c>
      <c r="R693" s="653">
        <f t="shared" si="705"/>
        <v>0</v>
      </c>
      <c r="S693" s="654">
        <f t="shared" si="705"/>
        <v>0</v>
      </c>
      <c r="T693" s="656" t="e">
        <f>+VLOOKUP($L693,Data_Validation!$A:$D,1,0)</f>
        <v>#N/A</v>
      </c>
      <c r="U693" s="656" t="e">
        <f>+VLOOKUP($L693,Data_Validation!$A:$D,3,0)</f>
        <v>#N/A</v>
      </c>
      <c r="V693" s="656" t="e">
        <f>+VLOOKUP($L693,Data_Validation!$A:$D,4,0)</f>
        <v>#N/A</v>
      </c>
      <c r="W693" s="656" t="e">
        <f>+VLOOKUP($L693,Data_Validation!$A:$E,5,0)</f>
        <v>#N/A</v>
      </c>
      <c r="X693" s="656" t="e">
        <f>+VLOOKUP($L693,Data_Validation!$A:$F,6,0)</f>
        <v>#N/A</v>
      </c>
    </row>
    <row r="694" spans="1:24" ht="15.75" customHeight="1">
      <c r="A694" s="714"/>
      <c r="B694" s="714"/>
      <c r="C694" s="715"/>
      <c r="D694" s="715"/>
      <c r="E694" s="715"/>
      <c r="F694" s="714"/>
      <c r="G694" s="714"/>
      <c r="H694" s="714"/>
      <c r="I694" s="716"/>
      <c r="J694" s="716"/>
      <c r="K694" s="716"/>
      <c r="L694" s="653" t="str">
        <f t="shared" si="654"/>
        <v>0</v>
      </c>
      <c r="M694" s="654">
        <f t="shared" si="520"/>
        <v>0</v>
      </c>
      <c r="N694" s="655">
        <f>+IF(OR($Q694=Parametres!$G$2,$Q694=Parametres!$G$3),I694,C694)</f>
        <v>0</v>
      </c>
      <c r="O694" s="655">
        <f>+IF(OR($Q694=Parametres!$G$2,$Q694=Parametres!$G$3),J694,D694)</f>
        <v>0</v>
      </c>
      <c r="P694" s="655">
        <f>+IF(OR($Q694=Parametres!$G$2,$Q694=Parametres!$G$3),K694,E694)</f>
        <v>0</v>
      </c>
      <c r="Q694" s="654">
        <f t="shared" ref="Q694:S694" si="706">+F694</f>
        <v>0</v>
      </c>
      <c r="R694" s="653">
        <f t="shared" si="706"/>
        <v>0</v>
      </c>
      <c r="S694" s="654">
        <f t="shared" si="706"/>
        <v>0</v>
      </c>
      <c r="T694" s="656" t="e">
        <f>+VLOOKUP($L694,Data_Validation!$A:$D,1,0)</f>
        <v>#N/A</v>
      </c>
      <c r="U694" s="656" t="e">
        <f>+VLOOKUP($L694,Data_Validation!$A:$D,3,0)</f>
        <v>#N/A</v>
      </c>
      <c r="V694" s="656" t="e">
        <f>+VLOOKUP($L694,Data_Validation!$A:$D,4,0)</f>
        <v>#N/A</v>
      </c>
      <c r="W694" s="656" t="e">
        <f>+VLOOKUP($L694,Data_Validation!$A:$E,5,0)</f>
        <v>#N/A</v>
      </c>
      <c r="X694" s="656" t="e">
        <f>+VLOOKUP($L694,Data_Validation!$A:$F,6,0)</f>
        <v>#N/A</v>
      </c>
    </row>
    <row r="695" spans="1:24" ht="15.75" customHeight="1">
      <c r="A695" s="714"/>
      <c r="B695" s="714"/>
      <c r="C695" s="715"/>
      <c r="D695" s="715"/>
      <c r="E695" s="715"/>
      <c r="F695" s="714"/>
      <c r="G695" s="714"/>
      <c r="H695" s="714"/>
      <c r="I695" s="716"/>
      <c r="J695" s="716"/>
      <c r="K695" s="716"/>
      <c r="L695" s="653" t="str">
        <f t="shared" si="654"/>
        <v>0</v>
      </c>
      <c r="M695" s="654">
        <f t="shared" si="520"/>
        <v>0</v>
      </c>
      <c r="N695" s="655">
        <f>+IF(OR($Q695=Parametres!$G$2,$Q695=Parametres!$G$3),I695,C695)</f>
        <v>0</v>
      </c>
      <c r="O695" s="655">
        <f>+IF(OR($Q695=Parametres!$G$2,$Q695=Parametres!$G$3),J695,D695)</f>
        <v>0</v>
      </c>
      <c r="P695" s="655">
        <f>+IF(OR($Q695=Parametres!$G$2,$Q695=Parametres!$G$3),K695,E695)</f>
        <v>0</v>
      </c>
      <c r="Q695" s="654">
        <f t="shared" ref="Q695:S695" si="707">+F695</f>
        <v>0</v>
      </c>
      <c r="R695" s="653">
        <f t="shared" si="707"/>
        <v>0</v>
      </c>
      <c r="S695" s="654">
        <f t="shared" si="707"/>
        <v>0</v>
      </c>
      <c r="T695" s="656" t="e">
        <f>+VLOOKUP($L695,Data_Validation!$A:$D,1,0)</f>
        <v>#N/A</v>
      </c>
      <c r="U695" s="656" t="e">
        <f>+VLOOKUP($L695,Data_Validation!$A:$D,3,0)</f>
        <v>#N/A</v>
      </c>
      <c r="V695" s="656" t="e">
        <f>+VLOOKUP($L695,Data_Validation!$A:$D,4,0)</f>
        <v>#N/A</v>
      </c>
      <c r="W695" s="656" t="e">
        <f>+VLOOKUP($L695,Data_Validation!$A:$E,5,0)</f>
        <v>#N/A</v>
      </c>
      <c r="X695" s="656" t="e">
        <f>+VLOOKUP($L695,Data_Validation!$A:$F,6,0)</f>
        <v>#N/A</v>
      </c>
    </row>
    <row r="696" spans="1:24" ht="15.75" customHeight="1">
      <c r="A696" s="714"/>
      <c r="B696" s="714"/>
      <c r="C696" s="715"/>
      <c r="D696" s="715"/>
      <c r="E696" s="715"/>
      <c r="F696" s="714"/>
      <c r="G696" s="714"/>
      <c r="H696" s="714"/>
      <c r="I696" s="716"/>
      <c r="J696" s="716"/>
      <c r="K696" s="716"/>
      <c r="L696" s="653" t="str">
        <f t="shared" si="654"/>
        <v>0</v>
      </c>
      <c r="M696" s="654">
        <f t="shared" si="520"/>
        <v>0</v>
      </c>
      <c r="N696" s="655">
        <f>+IF(OR($Q696=Parametres!$G$2,$Q696=Parametres!$G$3),I696,C696)</f>
        <v>0</v>
      </c>
      <c r="O696" s="655">
        <f>+IF(OR($Q696=Parametres!$G$2,$Q696=Parametres!$G$3),J696,D696)</f>
        <v>0</v>
      </c>
      <c r="P696" s="655">
        <f>+IF(OR($Q696=Parametres!$G$2,$Q696=Parametres!$G$3),K696,E696)</f>
        <v>0</v>
      </c>
      <c r="Q696" s="654">
        <f t="shared" ref="Q696:S696" si="708">+F696</f>
        <v>0</v>
      </c>
      <c r="R696" s="653">
        <f t="shared" si="708"/>
        <v>0</v>
      </c>
      <c r="S696" s="654">
        <f t="shared" si="708"/>
        <v>0</v>
      </c>
      <c r="T696" s="656" t="e">
        <f>+VLOOKUP($L696,Data_Validation!$A:$D,1,0)</f>
        <v>#N/A</v>
      </c>
      <c r="U696" s="656" t="e">
        <f>+VLOOKUP($L696,Data_Validation!$A:$D,3,0)</f>
        <v>#N/A</v>
      </c>
      <c r="V696" s="656" t="e">
        <f>+VLOOKUP($L696,Data_Validation!$A:$D,4,0)</f>
        <v>#N/A</v>
      </c>
      <c r="W696" s="656" t="e">
        <f>+VLOOKUP($L696,Data_Validation!$A:$E,5,0)</f>
        <v>#N/A</v>
      </c>
      <c r="X696" s="656" t="e">
        <f>+VLOOKUP($L696,Data_Validation!$A:$F,6,0)</f>
        <v>#N/A</v>
      </c>
    </row>
    <row r="697" spans="1:24" ht="15.75" customHeight="1">
      <c r="A697" s="716"/>
      <c r="B697" s="654"/>
      <c r="C697" s="717"/>
      <c r="D697" s="716"/>
      <c r="E697" s="716"/>
      <c r="F697" s="716"/>
      <c r="G697" s="716"/>
      <c r="H697" s="716"/>
      <c r="I697" s="716"/>
      <c r="J697" s="716"/>
      <c r="K697" s="716"/>
      <c r="L697" s="653" t="str">
        <f t="shared" si="654"/>
        <v>0</v>
      </c>
      <c r="M697" s="654">
        <f t="shared" si="520"/>
        <v>0</v>
      </c>
      <c r="N697" s="655">
        <f>+IF(OR($Q697=Parametres!$G$2,$Q697=Parametres!$G$3),I697,C697)</f>
        <v>0</v>
      </c>
      <c r="O697" s="655">
        <f>+IF(OR($Q697=Parametres!$G$2,$Q697=Parametres!$G$3),J697,D697)</f>
        <v>0</v>
      </c>
      <c r="P697" s="655">
        <f>+IF(OR($Q697=Parametres!$G$2,$Q697=Parametres!$G$3),K697,E697)</f>
        <v>0</v>
      </c>
      <c r="Q697" s="654">
        <f t="shared" ref="Q697:S697" si="709">+F697</f>
        <v>0</v>
      </c>
      <c r="R697" s="653">
        <f t="shared" si="709"/>
        <v>0</v>
      </c>
      <c r="S697" s="654">
        <f t="shared" si="709"/>
        <v>0</v>
      </c>
      <c r="T697" s="656" t="e">
        <f>+VLOOKUP($L697,Data_Validation!$A:$D,1,0)</f>
        <v>#N/A</v>
      </c>
      <c r="U697" s="656" t="e">
        <f>+VLOOKUP($L697,Data_Validation!$A:$D,3,0)</f>
        <v>#N/A</v>
      </c>
      <c r="V697" s="656" t="e">
        <f>+VLOOKUP($L697,Data_Validation!$A:$D,4,0)</f>
        <v>#N/A</v>
      </c>
      <c r="W697" s="656" t="e">
        <f>+VLOOKUP($L697,Data_Validation!$A:$E,5,0)</f>
        <v>#N/A</v>
      </c>
    </row>
    <row r="698" spans="1:24" ht="15.75" customHeight="1">
      <c r="A698" s="716"/>
      <c r="B698" s="654"/>
      <c r="C698" s="717"/>
      <c r="D698" s="716"/>
      <c r="E698" s="716"/>
      <c r="F698" s="716"/>
      <c r="G698" s="716"/>
      <c r="H698" s="716"/>
      <c r="I698" s="716"/>
      <c r="J698" s="716"/>
      <c r="K698" s="716"/>
      <c r="L698" s="653" t="str">
        <f t="shared" si="654"/>
        <v>0</v>
      </c>
      <c r="M698" s="654">
        <f t="shared" si="520"/>
        <v>0</v>
      </c>
      <c r="N698" s="655">
        <f>+IF(OR($Q698=Parametres!$G$2,$Q698=Parametres!$G$3),I698,C698)</f>
        <v>0</v>
      </c>
      <c r="O698" s="655">
        <f>+IF(OR($Q698=Parametres!$G$2,$Q698=Parametres!$G$3),J698,D698)</f>
        <v>0</v>
      </c>
      <c r="P698" s="655">
        <f>+IF(OR($Q698=Parametres!$G$2,$Q698=Parametres!$G$3),K698,E698)</f>
        <v>0</v>
      </c>
      <c r="Q698" s="654">
        <f t="shared" ref="Q698:S698" si="710">+F698</f>
        <v>0</v>
      </c>
      <c r="R698" s="653">
        <f t="shared" si="710"/>
        <v>0</v>
      </c>
      <c r="S698" s="654">
        <f t="shared" si="710"/>
        <v>0</v>
      </c>
      <c r="T698" s="656" t="e">
        <f>+VLOOKUP($L698,Data_Validation!$A:$D,1,0)</f>
        <v>#N/A</v>
      </c>
      <c r="U698" s="656" t="e">
        <f>+VLOOKUP($L698,Data_Validation!$A:$D,3,0)</f>
        <v>#N/A</v>
      </c>
      <c r="V698" s="656" t="e">
        <f>+VLOOKUP($L698,Data_Validation!$A:$D,4,0)</f>
        <v>#N/A</v>
      </c>
      <c r="W698" s="656" t="e">
        <f>+VLOOKUP($L698,Data_Validation!$A:$E,5,0)</f>
        <v>#N/A</v>
      </c>
    </row>
    <row r="699" spans="1:24" ht="15.75" customHeight="1">
      <c r="A699" s="716"/>
      <c r="B699" s="654"/>
      <c r="C699" s="717"/>
      <c r="D699" s="716"/>
      <c r="E699" s="716"/>
      <c r="F699" s="716"/>
      <c r="G699" s="716"/>
      <c r="H699" s="716"/>
      <c r="I699" s="716"/>
      <c r="J699" s="716"/>
      <c r="K699" s="716"/>
      <c r="L699" s="653" t="str">
        <f t="shared" si="654"/>
        <v>0</v>
      </c>
      <c r="M699" s="654">
        <f t="shared" si="520"/>
        <v>0</v>
      </c>
      <c r="N699" s="655">
        <f>+IF(OR($Q699=Parametres!$G$2,$Q699=Parametres!$G$3),I699,C699)</f>
        <v>0</v>
      </c>
      <c r="O699" s="655">
        <f>+IF(OR($Q699=Parametres!$G$2,$Q699=Parametres!$G$3),J699,D699)</f>
        <v>0</v>
      </c>
      <c r="P699" s="655">
        <f>+IF(OR($Q699=Parametres!$G$2,$Q699=Parametres!$G$3),K699,E699)</f>
        <v>0</v>
      </c>
      <c r="Q699" s="654">
        <f t="shared" ref="Q699:S699" si="711">+F699</f>
        <v>0</v>
      </c>
      <c r="R699" s="653">
        <f t="shared" si="711"/>
        <v>0</v>
      </c>
      <c r="S699" s="654">
        <f t="shared" si="711"/>
        <v>0</v>
      </c>
      <c r="T699" s="656" t="e">
        <f>+VLOOKUP($L699,Data_Validation!$A:$D,1,0)</f>
        <v>#N/A</v>
      </c>
      <c r="U699" s="656" t="e">
        <f>+VLOOKUP($L699,Data_Validation!$A:$D,3,0)</f>
        <v>#N/A</v>
      </c>
      <c r="V699" s="656" t="e">
        <f>+VLOOKUP($L699,Data_Validation!$A:$D,4,0)</f>
        <v>#N/A</v>
      </c>
      <c r="W699" s="656" t="e">
        <f>+VLOOKUP($L699,Data_Validation!$A:$E,5,0)</f>
        <v>#N/A</v>
      </c>
    </row>
    <row r="700" spans="1:24" ht="15.75" customHeight="1">
      <c r="A700" s="716"/>
      <c r="B700" s="654"/>
      <c r="C700" s="717"/>
      <c r="D700" s="716"/>
      <c r="E700" s="716"/>
      <c r="F700" s="716"/>
      <c r="G700" s="716"/>
      <c r="H700" s="716"/>
      <c r="I700" s="716"/>
      <c r="J700" s="716"/>
      <c r="K700" s="716"/>
      <c r="L700" s="653" t="str">
        <f t="shared" si="654"/>
        <v>0</v>
      </c>
      <c r="M700" s="654">
        <f t="shared" si="520"/>
        <v>0</v>
      </c>
      <c r="N700" s="655">
        <f>+IF(OR($Q700=Parametres!$G$2,$Q700=Parametres!$G$3),I700,C700)</f>
        <v>0</v>
      </c>
      <c r="O700" s="655">
        <f>+IF(OR($Q700=Parametres!$G$2,$Q700=Parametres!$G$3),J700,D700)</f>
        <v>0</v>
      </c>
      <c r="P700" s="655">
        <f>+IF(OR($Q700=Parametres!$G$2,$Q700=Parametres!$G$3),K700,E700)</f>
        <v>0</v>
      </c>
      <c r="Q700" s="654">
        <f t="shared" ref="Q700:S700" si="712">+F700</f>
        <v>0</v>
      </c>
      <c r="R700" s="653">
        <f t="shared" si="712"/>
        <v>0</v>
      </c>
      <c r="S700" s="654">
        <f t="shared" si="712"/>
        <v>0</v>
      </c>
      <c r="T700" s="656" t="e">
        <f>+VLOOKUP($L700,Data_Validation!$A:$D,1,0)</f>
        <v>#N/A</v>
      </c>
      <c r="U700" s="656" t="e">
        <f>+VLOOKUP($L700,Data_Validation!$A:$D,3,0)</f>
        <v>#N/A</v>
      </c>
      <c r="V700" s="656" t="e">
        <f>+VLOOKUP($L700,Data_Validation!$A:$D,4,0)</f>
        <v>#N/A</v>
      </c>
      <c r="W700" s="656" t="e">
        <f>+VLOOKUP($L700,Data_Validation!$A:$E,5,0)</f>
        <v>#N/A</v>
      </c>
    </row>
    <row r="701" spans="1:24" ht="15.75" customHeight="1">
      <c r="A701" s="716"/>
      <c r="B701" s="654"/>
      <c r="C701" s="717"/>
      <c r="D701" s="716"/>
      <c r="E701" s="716"/>
      <c r="F701" s="716"/>
      <c r="G701" s="716"/>
      <c r="H701" s="716"/>
      <c r="I701" s="716"/>
      <c r="J701" s="716"/>
      <c r="K701" s="716"/>
      <c r="L701" s="653" t="str">
        <f t="shared" si="654"/>
        <v>0</v>
      </c>
      <c r="M701" s="654">
        <f t="shared" si="520"/>
        <v>0</v>
      </c>
      <c r="N701" s="655">
        <f>+IF(OR($Q701=Parametres!$G$2,$Q701=Parametres!$G$3),I701,C701)</f>
        <v>0</v>
      </c>
      <c r="O701" s="655">
        <f>+IF(OR($Q701=Parametres!$G$2,$Q701=Parametres!$G$3),J701,D701)</f>
        <v>0</v>
      </c>
      <c r="P701" s="655">
        <f>+IF(OR($Q701=Parametres!$G$2,$Q701=Parametres!$G$3),K701,E701)</f>
        <v>0</v>
      </c>
      <c r="Q701" s="654">
        <f t="shared" ref="Q701:S701" si="713">+F701</f>
        <v>0</v>
      </c>
      <c r="R701" s="653">
        <f t="shared" si="713"/>
        <v>0</v>
      </c>
      <c r="S701" s="654">
        <f t="shared" si="713"/>
        <v>0</v>
      </c>
      <c r="T701" s="656" t="e">
        <f>+VLOOKUP($L701,Data_Validation!$A:$D,1,0)</f>
        <v>#N/A</v>
      </c>
      <c r="U701" s="656" t="e">
        <f>+VLOOKUP($L701,Data_Validation!$A:$D,3,0)</f>
        <v>#N/A</v>
      </c>
      <c r="V701" s="656" t="e">
        <f>+VLOOKUP($L701,Data_Validation!$A:$D,4,0)</f>
        <v>#N/A</v>
      </c>
      <c r="W701" s="656" t="e">
        <f>+VLOOKUP($L701,Data_Validation!$A:$E,5,0)</f>
        <v>#N/A</v>
      </c>
    </row>
    <row r="702" spans="1:24" ht="15.75" customHeight="1">
      <c r="A702" s="716"/>
      <c r="B702" s="654"/>
      <c r="C702" s="717"/>
      <c r="D702" s="716"/>
      <c r="E702" s="716"/>
      <c r="F702" s="716"/>
      <c r="G702" s="716"/>
      <c r="H702" s="716"/>
      <c r="I702" s="716"/>
      <c r="J702" s="716"/>
      <c r="K702" s="716"/>
      <c r="L702" s="653" t="str">
        <f t="shared" si="654"/>
        <v>0</v>
      </c>
      <c r="M702" s="654">
        <f t="shared" si="520"/>
        <v>0</v>
      </c>
      <c r="N702" s="655">
        <f>+IF(OR($Q702=Parametres!$G$2,$Q702=Parametres!$G$3),I702,C702)</f>
        <v>0</v>
      </c>
      <c r="O702" s="655">
        <f>+IF(OR($Q702=Parametres!$G$2,$Q702=Parametres!$G$3),J702,D702)</f>
        <v>0</v>
      </c>
      <c r="P702" s="655">
        <f>+IF(OR($Q702=Parametres!$G$2,$Q702=Parametres!$G$3),K702,E702)</f>
        <v>0</v>
      </c>
      <c r="Q702" s="654">
        <f t="shared" ref="Q702:S702" si="714">+F702</f>
        <v>0</v>
      </c>
      <c r="R702" s="653">
        <f t="shared" si="714"/>
        <v>0</v>
      </c>
      <c r="S702" s="654">
        <f t="shared" si="714"/>
        <v>0</v>
      </c>
      <c r="T702" s="656" t="e">
        <f>+VLOOKUP($L702,Data_Validation!$A:$D,1,0)</f>
        <v>#N/A</v>
      </c>
      <c r="U702" s="656" t="e">
        <f>+VLOOKUP($L702,Data_Validation!$A:$D,3,0)</f>
        <v>#N/A</v>
      </c>
      <c r="V702" s="656" t="e">
        <f>+VLOOKUP($L702,Data_Validation!$A:$D,4,0)</f>
        <v>#N/A</v>
      </c>
      <c r="W702" s="656" t="e">
        <f>+VLOOKUP($L702,Data_Validation!$A:$E,5,0)</f>
        <v>#N/A</v>
      </c>
    </row>
    <row r="703" spans="1:24" ht="15.75" customHeight="1">
      <c r="A703" s="716"/>
      <c r="B703" s="654"/>
      <c r="C703" s="717"/>
      <c r="D703" s="716"/>
      <c r="E703" s="716"/>
      <c r="F703" s="716"/>
      <c r="G703" s="716"/>
      <c r="H703" s="716"/>
      <c r="I703" s="716"/>
      <c r="J703" s="716"/>
      <c r="K703" s="716"/>
      <c r="L703" s="653" t="str">
        <f t="shared" si="654"/>
        <v>0</v>
      </c>
      <c r="M703" s="654">
        <f t="shared" si="520"/>
        <v>0</v>
      </c>
      <c r="N703" s="655">
        <f>+IF(OR($Q703=Parametres!$G$2,$Q703=Parametres!$G$3),I703,C703)</f>
        <v>0</v>
      </c>
      <c r="O703" s="655">
        <f>+IF(OR($Q703=Parametres!$G$2,$Q703=Parametres!$G$3),J703,D703)</f>
        <v>0</v>
      </c>
      <c r="P703" s="655">
        <f>+IF(OR($Q703=Parametres!$G$2,$Q703=Parametres!$G$3),K703,E703)</f>
        <v>0</v>
      </c>
      <c r="Q703" s="654">
        <f t="shared" ref="Q703:S703" si="715">+F703</f>
        <v>0</v>
      </c>
      <c r="R703" s="653">
        <f t="shared" si="715"/>
        <v>0</v>
      </c>
      <c r="S703" s="654">
        <f t="shared" si="715"/>
        <v>0</v>
      </c>
      <c r="T703" s="656" t="e">
        <f>+VLOOKUP($L703,Data_Validation!$A:$D,1,0)</f>
        <v>#N/A</v>
      </c>
      <c r="U703" s="656" t="e">
        <f>+VLOOKUP($L703,Data_Validation!$A:$D,3,0)</f>
        <v>#N/A</v>
      </c>
      <c r="V703" s="656" t="e">
        <f>+VLOOKUP($L703,Data_Validation!$A:$D,4,0)</f>
        <v>#N/A</v>
      </c>
      <c r="W703" s="656" t="e">
        <f>+VLOOKUP($L703,Data_Validation!$A:$E,5,0)</f>
        <v>#N/A</v>
      </c>
    </row>
    <row r="704" spans="1:24" ht="15.75" customHeight="1">
      <c r="A704" s="716"/>
      <c r="B704" s="654"/>
      <c r="C704" s="717"/>
      <c r="D704" s="716"/>
      <c r="E704" s="716"/>
      <c r="F704" s="716"/>
      <c r="G704" s="716"/>
      <c r="H704" s="716"/>
      <c r="I704" s="716"/>
      <c r="J704" s="716"/>
      <c r="K704" s="716"/>
      <c r="L704" s="653" t="str">
        <f t="shared" si="654"/>
        <v>0</v>
      </c>
      <c r="M704" s="654">
        <f t="shared" si="520"/>
        <v>0</v>
      </c>
      <c r="N704" s="655">
        <f>+IF(OR($Q704=Parametres!$G$2,$Q704=Parametres!$G$3),I704,C704)</f>
        <v>0</v>
      </c>
      <c r="O704" s="655">
        <f>+IF(OR($Q704=Parametres!$G$2,$Q704=Parametres!$G$3),J704,D704)</f>
        <v>0</v>
      </c>
      <c r="P704" s="655">
        <f>+IF(OR($Q704=Parametres!$G$2,$Q704=Parametres!$G$3),K704,E704)</f>
        <v>0</v>
      </c>
      <c r="Q704" s="654">
        <f t="shared" ref="Q704:S704" si="716">+F704</f>
        <v>0</v>
      </c>
      <c r="R704" s="653">
        <f t="shared" si="716"/>
        <v>0</v>
      </c>
      <c r="S704" s="654">
        <f t="shared" si="716"/>
        <v>0</v>
      </c>
      <c r="T704" s="656" t="e">
        <f>+VLOOKUP($L704,Data_Validation!$A:$D,1,0)</f>
        <v>#N/A</v>
      </c>
      <c r="U704" s="656" t="e">
        <f>+VLOOKUP($L704,Data_Validation!$A:$D,3,0)</f>
        <v>#N/A</v>
      </c>
      <c r="V704" s="656" t="e">
        <f>+VLOOKUP($L704,Data_Validation!$A:$D,4,0)</f>
        <v>#N/A</v>
      </c>
      <c r="W704" s="656" t="e">
        <f>+VLOOKUP($L704,Data_Validation!$A:$E,5,0)</f>
        <v>#N/A</v>
      </c>
    </row>
    <row r="705" spans="1:23" ht="15.75" customHeight="1">
      <c r="A705" s="716"/>
      <c r="B705" s="654"/>
      <c r="C705" s="717"/>
      <c r="D705" s="716"/>
      <c r="E705" s="716"/>
      <c r="F705" s="716"/>
      <c r="G705" s="716"/>
      <c r="H705" s="716"/>
      <c r="I705" s="716"/>
      <c r="J705" s="716"/>
      <c r="K705" s="716"/>
      <c r="L705" s="653" t="str">
        <f t="shared" si="654"/>
        <v>0</v>
      </c>
      <c r="M705" s="654">
        <f t="shared" si="520"/>
        <v>0</v>
      </c>
      <c r="N705" s="655">
        <f>+IF(OR($Q705=Parametres!$G$2,$Q705=Parametres!$G$3),I705,C705)</f>
        <v>0</v>
      </c>
      <c r="O705" s="655">
        <f>+IF(OR($Q705=Parametres!$G$2,$Q705=Parametres!$G$3),J705,D705)</f>
        <v>0</v>
      </c>
      <c r="P705" s="655">
        <f>+IF(OR($Q705=Parametres!$G$2,$Q705=Parametres!$G$3),K705,E705)</f>
        <v>0</v>
      </c>
      <c r="Q705" s="654">
        <f t="shared" ref="Q705:S705" si="717">+F705</f>
        <v>0</v>
      </c>
      <c r="R705" s="653">
        <f t="shared" si="717"/>
        <v>0</v>
      </c>
      <c r="S705" s="654">
        <f t="shared" si="717"/>
        <v>0</v>
      </c>
      <c r="T705" s="656" t="e">
        <f>+VLOOKUP($L705,Data_Validation!$A:$D,1,0)</f>
        <v>#N/A</v>
      </c>
      <c r="U705" s="656" t="e">
        <f>+VLOOKUP($L705,Data_Validation!$A:$D,3,0)</f>
        <v>#N/A</v>
      </c>
      <c r="V705" s="656" t="e">
        <f>+VLOOKUP($L705,Data_Validation!$A:$D,4,0)</f>
        <v>#N/A</v>
      </c>
      <c r="W705" s="656" t="e">
        <f>+VLOOKUP($L705,Data_Validation!$A:$E,5,0)</f>
        <v>#N/A</v>
      </c>
    </row>
    <row r="706" spans="1:23" ht="15.75" customHeight="1">
      <c r="A706" s="716"/>
      <c r="B706" s="654"/>
      <c r="C706" s="717"/>
      <c r="D706" s="716"/>
      <c r="E706" s="716"/>
      <c r="F706" s="716"/>
      <c r="G706" s="716"/>
      <c r="H706" s="716"/>
      <c r="I706" s="716"/>
      <c r="J706" s="716"/>
      <c r="K706" s="716"/>
      <c r="L706" s="653" t="str">
        <f t="shared" si="654"/>
        <v>0</v>
      </c>
      <c r="M706" s="654">
        <f t="shared" si="520"/>
        <v>0</v>
      </c>
      <c r="N706" s="655">
        <f>+IF(OR($Q706=Parametres!$G$2,$Q706=Parametres!$G$3),I706,C706)</f>
        <v>0</v>
      </c>
      <c r="O706" s="655">
        <f>+IF(OR($Q706=Parametres!$G$2,$Q706=Parametres!$G$3),J706,D706)</f>
        <v>0</v>
      </c>
      <c r="P706" s="655">
        <f>+IF(OR($Q706=Parametres!$G$2,$Q706=Parametres!$G$3),K706,E706)</f>
        <v>0</v>
      </c>
      <c r="Q706" s="654">
        <f t="shared" ref="Q706:S706" si="718">+F706</f>
        <v>0</v>
      </c>
      <c r="R706" s="653">
        <f t="shared" si="718"/>
        <v>0</v>
      </c>
      <c r="S706" s="654">
        <f t="shared" si="718"/>
        <v>0</v>
      </c>
      <c r="T706" s="656" t="e">
        <f>+VLOOKUP($L706,Data_Validation!$A:$D,1,0)</f>
        <v>#N/A</v>
      </c>
      <c r="U706" s="656" t="e">
        <f>+VLOOKUP($L706,Data_Validation!$A:$D,3,0)</f>
        <v>#N/A</v>
      </c>
      <c r="V706" s="656" t="e">
        <f>+VLOOKUP($L706,Data_Validation!$A:$D,4,0)</f>
        <v>#N/A</v>
      </c>
      <c r="W706" s="656" t="e">
        <f>+VLOOKUP($L706,Data_Validation!$A:$E,5,0)</f>
        <v>#N/A</v>
      </c>
    </row>
    <row r="707" spans="1:23" ht="15.75" customHeight="1">
      <c r="A707" s="716"/>
      <c r="B707" s="654"/>
      <c r="C707" s="717"/>
      <c r="D707" s="716"/>
      <c r="E707" s="716"/>
      <c r="F707" s="716"/>
      <c r="G707" s="716"/>
      <c r="H707" s="716"/>
      <c r="I707" s="716"/>
      <c r="J707" s="716"/>
      <c r="K707" s="716"/>
      <c r="L707" s="653" t="str">
        <f t="shared" ref="L707:L770" si="719">TEXT(B707,0)</f>
        <v>0</v>
      </c>
      <c r="M707" s="654">
        <f t="shared" si="520"/>
        <v>0</v>
      </c>
      <c r="N707" s="655">
        <f>+IF(OR($Q707=Parametres!$G$2,$Q707=Parametres!$G$3),I707,C707)</f>
        <v>0</v>
      </c>
      <c r="O707" s="655">
        <f>+IF(OR($Q707=Parametres!$G$2,$Q707=Parametres!$G$3),J707,D707)</f>
        <v>0</v>
      </c>
      <c r="P707" s="655">
        <f>+IF(OR($Q707=Parametres!$G$2,$Q707=Parametres!$G$3),K707,E707)</f>
        <v>0</v>
      </c>
      <c r="Q707" s="654">
        <f t="shared" ref="Q707:S707" si="720">+F707</f>
        <v>0</v>
      </c>
      <c r="R707" s="653">
        <f t="shared" si="720"/>
        <v>0</v>
      </c>
      <c r="S707" s="654">
        <f t="shared" si="720"/>
        <v>0</v>
      </c>
      <c r="T707" s="656" t="e">
        <f>+VLOOKUP($L707,Data_Validation!$A:$D,1,0)</f>
        <v>#N/A</v>
      </c>
      <c r="U707" s="656" t="e">
        <f>+VLOOKUP($L707,Data_Validation!$A:$D,3,0)</f>
        <v>#N/A</v>
      </c>
      <c r="V707" s="656" t="e">
        <f>+VLOOKUP($L707,Data_Validation!$A:$D,4,0)</f>
        <v>#N/A</v>
      </c>
      <c r="W707" s="656" t="e">
        <f>+VLOOKUP($L707,Data_Validation!$A:$E,5,0)</f>
        <v>#N/A</v>
      </c>
    </row>
    <row r="708" spans="1:23" ht="15.75" customHeight="1">
      <c r="A708" s="716"/>
      <c r="B708" s="654"/>
      <c r="C708" s="717"/>
      <c r="D708" s="716"/>
      <c r="E708" s="716"/>
      <c r="F708" s="716"/>
      <c r="G708" s="716"/>
      <c r="H708" s="716"/>
      <c r="I708" s="716"/>
      <c r="J708" s="716"/>
      <c r="K708" s="716"/>
      <c r="L708" s="653" t="str">
        <f t="shared" si="719"/>
        <v>0</v>
      </c>
      <c r="M708" s="654">
        <f t="shared" si="520"/>
        <v>0</v>
      </c>
      <c r="N708" s="655">
        <f>+IF(OR($Q708=Parametres!$G$2,$Q708=Parametres!$G$3),I708,C708)</f>
        <v>0</v>
      </c>
      <c r="O708" s="655">
        <f>+IF(OR($Q708=Parametres!$G$2,$Q708=Parametres!$G$3),J708,D708)</f>
        <v>0</v>
      </c>
      <c r="P708" s="655">
        <f>+IF(OR($Q708=Parametres!$G$2,$Q708=Parametres!$G$3),K708,E708)</f>
        <v>0</v>
      </c>
      <c r="Q708" s="654">
        <f t="shared" ref="Q708:S708" si="721">+F708</f>
        <v>0</v>
      </c>
      <c r="R708" s="653">
        <f t="shared" si="721"/>
        <v>0</v>
      </c>
      <c r="S708" s="654">
        <f t="shared" si="721"/>
        <v>0</v>
      </c>
      <c r="T708" s="656" t="e">
        <f>+VLOOKUP($L708,Data_Validation!$A:$D,1,0)</f>
        <v>#N/A</v>
      </c>
      <c r="U708" s="656" t="e">
        <f>+VLOOKUP($L708,Data_Validation!$A:$D,3,0)</f>
        <v>#N/A</v>
      </c>
      <c r="V708" s="656" t="e">
        <f>+VLOOKUP($L708,Data_Validation!$A:$D,4,0)</f>
        <v>#N/A</v>
      </c>
      <c r="W708" s="656" t="e">
        <f>+VLOOKUP($L708,Data_Validation!$A:$E,5,0)</f>
        <v>#N/A</v>
      </c>
    </row>
    <row r="709" spans="1:23" ht="15.75" customHeight="1">
      <c r="A709" s="716"/>
      <c r="B709" s="654"/>
      <c r="C709" s="717"/>
      <c r="D709" s="716"/>
      <c r="E709" s="716"/>
      <c r="F709" s="716"/>
      <c r="G709" s="716"/>
      <c r="H709" s="716"/>
      <c r="I709" s="716"/>
      <c r="J709" s="716"/>
      <c r="K709" s="716"/>
      <c r="L709" s="653" t="str">
        <f t="shared" si="719"/>
        <v>0</v>
      </c>
      <c r="M709" s="654">
        <f t="shared" si="520"/>
        <v>0</v>
      </c>
      <c r="N709" s="655">
        <f>+IF(OR($Q709=Parametres!$G$2,$Q709=Parametres!$G$3),I709,C709)</f>
        <v>0</v>
      </c>
      <c r="O709" s="655">
        <f>+IF(OR($Q709=Parametres!$G$2,$Q709=Parametres!$G$3),J709,D709)</f>
        <v>0</v>
      </c>
      <c r="P709" s="655">
        <f>+IF(OR($Q709=Parametres!$G$2,$Q709=Parametres!$G$3),K709,E709)</f>
        <v>0</v>
      </c>
      <c r="Q709" s="654">
        <f t="shared" ref="Q709:S709" si="722">+F709</f>
        <v>0</v>
      </c>
      <c r="R709" s="653">
        <f t="shared" si="722"/>
        <v>0</v>
      </c>
      <c r="S709" s="654">
        <f t="shared" si="722"/>
        <v>0</v>
      </c>
      <c r="T709" s="656" t="e">
        <f>+VLOOKUP($L709,Data_Validation!$A:$D,1,0)</f>
        <v>#N/A</v>
      </c>
      <c r="U709" s="656" t="e">
        <f>+VLOOKUP($L709,Data_Validation!$A:$D,3,0)</f>
        <v>#N/A</v>
      </c>
      <c r="V709" s="656" t="e">
        <f>+VLOOKUP($L709,Data_Validation!$A:$D,4,0)</f>
        <v>#N/A</v>
      </c>
      <c r="W709" s="656" t="e">
        <f>+VLOOKUP($L709,Data_Validation!$A:$E,5,0)</f>
        <v>#N/A</v>
      </c>
    </row>
    <row r="710" spans="1:23" ht="15.75" customHeight="1">
      <c r="A710" s="716"/>
      <c r="B710" s="654"/>
      <c r="C710" s="717"/>
      <c r="D710" s="716"/>
      <c r="E710" s="716"/>
      <c r="F710" s="716"/>
      <c r="G710" s="716"/>
      <c r="H710" s="716"/>
      <c r="I710" s="716"/>
      <c r="J710" s="716"/>
      <c r="K710" s="716"/>
      <c r="L710" s="653" t="str">
        <f t="shared" si="719"/>
        <v>0</v>
      </c>
      <c r="M710" s="654">
        <f t="shared" si="520"/>
        <v>0</v>
      </c>
      <c r="N710" s="655">
        <f>+IF(OR($Q710=Parametres!$G$2,$Q710=Parametres!$G$3),I710,C710)</f>
        <v>0</v>
      </c>
      <c r="O710" s="655">
        <f>+IF(OR($Q710=Parametres!$G$2,$Q710=Parametres!$G$3),J710,D710)</f>
        <v>0</v>
      </c>
      <c r="P710" s="655">
        <f>+IF(OR($Q710=Parametres!$G$2,$Q710=Parametres!$G$3),K710,E710)</f>
        <v>0</v>
      </c>
      <c r="Q710" s="654">
        <f t="shared" ref="Q710:S710" si="723">+F710</f>
        <v>0</v>
      </c>
      <c r="R710" s="653">
        <f t="shared" si="723"/>
        <v>0</v>
      </c>
      <c r="S710" s="654">
        <f t="shared" si="723"/>
        <v>0</v>
      </c>
      <c r="T710" s="656" t="e">
        <f>+VLOOKUP($L710,Data_Validation!$A:$D,1,0)</f>
        <v>#N/A</v>
      </c>
      <c r="U710" s="656" t="e">
        <f>+VLOOKUP($L710,Data_Validation!$A:$D,3,0)</f>
        <v>#N/A</v>
      </c>
      <c r="V710" s="656" t="e">
        <f>+VLOOKUP($L710,Data_Validation!$A:$D,4,0)</f>
        <v>#N/A</v>
      </c>
      <c r="W710" s="656" t="e">
        <f>+VLOOKUP($L710,Data_Validation!$A:$E,5,0)</f>
        <v>#N/A</v>
      </c>
    </row>
    <row r="711" spans="1:23" ht="15.75" customHeight="1">
      <c r="A711" s="716"/>
      <c r="B711" s="654"/>
      <c r="C711" s="717"/>
      <c r="D711" s="716"/>
      <c r="E711" s="716"/>
      <c r="F711" s="716"/>
      <c r="G711" s="716"/>
      <c r="H711" s="716"/>
      <c r="I711" s="716"/>
      <c r="J711" s="716"/>
      <c r="K711" s="716"/>
      <c r="L711" s="653" t="str">
        <f t="shared" si="719"/>
        <v>0</v>
      </c>
      <c r="M711" s="654">
        <f t="shared" si="520"/>
        <v>0</v>
      </c>
      <c r="N711" s="655">
        <f>+IF(OR($Q711=Parametres!$G$2,$Q711=Parametres!$G$3),I711,C711)</f>
        <v>0</v>
      </c>
      <c r="O711" s="655">
        <f>+IF(OR($Q711=Parametres!$G$2,$Q711=Parametres!$G$3),J711,D711)</f>
        <v>0</v>
      </c>
      <c r="P711" s="655">
        <f>+IF(OR($Q711=Parametres!$G$2,$Q711=Parametres!$G$3),K711,E711)</f>
        <v>0</v>
      </c>
      <c r="Q711" s="654">
        <f t="shared" ref="Q711:S711" si="724">+F711</f>
        <v>0</v>
      </c>
      <c r="R711" s="653">
        <f t="shared" si="724"/>
        <v>0</v>
      </c>
      <c r="S711" s="654">
        <f t="shared" si="724"/>
        <v>0</v>
      </c>
      <c r="T711" s="656" t="e">
        <f>+VLOOKUP($L711,Data_Validation!$A:$D,1,0)</f>
        <v>#N/A</v>
      </c>
      <c r="U711" s="656" t="e">
        <f>+VLOOKUP($L711,Data_Validation!$A:$D,3,0)</f>
        <v>#N/A</v>
      </c>
      <c r="V711" s="656" t="e">
        <f>+VLOOKUP($L711,Data_Validation!$A:$D,4,0)</f>
        <v>#N/A</v>
      </c>
      <c r="W711" s="656" t="e">
        <f>+VLOOKUP($L711,Data_Validation!$A:$E,5,0)</f>
        <v>#N/A</v>
      </c>
    </row>
    <row r="712" spans="1:23" ht="15.75" customHeight="1">
      <c r="A712" s="716"/>
      <c r="B712" s="654"/>
      <c r="C712" s="717"/>
      <c r="D712" s="716"/>
      <c r="E712" s="716"/>
      <c r="F712" s="716"/>
      <c r="G712" s="716"/>
      <c r="H712" s="716"/>
      <c r="I712" s="716"/>
      <c r="J712" s="716"/>
      <c r="K712" s="716"/>
      <c r="L712" s="653" t="str">
        <f t="shared" si="719"/>
        <v>0</v>
      </c>
      <c r="M712" s="654">
        <f t="shared" si="520"/>
        <v>0</v>
      </c>
      <c r="N712" s="655">
        <f>+IF(OR($Q712=Parametres!$G$2,$Q712=Parametres!$G$3),I712,C712)</f>
        <v>0</v>
      </c>
      <c r="O712" s="655">
        <f>+IF(OR($Q712=Parametres!$G$2,$Q712=Parametres!$G$3),J712,D712)</f>
        <v>0</v>
      </c>
      <c r="P712" s="655">
        <f>+IF(OR($Q712=Parametres!$G$2,$Q712=Parametres!$G$3),K712,E712)</f>
        <v>0</v>
      </c>
      <c r="Q712" s="654">
        <f t="shared" ref="Q712:S712" si="725">+F712</f>
        <v>0</v>
      </c>
      <c r="R712" s="653">
        <f t="shared" si="725"/>
        <v>0</v>
      </c>
      <c r="S712" s="654">
        <f t="shared" si="725"/>
        <v>0</v>
      </c>
      <c r="T712" s="656" t="e">
        <f>+VLOOKUP($L712,Data_Validation!$A:$D,1,0)</f>
        <v>#N/A</v>
      </c>
      <c r="U712" s="656" t="e">
        <f>+VLOOKUP($L712,Data_Validation!$A:$D,3,0)</f>
        <v>#N/A</v>
      </c>
      <c r="V712" s="656" t="e">
        <f>+VLOOKUP($L712,Data_Validation!$A:$D,4,0)</f>
        <v>#N/A</v>
      </c>
      <c r="W712" s="656" t="e">
        <f>+VLOOKUP($L712,Data_Validation!$A:$E,5,0)</f>
        <v>#N/A</v>
      </c>
    </row>
    <row r="713" spans="1:23" ht="15.75" customHeight="1">
      <c r="A713" s="716"/>
      <c r="B713" s="654"/>
      <c r="C713" s="717"/>
      <c r="D713" s="716"/>
      <c r="E713" s="716"/>
      <c r="F713" s="716"/>
      <c r="G713" s="716"/>
      <c r="H713" s="716"/>
      <c r="I713" s="716"/>
      <c r="J713" s="716"/>
      <c r="K713" s="716"/>
      <c r="L713" s="653" t="str">
        <f t="shared" si="719"/>
        <v>0</v>
      </c>
      <c r="M713" s="654">
        <f t="shared" si="520"/>
        <v>0</v>
      </c>
      <c r="N713" s="655">
        <f>+IF(OR($Q713=Parametres!$G$2,$Q713=Parametres!$G$3),I713,C713)</f>
        <v>0</v>
      </c>
      <c r="O713" s="655">
        <f>+IF(OR($Q713=Parametres!$G$2,$Q713=Parametres!$G$3),J713,D713)</f>
        <v>0</v>
      </c>
      <c r="P713" s="655">
        <f>+IF(OR($Q713=Parametres!$G$2,$Q713=Parametres!$G$3),K713,E713)</f>
        <v>0</v>
      </c>
      <c r="Q713" s="654">
        <f t="shared" ref="Q713:S713" si="726">+F713</f>
        <v>0</v>
      </c>
      <c r="R713" s="653">
        <f t="shared" si="726"/>
        <v>0</v>
      </c>
      <c r="S713" s="654">
        <f t="shared" si="726"/>
        <v>0</v>
      </c>
      <c r="T713" s="656" t="e">
        <f>+VLOOKUP($L713,Data_Validation!$A:$D,1,0)</f>
        <v>#N/A</v>
      </c>
      <c r="U713" s="656" t="e">
        <f>+VLOOKUP($L713,Data_Validation!$A:$D,3,0)</f>
        <v>#N/A</v>
      </c>
      <c r="V713" s="656" t="e">
        <f>+VLOOKUP($L713,Data_Validation!$A:$D,4,0)</f>
        <v>#N/A</v>
      </c>
      <c r="W713" s="656" t="e">
        <f>+VLOOKUP($L713,Data_Validation!$A:$E,5,0)</f>
        <v>#N/A</v>
      </c>
    </row>
    <row r="714" spans="1:23" ht="15.75" customHeight="1">
      <c r="A714" s="716"/>
      <c r="B714" s="654"/>
      <c r="C714" s="717"/>
      <c r="D714" s="716"/>
      <c r="E714" s="716"/>
      <c r="F714" s="716"/>
      <c r="G714" s="716"/>
      <c r="H714" s="716"/>
      <c r="I714" s="716"/>
      <c r="J714" s="716"/>
      <c r="K714" s="716"/>
      <c r="L714" s="653" t="str">
        <f t="shared" si="719"/>
        <v>0</v>
      </c>
      <c r="M714" s="654">
        <f t="shared" si="520"/>
        <v>0</v>
      </c>
      <c r="N714" s="655">
        <f>+IF(OR($Q714=Parametres!$G$2,$Q714=Parametres!$G$3),I714,C714)</f>
        <v>0</v>
      </c>
      <c r="O714" s="655">
        <f>+IF(OR($Q714=Parametres!$G$2,$Q714=Parametres!$G$3),J714,D714)</f>
        <v>0</v>
      </c>
      <c r="P714" s="655">
        <f>+IF(OR($Q714=Parametres!$G$2,$Q714=Parametres!$G$3),K714,E714)</f>
        <v>0</v>
      </c>
      <c r="Q714" s="654">
        <f t="shared" ref="Q714:S714" si="727">+F714</f>
        <v>0</v>
      </c>
      <c r="R714" s="653">
        <f t="shared" si="727"/>
        <v>0</v>
      </c>
      <c r="S714" s="654">
        <f t="shared" si="727"/>
        <v>0</v>
      </c>
      <c r="T714" s="656" t="e">
        <f>+VLOOKUP($L714,Data_Validation!$A:$D,1,0)</f>
        <v>#N/A</v>
      </c>
      <c r="U714" s="656" t="e">
        <f>+VLOOKUP($L714,Data_Validation!$A:$D,3,0)</f>
        <v>#N/A</v>
      </c>
      <c r="V714" s="656" t="e">
        <f>+VLOOKUP($L714,Data_Validation!$A:$D,4,0)</f>
        <v>#N/A</v>
      </c>
      <c r="W714" s="656" t="e">
        <f>+VLOOKUP($L714,Data_Validation!$A:$E,5,0)</f>
        <v>#N/A</v>
      </c>
    </row>
    <row r="715" spans="1:23" ht="15.75" customHeight="1">
      <c r="A715" s="716"/>
      <c r="B715" s="654"/>
      <c r="C715" s="717"/>
      <c r="D715" s="716"/>
      <c r="E715" s="716"/>
      <c r="F715" s="716"/>
      <c r="G715" s="716"/>
      <c r="H715" s="716"/>
      <c r="I715" s="716"/>
      <c r="J715" s="716"/>
      <c r="K715" s="716"/>
      <c r="L715" s="653" t="str">
        <f t="shared" si="719"/>
        <v>0</v>
      </c>
      <c r="M715" s="654">
        <f t="shared" si="520"/>
        <v>0</v>
      </c>
      <c r="N715" s="655">
        <f>+IF(OR($Q715=Parametres!$G$2,$Q715=Parametres!$G$3),I715,C715)</f>
        <v>0</v>
      </c>
      <c r="O715" s="655">
        <f>+IF(OR($Q715=Parametres!$G$2,$Q715=Parametres!$G$3),J715,D715)</f>
        <v>0</v>
      </c>
      <c r="P715" s="655">
        <f>+IF(OR($Q715=Parametres!$G$2,$Q715=Parametres!$G$3),K715,E715)</f>
        <v>0</v>
      </c>
      <c r="Q715" s="654">
        <f t="shared" ref="Q715:S715" si="728">+F715</f>
        <v>0</v>
      </c>
      <c r="R715" s="653">
        <f t="shared" si="728"/>
        <v>0</v>
      </c>
      <c r="S715" s="654">
        <f t="shared" si="728"/>
        <v>0</v>
      </c>
      <c r="T715" s="656" t="e">
        <f>+VLOOKUP($L715,Data_Validation!$A:$D,1,0)</f>
        <v>#N/A</v>
      </c>
      <c r="U715" s="656" t="e">
        <f>+VLOOKUP($L715,Data_Validation!$A:$D,3,0)</f>
        <v>#N/A</v>
      </c>
      <c r="V715" s="656" t="e">
        <f>+VLOOKUP($L715,Data_Validation!$A:$D,4,0)</f>
        <v>#N/A</v>
      </c>
      <c r="W715" s="656" t="e">
        <f>+VLOOKUP($L715,Data_Validation!$A:$E,5,0)</f>
        <v>#N/A</v>
      </c>
    </row>
    <row r="716" spans="1:23" ht="15.75" customHeight="1">
      <c r="A716" s="716"/>
      <c r="B716" s="654"/>
      <c r="C716" s="717"/>
      <c r="D716" s="716"/>
      <c r="E716" s="716"/>
      <c r="F716" s="716"/>
      <c r="G716" s="716"/>
      <c r="H716" s="716"/>
      <c r="I716" s="716"/>
      <c r="J716" s="716"/>
      <c r="K716" s="716"/>
      <c r="L716" s="653" t="str">
        <f t="shared" si="719"/>
        <v>0</v>
      </c>
      <c r="M716" s="654">
        <f t="shared" si="520"/>
        <v>0</v>
      </c>
      <c r="N716" s="655">
        <f>+IF(OR($Q716=Parametres!$G$2,$Q716=Parametres!$G$3),I716,C716)</f>
        <v>0</v>
      </c>
      <c r="O716" s="655">
        <f>+IF(OR($Q716=Parametres!$G$2,$Q716=Parametres!$G$3),J716,D716)</f>
        <v>0</v>
      </c>
      <c r="P716" s="655">
        <f>+IF(OR($Q716=Parametres!$G$2,$Q716=Parametres!$G$3),K716,E716)</f>
        <v>0</v>
      </c>
      <c r="Q716" s="654">
        <f t="shared" ref="Q716:S716" si="729">+F716</f>
        <v>0</v>
      </c>
      <c r="R716" s="653">
        <f t="shared" si="729"/>
        <v>0</v>
      </c>
      <c r="S716" s="654">
        <f t="shared" si="729"/>
        <v>0</v>
      </c>
      <c r="T716" s="656" t="e">
        <f>+VLOOKUP($L716,Data_Validation!$A:$D,1,0)</f>
        <v>#N/A</v>
      </c>
      <c r="U716" s="656" t="e">
        <f>+VLOOKUP($L716,Data_Validation!$A:$D,3,0)</f>
        <v>#N/A</v>
      </c>
      <c r="V716" s="656" t="e">
        <f>+VLOOKUP($L716,Data_Validation!$A:$D,4,0)</f>
        <v>#N/A</v>
      </c>
      <c r="W716" s="656" t="e">
        <f>+VLOOKUP($L716,Data_Validation!$A:$E,5,0)</f>
        <v>#N/A</v>
      </c>
    </row>
    <row r="717" spans="1:23" ht="15.75" customHeight="1">
      <c r="A717" s="716"/>
      <c r="B717" s="654"/>
      <c r="C717" s="717"/>
      <c r="D717" s="716"/>
      <c r="E717" s="716"/>
      <c r="F717" s="716"/>
      <c r="G717" s="716"/>
      <c r="H717" s="716"/>
      <c r="I717" s="716"/>
      <c r="J717" s="716"/>
      <c r="K717" s="716"/>
      <c r="L717" s="653" t="str">
        <f t="shared" si="719"/>
        <v>0</v>
      </c>
      <c r="M717" s="654">
        <f t="shared" si="520"/>
        <v>0</v>
      </c>
      <c r="N717" s="655">
        <f>+IF(OR($Q717=Parametres!$G$2,$Q717=Parametres!$G$3),I717,C717)</f>
        <v>0</v>
      </c>
      <c r="O717" s="655">
        <f>+IF(OR($Q717=Parametres!$G$2,$Q717=Parametres!$G$3),J717,D717)</f>
        <v>0</v>
      </c>
      <c r="P717" s="655">
        <f>+IF(OR($Q717=Parametres!$G$2,$Q717=Parametres!$G$3),K717,E717)</f>
        <v>0</v>
      </c>
      <c r="Q717" s="654">
        <f t="shared" ref="Q717:S717" si="730">+F717</f>
        <v>0</v>
      </c>
      <c r="R717" s="653">
        <f t="shared" si="730"/>
        <v>0</v>
      </c>
      <c r="S717" s="654">
        <f t="shared" si="730"/>
        <v>0</v>
      </c>
      <c r="T717" s="656" t="e">
        <f>+VLOOKUP($L717,Data_Validation!$A:$D,1,0)</f>
        <v>#N/A</v>
      </c>
      <c r="U717" s="656" t="e">
        <f>+VLOOKUP($L717,Data_Validation!$A:$D,3,0)</f>
        <v>#N/A</v>
      </c>
      <c r="V717" s="656" t="e">
        <f>+VLOOKUP($L717,Data_Validation!$A:$D,4,0)</f>
        <v>#N/A</v>
      </c>
      <c r="W717" s="656" t="e">
        <f>+VLOOKUP($L717,Data_Validation!$A:$E,5,0)</f>
        <v>#N/A</v>
      </c>
    </row>
    <row r="718" spans="1:23" ht="15.75" customHeight="1">
      <c r="A718" s="716"/>
      <c r="B718" s="654"/>
      <c r="C718" s="717"/>
      <c r="D718" s="716"/>
      <c r="E718" s="716"/>
      <c r="F718" s="716"/>
      <c r="G718" s="716"/>
      <c r="H718" s="716"/>
      <c r="I718" s="716"/>
      <c r="J718" s="716"/>
      <c r="K718" s="716"/>
      <c r="L718" s="653" t="str">
        <f t="shared" si="719"/>
        <v>0</v>
      </c>
      <c r="M718" s="654">
        <f t="shared" si="520"/>
        <v>0</v>
      </c>
      <c r="N718" s="655">
        <f>+IF(OR($Q718=Parametres!$G$2,$Q718=Parametres!$G$3),I718,C718)</f>
        <v>0</v>
      </c>
      <c r="O718" s="655">
        <f>+IF(OR($Q718=Parametres!$G$2,$Q718=Parametres!$G$3),J718,D718)</f>
        <v>0</v>
      </c>
      <c r="P718" s="655">
        <f>+IF(OR($Q718=Parametres!$G$2,$Q718=Parametres!$G$3),K718,E718)</f>
        <v>0</v>
      </c>
      <c r="Q718" s="654">
        <f t="shared" ref="Q718:S718" si="731">+F718</f>
        <v>0</v>
      </c>
      <c r="R718" s="653">
        <f t="shared" si="731"/>
        <v>0</v>
      </c>
      <c r="S718" s="654">
        <f t="shared" si="731"/>
        <v>0</v>
      </c>
      <c r="T718" s="656" t="e">
        <f>+VLOOKUP($L718,Data_Validation!$A:$D,1,0)</f>
        <v>#N/A</v>
      </c>
      <c r="U718" s="656" t="e">
        <f>+VLOOKUP($L718,Data_Validation!$A:$D,3,0)</f>
        <v>#N/A</v>
      </c>
      <c r="V718" s="656" t="e">
        <f>+VLOOKUP($L718,Data_Validation!$A:$D,4,0)</f>
        <v>#N/A</v>
      </c>
      <c r="W718" s="656" t="e">
        <f>+VLOOKUP($L718,Data_Validation!$A:$E,5,0)</f>
        <v>#N/A</v>
      </c>
    </row>
    <row r="719" spans="1:23" ht="15.75" customHeight="1">
      <c r="A719" s="716"/>
      <c r="B719" s="654"/>
      <c r="C719" s="717"/>
      <c r="D719" s="716"/>
      <c r="E719" s="716"/>
      <c r="F719" s="716"/>
      <c r="G719" s="716"/>
      <c r="H719" s="716"/>
      <c r="I719" s="716"/>
      <c r="J719" s="716"/>
      <c r="K719" s="716"/>
      <c r="L719" s="653" t="str">
        <f t="shared" si="719"/>
        <v>0</v>
      </c>
      <c r="M719" s="654">
        <f t="shared" si="520"/>
        <v>0</v>
      </c>
      <c r="N719" s="655">
        <f>+IF(OR($Q719=Parametres!$G$2,$Q719=Parametres!$G$3),I719,C719)</f>
        <v>0</v>
      </c>
      <c r="O719" s="655">
        <f>+IF(OR($Q719=Parametres!$G$2,$Q719=Parametres!$G$3),J719,D719)</f>
        <v>0</v>
      </c>
      <c r="P719" s="655">
        <f>+IF(OR($Q719=Parametres!$G$2,$Q719=Parametres!$G$3),K719,E719)</f>
        <v>0</v>
      </c>
      <c r="Q719" s="654">
        <f t="shared" ref="Q719:S719" si="732">+F719</f>
        <v>0</v>
      </c>
      <c r="R719" s="653">
        <f t="shared" si="732"/>
        <v>0</v>
      </c>
      <c r="S719" s="654">
        <f t="shared" si="732"/>
        <v>0</v>
      </c>
      <c r="T719" s="656" t="e">
        <f>+VLOOKUP($L719,Data_Validation!$A:$D,1,0)</f>
        <v>#N/A</v>
      </c>
      <c r="U719" s="656" t="e">
        <f>+VLOOKUP($L719,Data_Validation!$A:$D,3,0)</f>
        <v>#N/A</v>
      </c>
      <c r="V719" s="656" t="e">
        <f>+VLOOKUP($L719,Data_Validation!$A:$D,4,0)</f>
        <v>#N/A</v>
      </c>
      <c r="W719" s="656" t="e">
        <f>+VLOOKUP($L719,Data_Validation!$A:$E,5,0)</f>
        <v>#N/A</v>
      </c>
    </row>
    <row r="720" spans="1:23" ht="15.75" customHeight="1">
      <c r="A720" s="716"/>
      <c r="B720" s="654"/>
      <c r="C720" s="717"/>
      <c r="D720" s="716"/>
      <c r="E720" s="716"/>
      <c r="F720" s="716"/>
      <c r="G720" s="716"/>
      <c r="H720" s="716"/>
      <c r="I720" s="716"/>
      <c r="J720" s="716"/>
      <c r="K720" s="716"/>
      <c r="L720" s="653" t="str">
        <f t="shared" si="719"/>
        <v>0</v>
      </c>
      <c r="M720" s="654">
        <f t="shared" si="520"/>
        <v>0</v>
      </c>
      <c r="N720" s="655">
        <f>+IF(OR($Q720=Parametres!$G$2,$Q720=Parametres!$G$3),I720,C720)</f>
        <v>0</v>
      </c>
      <c r="O720" s="655">
        <f>+IF(OR($Q720=Parametres!$G$2,$Q720=Parametres!$G$3),J720,D720)</f>
        <v>0</v>
      </c>
      <c r="P720" s="655">
        <f>+IF(OR($Q720=Parametres!$G$2,$Q720=Parametres!$G$3),K720,E720)</f>
        <v>0</v>
      </c>
      <c r="Q720" s="654">
        <f t="shared" ref="Q720:S720" si="733">+F720</f>
        <v>0</v>
      </c>
      <c r="R720" s="653">
        <f t="shared" si="733"/>
        <v>0</v>
      </c>
      <c r="S720" s="654">
        <f t="shared" si="733"/>
        <v>0</v>
      </c>
      <c r="T720" s="656" t="e">
        <f>+VLOOKUP($L720,Data_Validation!$A:$D,1,0)</f>
        <v>#N/A</v>
      </c>
      <c r="U720" s="656" t="e">
        <f>+VLOOKUP($L720,Data_Validation!$A:$D,3,0)</f>
        <v>#N/A</v>
      </c>
      <c r="V720" s="656" t="e">
        <f>+VLOOKUP($L720,Data_Validation!$A:$D,4,0)</f>
        <v>#N/A</v>
      </c>
      <c r="W720" s="656" t="e">
        <f>+VLOOKUP($L720,Data_Validation!$A:$E,5,0)</f>
        <v>#N/A</v>
      </c>
    </row>
    <row r="721" spans="1:23" ht="15.75" customHeight="1">
      <c r="A721" s="716"/>
      <c r="B721" s="654"/>
      <c r="C721" s="717"/>
      <c r="D721" s="716"/>
      <c r="E721" s="716"/>
      <c r="F721" s="716"/>
      <c r="G721" s="716"/>
      <c r="H721" s="716"/>
      <c r="I721" s="716"/>
      <c r="J721" s="716"/>
      <c r="K721" s="716"/>
      <c r="L721" s="653" t="str">
        <f t="shared" si="719"/>
        <v>0</v>
      </c>
      <c r="M721" s="654">
        <f t="shared" si="520"/>
        <v>0</v>
      </c>
      <c r="N721" s="655">
        <f>+IF(OR($Q721=Parametres!$G$2,$Q721=Parametres!$G$3),I721,C721)</f>
        <v>0</v>
      </c>
      <c r="O721" s="655">
        <f>+IF(OR($Q721=Parametres!$G$2,$Q721=Parametres!$G$3),J721,D721)</f>
        <v>0</v>
      </c>
      <c r="P721" s="655">
        <f>+IF(OR($Q721=Parametres!$G$2,$Q721=Parametres!$G$3),K721,E721)</f>
        <v>0</v>
      </c>
      <c r="Q721" s="654">
        <f t="shared" ref="Q721:S721" si="734">+F721</f>
        <v>0</v>
      </c>
      <c r="R721" s="653">
        <f t="shared" si="734"/>
        <v>0</v>
      </c>
      <c r="S721" s="654">
        <f t="shared" si="734"/>
        <v>0</v>
      </c>
      <c r="T721" s="656" t="e">
        <f>+VLOOKUP($L721,Data_Validation!$A:$D,1,0)</f>
        <v>#N/A</v>
      </c>
      <c r="U721" s="656" t="e">
        <f>+VLOOKUP($L721,Data_Validation!$A:$D,3,0)</f>
        <v>#N/A</v>
      </c>
      <c r="V721" s="656" t="e">
        <f>+VLOOKUP($L721,Data_Validation!$A:$D,4,0)</f>
        <v>#N/A</v>
      </c>
      <c r="W721" s="656" t="e">
        <f>+VLOOKUP($L721,Data_Validation!$A:$E,5,0)</f>
        <v>#N/A</v>
      </c>
    </row>
    <row r="722" spans="1:23" ht="15.75" customHeight="1">
      <c r="A722" s="716"/>
      <c r="B722" s="654"/>
      <c r="C722" s="717"/>
      <c r="D722" s="716"/>
      <c r="E722" s="716"/>
      <c r="F722" s="716"/>
      <c r="G722" s="716"/>
      <c r="H722" s="716"/>
      <c r="I722" s="716"/>
      <c r="J722" s="716"/>
      <c r="K722" s="716"/>
      <c r="L722" s="653" t="str">
        <f t="shared" si="719"/>
        <v>0</v>
      </c>
      <c r="M722" s="654">
        <f t="shared" si="520"/>
        <v>0</v>
      </c>
      <c r="N722" s="655">
        <f>+IF(OR($Q722=Parametres!$G$2,$Q722=Parametres!$G$3),I722,C722)</f>
        <v>0</v>
      </c>
      <c r="O722" s="655">
        <f>+IF(OR($Q722=Parametres!$G$2,$Q722=Parametres!$G$3),J722,D722)</f>
        <v>0</v>
      </c>
      <c r="P722" s="655">
        <f>+IF(OR($Q722=Parametres!$G$2,$Q722=Parametres!$G$3),K722,E722)</f>
        <v>0</v>
      </c>
      <c r="Q722" s="654">
        <f t="shared" ref="Q722:S722" si="735">+F722</f>
        <v>0</v>
      </c>
      <c r="R722" s="653">
        <f t="shared" si="735"/>
        <v>0</v>
      </c>
      <c r="S722" s="654">
        <f t="shared" si="735"/>
        <v>0</v>
      </c>
      <c r="T722" s="656" t="e">
        <f>+VLOOKUP($L722,Data_Validation!$A:$D,1,0)</f>
        <v>#N/A</v>
      </c>
      <c r="U722" s="656" t="e">
        <f>+VLOOKUP($L722,Data_Validation!$A:$D,3,0)</f>
        <v>#N/A</v>
      </c>
      <c r="V722" s="656" t="e">
        <f>+VLOOKUP($L722,Data_Validation!$A:$D,4,0)</f>
        <v>#N/A</v>
      </c>
      <c r="W722" s="656" t="e">
        <f>+VLOOKUP($L722,Data_Validation!$A:$E,5,0)</f>
        <v>#N/A</v>
      </c>
    </row>
    <row r="723" spans="1:23" ht="15.75" customHeight="1">
      <c r="A723" s="716"/>
      <c r="B723" s="654"/>
      <c r="C723" s="717"/>
      <c r="D723" s="716"/>
      <c r="E723" s="716"/>
      <c r="F723" s="716"/>
      <c r="G723" s="716"/>
      <c r="H723" s="716"/>
      <c r="I723" s="716"/>
      <c r="J723" s="716"/>
      <c r="K723" s="716"/>
      <c r="L723" s="653" t="str">
        <f t="shared" si="719"/>
        <v>0</v>
      </c>
      <c r="M723" s="654">
        <f t="shared" si="520"/>
        <v>0</v>
      </c>
      <c r="N723" s="655">
        <f>+IF(OR($Q723=Parametres!$G$2,$Q723=Parametres!$G$3),I723,C723)</f>
        <v>0</v>
      </c>
      <c r="O723" s="655">
        <f>+IF(OR($Q723=Parametres!$G$2,$Q723=Parametres!$G$3),J723,D723)</f>
        <v>0</v>
      </c>
      <c r="P723" s="655">
        <f>+IF(OR($Q723=Parametres!$G$2,$Q723=Parametres!$G$3),K723,E723)</f>
        <v>0</v>
      </c>
      <c r="Q723" s="654">
        <f t="shared" ref="Q723:S723" si="736">+F723</f>
        <v>0</v>
      </c>
      <c r="R723" s="653">
        <f t="shared" si="736"/>
        <v>0</v>
      </c>
      <c r="S723" s="654">
        <f t="shared" si="736"/>
        <v>0</v>
      </c>
      <c r="T723" s="656" t="e">
        <f>+VLOOKUP($L723,Data_Validation!$A:$D,1,0)</f>
        <v>#N/A</v>
      </c>
      <c r="U723" s="656" t="e">
        <f>+VLOOKUP($L723,Data_Validation!$A:$D,3,0)</f>
        <v>#N/A</v>
      </c>
      <c r="V723" s="656" t="e">
        <f>+VLOOKUP($L723,Data_Validation!$A:$D,4,0)</f>
        <v>#N/A</v>
      </c>
      <c r="W723" s="656" t="e">
        <f>+VLOOKUP($L723,Data_Validation!$A:$E,5,0)</f>
        <v>#N/A</v>
      </c>
    </row>
    <row r="724" spans="1:23" ht="15.75" customHeight="1">
      <c r="A724" s="716"/>
      <c r="B724" s="654"/>
      <c r="C724" s="717"/>
      <c r="D724" s="716"/>
      <c r="E724" s="716"/>
      <c r="F724" s="716"/>
      <c r="G724" s="716"/>
      <c r="H724" s="716"/>
      <c r="I724" s="716"/>
      <c r="J724" s="716"/>
      <c r="K724" s="716"/>
      <c r="L724" s="653" t="str">
        <f t="shared" si="719"/>
        <v>0</v>
      </c>
      <c r="M724" s="654">
        <f t="shared" si="520"/>
        <v>0</v>
      </c>
      <c r="N724" s="655">
        <f>+IF(OR($Q724=Parametres!$G$2,$Q724=Parametres!$G$3),I724,C724)</f>
        <v>0</v>
      </c>
      <c r="O724" s="655">
        <f>+IF(OR($Q724=Parametres!$G$2,$Q724=Parametres!$G$3),J724,D724)</f>
        <v>0</v>
      </c>
      <c r="P724" s="655">
        <f>+IF(OR($Q724=Parametres!$G$2,$Q724=Parametres!$G$3),K724,E724)</f>
        <v>0</v>
      </c>
      <c r="Q724" s="654">
        <f t="shared" ref="Q724:S724" si="737">+F724</f>
        <v>0</v>
      </c>
      <c r="R724" s="653">
        <f t="shared" si="737"/>
        <v>0</v>
      </c>
      <c r="S724" s="654">
        <f t="shared" si="737"/>
        <v>0</v>
      </c>
      <c r="T724" s="656" t="e">
        <f>+VLOOKUP($L724,Data_Validation!$A:$D,1,0)</f>
        <v>#N/A</v>
      </c>
      <c r="U724" s="656" t="e">
        <f>+VLOOKUP($L724,Data_Validation!$A:$D,3,0)</f>
        <v>#N/A</v>
      </c>
      <c r="V724" s="656" t="e">
        <f>+VLOOKUP($L724,Data_Validation!$A:$D,4,0)</f>
        <v>#N/A</v>
      </c>
      <c r="W724" s="656" t="e">
        <f>+VLOOKUP($L724,Data_Validation!$A:$E,5,0)</f>
        <v>#N/A</v>
      </c>
    </row>
    <row r="725" spans="1:23" ht="15.75" customHeight="1">
      <c r="A725" s="716"/>
      <c r="B725" s="654"/>
      <c r="C725" s="717"/>
      <c r="D725" s="716"/>
      <c r="E725" s="716"/>
      <c r="F725" s="716"/>
      <c r="G725" s="716"/>
      <c r="H725" s="716"/>
      <c r="I725" s="716"/>
      <c r="J725" s="716"/>
      <c r="K725" s="716"/>
      <c r="L725" s="653" t="str">
        <f t="shared" si="719"/>
        <v>0</v>
      </c>
      <c r="M725" s="654">
        <f t="shared" si="520"/>
        <v>0</v>
      </c>
      <c r="N725" s="655">
        <f>+IF(OR($Q725=Parametres!$G$2,$Q725=Parametres!$G$3),I725,C725)</f>
        <v>0</v>
      </c>
      <c r="O725" s="655">
        <f>+IF(OR($Q725=Parametres!$G$2,$Q725=Parametres!$G$3),J725,D725)</f>
        <v>0</v>
      </c>
      <c r="P725" s="655">
        <f>+IF(OR($Q725=Parametres!$G$2,$Q725=Parametres!$G$3),K725,E725)</f>
        <v>0</v>
      </c>
      <c r="Q725" s="654">
        <f t="shared" ref="Q725:S725" si="738">+F725</f>
        <v>0</v>
      </c>
      <c r="R725" s="653">
        <f t="shared" si="738"/>
        <v>0</v>
      </c>
      <c r="S725" s="654">
        <f t="shared" si="738"/>
        <v>0</v>
      </c>
      <c r="T725" s="656" t="e">
        <f>+VLOOKUP($L725,Data_Validation!$A:$D,1,0)</f>
        <v>#N/A</v>
      </c>
      <c r="U725" s="656" t="e">
        <f>+VLOOKUP($L725,Data_Validation!$A:$D,3,0)</f>
        <v>#N/A</v>
      </c>
      <c r="V725" s="656" t="e">
        <f>+VLOOKUP($L725,Data_Validation!$A:$D,4,0)</f>
        <v>#N/A</v>
      </c>
      <c r="W725" s="656" t="e">
        <f>+VLOOKUP($L725,Data_Validation!$A:$E,5,0)</f>
        <v>#N/A</v>
      </c>
    </row>
    <row r="726" spans="1:23" ht="15.75" customHeight="1">
      <c r="A726" s="716"/>
      <c r="B726" s="654"/>
      <c r="C726" s="717"/>
      <c r="D726" s="716"/>
      <c r="E726" s="716"/>
      <c r="F726" s="716"/>
      <c r="G726" s="716"/>
      <c r="H726" s="716"/>
      <c r="I726" s="716"/>
      <c r="J726" s="716"/>
      <c r="K726" s="716"/>
      <c r="L726" s="653" t="str">
        <f t="shared" si="719"/>
        <v>0</v>
      </c>
      <c r="M726" s="654">
        <f t="shared" si="520"/>
        <v>0</v>
      </c>
      <c r="N726" s="655">
        <f>+IF(OR($Q726=Parametres!$G$2,$Q726=Parametres!$G$3),I726,C726)</f>
        <v>0</v>
      </c>
      <c r="O726" s="655">
        <f>+IF(OR($Q726=Parametres!$G$2,$Q726=Parametres!$G$3),J726,D726)</f>
        <v>0</v>
      </c>
      <c r="P726" s="655">
        <f>+IF(OR($Q726=Parametres!$G$2,$Q726=Parametres!$G$3),K726,E726)</f>
        <v>0</v>
      </c>
      <c r="Q726" s="654">
        <f t="shared" ref="Q726:S726" si="739">+F726</f>
        <v>0</v>
      </c>
      <c r="R726" s="653">
        <f t="shared" si="739"/>
        <v>0</v>
      </c>
      <c r="S726" s="654">
        <f t="shared" si="739"/>
        <v>0</v>
      </c>
      <c r="T726" s="656" t="e">
        <f>+VLOOKUP($L726,Data_Validation!$A:$D,1,0)</f>
        <v>#N/A</v>
      </c>
      <c r="U726" s="656" t="e">
        <f>+VLOOKUP($L726,Data_Validation!$A:$D,3,0)</f>
        <v>#N/A</v>
      </c>
      <c r="V726" s="656" t="e">
        <f>+VLOOKUP($L726,Data_Validation!$A:$D,4,0)</f>
        <v>#N/A</v>
      </c>
      <c r="W726" s="656" t="e">
        <f>+VLOOKUP($L726,Data_Validation!$A:$E,5,0)</f>
        <v>#N/A</v>
      </c>
    </row>
    <row r="727" spans="1:23" ht="15.75" customHeight="1">
      <c r="A727" s="716"/>
      <c r="B727" s="654"/>
      <c r="C727" s="717"/>
      <c r="D727" s="716"/>
      <c r="E727" s="716"/>
      <c r="F727" s="716"/>
      <c r="G727" s="716"/>
      <c r="H727" s="716"/>
      <c r="I727" s="716"/>
      <c r="J727" s="716"/>
      <c r="K727" s="716"/>
      <c r="L727" s="653" t="str">
        <f t="shared" si="719"/>
        <v>0</v>
      </c>
      <c r="M727" s="654">
        <f t="shared" si="520"/>
        <v>0</v>
      </c>
      <c r="N727" s="655">
        <f>+IF(OR($Q727=Parametres!$G$2,$Q727=Parametres!$G$3),I727,C727)</f>
        <v>0</v>
      </c>
      <c r="O727" s="655">
        <f>+IF(OR($Q727=Parametres!$G$2,$Q727=Parametres!$G$3),J727,D727)</f>
        <v>0</v>
      </c>
      <c r="P727" s="655">
        <f>+IF(OR($Q727=Parametres!$G$2,$Q727=Parametres!$G$3),K727,E727)</f>
        <v>0</v>
      </c>
      <c r="Q727" s="654">
        <f t="shared" ref="Q727:S727" si="740">+F727</f>
        <v>0</v>
      </c>
      <c r="R727" s="653">
        <f t="shared" si="740"/>
        <v>0</v>
      </c>
      <c r="S727" s="654">
        <f t="shared" si="740"/>
        <v>0</v>
      </c>
      <c r="T727" s="656" t="e">
        <f>+VLOOKUP($L727,Data_Validation!$A:$D,1,0)</f>
        <v>#N/A</v>
      </c>
      <c r="U727" s="656" t="e">
        <f>+VLOOKUP($L727,Data_Validation!$A:$D,3,0)</f>
        <v>#N/A</v>
      </c>
      <c r="V727" s="656" t="e">
        <f>+VLOOKUP($L727,Data_Validation!$A:$D,4,0)</f>
        <v>#N/A</v>
      </c>
      <c r="W727" s="656" t="e">
        <f>+VLOOKUP($L727,Data_Validation!$A:$E,5,0)</f>
        <v>#N/A</v>
      </c>
    </row>
    <row r="728" spans="1:23" ht="15.75" customHeight="1">
      <c r="A728" s="716"/>
      <c r="B728" s="654"/>
      <c r="C728" s="717"/>
      <c r="D728" s="716"/>
      <c r="E728" s="716"/>
      <c r="F728" s="716"/>
      <c r="G728" s="716"/>
      <c r="H728" s="716"/>
      <c r="I728" s="716"/>
      <c r="J728" s="716"/>
      <c r="K728" s="716"/>
      <c r="L728" s="653" t="str">
        <f t="shared" si="719"/>
        <v>0</v>
      </c>
      <c r="M728" s="654">
        <f t="shared" si="520"/>
        <v>0</v>
      </c>
      <c r="N728" s="655">
        <f>+IF(OR($Q728=Parametres!$G$2,$Q728=Parametres!$G$3),I728,C728)</f>
        <v>0</v>
      </c>
      <c r="O728" s="655">
        <f>+IF(OR($Q728=Parametres!$G$2,$Q728=Parametres!$G$3),J728,D728)</f>
        <v>0</v>
      </c>
      <c r="P728" s="655">
        <f>+IF(OR($Q728=Parametres!$G$2,$Q728=Parametres!$G$3),K728,E728)</f>
        <v>0</v>
      </c>
      <c r="Q728" s="654">
        <f t="shared" ref="Q728:S728" si="741">+F728</f>
        <v>0</v>
      </c>
      <c r="R728" s="653">
        <f t="shared" si="741"/>
        <v>0</v>
      </c>
      <c r="S728" s="654">
        <f t="shared" si="741"/>
        <v>0</v>
      </c>
      <c r="T728" s="656" t="e">
        <f>+VLOOKUP($L728,Data_Validation!$A:$D,1,0)</f>
        <v>#N/A</v>
      </c>
      <c r="U728" s="656" t="e">
        <f>+VLOOKUP($L728,Data_Validation!$A:$D,3,0)</f>
        <v>#N/A</v>
      </c>
      <c r="V728" s="656" t="e">
        <f>+VLOOKUP($L728,Data_Validation!$A:$D,4,0)</f>
        <v>#N/A</v>
      </c>
      <c r="W728" s="656" t="e">
        <f>+VLOOKUP($L728,Data_Validation!$A:$E,5,0)</f>
        <v>#N/A</v>
      </c>
    </row>
    <row r="729" spans="1:23" ht="15.75" customHeight="1">
      <c r="A729" s="716"/>
      <c r="B729" s="654"/>
      <c r="C729" s="717"/>
      <c r="D729" s="716"/>
      <c r="E729" s="716"/>
      <c r="F729" s="716"/>
      <c r="G729" s="716"/>
      <c r="H729" s="716"/>
      <c r="I729" s="716"/>
      <c r="J729" s="716"/>
      <c r="K729" s="716"/>
      <c r="L729" s="653" t="str">
        <f t="shared" si="719"/>
        <v>0</v>
      </c>
      <c r="M729" s="654">
        <f t="shared" si="520"/>
        <v>0</v>
      </c>
      <c r="N729" s="655">
        <f>+IF(OR($Q729=Parametres!$G$2,$Q729=Parametres!$G$3),I729,C729)</f>
        <v>0</v>
      </c>
      <c r="O729" s="655">
        <f>+IF(OR($Q729=Parametres!$G$2,$Q729=Parametres!$G$3),J729,D729)</f>
        <v>0</v>
      </c>
      <c r="P729" s="655">
        <f>+IF(OR($Q729=Parametres!$G$2,$Q729=Parametres!$G$3),K729,E729)</f>
        <v>0</v>
      </c>
      <c r="Q729" s="654">
        <f t="shared" ref="Q729:S729" si="742">+F729</f>
        <v>0</v>
      </c>
      <c r="R729" s="653">
        <f t="shared" si="742"/>
        <v>0</v>
      </c>
      <c r="S729" s="654">
        <f t="shared" si="742"/>
        <v>0</v>
      </c>
      <c r="T729" s="656" t="e">
        <f>+VLOOKUP($L729,Data_Validation!$A:$D,1,0)</f>
        <v>#N/A</v>
      </c>
      <c r="U729" s="656" t="e">
        <f>+VLOOKUP($L729,Data_Validation!$A:$D,3,0)</f>
        <v>#N/A</v>
      </c>
      <c r="V729" s="656" t="e">
        <f>+VLOOKUP($L729,Data_Validation!$A:$D,4,0)</f>
        <v>#N/A</v>
      </c>
      <c r="W729" s="656" t="e">
        <f>+VLOOKUP($L729,Data_Validation!$A:$E,5,0)</f>
        <v>#N/A</v>
      </c>
    </row>
    <row r="730" spans="1:23" ht="15.75" customHeight="1">
      <c r="A730" s="716"/>
      <c r="B730" s="654"/>
      <c r="C730" s="717"/>
      <c r="D730" s="716"/>
      <c r="E730" s="716"/>
      <c r="F730" s="716"/>
      <c r="G730" s="716"/>
      <c r="H730" s="716"/>
      <c r="I730" s="716"/>
      <c r="J730" s="716"/>
      <c r="K730" s="716"/>
      <c r="L730" s="653" t="str">
        <f t="shared" si="719"/>
        <v>0</v>
      </c>
      <c r="M730" s="654">
        <f t="shared" si="520"/>
        <v>0</v>
      </c>
      <c r="N730" s="655">
        <f>+IF(OR($Q730=Parametres!$G$2,$Q730=Parametres!$G$3),I730,C730)</f>
        <v>0</v>
      </c>
      <c r="O730" s="655">
        <f>+IF(OR($Q730=Parametres!$G$2,$Q730=Parametres!$G$3),J730,D730)</f>
        <v>0</v>
      </c>
      <c r="P730" s="655">
        <f>+IF(OR($Q730=Parametres!$G$2,$Q730=Parametres!$G$3),K730,E730)</f>
        <v>0</v>
      </c>
      <c r="Q730" s="654">
        <f t="shared" ref="Q730:S730" si="743">+F730</f>
        <v>0</v>
      </c>
      <c r="R730" s="653">
        <f t="shared" si="743"/>
        <v>0</v>
      </c>
      <c r="S730" s="654">
        <f t="shared" si="743"/>
        <v>0</v>
      </c>
      <c r="T730" s="656" t="e">
        <f>+VLOOKUP($L730,Data_Validation!$A:$D,1,0)</f>
        <v>#N/A</v>
      </c>
      <c r="U730" s="656" t="e">
        <f>+VLOOKUP($L730,Data_Validation!$A:$D,3,0)</f>
        <v>#N/A</v>
      </c>
      <c r="V730" s="656" t="e">
        <f>+VLOOKUP($L730,Data_Validation!$A:$D,4,0)</f>
        <v>#N/A</v>
      </c>
      <c r="W730" s="656" t="e">
        <f>+VLOOKUP($L730,Data_Validation!$A:$E,5,0)</f>
        <v>#N/A</v>
      </c>
    </row>
    <row r="731" spans="1:23" ht="15.75" customHeight="1">
      <c r="A731" s="716"/>
      <c r="B731" s="654"/>
      <c r="C731" s="717"/>
      <c r="D731" s="716"/>
      <c r="E731" s="716"/>
      <c r="F731" s="716"/>
      <c r="G731" s="716"/>
      <c r="H731" s="716"/>
      <c r="I731" s="716"/>
      <c r="J731" s="716"/>
      <c r="K731" s="716"/>
      <c r="L731" s="653" t="str">
        <f t="shared" si="719"/>
        <v>0</v>
      </c>
      <c r="M731" s="654">
        <f t="shared" si="520"/>
        <v>0</v>
      </c>
      <c r="N731" s="655">
        <f>+IF(OR($Q731=Parametres!$G$2,$Q731=Parametres!$G$3),I731,C731)</f>
        <v>0</v>
      </c>
      <c r="O731" s="655">
        <f>+IF(OR($Q731=Parametres!$G$2,$Q731=Parametres!$G$3),J731,D731)</f>
        <v>0</v>
      </c>
      <c r="P731" s="655">
        <f>+IF(OR($Q731=Parametres!$G$2,$Q731=Parametres!$G$3),K731,E731)</f>
        <v>0</v>
      </c>
      <c r="Q731" s="654">
        <f t="shared" ref="Q731:S731" si="744">+F731</f>
        <v>0</v>
      </c>
      <c r="R731" s="653">
        <f t="shared" si="744"/>
        <v>0</v>
      </c>
      <c r="S731" s="654">
        <f t="shared" si="744"/>
        <v>0</v>
      </c>
      <c r="T731" s="656" t="e">
        <f>+VLOOKUP($L731,Data_Validation!$A:$D,1,0)</f>
        <v>#N/A</v>
      </c>
      <c r="U731" s="656" t="e">
        <f>+VLOOKUP($L731,Data_Validation!$A:$D,3,0)</f>
        <v>#N/A</v>
      </c>
      <c r="V731" s="656" t="e">
        <f>+VLOOKUP($L731,Data_Validation!$A:$D,4,0)</f>
        <v>#N/A</v>
      </c>
      <c r="W731" s="656" t="e">
        <f>+VLOOKUP($L731,Data_Validation!$A:$E,5,0)</f>
        <v>#N/A</v>
      </c>
    </row>
    <row r="732" spans="1:23" ht="15.75" customHeight="1">
      <c r="A732" s="716"/>
      <c r="B732" s="654"/>
      <c r="C732" s="717"/>
      <c r="D732" s="716"/>
      <c r="E732" s="716"/>
      <c r="F732" s="716"/>
      <c r="G732" s="716"/>
      <c r="H732" s="716"/>
      <c r="I732" s="716"/>
      <c r="J732" s="716"/>
      <c r="K732" s="716"/>
      <c r="L732" s="653" t="str">
        <f t="shared" si="719"/>
        <v>0</v>
      </c>
      <c r="M732" s="654">
        <f t="shared" si="520"/>
        <v>0</v>
      </c>
      <c r="N732" s="655">
        <f>+IF(OR($Q732=Parametres!$G$2,$Q732=Parametres!$G$3),I732,C732)</f>
        <v>0</v>
      </c>
      <c r="O732" s="655">
        <f>+IF(OR($Q732=Parametres!$G$2,$Q732=Parametres!$G$3),J732,D732)</f>
        <v>0</v>
      </c>
      <c r="P732" s="655">
        <f>+IF(OR($Q732=Parametres!$G$2,$Q732=Parametres!$G$3),K732,E732)</f>
        <v>0</v>
      </c>
      <c r="Q732" s="654">
        <f t="shared" ref="Q732:S732" si="745">+F732</f>
        <v>0</v>
      </c>
      <c r="R732" s="653">
        <f t="shared" si="745"/>
        <v>0</v>
      </c>
      <c r="S732" s="654">
        <f t="shared" si="745"/>
        <v>0</v>
      </c>
      <c r="T732" s="656" t="e">
        <f>+VLOOKUP($L732,Data_Validation!$A:$D,1,0)</f>
        <v>#N/A</v>
      </c>
      <c r="U732" s="656" t="e">
        <f>+VLOOKUP($L732,Data_Validation!$A:$D,3,0)</f>
        <v>#N/A</v>
      </c>
      <c r="V732" s="656" t="e">
        <f>+VLOOKUP($L732,Data_Validation!$A:$D,4,0)</f>
        <v>#N/A</v>
      </c>
      <c r="W732" s="656" t="e">
        <f>+VLOOKUP($L732,Data_Validation!$A:$E,5,0)</f>
        <v>#N/A</v>
      </c>
    </row>
    <row r="733" spans="1:23" ht="15.75" customHeight="1">
      <c r="A733" s="716"/>
      <c r="B733" s="654"/>
      <c r="C733" s="717"/>
      <c r="D733" s="716"/>
      <c r="E733" s="716"/>
      <c r="F733" s="716"/>
      <c r="G733" s="716"/>
      <c r="H733" s="716"/>
      <c r="I733" s="716"/>
      <c r="J733" s="716"/>
      <c r="K733" s="716"/>
      <c r="L733" s="653" t="str">
        <f t="shared" si="719"/>
        <v>0</v>
      </c>
      <c r="M733" s="654">
        <f t="shared" si="520"/>
        <v>0</v>
      </c>
      <c r="N733" s="655">
        <f>+IF(OR($Q733=Parametres!$G$2,$Q733=Parametres!$G$3),I733,C733)</f>
        <v>0</v>
      </c>
      <c r="O733" s="655">
        <f>+IF(OR($Q733=Parametres!$G$2,$Q733=Parametres!$G$3),J733,D733)</f>
        <v>0</v>
      </c>
      <c r="P733" s="655">
        <f>+IF(OR($Q733=Parametres!$G$2,$Q733=Parametres!$G$3),K733,E733)</f>
        <v>0</v>
      </c>
      <c r="Q733" s="654">
        <f t="shared" ref="Q733:S733" si="746">+F733</f>
        <v>0</v>
      </c>
      <c r="R733" s="653">
        <f t="shared" si="746"/>
        <v>0</v>
      </c>
      <c r="S733" s="654">
        <f t="shared" si="746"/>
        <v>0</v>
      </c>
      <c r="T733" s="656" t="e">
        <f>+VLOOKUP($L733,Data_Validation!$A:$D,1,0)</f>
        <v>#N/A</v>
      </c>
      <c r="U733" s="656" t="e">
        <f>+VLOOKUP($L733,Data_Validation!$A:$D,3,0)</f>
        <v>#N/A</v>
      </c>
      <c r="V733" s="656" t="e">
        <f>+VLOOKUP($L733,Data_Validation!$A:$D,4,0)</f>
        <v>#N/A</v>
      </c>
      <c r="W733" s="656" t="e">
        <f>+VLOOKUP($L733,Data_Validation!$A:$E,5,0)</f>
        <v>#N/A</v>
      </c>
    </row>
    <row r="734" spans="1:23" ht="15.75" customHeight="1">
      <c r="A734" s="716"/>
      <c r="B734" s="654"/>
      <c r="C734" s="717"/>
      <c r="D734" s="716"/>
      <c r="E734" s="716"/>
      <c r="F734" s="716"/>
      <c r="G734" s="716"/>
      <c r="H734" s="716"/>
      <c r="I734" s="716"/>
      <c r="J734" s="716"/>
      <c r="K734" s="716"/>
      <c r="L734" s="653" t="str">
        <f t="shared" si="719"/>
        <v>0</v>
      </c>
      <c r="M734" s="654">
        <f t="shared" si="520"/>
        <v>0</v>
      </c>
      <c r="N734" s="655">
        <f>+IF(OR($Q734=Parametres!$G$2,$Q734=Parametres!$G$3),I734,C734)</f>
        <v>0</v>
      </c>
      <c r="O734" s="655">
        <f>+IF(OR($Q734=Parametres!$G$2,$Q734=Parametres!$G$3),J734,D734)</f>
        <v>0</v>
      </c>
      <c r="P734" s="655">
        <f>+IF(OR($Q734=Parametres!$G$2,$Q734=Parametres!$G$3),K734,E734)</f>
        <v>0</v>
      </c>
      <c r="Q734" s="654">
        <f t="shared" ref="Q734:S734" si="747">+F734</f>
        <v>0</v>
      </c>
      <c r="R734" s="653">
        <f t="shared" si="747"/>
        <v>0</v>
      </c>
      <c r="S734" s="654">
        <f t="shared" si="747"/>
        <v>0</v>
      </c>
      <c r="T734" s="656" t="e">
        <f>+VLOOKUP($L734,Data_Validation!$A:$D,1,0)</f>
        <v>#N/A</v>
      </c>
      <c r="U734" s="656" t="e">
        <f>+VLOOKUP($L734,Data_Validation!$A:$D,3,0)</f>
        <v>#N/A</v>
      </c>
      <c r="V734" s="656" t="e">
        <f>+VLOOKUP($L734,Data_Validation!$A:$D,4,0)</f>
        <v>#N/A</v>
      </c>
      <c r="W734" s="656" t="e">
        <f>+VLOOKUP($L734,Data_Validation!$A:$E,5,0)</f>
        <v>#N/A</v>
      </c>
    </row>
    <row r="735" spans="1:23" ht="15.75" customHeight="1">
      <c r="A735" s="716"/>
      <c r="B735" s="654"/>
      <c r="C735" s="717"/>
      <c r="D735" s="716"/>
      <c r="E735" s="716"/>
      <c r="F735" s="716"/>
      <c r="G735" s="716"/>
      <c r="H735" s="716"/>
      <c r="I735" s="716"/>
      <c r="J735" s="716"/>
      <c r="K735" s="716"/>
      <c r="L735" s="653" t="str">
        <f t="shared" si="719"/>
        <v>0</v>
      </c>
      <c r="M735" s="654">
        <f t="shared" si="520"/>
        <v>0</v>
      </c>
      <c r="N735" s="655">
        <f>+IF(OR($Q735=Parametres!$G$2,$Q735=Parametres!$G$3),I735,C735)</f>
        <v>0</v>
      </c>
      <c r="O735" s="655">
        <f>+IF(OR($Q735=Parametres!$G$2,$Q735=Parametres!$G$3),J735,D735)</f>
        <v>0</v>
      </c>
      <c r="P735" s="655">
        <f>+IF(OR($Q735=Parametres!$G$2,$Q735=Parametres!$G$3),K735,E735)</f>
        <v>0</v>
      </c>
      <c r="Q735" s="654">
        <f t="shared" ref="Q735:S735" si="748">+F735</f>
        <v>0</v>
      </c>
      <c r="R735" s="653">
        <f t="shared" si="748"/>
        <v>0</v>
      </c>
      <c r="S735" s="654">
        <f t="shared" si="748"/>
        <v>0</v>
      </c>
      <c r="T735" s="656" t="e">
        <f>+VLOOKUP($L735,Data_Validation!$A:$D,1,0)</f>
        <v>#N/A</v>
      </c>
      <c r="U735" s="656" t="e">
        <f>+VLOOKUP($L735,Data_Validation!$A:$D,3,0)</f>
        <v>#N/A</v>
      </c>
      <c r="V735" s="656" t="e">
        <f>+VLOOKUP($L735,Data_Validation!$A:$D,4,0)</f>
        <v>#N/A</v>
      </c>
      <c r="W735" s="656" t="e">
        <f>+VLOOKUP($L735,Data_Validation!$A:$E,5,0)</f>
        <v>#N/A</v>
      </c>
    </row>
    <row r="736" spans="1:23" ht="15.75" customHeight="1">
      <c r="A736" s="716"/>
      <c r="B736" s="654"/>
      <c r="C736" s="717"/>
      <c r="D736" s="716"/>
      <c r="E736" s="716"/>
      <c r="F736" s="716"/>
      <c r="G736" s="716"/>
      <c r="H736" s="716"/>
      <c r="I736" s="716"/>
      <c r="J736" s="716"/>
      <c r="K736" s="716"/>
      <c r="L736" s="653" t="str">
        <f t="shared" si="719"/>
        <v>0</v>
      </c>
      <c r="M736" s="654">
        <f t="shared" si="520"/>
        <v>0</v>
      </c>
      <c r="N736" s="655">
        <f>+IF(OR($Q736=Parametres!$G$2,$Q736=Parametres!$G$3),I736,C736)</f>
        <v>0</v>
      </c>
      <c r="O736" s="655">
        <f>+IF(OR($Q736=Parametres!$G$2,$Q736=Parametres!$G$3),J736,D736)</f>
        <v>0</v>
      </c>
      <c r="P736" s="655">
        <f>+IF(OR($Q736=Parametres!$G$2,$Q736=Parametres!$G$3),K736,E736)</f>
        <v>0</v>
      </c>
      <c r="Q736" s="654">
        <f t="shared" ref="Q736:S736" si="749">+F736</f>
        <v>0</v>
      </c>
      <c r="R736" s="653">
        <f t="shared" si="749"/>
        <v>0</v>
      </c>
      <c r="S736" s="654">
        <f t="shared" si="749"/>
        <v>0</v>
      </c>
      <c r="T736" s="656" t="e">
        <f>+VLOOKUP($L736,Data_Validation!$A:$D,1,0)</f>
        <v>#N/A</v>
      </c>
      <c r="U736" s="656" t="e">
        <f>+VLOOKUP($L736,Data_Validation!$A:$D,3,0)</f>
        <v>#N/A</v>
      </c>
      <c r="V736" s="656" t="e">
        <f>+VLOOKUP($L736,Data_Validation!$A:$D,4,0)</f>
        <v>#N/A</v>
      </c>
      <c r="W736" s="656" t="e">
        <f>+VLOOKUP($L736,Data_Validation!$A:$E,5,0)</f>
        <v>#N/A</v>
      </c>
    </row>
    <row r="737" spans="1:23" ht="15.75" customHeight="1">
      <c r="A737" s="716"/>
      <c r="B737" s="654"/>
      <c r="C737" s="717"/>
      <c r="D737" s="716"/>
      <c r="E737" s="716"/>
      <c r="F737" s="716"/>
      <c r="G737" s="716"/>
      <c r="H737" s="716"/>
      <c r="I737" s="716"/>
      <c r="J737" s="716"/>
      <c r="K737" s="716"/>
      <c r="L737" s="653" t="str">
        <f t="shared" si="719"/>
        <v>0</v>
      </c>
      <c r="M737" s="654">
        <f t="shared" si="520"/>
        <v>0</v>
      </c>
      <c r="N737" s="655">
        <f>+IF(OR($Q737=Parametres!$G$2,$Q737=Parametres!$G$3),I737,C737)</f>
        <v>0</v>
      </c>
      <c r="O737" s="655">
        <f>+IF(OR($Q737=Parametres!$G$2,$Q737=Parametres!$G$3),J737,D737)</f>
        <v>0</v>
      </c>
      <c r="P737" s="655">
        <f>+IF(OR($Q737=Parametres!$G$2,$Q737=Parametres!$G$3),K737,E737)</f>
        <v>0</v>
      </c>
      <c r="Q737" s="654">
        <f t="shared" ref="Q737:S737" si="750">+F737</f>
        <v>0</v>
      </c>
      <c r="R737" s="653">
        <f t="shared" si="750"/>
        <v>0</v>
      </c>
      <c r="S737" s="654">
        <f t="shared" si="750"/>
        <v>0</v>
      </c>
      <c r="T737" s="656" t="e">
        <f>+VLOOKUP($L737,Data_Validation!$A:$D,1,0)</f>
        <v>#N/A</v>
      </c>
      <c r="U737" s="656" t="e">
        <f>+VLOOKUP($L737,Data_Validation!$A:$D,3,0)</f>
        <v>#N/A</v>
      </c>
      <c r="V737" s="656" t="e">
        <f>+VLOOKUP($L737,Data_Validation!$A:$D,4,0)</f>
        <v>#N/A</v>
      </c>
      <c r="W737" s="656" t="e">
        <f>+VLOOKUP($L737,Data_Validation!$A:$E,5,0)</f>
        <v>#N/A</v>
      </c>
    </row>
    <row r="738" spans="1:23" ht="15.75" customHeight="1">
      <c r="A738" s="716"/>
      <c r="B738" s="654"/>
      <c r="C738" s="717"/>
      <c r="D738" s="716"/>
      <c r="E738" s="716"/>
      <c r="F738" s="716"/>
      <c r="G738" s="716"/>
      <c r="H738" s="716"/>
      <c r="I738" s="716"/>
      <c r="J738" s="716"/>
      <c r="K738" s="716"/>
      <c r="L738" s="653" t="str">
        <f t="shared" si="719"/>
        <v>0</v>
      </c>
      <c r="M738" s="654">
        <f t="shared" si="520"/>
        <v>0</v>
      </c>
      <c r="N738" s="655">
        <f>+IF(OR($Q738=Parametres!$G$2,$Q738=Parametres!$G$3),I738,C738)</f>
        <v>0</v>
      </c>
      <c r="O738" s="655">
        <f>+IF(OR($Q738=Parametres!$G$2,$Q738=Parametres!$G$3),J738,D738)</f>
        <v>0</v>
      </c>
      <c r="P738" s="655">
        <f>+IF(OR($Q738=Parametres!$G$2,$Q738=Parametres!$G$3),K738,E738)</f>
        <v>0</v>
      </c>
      <c r="Q738" s="654">
        <f t="shared" ref="Q738:S738" si="751">+F738</f>
        <v>0</v>
      </c>
      <c r="R738" s="653">
        <f t="shared" si="751"/>
        <v>0</v>
      </c>
      <c r="S738" s="654">
        <f t="shared" si="751"/>
        <v>0</v>
      </c>
      <c r="T738" s="656" t="e">
        <f>+VLOOKUP($L738,Data_Validation!$A:$D,1,0)</f>
        <v>#N/A</v>
      </c>
      <c r="U738" s="656" t="e">
        <f>+VLOOKUP($L738,Data_Validation!$A:$D,3,0)</f>
        <v>#N/A</v>
      </c>
      <c r="V738" s="656" t="e">
        <f>+VLOOKUP($L738,Data_Validation!$A:$D,4,0)</f>
        <v>#N/A</v>
      </c>
      <c r="W738" s="656" t="e">
        <f>+VLOOKUP($L738,Data_Validation!$A:$E,5,0)</f>
        <v>#N/A</v>
      </c>
    </row>
    <row r="739" spans="1:23" ht="15.75" customHeight="1">
      <c r="A739" s="716"/>
      <c r="B739" s="654"/>
      <c r="C739" s="717"/>
      <c r="D739" s="716"/>
      <c r="E739" s="716"/>
      <c r="F739" s="716"/>
      <c r="G739" s="716"/>
      <c r="H739" s="716"/>
      <c r="I739" s="716"/>
      <c r="J739" s="716"/>
      <c r="K739" s="716"/>
      <c r="L739" s="653" t="str">
        <f t="shared" si="719"/>
        <v>0</v>
      </c>
      <c r="M739" s="654">
        <f t="shared" si="520"/>
        <v>0</v>
      </c>
      <c r="N739" s="655">
        <f>+IF(OR($Q739=Parametres!$G$2,$Q739=Parametres!$G$3),I739,C739)</f>
        <v>0</v>
      </c>
      <c r="O739" s="655">
        <f>+IF(OR($Q739=Parametres!$G$2,$Q739=Parametres!$G$3),J739,D739)</f>
        <v>0</v>
      </c>
      <c r="P739" s="655">
        <f>+IF(OR($Q739=Parametres!$G$2,$Q739=Parametres!$G$3),K739,E739)</f>
        <v>0</v>
      </c>
      <c r="Q739" s="654">
        <f t="shared" ref="Q739:S739" si="752">+F739</f>
        <v>0</v>
      </c>
      <c r="R739" s="653">
        <f t="shared" si="752"/>
        <v>0</v>
      </c>
      <c r="S739" s="654">
        <f t="shared" si="752"/>
        <v>0</v>
      </c>
      <c r="T739" s="656" t="e">
        <f>+VLOOKUP($L739,Data_Validation!$A:$D,1,0)</f>
        <v>#N/A</v>
      </c>
      <c r="U739" s="656" t="e">
        <f>+VLOOKUP($L739,Data_Validation!$A:$D,3,0)</f>
        <v>#N/A</v>
      </c>
      <c r="V739" s="656" t="e">
        <f>+VLOOKUP($L739,Data_Validation!$A:$D,4,0)</f>
        <v>#N/A</v>
      </c>
      <c r="W739" s="656" t="e">
        <f>+VLOOKUP($L739,Data_Validation!$A:$E,5,0)</f>
        <v>#N/A</v>
      </c>
    </row>
    <row r="740" spans="1:23" ht="15.75" customHeight="1">
      <c r="A740" s="716"/>
      <c r="B740" s="654"/>
      <c r="C740" s="717"/>
      <c r="D740" s="716"/>
      <c r="E740" s="716"/>
      <c r="F740" s="716"/>
      <c r="G740" s="716"/>
      <c r="H740" s="716"/>
      <c r="I740" s="716"/>
      <c r="J740" s="716"/>
      <c r="K740" s="716"/>
      <c r="L740" s="653" t="str">
        <f t="shared" si="719"/>
        <v>0</v>
      </c>
      <c r="M740" s="654">
        <f t="shared" si="520"/>
        <v>0</v>
      </c>
      <c r="N740" s="655">
        <f>+IF(OR($Q740=Parametres!$G$2,$Q740=Parametres!$G$3),I740,C740)</f>
        <v>0</v>
      </c>
      <c r="O740" s="655">
        <f>+IF(OR($Q740=Parametres!$G$2,$Q740=Parametres!$G$3),J740,D740)</f>
        <v>0</v>
      </c>
      <c r="P740" s="655">
        <f>+IF(OR($Q740=Parametres!$G$2,$Q740=Parametres!$G$3),K740,E740)</f>
        <v>0</v>
      </c>
      <c r="Q740" s="654">
        <f t="shared" ref="Q740:S740" si="753">+F740</f>
        <v>0</v>
      </c>
      <c r="R740" s="653">
        <f t="shared" si="753"/>
        <v>0</v>
      </c>
      <c r="S740" s="654">
        <f t="shared" si="753"/>
        <v>0</v>
      </c>
      <c r="T740" s="656" t="e">
        <f>+VLOOKUP($L740,Data_Validation!$A:$D,1,0)</f>
        <v>#N/A</v>
      </c>
      <c r="U740" s="656" t="e">
        <f>+VLOOKUP($L740,Data_Validation!$A:$D,3,0)</f>
        <v>#N/A</v>
      </c>
      <c r="V740" s="656" t="e">
        <f>+VLOOKUP($L740,Data_Validation!$A:$D,4,0)</f>
        <v>#N/A</v>
      </c>
      <c r="W740" s="656" t="e">
        <f>+VLOOKUP($L740,Data_Validation!$A:$E,5,0)</f>
        <v>#N/A</v>
      </c>
    </row>
    <row r="741" spans="1:23" ht="15.75" customHeight="1">
      <c r="A741" s="716"/>
      <c r="B741" s="654"/>
      <c r="C741" s="717"/>
      <c r="D741" s="716"/>
      <c r="E741" s="716"/>
      <c r="F741" s="716"/>
      <c r="G741" s="716"/>
      <c r="H741" s="716"/>
      <c r="I741" s="716"/>
      <c r="J741" s="716"/>
      <c r="K741" s="716"/>
      <c r="L741" s="653" t="str">
        <f t="shared" si="719"/>
        <v>0</v>
      </c>
      <c r="M741" s="654">
        <f t="shared" si="520"/>
        <v>0</v>
      </c>
      <c r="N741" s="655">
        <f>+IF(OR($Q741=Parametres!$G$2,$Q741=Parametres!$G$3),I741,C741)</f>
        <v>0</v>
      </c>
      <c r="O741" s="655">
        <f>+IF(OR($Q741=Parametres!$G$2,$Q741=Parametres!$G$3),J741,D741)</f>
        <v>0</v>
      </c>
      <c r="P741" s="655">
        <f>+IF(OR($Q741=Parametres!$G$2,$Q741=Parametres!$G$3),K741,E741)</f>
        <v>0</v>
      </c>
      <c r="Q741" s="654">
        <f t="shared" ref="Q741:S741" si="754">+F741</f>
        <v>0</v>
      </c>
      <c r="R741" s="653">
        <f t="shared" si="754"/>
        <v>0</v>
      </c>
      <c r="S741" s="654">
        <f t="shared" si="754"/>
        <v>0</v>
      </c>
      <c r="T741" s="656" t="e">
        <f>+VLOOKUP($L741,Data_Validation!$A:$D,1,0)</f>
        <v>#N/A</v>
      </c>
      <c r="U741" s="656" t="e">
        <f>+VLOOKUP($L741,Data_Validation!$A:$D,3,0)</f>
        <v>#N/A</v>
      </c>
      <c r="V741" s="656" t="e">
        <f>+VLOOKUP($L741,Data_Validation!$A:$D,4,0)</f>
        <v>#N/A</v>
      </c>
      <c r="W741" s="656" t="e">
        <f>+VLOOKUP($L741,Data_Validation!$A:$E,5,0)</f>
        <v>#N/A</v>
      </c>
    </row>
    <row r="742" spans="1:23" ht="15.75" customHeight="1">
      <c r="A742" s="716"/>
      <c r="B742" s="654"/>
      <c r="C742" s="717"/>
      <c r="D742" s="716"/>
      <c r="E742" s="716"/>
      <c r="F742" s="716"/>
      <c r="G742" s="716"/>
      <c r="H742" s="716"/>
      <c r="I742" s="716"/>
      <c r="J742" s="716"/>
      <c r="K742" s="716"/>
      <c r="L742" s="653" t="str">
        <f t="shared" si="719"/>
        <v>0</v>
      </c>
      <c r="M742" s="654">
        <f t="shared" si="520"/>
        <v>0</v>
      </c>
      <c r="N742" s="655">
        <f>+IF(OR($Q742=Parametres!$G$2,$Q742=Parametres!$G$3),I742,C742)</f>
        <v>0</v>
      </c>
      <c r="O742" s="655">
        <f>+IF(OR($Q742=Parametres!$G$2,$Q742=Parametres!$G$3),J742,D742)</f>
        <v>0</v>
      </c>
      <c r="P742" s="655">
        <f>+IF(OR($Q742=Parametres!$G$2,$Q742=Parametres!$G$3),K742,E742)</f>
        <v>0</v>
      </c>
      <c r="Q742" s="654">
        <f t="shared" ref="Q742:S742" si="755">+F742</f>
        <v>0</v>
      </c>
      <c r="R742" s="653">
        <f t="shared" si="755"/>
        <v>0</v>
      </c>
      <c r="S742" s="654">
        <f t="shared" si="755"/>
        <v>0</v>
      </c>
      <c r="T742" s="656" t="e">
        <f>+VLOOKUP($L742,Data_Validation!$A:$D,1,0)</f>
        <v>#N/A</v>
      </c>
      <c r="U742" s="656" t="e">
        <f>+VLOOKUP($L742,Data_Validation!$A:$D,3,0)</f>
        <v>#N/A</v>
      </c>
      <c r="V742" s="656" t="e">
        <f>+VLOOKUP($L742,Data_Validation!$A:$D,4,0)</f>
        <v>#N/A</v>
      </c>
      <c r="W742" s="656" t="e">
        <f>+VLOOKUP($L742,Data_Validation!$A:$E,5,0)</f>
        <v>#N/A</v>
      </c>
    </row>
    <row r="743" spans="1:23" ht="15.75" customHeight="1">
      <c r="A743" s="716"/>
      <c r="B743" s="654"/>
      <c r="C743" s="717"/>
      <c r="D743" s="716"/>
      <c r="E743" s="716"/>
      <c r="F743" s="716"/>
      <c r="G743" s="716"/>
      <c r="H743" s="716"/>
      <c r="I743" s="716"/>
      <c r="J743" s="716"/>
      <c r="K743" s="716"/>
      <c r="L743" s="653" t="str">
        <f t="shared" si="719"/>
        <v>0</v>
      </c>
      <c r="M743" s="654">
        <f t="shared" si="520"/>
        <v>0</v>
      </c>
      <c r="N743" s="655">
        <f>+IF(OR($Q743=Parametres!$G$2,$Q743=Parametres!$G$3),I743,C743)</f>
        <v>0</v>
      </c>
      <c r="O743" s="655">
        <f>+IF(OR($Q743=Parametres!$G$2,$Q743=Parametres!$G$3),J743,D743)</f>
        <v>0</v>
      </c>
      <c r="P743" s="655">
        <f>+IF(OR($Q743=Parametres!$G$2,$Q743=Parametres!$G$3),K743,E743)</f>
        <v>0</v>
      </c>
      <c r="Q743" s="654">
        <f t="shared" ref="Q743:S743" si="756">+F743</f>
        <v>0</v>
      </c>
      <c r="R743" s="653">
        <f t="shared" si="756"/>
        <v>0</v>
      </c>
      <c r="S743" s="654">
        <f t="shared" si="756"/>
        <v>0</v>
      </c>
      <c r="T743" s="656" t="e">
        <f>+VLOOKUP($L743,Data_Validation!$A:$D,1,0)</f>
        <v>#N/A</v>
      </c>
      <c r="U743" s="656" t="e">
        <f>+VLOOKUP($L743,Data_Validation!$A:$D,3,0)</f>
        <v>#N/A</v>
      </c>
      <c r="V743" s="656" t="e">
        <f>+VLOOKUP($L743,Data_Validation!$A:$D,4,0)</f>
        <v>#N/A</v>
      </c>
      <c r="W743" s="656" t="e">
        <f>+VLOOKUP($L743,Data_Validation!$A:$E,5,0)</f>
        <v>#N/A</v>
      </c>
    </row>
    <row r="744" spans="1:23" ht="15.75" customHeight="1">
      <c r="A744" s="716"/>
      <c r="B744" s="654"/>
      <c r="C744" s="717"/>
      <c r="D744" s="716"/>
      <c r="E744" s="716"/>
      <c r="F744" s="716"/>
      <c r="G744" s="716"/>
      <c r="H744" s="716"/>
      <c r="I744" s="716"/>
      <c r="J744" s="716"/>
      <c r="K744" s="716"/>
      <c r="L744" s="653" t="str">
        <f t="shared" si="719"/>
        <v>0</v>
      </c>
      <c r="M744" s="654">
        <f t="shared" si="520"/>
        <v>0</v>
      </c>
      <c r="N744" s="655">
        <f>+IF(OR($Q744=Parametres!$G$2,$Q744=Parametres!$G$3),I744,C744)</f>
        <v>0</v>
      </c>
      <c r="O744" s="655">
        <f>+IF(OR($Q744=Parametres!$G$2,$Q744=Parametres!$G$3),J744,D744)</f>
        <v>0</v>
      </c>
      <c r="P744" s="655">
        <f>+IF(OR($Q744=Parametres!$G$2,$Q744=Parametres!$G$3),K744,E744)</f>
        <v>0</v>
      </c>
      <c r="Q744" s="654">
        <f t="shared" ref="Q744:S744" si="757">+F744</f>
        <v>0</v>
      </c>
      <c r="R744" s="653">
        <f t="shared" si="757"/>
        <v>0</v>
      </c>
      <c r="S744" s="654">
        <f t="shared" si="757"/>
        <v>0</v>
      </c>
      <c r="T744" s="656" t="e">
        <f>+VLOOKUP($L744,Data_Validation!$A:$D,1,0)</f>
        <v>#N/A</v>
      </c>
      <c r="U744" s="656" t="e">
        <f>+VLOOKUP($L744,Data_Validation!$A:$D,3,0)</f>
        <v>#N/A</v>
      </c>
      <c r="V744" s="656" t="e">
        <f>+VLOOKUP($L744,Data_Validation!$A:$D,4,0)</f>
        <v>#N/A</v>
      </c>
      <c r="W744" s="656" t="e">
        <f>+VLOOKUP($L744,Data_Validation!$A:$E,5,0)</f>
        <v>#N/A</v>
      </c>
    </row>
    <row r="745" spans="1:23" ht="15.75" customHeight="1">
      <c r="A745" s="716"/>
      <c r="B745" s="654"/>
      <c r="C745" s="717"/>
      <c r="D745" s="716"/>
      <c r="E745" s="716"/>
      <c r="F745" s="716"/>
      <c r="G745" s="716"/>
      <c r="H745" s="716"/>
      <c r="I745" s="716"/>
      <c r="J745" s="716"/>
      <c r="K745" s="716"/>
      <c r="L745" s="653" t="str">
        <f t="shared" si="719"/>
        <v>0</v>
      </c>
      <c r="M745" s="654">
        <f t="shared" si="520"/>
        <v>0</v>
      </c>
      <c r="N745" s="655">
        <f>+IF(OR($Q745=Parametres!$G$2,$Q745=Parametres!$G$3),I745,C745)</f>
        <v>0</v>
      </c>
      <c r="O745" s="655">
        <f>+IF(OR($Q745=Parametres!$G$2,$Q745=Parametres!$G$3),J745,D745)</f>
        <v>0</v>
      </c>
      <c r="P745" s="655">
        <f>+IF(OR($Q745=Parametres!$G$2,$Q745=Parametres!$G$3),K745,E745)</f>
        <v>0</v>
      </c>
      <c r="Q745" s="654">
        <f t="shared" ref="Q745:S745" si="758">+F745</f>
        <v>0</v>
      </c>
      <c r="R745" s="653">
        <f t="shared" si="758"/>
        <v>0</v>
      </c>
      <c r="S745" s="654">
        <f t="shared" si="758"/>
        <v>0</v>
      </c>
      <c r="T745" s="656" t="e">
        <f>+VLOOKUP($L745,Data_Validation!$A:$D,1,0)</f>
        <v>#N/A</v>
      </c>
      <c r="U745" s="656" t="e">
        <f>+VLOOKUP($L745,Data_Validation!$A:$D,3,0)</f>
        <v>#N/A</v>
      </c>
      <c r="V745" s="656" t="e">
        <f>+VLOOKUP($L745,Data_Validation!$A:$D,4,0)</f>
        <v>#N/A</v>
      </c>
      <c r="W745" s="656" t="e">
        <f>+VLOOKUP($L745,Data_Validation!$A:$E,5,0)</f>
        <v>#N/A</v>
      </c>
    </row>
    <row r="746" spans="1:23" ht="15.75" customHeight="1">
      <c r="A746" s="716"/>
      <c r="B746" s="654"/>
      <c r="C746" s="717"/>
      <c r="D746" s="716"/>
      <c r="E746" s="716"/>
      <c r="F746" s="716"/>
      <c r="G746" s="716"/>
      <c r="H746" s="716"/>
      <c r="I746" s="716"/>
      <c r="J746" s="716"/>
      <c r="K746" s="716"/>
      <c r="L746" s="653" t="str">
        <f t="shared" si="719"/>
        <v>0</v>
      </c>
      <c r="M746" s="654">
        <f t="shared" si="520"/>
        <v>0</v>
      </c>
      <c r="N746" s="655">
        <f>+IF(OR($Q746=Parametres!$G$2,$Q746=Parametres!$G$3),I746,C746)</f>
        <v>0</v>
      </c>
      <c r="O746" s="655">
        <f>+IF(OR($Q746=Parametres!$G$2,$Q746=Parametres!$G$3),J746,D746)</f>
        <v>0</v>
      </c>
      <c r="P746" s="655">
        <f>+IF(OR($Q746=Parametres!$G$2,$Q746=Parametres!$G$3),K746,E746)</f>
        <v>0</v>
      </c>
      <c r="Q746" s="654">
        <f t="shared" ref="Q746:S746" si="759">+F746</f>
        <v>0</v>
      </c>
      <c r="R746" s="653">
        <f t="shared" si="759"/>
        <v>0</v>
      </c>
      <c r="S746" s="654">
        <f t="shared" si="759"/>
        <v>0</v>
      </c>
      <c r="T746" s="656" t="e">
        <f>+VLOOKUP($L746,Data_Validation!$A:$D,1,0)</f>
        <v>#N/A</v>
      </c>
      <c r="U746" s="656" t="e">
        <f>+VLOOKUP($L746,Data_Validation!$A:$D,3,0)</f>
        <v>#N/A</v>
      </c>
      <c r="V746" s="656" t="e">
        <f>+VLOOKUP($L746,Data_Validation!$A:$D,4,0)</f>
        <v>#N/A</v>
      </c>
      <c r="W746" s="656" t="e">
        <f>+VLOOKUP($L746,Data_Validation!$A:$E,5,0)</f>
        <v>#N/A</v>
      </c>
    </row>
    <row r="747" spans="1:23" ht="15.75" customHeight="1">
      <c r="A747" s="716"/>
      <c r="B747" s="654"/>
      <c r="C747" s="717"/>
      <c r="D747" s="716"/>
      <c r="E747" s="716"/>
      <c r="F747" s="716"/>
      <c r="G747" s="716"/>
      <c r="H747" s="716"/>
      <c r="I747" s="716"/>
      <c r="J747" s="716"/>
      <c r="K747" s="716"/>
      <c r="L747" s="653" t="str">
        <f t="shared" si="719"/>
        <v>0</v>
      </c>
      <c r="M747" s="654">
        <f t="shared" si="520"/>
        <v>0</v>
      </c>
      <c r="N747" s="655">
        <f>+IF(OR($Q747=Parametres!$G$2,$Q747=Parametres!$G$3),I747,C747)</f>
        <v>0</v>
      </c>
      <c r="O747" s="655">
        <f>+IF(OR($Q747=Parametres!$G$2,$Q747=Parametres!$G$3),J747,D747)</f>
        <v>0</v>
      </c>
      <c r="P747" s="655">
        <f>+IF(OR($Q747=Parametres!$G$2,$Q747=Parametres!$G$3),K747,E747)</f>
        <v>0</v>
      </c>
      <c r="Q747" s="654">
        <f t="shared" ref="Q747:S747" si="760">+F747</f>
        <v>0</v>
      </c>
      <c r="R747" s="653">
        <f t="shared" si="760"/>
        <v>0</v>
      </c>
      <c r="S747" s="654">
        <f t="shared" si="760"/>
        <v>0</v>
      </c>
      <c r="T747" s="656" t="e">
        <f>+VLOOKUP($L747,Data_Validation!$A:$D,1,0)</f>
        <v>#N/A</v>
      </c>
      <c r="U747" s="656" t="e">
        <f>+VLOOKUP($L747,Data_Validation!$A:$D,3,0)</f>
        <v>#N/A</v>
      </c>
      <c r="V747" s="656" t="e">
        <f>+VLOOKUP($L747,Data_Validation!$A:$D,4,0)</f>
        <v>#N/A</v>
      </c>
      <c r="W747" s="656" t="e">
        <f>+VLOOKUP($L747,Data_Validation!$A:$E,5,0)</f>
        <v>#N/A</v>
      </c>
    </row>
    <row r="748" spans="1:23" ht="15.75" customHeight="1">
      <c r="A748" s="716"/>
      <c r="B748" s="654"/>
      <c r="C748" s="717"/>
      <c r="D748" s="716"/>
      <c r="E748" s="716"/>
      <c r="F748" s="716"/>
      <c r="G748" s="716"/>
      <c r="H748" s="716"/>
      <c r="I748" s="716"/>
      <c r="J748" s="716"/>
      <c r="K748" s="716"/>
      <c r="L748" s="653" t="str">
        <f t="shared" si="719"/>
        <v>0</v>
      </c>
      <c r="M748" s="654">
        <f t="shared" si="520"/>
        <v>0</v>
      </c>
      <c r="N748" s="655">
        <f>+IF(OR($Q748=Parametres!$G$2,$Q748=Parametres!$G$3),I748,C748)</f>
        <v>0</v>
      </c>
      <c r="O748" s="655">
        <f>+IF(OR($Q748=Parametres!$G$2,$Q748=Parametres!$G$3),J748,D748)</f>
        <v>0</v>
      </c>
      <c r="P748" s="655">
        <f>+IF(OR($Q748=Parametres!$G$2,$Q748=Parametres!$G$3),K748,E748)</f>
        <v>0</v>
      </c>
      <c r="Q748" s="654">
        <f t="shared" ref="Q748:S748" si="761">+F748</f>
        <v>0</v>
      </c>
      <c r="R748" s="653">
        <f t="shared" si="761"/>
        <v>0</v>
      </c>
      <c r="S748" s="654">
        <f t="shared" si="761"/>
        <v>0</v>
      </c>
      <c r="T748" s="656" t="e">
        <f>+VLOOKUP($L748,Data_Validation!$A:$D,1,0)</f>
        <v>#N/A</v>
      </c>
      <c r="U748" s="656" t="e">
        <f>+VLOOKUP($L748,Data_Validation!$A:$D,3,0)</f>
        <v>#N/A</v>
      </c>
      <c r="V748" s="656" t="e">
        <f>+VLOOKUP($L748,Data_Validation!$A:$D,4,0)</f>
        <v>#N/A</v>
      </c>
      <c r="W748" s="656" t="e">
        <f>+VLOOKUP($L748,Data_Validation!$A:$E,5,0)</f>
        <v>#N/A</v>
      </c>
    </row>
    <row r="749" spans="1:23" ht="15.75" customHeight="1">
      <c r="A749" s="716"/>
      <c r="B749" s="654"/>
      <c r="C749" s="717"/>
      <c r="D749" s="716"/>
      <c r="E749" s="716"/>
      <c r="F749" s="716"/>
      <c r="G749" s="716"/>
      <c r="H749" s="716"/>
      <c r="I749" s="716"/>
      <c r="J749" s="716"/>
      <c r="K749" s="716"/>
      <c r="L749" s="653" t="str">
        <f t="shared" si="719"/>
        <v>0</v>
      </c>
      <c r="M749" s="654">
        <f t="shared" si="520"/>
        <v>0</v>
      </c>
      <c r="N749" s="655">
        <f>+IF(OR($Q749=Parametres!$G$2,$Q749=Parametres!$G$3),I749,C749)</f>
        <v>0</v>
      </c>
      <c r="O749" s="655">
        <f>+IF(OR($Q749=Parametres!$G$2,$Q749=Parametres!$G$3),J749,D749)</f>
        <v>0</v>
      </c>
      <c r="P749" s="655">
        <f>+IF(OR($Q749=Parametres!$G$2,$Q749=Parametres!$G$3),K749,E749)</f>
        <v>0</v>
      </c>
      <c r="Q749" s="654">
        <f t="shared" ref="Q749:S749" si="762">+F749</f>
        <v>0</v>
      </c>
      <c r="R749" s="653">
        <f t="shared" si="762"/>
        <v>0</v>
      </c>
      <c r="S749" s="654">
        <f t="shared" si="762"/>
        <v>0</v>
      </c>
      <c r="T749" s="656" t="e">
        <f>+VLOOKUP($L749,Data_Validation!$A:$D,1,0)</f>
        <v>#N/A</v>
      </c>
      <c r="U749" s="656" t="e">
        <f>+VLOOKUP($L749,Data_Validation!$A:$D,3,0)</f>
        <v>#N/A</v>
      </c>
      <c r="V749" s="656" t="e">
        <f>+VLOOKUP($L749,Data_Validation!$A:$D,4,0)</f>
        <v>#N/A</v>
      </c>
      <c r="W749" s="656" t="e">
        <f>+VLOOKUP($L749,Data_Validation!$A:$E,5,0)</f>
        <v>#N/A</v>
      </c>
    </row>
    <row r="750" spans="1:23" ht="15.75" customHeight="1">
      <c r="A750" s="716"/>
      <c r="B750" s="654"/>
      <c r="C750" s="717"/>
      <c r="D750" s="716"/>
      <c r="E750" s="716"/>
      <c r="F750" s="716"/>
      <c r="G750" s="716"/>
      <c r="H750" s="716"/>
      <c r="I750" s="716"/>
      <c r="J750" s="716"/>
      <c r="K750" s="716"/>
      <c r="L750" s="653" t="str">
        <f t="shared" si="719"/>
        <v>0</v>
      </c>
      <c r="M750" s="654">
        <f t="shared" si="520"/>
        <v>0</v>
      </c>
      <c r="N750" s="655">
        <f>+IF(OR($Q750=Parametres!$G$2,$Q750=Parametres!$G$3),I750,C750)</f>
        <v>0</v>
      </c>
      <c r="O750" s="655">
        <f>+IF(OR($Q750=Parametres!$G$2,$Q750=Parametres!$G$3),J750,D750)</f>
        <v>0</v>
      </c>
      <c r="P750" s="655">
        <f>+IF(OR($Q750=Parametres!$G$2,$Q750=Parametres!$G$3),K750,E750)</f>
        <v>0</v>
      </c>
      <c r="Q750" s="654">
        <f t="shared" ref="Q750:S750" si="763">+F750</f>
        <v>0</v>
      </c>
      <c r="R750" s="653">
        <f t="shared" si="763"/>
        <v>0</v>
      </c>
      <c r="S750" s="654">
        <f t="shared" si="763"/>
        <v>0</v>
      </c>
      <c r="T750" s="656" t="e">
        <f>+VLOOKUP($L750,Data_Validation!$A:$D,1,0)</f>
        <v>#N/A</v>
      </c>
      <c r="U750" s="656" t="e">
        <f>+VLOOKUP($L750,Data_Validation!$A:$D,3,0)</f>
        <v>#N/A</v>
      </c>
      <c r="V750" s="656" t="e">
        <f>+VLOOKUP($L750,Data_Validation!$A:$D,4,0)</f>
        <v>#N/A</v>
      </c>
      <c r="W750" s="656" t="e">
        <f>+VLOOKUP($L750,Data_Validation!$A:$E,5,0)</f>
        <v>#N/A</v>
      </c>
    </row>
    <row r="751" spans="1:23" ht="15.75" customHeight="1">
      <c r="A751" s="716"/>
      <c r="B751" s="654"/>
      <c r="C751" s="717"/>
      <c r="D751" s="716"/>
      <c r="E751" s="716"/>
      <c r="F751" s="716"/>
      <c r="G751" s="716"/>
      <c r="H751" s="716"/>
      <c r="I751" s="716"/>
      <c r="J751" s="716"/>
      <c r="K751" s="716"/>
      <c r="L751" s="653" t="str">
        <f t="shared" si="719"/>
        <v>0</v>
      </c>
      <c r="M751" s="654">
        <f t="shared" si="520"/>
        <v>0</v>
      </c>
      <c r="N751" s="655">
        <f>+IF(OR($Q751=Parametres!$G$2,$Q751=Parametres!$G$3),I751,C751)</f>
        <v>0</v>
      </c>
      <c r="O751" s="655">
        <f>+IF(OR($Q751=Parametres!$G$2,$Q751=Parametres!$G$3),J751,D751)</f>
        <v>0</v>
      </c>
      <c r="P751" s="655">
        <f>+IF(OR($Q751=Parametres!$G$2,$Q751=Parametres!$G$3),K751,E751)</f>
        <v>0</v>
      </c>
      <c r="Q751" s="654">
        <f t="shared" ref="Q751:S751" si="764">+F751</f>
        <v>0</v>
      </c>
      <c r="R751" s="653">
        <f t="shared" si="764"/>
        <v>0</v>
      </c>
      <c r="S751" s="654">
        <f t="shared" si="764"/>
        <v>0</v>
      </c>
      <c r="T751" s="656" t="e">
        <f>+VLOOKUP($L751,Data_Validation!$A:$D,1,0)</f>
        <v>#N/A</v>
      </c>
      <c r="U751" s="656" t="e">
        <f>+VLOOKUP($L751,Data_Validation!$A:$D,3,0)</f>
        <v>#N/A</v>
      </c>
      <c r="V751" s="656" t="e">
        <f>+VLOOKUP($L751,Data_Validation!$A:$D,4,0)</f>
        <v>#N/A</v>
      </c>
      <c r="W751" s="656" t="e">
        <f>+VLOOKUP($L751,Data_Validation!$A:$E,5,0)</f>
        <v>#N/A</v>
      </c>
    </row>
    <row r="752" spans="1:23" ht="15.75" customHeight="1">
      <c r="A752" s="716"/>
      <c r="B752" s="654"/>
      <c r="C752" s="717"/>
      <c r="D752" s="716"/>
      <c r="E752" s="716"/>
      <c r="F752" s="716"/>
      <c r="G752" s="716"/>
      <c r="H752" s="716"/>
      <c r="I752" s="716"/>
      <c r="J752" s="716"/>
      <c r="K752" s="716"/>
      <c r="L752" s="653" t="str">
        <f t="shared" si="719"/>
        <v>0</v>
      </c>
      <c r="M752" s="654">
        <f t="shared" si="520"/>
        <v>0</v>
      </c>
      <c r="N752" s="655">
        <f>+IF(OR($Q752=Parametres!$G$2,$Q752=Parametres!$G$3),I752,C752)</f>
        <v>0</v>
      </c>
      <c r="O752" s="655">
        <f>+IF(OR($Q752=Parametres!$G$2,$Q752=Parametres!$G$3),J752,D752)</f>
        <v>0</v>
      </c>
      <c r="P752" s="655">
        <f>+IF(OR($Q752=Parametres!$G$2,$Q752=Parametres!$G$3),K752,E752)</f>
        <v>0</v>
      </c>
      <c r="Q752" s="654">
        <f t="shared" ref="Q752:S752" si="765">+F752</f>
        <v>0</v>
      </c>
      <c r="R752" s="653">
        <f t="shared" si="765"/>
        <v>0</v>
      </c>
      <c r="S752" s="654">
        <f t="shared" si="765"/>
        <v>0</v>
      </c>
      <c r="T752" s="656" t="e">
        <f>+VLOOKUP($L752,Data_Validation!$A:$D,1,0)</f>
        <v>#N/A</v>
      </c>
      <c r="U752" s="656" t="e">
        <f>+VLOOKUP($L752,Data_Validation!$A:$D,3,0)</f>
        <v>#N/A</v>
      </c>
      <c r="V752" s="656" t="e">
        <f>+VLOOKUP($L752,Data_Validation!$A:$D,4,0)</f>
        <v>#N/A</v>
      </c>
      <c r="W752" s="656" t="e">
        <f>+VLOOKUP($L752,Data_Validation!$A:$E,5,0)</f>
        <v>#N/A</v>
      </c>
    </row>
    <row r="753" spans="1:23" ht="15.75" customHeight="1">
      <c r="A753" s="716"/>
      <c r="B753" s="654"/>
      <c r="C753" s="717"/>
      <c r="D753" s="716"/>
      <c r="E753" s="716"/>
      <c r="F753" s="716"/>
      <c r="G753" s="716"/>
      <c r="H753" s="716"/>
      <c r="I753" s="716"/>
      <c r="J753" s="716"/>
      <c r="K753" s="716"/>
      <c r="L753" s="653" t="str">
        <f t="shared" si="719"/>
        <v>0</v>
      </c>
      <c r="M753" s="654">
        <f t="shared" si="520"/>
        <v>0</v>
      </c>
      <c r="N753" s="655">
        <f>+IF(OR($Q753=Parametres!$G$2,$Q753=Parametres!$G$3),I753,C753)</f>
        <v>0</v>
      </c>
      <c r="O753" s="655">
        <f>+IF(OR($Q753=Parametres!$G$2,$Q753=Parametres!$G$3),J753,D753)</f>
        <v>0</v>
      </c>
      <c r="P753" s="655">
        <f>+IF(OR($Q753=Parametres!$G$2,$Q753=Parametres!$G$3),K753,E753)</f>
        <v>0</v>
      </c>
      <c r="Q753" s="654">
        <f t="shared" ref="Q753:S753" si="766">+F753</f>
        <v>0</v>
      </c>
      <c r="R753" s="653">
        <f t="shared" si="766"/>
        <v>0</v>
      </c>
      <c r="S753" s="654">
        <f t="shared" si="766"/>
        <v>0</v>
      </c>
      <c r="T753" s="656" t="e">
        <f>+VLOOKUP($L753,Data_Validation!$A:$D,1,0)</f>
        <v>#N/A</v>
      </c>
      <c r="U753" s="656" t="e">
        <f>+VLOOKUP($L753,Data_Validation!$A:$D,3,0)</f>
        <v>#N/A</v>
      </c>
      <c r="V753" s="656" t="e">
        <f>+VLOOKUP($L753,Data_Validation!$A:$D,4,0)</f>
        <v>#N/A</v>
      </c>
      <c r="W753" s="656" t="e">
        <f>+VLOOKUP($L753,Data_Validation!$A:$E,5,0)</f>
        <v>#N/A</v>
      </c>
    </row>
    <row r="754" spans="1:23" ht="15.75" customHeight="1">
      <c r="A754" s="716"/>
      <c r="B754" s="654"/>
      <c r="C754" s="717"/>
      <c r="D754" s="716"/>
      <c r="E754" s="716"/>
      <c r="F754" s="716"/>
      <c r="G754" s="716"/>
      <c r="H754" s="716"/>
      <c r="I754" s="716"/>
      <c r="J754" s="716"/>
      <c r="K754" s="716"/>
      <c r="L754" s="653" t="str">
        <f t="shared" si="719"/>
        <v>0</v>
      </c>
      <c r="M754" s="654">
        <f t="shared" si="520"/>
        <v>0</v>
      </c>
      <c r="N754" s="655">
        <f>+IF(OR($Q754=Parametres!$G$2,$Q754=Parametres!$G$3),I754,C754)</f>
        <v>0</v>
      </c>
      <c r="O754" s="655">
        <f>+IF(OR($Q754=Parametres!$G$2,$Q754=Parametres!$G$3),J754,D754)</f>
        <v>0</v>
      </c>
      <c r="P754" s="655">
        <f>+IF(OR($Q754=Parametres!$G$2,$Q754=Parametres!$G$3),K754,E754)</f>
        <v>0</v>
      </c>
      <c r="Q754" s="654">
        <f t="shared" ref="Q754:S754" si="767">+F754</f>
        <v>0</v>
      </c>
      <c r="R754" s="653">
        <f t="shared" si="767"/>
        <v>0</v>
      </c>
      <c r="S754" s="654">
        <f t="shared" si="767"/>
        <v>0</v>
      </c>
      <c r="T754" s="656" t="e">
        <f>+VLOOKUP($L754,Data_Validation!$A:$D,1,0)</f>
        <v>#N/A</v>
      </c>
      <c r="U754" s="656" t="e">
        <f>+VLOOKUP($L754,Data_Validation!$A:$D,3,0)</f>
        <v>#N/A</v>
      </c>
      <c r="V754" s="656" t="e">
        <f>+VLOOKUP($L754,Data_Validation!$A:$D,4,0)</f>
        <v>#N/A</v>
      </c>
      <c r="W754" s="656" t="e">
        <f>+VLOOKUP($L754,Data_Validation!$A:$E,5,0)</f>
        <v>#N/A</v>
      </c>
    </row>
    <row r="755" spans="1:23" ht="15.75" customHeight="1">
      <c r="A755" s="716"/>
      <c r="B755" s="654"/>
      <c r="C755" s="717"/>
      <c r="D755" s="716"/>
      <c r="E755" s="716"/>
      <c r="F755" s="716"/>
      <c r="G755" s="716"/>
      <c r="H755" s="716"/>
      <c r="I755" s="716"/>
      <c r="J755" s="716"/>
      <c r="K755" s="716"/>
      <c r="L755" s="653" t="str">
        <f t="shared" si="719"/>
        <v>0</v>
      </c>
      <c r="M755" s="654">
        <f t="shared" si="520"/>
        <v>0</v>
      </c>
      <c r="N755" s="655">
        <f>+IF(OR($Q755=Parametres!$G$2,$Q755=Parametres!$G$3),I755,C755)</f>
        <v>0</v>
      </c>
      <c r="O755" s="655">
        <f>+IF(OR($Q755=Parametres!$G$2,$Q755=Parametres!$G$3),J755,D755)</f>
        <v>0</v>
      </c>
      <c r="P755" s="655">
        <f>+IF(OR($Q755=Parametres!$G$2,$Q755=Parametres!$G$3),K755,E755)</f>
        <v>0</v>
      </c>
      <c r="Q755" s="654">
        <f t="shared" ref="Q755:S755" si="768">+F755</f>
        <v>0</v>
      </c>
      <c r="R755" s="653">
        <f t="shared" si="768"/>
        <v>0</v>
      </c>
      <c r="S755" s="654">
        <f t="shared" si="768"/>
        <v>0</v>
      </c>
      <c r="T755" s="656" t="e">
        <f>+VLOOKUP($L755,Data_Validation!$A:$D,1,0)</f>
        <v>#N/A</v>
      </c>
      <c r="U755" s="656" t="e">
        <f>+VLOOKUP($L755,Data_Validation!$A:$D,3,0)</f>
        <v>#N/A</v>
      </c>
      <c r="V755" s="656" t="e">
        <f>+VLOOKUP($L755,Data_Validation!$A:$D,4,0)</f>
        <v>#N/A</v>
      </c>
      <c r="W755" s="656" t="e">
        <f>+VLOOKUP($L755,Data_Validation!$A:$E,5,0)</f>
        <v>#N/A</v>
      </c>
    </row>
    <row r="756" spans="1:23" ht="15.75" customHeight="1">
      <c r="A756" s="716"/>
      <c r="B756" s="654"/>
      <c r="C756" s="717"/>
      <c r="D756" s="716"/>
      <c r="E756" s="716"/>
      <c r="F756" s="716"/>
      <c r="G756" s="716"/>
      <c r="H756" s="716"/>
      <c r="I756" s="716"/>
      <c r="J756" s="716"/>
      <c r="K756" s="716"/>
      <c r="L756" s="653" t="str">
        <f t="shared" si="719"/>
        <v>0</v>
      </c>
      <c r="M756" s="654">
        <f t="shared" si="520"/>
        <v>0</v>
      </c>
      <c r="N756" s="655">
        <f>+IF(OR($Q756=Parametres!$G$2,$Q756=Parametres!$G$3),I756,C756)</f>
        <v>0</v>
      </c>
      <c r="O756" s="655">
        <f>+IF(OR($Q756=Parametres!$G$2,$Q756=Parametres!$G$3),J756,D756)</f>
        <v>0</v>
      </c>
      <c r="P756" s="655">
        <f>+IF(OR($Q756=Parametres!$G$2,$Q756=Parametres!$G$3),K756,E756)</f>
        <v>0</v>
      </c>
      <c r="Q756" s="654">
        <f t="shared" ref="Q756:S756" si="769">+F756</f>
        <v>0</v>
      </c>
      <c r="R756" s="653">
        <f t="shared" si="769"/>
        <v>0</v>
      </c>
      <c r="S756" s="654">
        <f t="shared" si="769"/>
        <v>0</v>
      </c>
      <c r="T756" s="656" t="e">
        <f>+VLOOKUP($L756,Data_Validation!$A:$D,1,0)</f>
        <v>#N/A</v>
      </c>
      <c r="U756" s="656" t="e">
        <f>+VLOOKUP($L756,Data_Validation!$A:$D,3,0)</f>
        <v>#N/A</v>
      </c>
      <c r="V756" s="656" t="e">
        <f>+VLOOKUP($L756,Data_Validation!$A:$D,4,0)</f>
        <v>#N/A</v>
      </c>
      <c r="W756" s="656" t="e">
        <f>+VLOOKUP($L756,Data_Validation!$A:$E,5,0)</f>
        <v>#N/A</v>
      </c>
    </row>
    <row r="757" spans="1:23" ht="15.75" customHeight="1">
      <c r="A757" s="716"/>
      <c r="B757" s="654"/>
      <c r="C757" s="717"/>
      <c r="D757" s="716"/>
      <c r="E757" s="716"/>
      <c r="F757" s="716"/>
      <c r="G757" s="716"/>
      <c r="H757" s="716"/>
      <c r="I757" s="716"/>
      <c r="J757" s="716"/>
      <c r="K757" s="716"/>
      <c r="L757" s="653" t="str">
        <f t="shared" si="719"/>
        <v>0</v>
      </c>
      <c r="M757" s="654">
        <f t="shared" si="520"/>
        <v>0</v>
      </c>
      <c r="N757" s="655">
        <f>+IF(OR($Q757=Parametres!$G$2,$Q757=Parametres!$G$3),I757,C757)</f>
        <v>0</v>
      </c>
      <c r="O757" s="655">
        <f>+IF(OR($Q757=Parametres!$G$2,$Q757=Parametres!$G$3),J757,D757)</f>
        <v>0</v>
      </c>
      <c r="P757" s="655">
        <f>+IF(OR($Q757=Parametres!$G$2,$Q757=Parametres!$G$3),K757,E757)</f>
        <v>0</v>
      </c>
      <c r="Q757" s="654">
        <f t="shared" ref="Q757:S757" si="770">+F757</f>
        <v>0</v>
      </c>
      <c r="R757" s="653">
        <f t="shared" si="770"/>
        <v>0</v>
      </c>
      <c r="S757" s="654">
        <f t="shared" si="770"/>
        <v>0</v>
      </c>
      <c r="T757" s="656" t="e">
        <f>+VLOOKUP($L757,Data_Validation!$A:$D,1,0)</f>
        <v>#N/A</v>
      </c>
      <c r="U757" s="656" t="e">
        <f>+VLOOKUP($L757,Data_Validation!$A:$D,3,0)</f>
        <v>#N/A</v>
      </c>
      <c r="V757" s="656" t="e">
        <f>+VLOOKUP($L757,Data_Validation!$A:$D,4,0)</f>
        <v>#N/A</v>
      </c>
      <c r="W757" s="656" t="e">
        <f>+VLOOKUP($L757,Data_Validation!$A:$E,5,0)</f>
        <v>#N/A</v>
      </c>
    </row>
    <row r="758" spans="1:23" ht="15.75" customHeight="1">
      <c r="A758" s="716"/>
      <c r="B758" s="654"/>
      <c r="C758" s="717"/>
      <c r="D758" s="716"/>
      <c r="E758" s="716"/>
      <c r="F758" s="716"/>
      <c r="G758" s="716"/>
      <c r="H758" s="716"/>
      <c r="I758" s="716"/>
      <c r="J758" s="716"/>
      <c r="K758" s="716"/>
      <c r="L758" s="653" t="str">
        <f t="shared" si="719"/>
        <v>0</v>
      </c>
      <c r="M758" s="654">
        <f t="shared" si="520"/>
        <v>0</v>
      </c>
      <c r="N758" s="655">
        <f>+IF(OR($Q758=Parametres!$G$2,$Q758=Parametres!$G$3),I758,C758)</f>
        <v>0</v>
      </c>
      <c r="O758" s="655">
        <f>+IF(OR($Q758=Parametres!$G$2,$Q758=Parametres!$G$3),J758,D758)</f>
        <v>0</v>
      </c>
      <c r="P758" s="655">
        <f>+IF(OR($Q758=Parametres!$G$2,$Q758=Parametres!$G$3),K758,E758)</f>
        <v>0</v>
      </c>
      <c r="Q758" s="654">
        <f t="shared" ref="Q758:S758" si="771">+F758</f>
        <v>0</v>
      </c>
      <c r="R758" s="653">
        <f t="shared" si="771"/>
        <v>0</v>
      </c>
      <c r="S758" s="654">
        <f t="shared" si="771"/>
        <v>0</v>
      </c>
      <c r="T758" s="656" t="e">
        <f>+VLOOKUP($L758,Data_Validation!$A:$D,1,0)</f>
        <v>#N/A</v>
      </c>
      <c r="U758" s="656" t="e">
        <f>+VLOOKUP($L758,Data_Validation!$A:$D,3,0)</f>
        <v>#N/A</v>
      </c>
      <c r="V758" s="656" t="e">
        <f>+VLOOKUP($L758,Data_Validation!$A:$D,4,0)</f>
        <v>#N/A</v>
      </c>
      <c r="W758" s="656" t="e">
        <f>+VLOOKUP($L758,Data_Validation!$A:$E,5,0)</f>
        <v>#N/A</v>
      </c>
    </row>
    <row r="759" spans="1:23" ht="15.75" customHeight="1">
      <c r="A759" s="716"/>
      <c r="B759" s="654"/>
      <c r="C759" s="717"/>
      <c r="D759" s="716"/>
      <c r="E759" s="716"/>
      <c r="F759" s="716"/>
      <c r="G759" s="716"/>
      <c r="H759" s="716"/>
      <c r="I759" s="716"/>
      <c r="J759" s="716"/>
      <c r="K759" s="716"/>
      <c r="L759" s="653" t="str">
        <f t="shared" si="719"/>
        <v>0</v>
      </c>
      <c r="M759" s="654">
        <f t="shared" si="520"/>
        <v>0</v>
      </c>
      <c r="N759" s="655">
        <f>+IF(OR($Q759=Parametres!$G$2,$Q759=Parametres!$G$3),I759,C759)</f>
        <v>0</v>
      </c>
      <c r="O759" s="655">
        <f>+IF(OR($Q759=Parametres!$G$2,$Q759=Parametres!$G$3),J759,D759)</f>
        <v>0</v>
      </c>
      <c r="P759" s="655">
        <f>+IF(OR($Q759=Parametres!$G$2,$Q759=Parametres!$G$3),K759,E759)</f>
        <v>0</v>
      </c>
      <c r="Q759" s="654">
        <f t="shared" ref="Q759:S759" si="772">+F759</f>
        <v>0</v>
      </c>
      <c r="R759" s="653">
        <f t="shared" si="772"/>
        <v>0</v>
      </c>
      <c r="S759" s="654">
        <f t="shared" si="772"/>
        <v>0</v>
      </c>
      <c r="T759" s="656" t="e">
        <f>+VLOOKUP($L759,Data_Validation!$A:$D,1,0)</f>
        <v>#N/A</v>
      </c>
      <c r="U759" s="656" t="e">
        <f>+VLOOKUP($L759,Data_Validation!$A:$D,3,0)</f>
        <v>#N/A</v>
      </c>
      <c r="V759" s="656" t="e">
        <f>+VLOOKUP($L759,Data_Validation!$A:$D,4,0)</f>
        <v>#N/A</v>
      </c>
      <c r="W759" s="656" t="e">
        <f>+VLOOKUP($L759,Data_Validation!$A:$E,5,0)</f>
        <v>#N/A</v>
      </c>
    </row>
    <row r="760" spans="1:23" ht="15.75" customHeight="1">
      <c r="A760" s="716"/>
      <c r="B760" s="654"/>
      <c r="C760" s="717"/>
      <c r="D760" s="716"/>
      <c r="E760" s="716"/>
      <c r="F760" s="716"/>
      <c r="G760" s="716"/>
      <c r="H760" s="716"/>
      <c r="I760" s="716"/>
      <c r="J760" s="716"/>
      <c r="K760" s="716"/>
      <c r="L760" s="653" t="str">
        <f t="shared" si="719"/>
        <v>0</v>
      </c>
      <c r="M760" s="654">
        <f t="shared" si="520"/>
        <v>0</v>
      </c>
      <c r="N760" s="655">
        <f>+IF(OR($Q760=Parametres!$G$2,$Q760=Parametres!$G$3),I760,C760)</f>
        <v>0</v>
      </c>
      <c r="O760" s="655">
        <f>+IF(OR($Q760=Parametres!$G$2,$Q760=Parametres!$G$3),J760,D760)</f>
        <v>0</v>
      </c>
      <c r="P760" s="655">
        <f>+IF(OR($Q760=Parametres!$G$2,$Q760=Parametres!$G$3),K760,E760)</f>
        <v>0</v>
      </c>
      <c r="Q760" s="654">
        <f t="shared" ref="Q760:S760" si="773">+F760</f>
        <v>0</v>
      </c>
      <c r="R760" s="653">
        <f t="shared" si="773"/>
        <v>0</v>
      </c>
      <c r="S760" s="654">
        <f t="shared" si="773"/>
        <v>0</v>
      </c>
      <c r="T760" s="656" t="e">
        <f>+VLOOKUP($L760,Data_Validation!$A:$D,1,0)</f>
        <v>#N/A</v>
      </c>
      <c r="U760" s="656" t="e">
        <f>+VLOOKUP($L760,Data_Validation!$A:$D,3,0)</f>
        <v>#N/A</v>
      </c>
      <c r="V760" s="656" t="e">
        <f>+VLOOKUP($L760,Data_Validation!$A:$D,4,0)</f>
        <v>#N/A</v>
      </c>
      <c r="W760" s="656" t="e">
        <f>+VLOOKUP($L760,Data_Validation!$A:$E,5,0)</f>
        <v>#N/A</v>
      </c>
    </row>
    <row r="761" spans="1:23" ht="15.75" customHeight="1">
      <c r="A761" s="716"/>
      <c r="B761" s="654"/>
      <c r="C761" s="717"/>
      <c r="D761" s="716"/>
      <c r="E761" s="716"/>
      <c r="F761" s="716"/>
      <c r="G761" s="716"/>
      <c r="H761" s="716"/>
      <c r="I761" s="716"/>
      <c r="J761" s="716"/>
      <c r="K761" s="716"/>
      <c r="L761" s="653" t="str">
        <f t="shared" si="719"/>
        <v>0</v>
      </c>
      <c r="M761" s="654">
        <f t="shared" si="520"/>
        <v>0</v>
      </c>
      <c r="N761" s="655">
        <f>+IF(OR($Q761=Parametres!$G$2,$Q761=Parametres!$G$3),I761,C761)</f>
        <v>0</v>
      </c>
      <c r="O761" s="655">
        <f>+IF(OR($Q761=Parametres!$G$2,$Q761=Parametres!$G$3),J761,D761)</f>
        <v>0</v>
      </c>
      <c r="P761" s="655">
        <f>+IF(OR($Q761=Parametres!$G$2,$Q761=Parametres!$G$3),K761,E761)</f>
        <v>0</v>
      </c>
      <c r="Q761" s="654">
        <f t="shared" ref="Q761:S761" si="774">+F761</f>
        <v>0</v>
      </c>
      <c r="R761" s="653">
        <f t="shared" si="774"/>
        <v>0</v>
      </c>
      <c r="S761" s="654">
        <f t="shared" si="774"/>
        <v>0</v>
      </c>
      <c r="T761" s="656" t="e">
        <f>+VLOOKUP($L761,Data_Validation!$A:$D,1,0)</f>
        <v>#N/A</v>
      </c>
      <c r="U761" s="656" t="e">
        <f>+VLOOKUP($L761,Data_Validation!$A:$D,3,0)</f>
        <v>#N/A</v>
      </c>
      <c r="V761" s="656" t="e">
        <f>+VLOOKUP($L761,Data_Validation!$A:$D,4,0)</f>
        <v>#N/A</v>
      </c>
      <c r="W761" s="656" t="e">
        <f>+VLOOKUP($L761,Data_Validation!$A:$E,5,0)</f>
        <v>#N/A</v>
      </c>
    </row>
    <row r="762" spans="1:23" ht="15.75" customHeight="1">
      <c r="A762" s="716"/>
      <c r="B762" s="654"/>
      <c r="C762" s="717"/>
      <c r="D762" s="716"/>
      <c r="E762" s="716"/>
      <c r="F762" s="716"/>
      <c r="G762" s="716"/>
      <c r="H762" s="716"/>
      <c r="I762" s="716"/>
      <c r="J762" s="716"/>
      <c r="K762" s="716"/>
      <c r="L762" s="653" t="str">
        <f t="shared" si="719"/>
        <v>0</v>
      </c>
      <c r="M762" s="654">
        <f t="shared" si="520"/>
        <v>0</v>
      </c>
      <c r="N762" s="655">
        <f>+IF(OR($Q762=Parametres!$G$2,$Q762=Parametres!$G$3),I762,C762)</f>
        <v>0</v>
      </c>
      <c r="O762" s="655">
        <f>+IF(OR($Q762=Parametres!$G$2,$Q762=Parametres!$G$3),J762,D762)</f>
        <v>0</v>
      </c>
      <c r="P762" s="655">
        <f>+IF(OR($Q762=Parametres!$G$2,$Q762=Parametres!$G$3),K762,E762)</f>
        <v>0</v>
      </c>
      <c r="Q762" s="654">
        <f t="shared" ref="Q762:S762" si="775">+F762</f>
        <v>0</v>
      </c>
      <c r="R762" s="653">
        <f t="shared" si="775"/>
        <v>0</v>
      </c>
      <c r="S762" s="654">
        <f t="shared" si="775"/>
        <v>0</v>
      </c>
      <c r="T762" s="656" t="e">
        <f>+VLOOKUP($L762,Data_Validation!$A:$D,1,0)</f>
        <v>#N/A</v>
      </c>
      <c r="U762" s="656" t="e">
        <f>+VLOOKUP($L762,Data_Validation!$A:$D,3,0)</f>
        <v>#N/A</v>
      </c>
      <c r="V762" s="656" t="e">
        <f>+VLOOKUP($L762,Data_Validation!$A:$D,4,0)</f>
        <v>#N/A</v>
      </c>
      <c r="W762" s="656" t="e">
        <f>+VLOOKUP($L762,Data_Validation!$A:$E,5,0)</f>
        <v>#N/A</v>
      </c>
    </row>
    <row r="763" spans="1:23" ht="15.75" customHeight="1">
      <c r="A763" s="716"/>
      <c r="B763" s="654"/>
      <c r="C763" s="717"/>
      <c r="D763" s="716"/>
      <c r="E763" s="716"/>
      <c r="F763" s="716"/>
      <c r="G763" s="716"/>
      <c r="H763" s="716"/>
      <c r="I763" s="716"/>
      <c r="J763" s="716"/>
      <c r="K763" s="716"/>
      <c r="L763" s="653" t="str">
        <f t="shared" si="719"/>
        <v>0</v>
      </c>
      <c r="M763" s="654">
        <f t="shared" si="520"/>
        <v>0</v>
      </c>
      <c r="N763" s="655">
        <f>+IF(OR($Q763=Parametres!$G$2,$Q763=Parametres!$G$3),I763,C763)</f>
        <v>0</v>
      </c>
      <c r="O763" s="655">
        <f>+IF(OR($Q763=Parametres!$G$2,$Q763=Parametres!$G$3),J763,D763)</f>
        <v>0</v>
      </c>
      <c r="P763" s="655">
        <f>+IF(OR($Q763=Parametres!$G$2,$Q763=Parametres!$G$3),K763,E763)</f>
        <v>0</v>
      </c>
      <c r="Q763" s="654">
        <f t="shared" ref="Q763:S763" si="776">+F763</f>
        <v>0</v>
      </c>
      <c r="R763" s="653">
        <f t="shared" si="776"/>
        <v>0</v>
      </c>
      <c r="S763" s="654">
        <f t="shared" si="776"/>
        <v>0</v>
      </c>
      <c r="T763" s="656" t="e">
        <f>+VLOOKUP($L763,Data_Validation!$A:$D,1,0)</f>
        <v>#N/A</v>
      </c>
      <c r="U763" s="656" t="e">
        <f>+VLOOKUP($L763,Data_Validation!$A:$D,3,0)</f>
        <v>#N/A</v>
      </c>
      <c r="V763" s="656" t="e">
        <f>+VLOOKUP($L763,Data_Validation!$A:$D,4,0)</f>
        <v>#N/A</v>
      </c>
      <c r="W763" s="656" t="e">
        <f>+VLOOKUP($L763,Data_Validation!$A:$E,5,0)</f>
        <v>#N/A</v>
      </c>
    </row>
    <row r="764" spans="1:23" ht="15.75" customHeight="1">
      <c r="A764" s="716"/>
      <c r="B764" s="654"/>
      <c r="C764" s="717"/>
      <c r="D764" s="716"/>
      <c r="E764" s="716"/>
      <c r="F764" s="716"/>
      <c r="G764" s="716"/>
      <c r="H764" s="716"/>
      <c r="I764" s="716"/>
      <c r="J764" s="716"/>
      <c r="K764" s="716"/>
      <c r="L764" s="653" t="str">
        <f t="shared" si="719"/>
        <v>0</v>
      </c>
      <c r="M764" s="654">
        <f t="shared" si="520"/>
        <v>0</v>
      </c>
      <c r="N764" s="655">
        <f>+IF(OR($Q764=Parametres!$G$2,$Q764=Parametres!$G$3),I764,C764)</f>
        <v>0</v>
      </c>
      <c r="O764" s="655">
        <f>+IF(OR($Q764=Parametres!$G$2,$Q764=Parametres!$G$3),J764,D764)</f>
        <v>0</v>
      </c>
      <c r="P764" s="655">
        <f>+IF(OR($Q764=Parametres!$G$2,$Q764=Parametres!$G$3),K764,E764)</f>
        <v>0</v>
      </c>
      <c r="Q764" s="654">
        <f t="shared" ref="Q764:S764" si="777">+F764</f>
        <v>0</v>
      </c>
      <c r="R764" s="653">
        <f t="shared" si="777"/>
        <v>0</v>
      </c>
      <c r="S764" s="654">
        <f t="shared" si="777"/>
        <v>0</v>
      </c>
      <c r="T764" s="656" t="e">
        <f>+VLOOKUP($L764,Data_Validation!$A:$D,1,0)</f>
        <v>#N/A</v>
      </c>
      <c r="U764" s="656" t="e">
        <f>+VLOOKUP($L764,Data_Validation!$A:$D,3,0)</f>
        <v>#N/A</v>
      </c>
      <c r="V764" s="656" t="e">
        <f>+VLOOKUP($L764,Data_Validation!$A:$D,4,0)</f>
        <v>#N/A</v>
      </c>
      <c r="W764" s="656" t="e">
        <f>+VLOOKUP($L764,Data_Validation!$A:$E,5,0)</f>
        <v>#N/A</v>
      </c>
    </row>
    <row r="765" spans="1:23" ht="15.75" customHeight="1">
      <c r="A765" s="716"/>
      <c r="B765" s="654"/>
      <c r="C765" s="717"/>
      <c r="D765" s="716"/>
      <c r="E765" s="716"/>
      <c r="F765" s="716"/>
      <c r="G765" s="716"/>
      <c r="H765" s="716"/>
      <c r="I765" s="716"/>
      <c r="J765" s="716"/>
      <c r="K765" s="716"/>
      <c r="L765" s="653" t="str">
        <f t="shared" si="719"/>
        <v>0</v>
      </c>
      <c r="M765" s="654">
        <f t="shared" si="520"/>
        <v>0</v>
      </c>
      <c r="N765" s="655">
        <f>+IF(OR($Q765=Parametres!$G$2,$Q765=Parametres!$G$3),I765,C765)</f>
        <v>0</v>
      </c>
      <c r="O765" s="655">
        <f>+IF(OR($Q765=Parametres!$G$2,$Q765=Parametres!$G$3),J765,D765)</f>
        <v>0</v>
      </c>
      <c r="P765" s="655">
        <f>+IF(OR($Q765=Parametres!$G$2,$Q765=Parametres!$G$3),K765,E765)</f>
        <v>0</v>
      </c>
      <c r="Q765" s="654">
        <f t="shared" ref="Q765:S765" si="778">+F765</f>
        <v>0</v>
      </c>
      <c r="R765" s="653">
        <f t="shared" si="778"/>
        <v>0</v>
      </c>
      <c r="S765" s="654">
        <f t="shared" si="778"/>
        <v>0</v>
      </c>
      <c r="T765" s="656" t="e">
        <f>+VLOOKUP($L765,Data_Validation!$A:$D,1,0)</f>
        <v>#N/A</v>
      </c>
      <c r="U765" s="656" t="e">
        <f>+VLOOKUP($L765,Data_Validation!$A:$D,3,0)</f>
        <v>#N/A</v>
      </c>
      <c r="V765" s="656" t="e">
        <f>+VLOOKUP($L765,Data_Validation!$A:$D,4,0)</f>
        <v>#N/A</v>
      </c>
      <c r="W765" s="656" t="e">
        <f>+VLOOKUP($L765,Data_Validation!$A:$E,5,0)</f>
        <v>#N/A</v>
      </c>
    </row>
    <row r="766" spans="1:23" ht="15.75" customHeight="1">
      <c r="A766" s="716"/>
      <c r="B766" s="654"/>
      <c r="C766" s="717"/>
      <c r="D766" s="716"/>
      <c r="E766" s="716"/>
      <c r="F766" s="716"/>
      <c r="G766" s="716"/>
      <c r="H766" s="716"/>
      <c r="I766" s="716"/>
      <c r="J766" s="716"/>
      <c r="K766" s="716"/>
      <c r="L766" s="653" t="str">
        <f t="shared" si="719"/>
        <v>0</v>
      </c>
      <c r="M766" s="654">
        <f t="shared" si="520"/>
        <v>0</v>
      </c>
      <c r="N766" s="655">
        <f>+IF(OR($Q766=Parametres!$G$2,$Q766=Parametres!$G$3),I766,C766)</f>
        <v>0</v>
      </c>
      <c r="O766" s="655">
        <f>+IF(OR($Q766=Parametres!$G$2,$Q766=Parametres!$G$3),J766,D766)</f>
        <v>0</v>
      </c>
      <c r="P766" s="655">
        <f>+IF(OR($Q766=Parametres!$G$2,$Q766=Parametres!$G$3),K766,E766)</f>
        <v>0</v>
      </c>
      <c r="Q766" s="654">
        <f t="shared" ref="Q766:S766" si="779">+F766</f>
        <v>0</v>
      </c>
      <c r="R766" s="653">
        <f t="shared" si="779"/>
        <v>0</v>
      </c>
      <c r="S766" s="654">
        <f t="shared" si="779"/>
        <v>0</v>
      </c>
      <c r="T766" s="656" t="e">
        <f>+VLOOKUP($L766,Data_Validation!$A:$D,1,0)</f>
        <v>#N/A</v>
      </c>
      <c r="U766" s="656" t="e">
        <f>+VLOOKUP($L766,Data_Validation!$A:$D,3,0)</f>
        <v>#N/A</v>
      </c>
      <c r="V766" s="656" t="e">
        <f>+VLOOKUP($L766,Data_Validation!$A:$D,4,0)</f>
        <v>#N/A</v>
      </c>
      <c r="W766" s="656" t="e">
        <f>+VLOOKUP($L766,Data_Validation!$A:$E,5,0)</f>
        <v>#N/A</v>
      </c>
    </row>
    <row r="767" spans="1:23" ht="15.75" customHeight="1">
      <c r="A767" s="716"/>
      <c r="B767" s="654"/>
      <c r="C767" s="717"/>
      <c r="D767" s="716"/>
      <c r="E767" s="716"/>
      <c r="F767" s="716"/>
      <c r="G767" s="716"/>
      <c r="H767" s="716"/>
      <c r="I767" s="716"/>
      <c r="J767" s="716"/>
      <c r="K767" s="716"/>
      <c r="L767" s="653" t="str">
        <f t="shared" si="719"/>
        <v>0</v>
      </c>
      <c r="M767" s="654">
        <f t="shared" ref="M767:M1021" si="780">+A767</f>
        <v>0</v>
      </c>
      <c r="N767" s="655">
        <f>+IF(OR($Q767=Parametres!$G$2,$Q767=Parametres!$G$3),I767,C767)</f>
        <v>0</v>
      </c>
      <c r="O767" s="655">
        <f>+IF(OR($Q767=Parametres!$G$2,$Q767=Parametres!$G$3),J767,D767)</f>
        <v>0</v>
      </c>
      <c r="P767" s="655">
        <f>+IF(OR($Q767=Parametres!$G$2,$Q767=Parametres!$G$3),K767,E767)</f>
        <v>0</v>
      </c>
      <c r="Q767" s="654">
        <f t="shared" ref="Q767:S767" si="781">+F767</f>
        <v>0</v>
      </c>
      <c r="R767" s="653">
        <f t="shared" si="781"/>
        <v>0</v>
      </c>
      <c r="S767" s="654">
        <f t="shared" si="781"/>
        <v>0</v>
      </c>
      <c r="T767" s="656" t="e">
        <f>+VLOOKUP($L767,Data_Validation!$A:$D,1,0)</f>
        <v>#N/A</v>
      </c>
      <c r="U767" s="656" t="e">
        <f>+VLOOKUP($L767,Data_Validation!$A:$D,3,0)</f>
        <v>#N/A</v>
      </c>
      <c r="V767" s="656" t="e">
        <f>+VLOOKUP($L767,Data_Validation!$A:$D,4,0)</f>
        <v>#N/A</v>
      </c>
      <c r="W767" s="656" t="e">
        <f>+VLOOKUP($L767,Data_Validation!$A:$E,5,0)</f>
        <v>#N/A</v>
      </c>
    </row>
    <row r="768" spans="1:23" ht="15.75" customHeight="1">
      <c r="A768" s="716"/>
      <c r="B768" s="654"/>
      <c r="C768" s="717"/>
      <c r="D768" s="716"/>
      <c r="E768" s="716"/>
      <c r="F768" s="716"/>
      <c r="G768" s="716"/>
      <c r="H768" s="716"/>
      <c r="I768" s="716"/>
      <c r="J768" s="716"/>
      <c r="K768" s="716"/>
      <c r="L768" s="653" t="str">
        <f t="shared" si="719"/>
        <v>0</v>
      </c>
      <c r="M768" s="654">
        <f t="shared" si="780"/>
        <v>0</v>
      </c>
      <c r="N768" s="655">
        <f>+IF(OR($Q768=Parametres!$G$2,$Q768=Parametres!$G$3),I768,C768)</f>
        <v>0</v>
      </c>
      <c r="O768" s="655">
        <f>+IF(OR($Q768=Parametres!$G$2,$Q768=Parametres!$G$3),J768,D768)</f>
        <v>0</v>
      </c>
      <c r="P768" s="655">
        <f>+IF(OR($Q768=Parametres!$G$2,$Q768=Parametres!$G$3),K768,E768)</f>
        <v>0</v>
      </c>
      <c r="Q768" s="654">
        <f t="shared" ref="Q768:S768" si="782">+F768</f>
        <v>0</v>
      </c>
      <c r="R768" s="653">
        <f t="shared" si="782"/>
        <v>0</v>
      </c>
      <c r="S768" s="654">
        <f t="shared" si="782"/>
        <v>0</v>
      </c>
      <c r="T768" s="656" t="e">
        <f>+VLOOKUP($L768,Data_Validation!$A:$D,1,0)</f>
        <v>#N/A</v>
      </c>
      <c r="U768" s="656" t="e">
        <f>+VLOOKUP($L768,Data_Validation!$A:$D,3,0)</f>
        <v>#N/A</v>
      </c>
      <c r="V768" s="656" t="e">
        <f>+VLOOKUP($L768,Data_Validation!$A:$D,4,0)</f>
        <v>#N/A</v>
      </c>
      <c r="W768" s="656" t="e">
        <f>+VLOOKUP($L768,Data_Validation!$A:$E,5,0)</f>
        <v>#N/A</v>
      </c>
    </row>
    <row r="769" spans="1:23" ht="15.75" customHeight="1">
      <c r="A769" s="716"/>
      <c r="B769" s="654"/>
      <c r="C769" s="717"/>
      <c r="D769" s="716"/>
      <c r="E769" s="716"/>
      <c r="F769" s="716"/>
      <c r="G769" s="716"/>
      <c r="H769" s="716"/>
      <c r="I769" s="716"/>
      <c r="J769" s="716"/>
      <c r="K769" s="716"/>
      <c r="L769" s="653" t="str">
        <f t="shared" si="719"/>
        <v>0</v>
      </c>
      <c r="M769" s="654">
        <f t="shared" si="780"/>
        <v>0</v>
      </c>
      <c r="N769" s="655">
        <f>+IF(OR($Q769=Parametres!$G$2,$Q769=Parametres!$G$3),I769,C769)</f>
        <v>0</v>
      </c>
      <c r="O769" s="655">
        <f>+IF(OR($Q769=Parametres!$G$2,$Q769=Parametres!$G$3),J769,D769)</f>
        <v>0</v>
      </c>
      <c r="P769" s="655">
        <f>+IF(OR($Q769=Parametres!$G$2,$Q769=Parametres!$G$3),K769,E769)</f>
        <v>0</v>
      </c>
      <c r="Q769" s="654">
        <f t="shared" ref="Q769:S769" si="783">+F769</f>
        <v>0</v>
      </c>
      <c r="R769" s="653">
        <f t="shared" si="783"/>
        <v>0</v>
      </c>
      <c r="S769" s="654">
        <f t="shared" si="783"/>
        <v>0</v>
      </c>
      <c r="T769" s="656" t="e">
        <f>+VLOOKUP($L769,Data_Validation!$A:$D,1,0)</f>
        <v>#N/A</v>
      </c>
      <c r="U769" s="656" t="e">
        <f>+VLOOKUP($L769,Data_Validation!$A:$D,3,0)</f>
        <v>#N/A</v>
      </c>
      <c r="V769" s="656" t="e">
        <f>+VLOOKUP($L769,Data_Validation!$A:$D,4,0)</f>
        <v>#N/A</v>
      </c>
      <c r="W769" s="656" t="e">
        <f>+VLOOKUP($L769,Data_Validation!$A:$E,5,0)</f>
        <v>#N/A</v>
      </c>
    </row>
    <row r="770" spans="1:23" ht="15.75" customHeight="1">
      <c r="A770" s="716"/>
      <c r="B770" s="654"/>
      <c r="C770" s="717"/>
      <c r="D770" s="716"/>
      <c r="E770" s="716"/>
      <c r="F770" s="716"/>
      <c r="G770" s="716"/>
      <c r="H770" s="716"/>
      <c r="I770" s="716"/>
      <c r="J770" s="716"/>
      <c r="K770" s="716"/>
      <c r="L770" s="653" t="str">
        <f t="shared" si="719"/>
        <v>0</v>
      </c>
      <c r="M770" s="654">
        <f t="shared" si="780"/>
        <v>0</v>
      </c>
      <c r="N770" s="655">
        <f>+IF(OR($Q770=Parametres!$G$2,$Q770=Parametres!$G$3),I770,C770)</f>
        <v>0</v>
      </c>
      <c r="O770" s="655">
        <f>+IF(OR($Q770=Parametres!$G$2,$Q770=Parametres!$G$3),J770,D770)</f>
        <v>0</v>
      </c>
      <c r="P770" s="655">
        <f>+IF(OR($Q770=Parametres!$G$2,$Q770=Parametres!$G$3),K770,E770)</f>
        <v>0</v>
      </c>
      <c r="Q770" s="654">
        <f t="shared" ref="Q770:S770" si="784">+F770</f>
        <v>0</v>
      </c>
      <c r="R770" s="653">
        <f t="shared" si="784"/>
        <v>0</v>
      </c>
      <c r="S770" s="654">
        <f t="shared" si="784"/>
        <v>0</v>
      </c>
      <c r="T770" s="656" t="e">
        <f>+VLOOKUP($L770,Data_Validation!$A:$D,1,0)</f>
        <v>#N/A</v>
      </c>
      <c r="U770" s="656" t="e">
        <f>+VLOOKUP($L770,Data_Validation!$A:$D,3,0)</f>
        <v>#N/A</v>
      </c>
      <c r="V770" s="656" t="e">
        <f>+VLOOKUP($L770,Data_Validation!$A:$D,4,0)</f>
        <v>#N/A</v>
      </c>
      <c r="W770" s="656" t="e">
        <f>+VLOOKUP($L770,Data_Validation!$A:$E,5,0)</f>
        <v>#N/A</v>
      </c>
    </row>
    <row r="771" spans="1:23" ht="15.75" customHeight="1">
      <c r="A771" s="716"/>
      <c r="B771" s="654"/>
      <c r="C771" s="717"/>
      <c r="D771" s="716"/>
      <c r="E771" s="716"/>
      <c r="F771" s="716"/>
      <c r="G771" s="716"/>
      <c r="H771" s="716"/>
      <c r="I771" s="716"/>
      <c r="J771" s="716"/>
      <c r="K771" s="716"/>
      <c r="L771" s="653" t="str">
        <f t="shared" ref="L771:L834" si="785">TEXT(B771,0)</f>
        <v>0</v>
      </c>
      <c r="M771" s="654">
        <f t="shared" si="780"/>
        <v>0</v>
      </c>
      <c r="N771" s="655">
        <f>+IF(OR($Q771=Parametres!$G$2,$Q771=Parametres!$G$3),I771,C771)</f>
        <v>0</v>
      </c>
      <c r="O771" s="655">
        <f>+IF(OR($Q771=Parametres!$G$2,$Q771=Parametres!$G$3),J771,D771)</f>
        <v>0</v>
      </c>
      <c r="P771" s="655">
        <f>+IF(OR($Q771=Parametres!$G$2,$Q771=Parametres!$G$3),K771,E771)</f>
        <v>0</v>
      </c>
      <c r="Q771" s="654">
        <f t="shared" ref="Q771:S771" si="786">+F771</f>
        <v>0</v>
      </c>
      <c r="R771" s="653">
        <f t="shared" si="786"/>
        <v>0</v>
      </c>
      <c r="S771" s="654">
        <f t="shared" si="786"/>
        <v>0</v>
      </c>
      <c r="T771" s="656" t="e">
        <f>+VLOOKUP($L771,Data_Validation!$A:$D,1,0)</f>
        <v>#N/A</v>
      </c>
      <c r="U771" s="656" t="e">
        <f>+VLOOKUP($L771,Data_Validation!$A:$D,3,0)</f>
        <v>#N/A</v>
      </c>
      <c r="V771" s="656" t="e">
        <f>+VLOOKUP($L771,Data_Validation!$A:$D,4,0)</f>
        <v>#N/A</v>
      </c>
      <c r="W771" s="656" t="e">
        <f>+VLOOKUP($L771,Data_Validation!$A:$E,5,0)</f>
        <v>#N/A</v>
      </c>
    </row>
    <row r="772" spans="1:23" ht="15.75" customHeight="1">
      <c r="A772" s="716"/>
      <c r="B772" s="654"/>
      <c r="C772" s="717"/>
      <c r="D772" s="716"/>
      <c r="E772" s="716"/>
      <c r="F772" s="716"/>
      <c r="G772" s="716"/>
      <c r="H772" s="716"/>
      <c r="I772" s="716"/>
      <c r="J772" s="716"/>
      <c r="K772" s="716"/>
      <c r="L772" s="653" t="str">
        <f t="shared" si="785"/>
        <v>0</v>
      </c>
      <c r="M772" s="654">
        <f t="shared" si="780"/>
        <v>0</v>
      </c>
      <c r="N772" s="655">
        <f>+IF(OR($Q772=Parametres!$G$2,$Q772=Parametres!$G$3),I772,C772)</f>
        <v>0</v>
      </c>
      <c r="O772" s="655">
        <f>+IF(OR($Q772=Parametres!$G$2,$Q772=Parametres!$G$3),J772,D772)</f>
        <v>0</v>
      </c>
      <c r="P772" s="655">
        <f>+IF(OR($Q772=Parametres!$G$2,$Q772=Parametres!$G$3),K772,E772)</f>
        <v>0</v>
      </c>
      <c r="Q772" s="654">
        <f t="shared" ref="Q772:S772" si="787">+F772</f>
        <v>0</v>
      </c>
      <c r="R772" s="653">
        <f t="shared" si="787"/>
        <v>0</v>
      </c>
      <c r="S772" s="654">
        <f t="shared" si="787"/>
        <v>0</v>
      </c>
      <c r="T772" s="656" t="e">
        <f>+VLOOKUP($L772,Data_Validation!$A:$D,1,0)</f>
        <v>#N/A</v>
      </c>
      <c r="U772" s="656" t="e">
        <f>+VLOOKUP($L772,Data_Validation!$A:$D,3,0)</f>
        <v>#N/A</v>
      </c>
      <c r="V772" s="656" t="e">
        <f>+VLOOKUP($L772,Data_Validation!$A:$D,4,0)</f>
        <v>#N/A</v>
      </c>
      <c r="W772" s="656" t="e">
        <f>+VLOOKUP($L772,Data_Validation!$A:$E,5,0)</f>
        <v>#N/A</v>
      </c>
    </row>
    <row r="773" spans="1:23" ht="15.75" customHeight="1">
      <c r="A773" s="716"/>
      <c r="B773" s="654"/>
      <c r="C773" s="717"/>
      <c r="D773" s="716"/>
      <c r="E773" s="716"/>
      <c r="F773" s="716"/>
      <c r="G773" s="716"/>
      <c r="H773" s="716"/>
      <c r="I773" s="716"/>
      <c r="J773" s="716"/>
      <c r="K773" s="716"/>
      <c r="L773" s="653" t="str">
        <f t="shared" si="785"/>
        <v>0</v>
      </c>
      <c r="M773" s="654">
        <f t="shared" si="780"/>
        <v>0</v>
      </c>
      <c r="N773" s="655">
        <f>+IF(OR($Q773=Parametres!$G$2,$Q773=Parametres!$G$3),I773,C773)</f>
        <v>0</v>
      </c>
      <c r="O773" s="655">
        <f>+IF(OR($Q773=Parametres!$G$2,$Q773=Parametres!$G$3),J773,D773)</f>
        <v>0</v>
      </c>
      <c r="P773" s="655">
        <f>+IF(OR($Q773=Parametres!$G$2,$Q773=Parametres!$G$3),K773,E773)</f>
        <v>0</v>
      </c>
      <c r="Q773" s="654">
        <f t="shared" ref="Q773:S773" si="788">+F773</f>
        <v>0</v>
      </c>
      <c r="R773" s="653">
        <f t="shared" si="788"/>
        <v>0</v>
      </c>
      <c r="S773" s="654">
        <f t="shared" si="788"/>
        <v>0</v>
      </c>
      <c r="T773" s="656" t="e">
        <f>+VLOOKUP($L773,Data_Validation!$A:$D,1,0)</f>
        <v>#N/A</v>
      </c>
      <c r="U773" s="656" t="e">
        <f>+VLOOKUP($L773,Data_Validation!$A:$D,3,0)</f>
        <v>#N/A</v>
      </c>
      <c r="V773" s="656" t="e">
        <f>+VLOOKUP($L773,Data_Validation!$A:$D,4,0)</f>
        <v>#N/A</v>
      </c>
      <c r="W773" s="656" t="e">
        <f>+VLOOKUP($L773,Data_Validation!$A:$E,5,0)</f>
        <v>#N/A</v>
      </c>
    </row>
    <row r="774" spans="1:23" ht="15.75" customHeight="1">
      <c r="A774" s="716"/>
      <c r="B774" s="654"/>
      <c r="C774" s="717"/>
      <c r="D774" s="716"/>
      <c r="E774" s="716"/>
      <c r="F774" s="716"/>
      <c r="G774" s="716"/>
      <c r="H774" s="716"/>
      <c r="I774" s="716"/>
      <c r="J774" s="716"/>
      <c r="K774" s="716"/>
      <c r="L774" s="653" t="str">
        <f t="shared" si="785"/>
        <v>0</v>
      </c>
      <c r="M774" s="654">
        <f t="shared" si="780"/>
        <v>0</v>
      </c>
      <c r="N774" s="655">
        <f>+IF(OR($Q774=Parametres!$G$2,$Q774=Parametres!$G$3),I774,C774)</f>
        <v>0</v>
      </c>
      <c r="O774" s="655">
        <f>+IF(OR($Q774=Parametres!$G$2,$Q774=Parametres!$G$3),J774,D774)</f>
        <v>0</v>
      </c>
      <c r="P774" s="655">
        <f>+IF(OR($Q774=Parametres!$G$2,$Q774=Parametres!$G$3),K774,E774)</f>
        <v>0</v>
      </c>
      <c r="Q774" s="654">
        <f t="shared" ref="Q774:S774" si="789">+F774</f>
        <v>0</v>
      </c>
      <c r="R774" s="653">
        <f t="shared" si="789"/>
        <v>0</v>
      </c>
      <c r="S774" s="654">
        <f t="shared" si="789"/>
        <v>0</v>
      </c>
      <c r="T774" s="656" t="e">
        <f>+VLOOKUP($L774,Data_Validation!$A:$D,1,0)</f>
        <v>#N/A</v>
      </c>
      <c r="U774" s="656" t="e">
        <f>+VLOOKUP($L774,Data_Validation!$A:$D,3,0)</f>
        <v>#N/A</v>
      </c>
      <c r="V774" s="656" t="e">
        <f>+VLOOKUP($L774,Data_Validation!$A:$D,4,0)</f>
        <v>#N/A</v>
      </c>
      <c r="W774" s="656" t="e">
        <f>+VLOOKUP($L774,Data_Validation!$A:$E,5,0)</f>
        <v>#N/A</v>
      </c>
    </row>
    <row r="775" spans="1:23" ht="15.75" customHeight="1">
      <c r="A775" s="716"/>
      <c r="B775" s="654"/>
      <c r="C775" s="717"/>
      <c r="D775" s="716"/>
      <c r="E775" s="716"/>
      <c r="F775" s="716"/>
      <c r="G775" s="716"/>
      <c r="H775" s="716"/>
      <c r="I775" s="716"/>
      <c r="J775" s="716"/>
      <c r="K775" s="716"/>
      <c r="L775" s="653" t="str">
        <f t="shared" si="785"/>
        <v>0</v>
      </c>
      <c r="M775" s="654">
        <f t="shared" si="780"/>
        <v>0</v>
      </c>
      <c r="N775" s="655">
        <f>+IF(OR($Q775=Parametres!$G$2,$Q775=Parametres!$G$3),I775,C775)</f>
        <v>0</v>
      </c>
      <c r="O775" s="655">
        <f>+IF(OR($Q775=Parametres!$G$2,$Q775=Parametres!$G$3),J775,D775)</f>
        <v>0</v>
      </c>
      <c r="P775" s="655">
        <f>+IF(OR($Q775=Parametres!$G$2,$Q775=Parametres!$G$3),K775,E775)</f>
        <v>0</v>
      </c>
      <c r="Q775" s="654">
        <f t="shared" ref="Q775:S775" si="790">+F775</f>
        <v>0</v>
      </c>
      <c r="R775" s="653">
        <f t="shared" si="790"/>
        <v>0</v>
      </c>
      <c r="S775" s="654">
        <f t="shared" si="790"/>
        <v>0</v>
      </c>
      <c r="T775" s="656" t="e">
        <f>+VLOOKUP($L775,Data_Validation!$A:$D,1,0)</f>
        <v>#N/A</v>
      </c>
      <c r="U775" s="656" t="e">
        <f>+VLOOKUP($L775,Data_Validation!$A:$D,3,0)</f>
        <v>#N/A</v>
      </c>
      <c r="V775" s="656" t="e">
        <f>+VLOOKUP($L775,Data_Validation!$A:$D,4,0)</f>
        <v>#N/A</v>
      </c>
      <c r="W775" s="656" t="e">
        <f>+VLOOKUP($L775,Data_Validation!$A:$E,5,0)</f>
        <v>#N/A</v>
      </c>
    </row>
    <row r="776" spans="1:23" ht="15.75" customHeight="1">
      <c r="A776" s="716"/>
      <c r="B776" s="654"/>
      <c r="C776" s="717"/>
      <c r="D776" s="716"/>
      <c r="E776" s="716"/>
      <c r="F776" s="716"/>
      <c r="G776" s="716"/>
      <c r="H776" s="716"/>
      <c r="I776" s="716"/>
      <c r="J776" s="716"/>
      <c r="K776" s="716"/>
      <c r="L776" s="653" t="str">
        <f t="shared" si="785"/>
        <v>0</v>
      </c>
      <c r="M776" s="654">
        <f t="shared" si="780"/>
        <v>0</v>
      </c>
      <c r="N776" s="655">
        <f>+IF(OR($Q776=Parametres!$G$2,$Q776=Parametres!$G$3),I776,C776)</f>
        <v>0</v>
      </c>
      <c r="O776" s="655">
        <f>+IF(OR($Q776=Parametres!$G$2,$Q776=Parametres!$G$3),J776,D776)</f>
        <v>0</v>
      </c>
      <c r="P776" s="655">
        <f>+IF(OR($Q776=Parametres!$G$2,$Q776=Parametres!$G$3),K776,E776)</f>
        <v>0</v>
      </c>
      <c r="Q776" s="654">
        <f t="shared" ref="Q776:S776" si="791">+F776</f>
        <v>0</v>
      </c>
      <c r="R776" s="653">
        <f t="shared" si="791"/>
        <v>0</v>
      </c>
      <c r="S776" s="654">
        <f t="shared" si="791"/>
        <v>0</v>
      </c>
      <c r="T776" s="656" t="e">
        <f>+VLOOKUP($L776,Data_Validation!$A:$D,1,0)</f>
        <v>#N/A</v>
      </c>
      <c r="U776" s="656" t="e">
        <f>+VLOOKUP($L776,Data_Validation!$A:$D,3,0)</f>
        <v>#N/A</v>
      </c>
      <c r="V776" s="656" t="e">
        <f>+VLOOKUP($L776,Data_Validation!$A:$D,4,0)</f>
        <v>#N/A</v>
      </c>
      <c r="W776" s="656" t="e">
        <f>+VLOOKUP($L776,Data_Validation!$A:$E,5,0)</f>
        <v>#N/A</v>
      </c>
    </row>
    <row r="777" spans="1:23" ht="15.75" customHeight="1">
      <c r="A777" s="716"/>
      <c r="B777" s="654"/>
      <c r="C777" s="717"/>
      <c r="D777" s="716"/>
      <c r="E777" s="716"/>
      <c r="F777" s="716"/>
      <c r="G777" s="716"/>
      <c r="H777" s="716"/>
      <c r="I777" s="716"/>
      <c r="J777" s="716"/>
      <c r="K777" s="716"/>
      <c r="L777" s="653" t="str">
        <f t="shared" si="785"/>
        <v>0</v>
      </c>
      <c r="M777" s="654">
        <f t="shared" si="780"/>
        <v>0</v>
      </c>
      <c r="N777" s="655">
        <f>+IF(OR($Q777=Parametres!$G$2,$Q777=Parametres!$G$3),I777,C777)</f>
        <v>0</v>
      </c>
      <c r="O777" s="655">
        <f>+IF(OR($Q777=Parametres!$G$2,$Q777=Parametres!$G$3),J777,D777)</f>
        <v>0</v>
      </c>
      <c r="P777" s="655">
        <f>+IF(OR($Q777=Parametres!$G$2,$Q777=Parametres!$G$3),K777,E777)</f>
        <v>0</v>
      </c>
      <c r="Q777" s="654">
        <f t="shared" ref="Q777:S777" si="792">+F777</f>
        <v>0</v>
      </c>
      <c r="R777" s="653">
        <f t="shared" si="792"/>
        <v>0</v>
      </c>
      <c r="S777" s="654">
        <f t="shared" si="792"/>
        <v>0</v>
      </c>
      <c r="T777" s="656" t="e">
        <f>+VLOOKUP($L777,Data_Validation!$A:$D,1,0)</f>
        <v>#N/A</v>
      </c>
      <c r="U777" s="656" t="e">
        <f>+VLOOKUP($L777,Data_Validation!$A:$D,3,0)</f>
        <v>#N/A</v>
      </c>
      <c r="V777" s="656" t="e">
        <f>+VLOOKUP($L777,Data_Validation!$A:$D,4,0)</f>
        <v>#N/A</v>
      </c>
      <c r="W777" s="656" t="e">
        <f>+VLOOKUP($L777,Data_Validation!$A:$E,5,0)</f>
        <v>#N/A</v>
      </c>
    </row>
    <row r="778" spans="1:23" ht="15.75" customHeight="1">
      <c r="A778" s="716"/>
      <c r="B778" s="654"/>
      <c r="C778" s="717"/>
      <c r="D778" s="716"/>
      <c r="E778" s="716"/>
      <c r="F778" s="716"/>
      <c r="G778" s="716"/>
      <c r="H778" s="716"/>
      <c r="I778" s="716"/>
      <c r="J778" s="716"/>
      <c r="K778" s="716"/>
      <c r="L778" s="653" t="str">
        <f t="shared" si="785"/>
        <v>0</v>
      </c>
      <c r="M778" s="654">
        <f t="shared" si="780"/>
        <v>0</v>
      </c>
      <c r="N778" s="655">
        <f>+IF(OR($Q778=Parametres!$G$2,$Q778=Parametres!$G$3),I778,C778)</f>
        <v>0</v>
      </c>
      <c r="O778" s="655">
        <f>+IF(OR($Q778=Parametres!$G$2,$Q778=Parametres!$G$3),J778,D778)</f>
        <v>0</v>
      </c>
      <c r="P778" s="655">
        <f>+IF(OR($Q778=Parametres!$G$2,$Q778=Parametres!$G$3),K778,E778)</f>
        <v>0</v>
      </c>
      <c r="Q778" s="654">
        <f t="shared" ref="Q778:S778" si="793">+F778</f>
        <v>0</v>
      </c>
      <c r="R778" s="653">
        <f t="shared" si="793"/>
        <v>0</v>
      </c>
      <c r="S778" s="654">
        <f t="shared" si="793"/>
        <v>0</v>
      </c>
      <c r="T778" s="656" t="e">
        <f>+VLOOKUP($L778,Data_Validation!$A:$D,1,0)</f>
        <v>#N/A</v>
      </c>
      <c r="U778" s="656" t="e">
        <f>+VLOOKUP($L778,Data_Validation!$A:$D,3,0)</f>
        <v>#N/A</v>
      </c>
      <c r="V778" s="656" t="e">
        <f>+VLOOKUP($L778,Data_Validation!$A:$D,4,0)</f>
        <v>#N/A</v>
      </c>
      <c r="W778" s="656" t="e">
        <f>+VLOOKUP($L778,Data_Validation!$A:$E,5,0)</f>
        <v>#N/A</v>
      </c>
    </row>
    <row r="779" spans="1:23" ht="15.75" customHeight="1">
      <c r="A779" s="716"/>
      <c r="B779" s="654"/>
      <c r="C779" s="717"/>
      <c r="D779" s="716"/>
      <c r="E779" s="716"/>
      <c r="F779" s="716"/>
      <c r="G779" s="716"/>
      <c r="H779" s="716"/>
      <c r="I779" s="716"/>
      <c r="J779" s="716"/>
      <c r="K779" s="716"/>
      <c r="L779" s="653" t="str">
        <f t="shared" si="785"/>
        <v>0</v>
      </c>
      <c r="M779" s="654">
        <f t="shared" si="780"/>
        <v>0</v>
      </c>
      <c r="N779" s="655">
        <f>+IF(OR($Q779=Parametres!$G$2,$Q779=Parametres!$G$3),I779,C779)</f>
        <v>0</v>
      </c>
      <c r="O779" s="655">
        <f>+IF(OR($Q779=Parametres!$G$2,$Q779=Parametres!$G$3),J779,D779)</f>
        <v>0</v>
      </c>
      <c r="P779" s="655">
        <f>+IF(OR($Q779=Parametres!$G$2,$Q779=Parametres!$G$3),K779,E779)</f>
        <v>0</v>
      </c>
      <c r="Q779" s="654">
        <f t="shared" ref="Q779:S779" si="794">+F779</f>
        <v>0</v>
      </c>
      <c r="R779" s="653">
        <f t="shared" si="794"/>
        <v>0</v>
      </c>
      <c r="S779" s="654">
        <f t="shared" si="794"/>
        <v>0</v>
      </c>
      <c r="T779" s="656" t="e">
        <f>+VLOOKUP($L779,Data_Validation!$A:$D,1,0)</f>
        <v>#N/A</v>
      </c>
      <c r="U779" s="656" t="e">
        <f>+VLOOKUP($L779,Data_Validation!$A:$D,3,0)</f>
        <v>#N/A</v>
      </c>
      <c r="V779" s="656" t="e">
        <f>+VLOOKUP($L779,Data_Validation!$A:$D,4,0)</f>
        <v>#N/A</v>
      </c>
      <c r="W779" s="656" t="e">
        <f>+VLOOKUP($L779,Data_Validation!$A:$E,5,0)</f>
        <v>#N/A</v>
      </c>
    </row>
    <row r="780" spans="1:23" ht="15.75" customHeight="1">
      <c r="A780" s="716"/>
      <c r="B780" s="654"/>
      <c r="C780" s="717"/>
      <c r="D780" s="716"/>
      <c r="E780" s="716"/>
      <c r="F780" s="716"/>
      <c r="G780" s="716"/>
      <c r="H780" s="716"/>
      <c r="I780" s="716"/>
      <c r="J780" s="716"/>
      <c r="K780" s="716"/>
      <c r="L780" s="653" t="str">
        <f t="shared" si="785"/>
        <v>0</v>
      </c>
      <c r="M780" s="654">
        <f t="shared" si="780"/>
        <v>0</v>
      </c>
      <c r="N780" s="655">
        <f>+IF(OR($Q780=Parametres!$G$2,$Q780=Parametres!$G$3),I780,C780)</f>
        <v>0</v>
      </c>
      <c r="O780" s="655">
        <f>+IF(OR($Q780=Parametres!$G$2,$Q780=Parametres!$G$3),J780,D780)</f>
        <v>0</v>
      </c>
      <c r="P780" s="655">
        <f>+IF(OR($Q780=Parametres!$G$2,$Q780=Parametres!$G$3),K780,E780)</f>
        <v>0</v>
      </c>
      <c r="Q780" s="654">
        <f t="shared" ref="Q780:S780" si="795">+F780</f>
        <v>0</v>
      </c>
      <c r="R780" s="653">
        <f t="shared" si="795"/>
        <v>0</v>
      </c>
      <c r="S780" s="654">
        <f t="shared" si="795"/>
        <v>0</v>
      </c>
      <c r="T780" s="656" t="e">
        <f>+VLOOKUP($L780,Data_Validation!$A:$D,1,0)</f>
        <v>#N/A</v>
      </c>
      <c r="U780" s="656" t="e">
        <f>+VLOOKUP($L780,Data_Validation!$A:$D,3,0)</f>
        <v>#N/A</v>
      </c>
      <c r="V780" s="656" t="e">
        <f>+VLOOKUP($L780,Data_Validation!$A:$D,4,0)</f>
        <v>#N/A</v>
      </c>
      <c r="W780" s="656" t="e">
        <f>+VLOOKUP($L780,Data_Validation!$A:$E,5,0)</f>
        <v>#N/A</v>
      </c>
    </row>
    <row r="781" spans="1:23" ht="15.75" customHeight="1">
      <c r="A781" s="716"/>
      <c r="B781" s="654"/>
      <c r="C781" s="717"/>
      <c r="D781" s="716"/>
      <c r="E781" s="716"/>
      <c r="F781" s="716"/>
      <c r="G781" s="716"/>
      <c r="H781" s="716"/>
      <c r="I781" s="716"/>
      <c r="J781" s="716"/>
      <c r="K781" s="716"/>
      <c r="L781" s="653" t="str">
        <f t="shared" si="785"/>
        <v>0</v>
      </c>
      <c r="M781" s="654">
        <f t="shared" si="780"/>
        <v>0</v>
      </c>
      <c r="N781" s="655">
        <f>+IF(OR($Q781=Parametres!$G$2,$Q781=Parametres!$G$3),I781,C781)</f>
        <v>0</v>
      </c>
      <c r="O781" s="655">
        <f>+IF(OR($Q781=Parametres!$G$2,$Q781=Parametres!$G$3),J781,D781)</f>
        <v>0</v>
      </c>
      <c r="P781" s="655">
        <f>+IF(OR($Q781=Parametres!$G$2,$Q781=Parametres!$G$3),K781,E781)</f>
        <v>0</v>
      </c>
      <c r="Q781" s="654">
        <f t="shared" ref="Q781:S781" si="796">+F781</f>
        <v>0</v>
      </c>
      <c r="R781" s="653">
        <f t="shared" si="796"/>
        <v>0</v>
      </c>
      <c r="S781" s="654">
        <f t="shared" si="796"/>
        <v>0</v>
      </c>
      <c r="T781" s="656" t="e">
        <f>+VLOOKUP($L781,Data_Validation!$A:$D,1,0)</f>
        <v>#N/A</v>
      </c>
      <c r="U781" s="656" t="e">
        <f>+VLOOKUP($L781,Data_Validation!$A:$D,3,0)</f>
        <v>#N/A</v>
      </c>
      <c r="V781" s="656" t="e">
        <f>+VLOOKUP($L781,Data_Validation!$A:$D,4,0)</f>
        <v>#N/A</v>
      </c>
      <c r="W781" s="656" t="e">
        <f>+VLOOKUP($L781,Data_Validation!$A:$E,5,0)</f>
        <v>#N/A</v>
      </c>
    </row>
    <row r="782" spans="1:23" ht="15.75" customHeight="1">
      <c r="A782" s="716"/>
      <c r="B782" s="654"/>
      <c r="C782" s="717"/>
      <c r="D782" s="716"/>
      <c r="E782" s="716"/>
      <c r="F782" s="716"/>
      <c r="G782" s="716"/>
      <c r="H782" s="716"/>
      <c r="I782" s="716"/>
      <c r="J782" s="716"/>
      <c r="K782" s="716"/>
      <c r="L782" s="653" t="str">
        <f t="shared" si="785"/>
        <v>0</v>
      </c>
      <c r="M782" s="654">
        <f t="shared" si="780"/>
        <v>0</v>
      </c>
      <c r="N782" s="655">
        <f>+IF(OR($Q782=Parametres!$G$2,$Q782=Parametres!$G$3),I782,C782)</f>
        <v>0</v>
      </c>
      <c r="O782" s="655">
        <f>+IF(OR($Q782=Parametres!$G$2,$Q782=Parametres!$G$3),J782,D782)</f>
        <v>0</v>
      </c>
      <c r="P782" s="655">
        <f>+IF(OR($Q782=Parametres!$G$2,$Q782=Parametres!$G$3),K782,E782)</f>
        <v>0</v>
      </c>
      <c r="Q782" s="654">
        <f t="shared" ref="Q782:S782" si="797">+F782</f>
        <v>0</v>
      </c>
      <c r="R782" s="653">
        <f t="shared" si="797"/>
        <v>0</v>
      </c>
      <c r="S782" s="654">
        <f t="shared" si="797"/>
        <v>0</v>
      </c>
      <c r="T782" s="656" t="e">
        <f>+VLOOKUP($L782,Data_Validation!$A:$D,1,0)</f>
        <v>#N/A</v>
      </c>
      <c r="U782" s="656" t="e">
        <f>+VLOOKUP($L782,Data_Validation!$A:$D,3,0)</f>
        <v>#N/A</v>
      </c>
      <c r="V782" s="656" t="e">
        <f>+VLOOKUP($L782,Data_Validation!$A:$D,4,0)</f>
        <v>#N/A</v>
      </c>
      <c r="W782" s="656" t="e">
        <f>+VLOOKUP($L782,Data_Validation!$A:$E,5,0)</f>
        <v>#N/A</v>
      </c>
    </row>
    <row r="783" spans="1:23" ht="15.75" customHeight="1">
      <c r="A783" s="716"/>
      <c r="B783" s="654"/>
      <c r="C783" s="717"/>
      <c r="D783" s="716"/>
      <c r="E783" s="716"/>
      <c r="F783" s="716"/>
      <c r="G783" s="716"/>
      <c r="H783" s="716"/>
      <c r="I783" s="716"/>
      <c r="J783" s="716"/>
      <c r="K783" s="716"/>
      <c r="L783" s="653" t="str">
        <f t="shared" si="785"/>
        <v>0</v>
      </c>
      <c r="M783" s="654">
        <f t="shared" si="780"/>
        <v>0</v>
      </c>
      <c r="N783" s="655">
        <f>+IF(OR($Q783=Parametres!$G$2,$Q783=Parametres!$G$3),I783,C783)</f>
        <v>0</v>
      </c>
      <c r="O783" s="655">
        <f>+IF(OR($Q783=Parametres!$G$2,$Q783=Parametres!$G$3),J783,D783)</f>
        <v>0</v>
      </c>
      <c r="P783" s="655">
        <f>+IF(OR($Q783=Parametres!$G$2,$Q783=Parametres!$G$3),K783,E783)</f>
        <v>0</v>
      </c>
      <c r="Q783" s="654">
        <f t="shared" ref="Q783:S783" si="798">+F783</f>
        <v>0</v>
      </c>
      <c r="R783" s="653">
        <f t="shared" si="798"/>
        <v>0</v>
      </c>
      <c r="S783" s="654">
        <f t="shared" si="798"/>
        <v>0</v>
      </c>
      <c r="T783" s="656" t="e">
        <f>+VLOOKUP($L783,Data_Validation!$A:$D,1,0)</f>
        <v>#N/A</v>
      </c>
      <c r="U783" s="656" t="e">
        <f>+VLOOKUP($L783,Data_Validation!$A:$D,3,0)</f>
        <v>#N/A</v>
      </c>
      <c r="V783" s="656" t="e">
        <f>+VLOOKUP($L783,Data_Validation!$A:$D,4,0)</f>
        <v>#N/A</v>
      </c>
      <c r="W783" s="656" t="e">
        <f>+VLOOKUP($L783,Data_Validation!$A:$E,5,0)</f>
        <v>#N/A</v>
      </c>
    </row>
    <row r="784" spans="1:23" ht="15.75" customHeight="1">
      <c r="A784" s="716"/>
      <c r="B784" s="654"/>
      <c r="C784" s="717"/>
      <c r="D784" s="716"/>
      <c r="E784" s="716"/>
      <c r="F784" s="716"/>
      <c r="G784" s="716"/>
      <c r="H784" s="716"/>
      <c r="I784" s="716"/>
      <c r="J784" s="716"/>
      <c r="K784" s="716"/>
      <c r="L784" s="653" t="str">
        <f t="shared" si="785"/>
        <v>0</v>
      </c>
      <c r="M784" s="654">
        <f t="shared" si="780"/>
        <v>0</v>
      </c>
      <c r="N784" s="655">
        <f>+IF(OR($Q784=Parametres!$G$2,$Q784=Parametres!$G$3),I784,C784)</f>
        <v>0</v>
      </c>
      <c r="O784" s="655">
        <f>+IF(OR($Q784=Parametres!$G$2,$Q784=Parametres!$G$3),J784,D784)</f>
        <v>0</v>
      </c>
      <c r="P784" s="655">
        <f>+IF(OR($Q784=Parametres!$G$2,$Q784=Parametres!$G$3),K784,E784)</f>
        <v>0</v>
      </c>
      <c r="Q784" s="654">
        <f t="shared" ref="Q784:S784" si="799">+F784</f>
        <v>0</v>
      </c>
      <c r="R784" s="653">
        <f t="shared" si="799"/>
        <v>0</v>
      </c>
      <c r="S784" s="654">
        <f t="shared" si="799"/>
        <v>0</v>
      </c>
      <c r="T784" s="656" t="e">
        <f>+VLOOKUP($L784,Data_Validation!$A:$D,1,0)</f>
        <v>#N/A</v>
      </c>
      <c r="U784" s="656" t="e">
        <f>+VLOOKUP($L784,Data_Validation!$A:$D,3,0)</f>
        <v>#N/A</v>
      </c>
      <c r="V784" s="656" t="e">
        <f>+VLOOKUP($L784,Data_Validation!$A:$D,4,0)</f>
        <v>#N/A</v>
      </c>
      <c r="W784" s="656" t="e">
        <f>+VLOOKUP($L784,Data_Validation!$A:$E,5,0)</f>
        <v>#N/A</v>
      </c>
    </row>
    <row r="785" spans="1:23" ht="15.75" customHeight="1">
      <c r="A785" s="716"/>
      <c r="B785" s="654"/>
      <c r="C785" s="717"/>
      <c r="D785" s="716"/>
      <c r="E785" s="716"/>
      <c r="F785" s="716"/>
      <c r="G785" s="716"/>
      <c r="H785" s="716"/>
      <c r="I785" s="716"/>
      <c r="J785" s="716"/>
      <c r="K785" s="716"/>
      <c r="L785" s="653" t="str">
        <f t="shared" si="785"/>
        <v>0</v>
      </c>
      <c r="M785" s="654">
        <f t="shared" si="780"/>
        <v>0</v>
      </c>
      <c r="N785" s="655">
        <f>+IF(OR($Q785=Parametres!$G$2,$Q785=Parametres!$G$3),I785,C785)</f>
        <v>0</v>
      </c>
      <c r="O785" s="655">
        <f>+IF(OR($Q785=Parametres!$G$2,$Q785=Parametres!$G$3),J785,D785)</f>
        <v>0</v>
      </c>
      <c r="P785" s="655">
        <f>+IF(OR($Q785=Parametres!$G$2,$Q785=Parametres!$G$3),K785,E785)</f>
        <v>0</v>
      </c>
      <c r="Q785" s="654">
        <f t="shared" ref="Q785:S785" si="800">+F785</f>
        <v>0</v>
      </c>
      <c r="R785" s="653">
        <f t="shared" si="800"/>
        <v>0</v>
      </c>
      <c r="S785" s="654">
        <f t="shared" si="800"/>
        <v>0</v>
      </c>
      <c r="T785" s="656" t="e">
        <f>+VLOOKUP($L785,Data_Validation!$A:$D,1,0)</f>
        <v>#N/A</v>
      </c>
      <c r="U785" s="656" t="e">
        <f>+VLOOKUP($L785,Data_Validation!$A:$D,3,0)</f>
        <v>#N/A</v>
      </c>
      <c r="V785" s="656" t="e">
        <f>+VLOOKUP($L785,Data_Validation!$A:$D,4,0)</f>
        <v>#N/A</v>
      </c>
      <c r="W785" s="656" t="e">
        <f>+VLOOKUP($L785,Data_Validation!$A:$E,5,0)</f>
        <v>#N/A</v>
      </c>
    </row>
    <row r="786" spans="1:23" ht="15.75" customHeight="1">
      <c r="A786" s="716"/>
      <c r="B786" s="654"/>
      <c r="C786" s="717"/>
      <c r="D786" s="716"/>
      <c r="E786" s="716"/>
      <c r="F786" s="716"/>
      <c r="G786" s="716"/>
      <c r="H786" s="716"/>
      <c r="I786" s="716"/>
      <c r="J786" s="716"/>
      <c r="K786" s="716"/>
      <c r="L786" s="653" t="str">
        <f t="shared" si="785"/>
        <v>0</v>
      </c>
      <c r="M786" s="654">
        <f t="shared" si="780"/>
        <v>0</v>
      </c>
      <c r="N786" s="655">
        <f>+IF(OR($Q786=Parametres!$G$2,$Q786=Parametres!$G$3),I786,C786)</f>
        <v>0</v>
      </c>
      <c r="O786" s="655">
        <f>+IF(OR($Q786=Parametres!$G$2,$Q786=Parametres!$G$3),J786,D786)</f>
        <v>0</v>
      </c>
      <c r="P786" s="655">
        <f>+IF(OR($Q786=Parametres!$G$2,$Q786=Parametres!$G$3),K786,E786)</f>
        <v>0</v>
      </c>
      <c r="Q786" s="654">
        <f t="shared" ref="Q786:S786" si="801">+F786</f>
        <v>0</v>
      </c>
      <c r="R786" s="653">
        <f t="shared" si="801"/>
        <v>0</v>
      </c>
      <c r="S786" s="654">
        <f t="shared" si="801"/>
        <v>0</v>
      </c>
      <c r="T786" s="656" t="e">
        <f>+VLOOKUP($L786,Data_Validation!$A:$D,1,0)</f>
        <v>#N/A</v>
      </c>
      <c r="U786" s="656" t="e">
        <f>+VLOOKUP($L786,Data_Validation!$A:$D,3,0)</f>
        <v>#N/A</v>
      </c>
      <c r="V786" s="656" t="e">
        <f>+VLOOKUP($L786,Data_Validation!$A:$D,4,0)</f>
        <v>#N/A</v>
      </c>
      <c r="W786" s="656" t="e">
        <f>+VLOOKUP($L786,Data_Validation!$A:$E,5,0)</f>
        <v>#N/A</v>
      </c>
    </row>
    <row r="787" spans="1:23" ht="15.75" customHeight="1">
      <c r="A787" s="716"/>
      <c r="B787" s="654"/>
      <c r="C787" s="717"/>
      <c r="D787" s="716"/>
      <c r="E787" s="716"/>
      <c r="F787" s="716"/>
      <c r="G787" s="716"/>
      <c r="H787" s="716"/>
      <c r="I787" s="716"/>
      <c r="J787" s="716"/>
      <c r="K787" s="716"/>
      <c r="L787" s="653" t="str">
        <f t="shared" si="785"/>
        <v>0</v>
      </c>
      <c r="M787" s="654">
        <f t="shared" si="780"/>
        <v>0</v>
      </c>
      <c r="N787" s="655">
        <f>+IF(OR($Q787=Parametres!$G$2,$Q787=Parametres!$G$3),I787,C787)</f>
        <v>0</v>
      </c>
      <c r="O787" s="655">
        <f>+IF(OR($Q787=Parametres!$G$2,$Q787=Parametres!$G$3),J787,D787)</f>
        <v>0</v>
      </c>
      <c r="P787" s="655">
        <f>+IF(OR($Q787=Parametres!$G$2,$Q787=Parametres!$G$3),K787,E787)</f>
        <v>0</v>
      </c>
      <c r="Q787" s="654">
        <f t="shared" ref="Q787:S787" si="802">+F787</f>
        <v>0</v>
      </c>
      <c r="R787" s="653">
        <f t="shared" si="802"/>
        <v>0</v>
      </c>
      <c r="S787" s="654">
        <f t="shared" si="802"/>
        <v>0</v>
      </c>
      <c r="T787" s="656" t="e">
        <f>+VLOOKUP($L787,Data_Validation!$A:$D,1,0)</f>
        <v>#N/A</v>
      </c>
      <c r="U787" s="656" t="e">
        <f>+VLOOKUP($L787,Data_Validation!$A:$D,3,0)</f>
        <v>#N/A</v>
      </c>
      <c r="V787" s="656" t="e">
        <f>+VLOOKUP($L787,Data_Validation!$A:$D,4,0)</f>
        <v>#N/A</v>
      </c>
      <c r="W787" s="656" t="e">
        <f>+VLOOKUP($L787,Data_Validation!$A:$E,5,0)</f>
        <v>#N/A</v>
      </c>
    </row>
    <row r="788" spans="1:23" ht="15.75" customHeight="1">
      <c r="A788" s="716"/>
      <c r="B788" s="654"/>
      <c r="C788" s="717"/>
      <c r="D788" s="716"/>
      <c r="E788" s="716"/>
      <c r="F788" s="716"/>
      <c r="G788" s="716"/>
      <c r="H788" s="716"/>
      <c r="I788" s="716"/>
      <c r="J788" s="716"/>
      <c r="K788" s="716"/>
      <c r="L788" s="653" t="str">
        <f t="shared" si="785"/>
        <v>0</v>
      </c>
      <c r="M788" s="654">
        <f t="shared" si="780"/>
        <v>0</v>
      </c>
      <c r="N788" s="655">
        <f>+IF(OR($Q788=Parametres!$G$2,$Q788=Parametres!$G$3),I788,C788)</f>
        <v>0</v>
      </c>
      <c r="O788" s="655">
        <f>+IF(OR($Q788=Parametres!$G$2,$Q788=Parametres!$G$3),J788,D788)</f>
        <v>0</v>
      </c>
      <c r="P788" s="655">
        <f>+IF(OR($Q788=Parametres!$G$2,$Q788=Parametres!$G$3),K788,E788)</f>
        <v>0</v>
      </c>
      <c r="Q788" s="654">
        <f t="shared" ref="Q788:S788" si="803">+F788</f>
        <v>0</v>
      </c>
      <c r="R788" s="653">
        <f t="shared" si="803"/>
        <v>0</v>
      </c>
      <c r="S788" s="654">
        <f t="shared" si="803"/>
        <v>0</v>
      </c>
      <c r="T788" s="656" t="e">
        <f>+VLOOKUP($L788,Data_Validation!$A:$D,1,0)</f>
        <v>#N/A</v>
      </c>
      <c r="U788" s="656" t="e">
        <f>+VLOOKUP($L788,Data_Validation!$A:$D,3,0)</f>
        <v>#N/A</v>
      </c>
      <c r="V788" s="656" t="e">
        <f>+VLOOKUP($L788,Data_Validation!$A:$D,4,0)</f>
        <v>#N/A</v>
      </c>
      <c r="W788" s="656" t="e">
        <f>+VLOOKUP($L788,Data_Validation!$A:$E,5,0)</f>
        <v>#N/A</v>
      </c>
    </row>
    <row r="789" spans="1:23" ht="15.75" customHeight="1">
      <c r="A789" s="716"/>
      <c r="B789" s="654"/>
      <c r="C789" s="717"/>
      <c r="D789" s="716"/>
      <c r="E789" s="716"/>
      <c r="F789" s="716"/>
      <c r="G789" s="716"/>
      <c r="H789" s="716"/>
      <c r="I789" s="716"/>
      <c r="J789" s="716"/>
      <c r="K789" s="716"/>
      <c r="L789" s="653" t="str">
        <f t="shared" si="785"/>
        <v>0</v>
      </c>
      <c r="M789" s="654">
        <f t="shared" si="780"/>
        <v>0</v>
      </c>
      <c r="N789" s="655">
        <f>+IF(OR($Q789=Parametres!$G$2,$Q789=Parametres!$G$3),I789,C789)</f>
        <v>0</v>
      </c>
      <c r="O789" s="655">
        <f>+IF(OR($Q789=Parametres!$G$2,$Q789=Parametres!$G$3),J789,D789)</f>
        <v>0</v>
      </c>
      <c r="P789" s="655">
        <f>+IF(OR($Q789=Parametres!$G$2,$Q789=Parametres!$G$3),K789,E789)</f>
        <v>0</v>
      </c>
      <c r="Q789" s="654">
        <f t="shared" ref="Q789:S789" si="804">+F789</f>
        <v>0</v>
      </c>
      <c r="R789" s="653">
        <f t="shared" si="804"/>
        <v>0</v>
      </c>
      <c r="S789" s="654">
        <f t="shared" si="804"/>
        <v>0</v>
      </c>
      <c r="T789" s="656" t="e">
        <f>+VLOOKUP($L789,Data_Validation!$A:$D,1,0)</f>
        <v>#N/A</v>
      </c>
      <c r="U789" s="656" t="e">
        <f>+VLOOKUP($L789,Data_Validation!$A:$D,3,0)</f>
        <v>#N/A</v>
      </c>
      <c r="V789" s="656" t="e">
        <f>+VLOOKUP($L789,Data_Validation!$A:$D,4,0)</f>
        <v>#N/A</v>
      </c>
      <c r="W789" s="656" t="e">
        <f>+VLOOKUP($L789,Data_Validation!$A:$E,5,0)</f>
        <v>#N/A</v>
      </c>
    </row>
    <row r="790" spans="1:23" ht="15.75" customHeight="1">
      <c r="A790" s="716"/>
      <c r="B790" s="654"/>
      <c r="C790" s="717"/>
      <c r="D790" s="716"/>
      <c r="E790" s="716"/>
      <c r="F790" s="716"/>
      <c r="G790" s="716"/>
      <c r="H790" s="716"/>
      <c r="I790" s="716"/>
      <c r="J790" s="716"/>
      <c r="K790" s="716"/>
      <c r="L790" s="653" t="str">
        <f t="shared" si="785"/>
        <v>0</v>
      </c>
      <c r="M790" s="654">
        <f t="shared" si="780"/>
        <v>0</v>
      </c>
      <c r="N790" s="655">
        <f>+IF(OR($Q790=Parametres!$G$2,$Q790=Parametres!$G$3),I790,C790)</f>
        <v>0</v>
      </c>
      <c r="O790" s="655">
        <f>+IF(OR($Q790=Parametres!$G$2,$Q790=Parametres!$G$3),J790,D790)</f>
        <v>0</v>
      </c>
      <c r="P790" s="655">
        <f>+IF(OR($Q790=Parametres!$G$2,$Q790=Parametres!$G$3),K790,E790)</f>
        <v>0</v>
      </c>
      <c r="Q790" s="654">
        <f t="shared" ref="Q790:S790" si="805">+F790</f>
        <v>0</v>
      </c>
      <c r="R790" s="653">
        <f t="shared" si="805"/>
        <v>0</v>
      </c>
      <c r="S790" s="654">
        <f t="shared" si="805"/>
        <v>0</v>
      </c>
      <c r="T790" s="656" t="e">
        <f>+VLOOKUP($L790,Data_Validation!$A:$D,1,0)</f>
        <v>#N/A</v>
      </c>
      <c r="U790" s="656" t="e">
        <f>+VLOOKUP($L790,Data_Validation!$A:$D,3,0)</f>
        <v>#N/A</v>
      </c>
      <c r="V790" s="656" t="e">
        <f>+VLOOKUP($L790,Data_Validation!$A:$D,4,0)</f>
        <v>#N/A</v>
      </c>
      <c r="W790" s="656" t="e">
        <f>+VLOOKUP($L790,Data_Validation!$A:$E,5,0)</f>
        <v>#N/A</v>
      </c>
    </row>
    <row r="791" spans="1:23" ht="15.75" customHeight="1">
      <c r="A791" s="716"/>
      <c r="B791" s="654"/>
      <c r="C791" s="717"/>
      <c r="D791" s="716"/>
      <c r="E791" s="716"/>
      <c r="F791" s="716"/>
      <c r="G791" s="716"/>
      <c r="H791" s="716"/>
      <c r="I791" s="716"/>
      <c r="J791" s="716"/>
      <c r="K791" s="716"/>
      <c r="L791" s="653" t="str">
        <f t="shared" si="785"/>
        <v>0</v>
      </c>
      <c r="M791" s="654">
        <f t="shared" si="780"/>
        <v>0</v>
      </c>
      <c r="N791" s="655">
        <f>+IF(OR($Q791=Parametres!$G$2,$Q791=Parametres!$G$3),I791,C791)</f>
        <v>0</v>
      </c>
      <c r="O791" s="655">
        <f>+IF(OR($Q791=Parametres!$G$2,$Q791=Parametres!$G$3),J791,D791)</f>
        <v>0</v>
      </c>
      <c r="P791" s="655">
        <f>+IF(OR($Q791=Parametres!$G$2,$Q791=Parametres!$G$3),K791,E791)</f>
        <v>0</v>
      </c>
      <c r="Q791" s="654">
        <f t="shared" ref="Q791:S791" si="806">+F791</f>
        <v>0</v>
      </c>
      <c r="R791" s="653">
        <f t="shared" si="806"/>
        <v>0</v>
      </c>
      <c r="S791" s="654">
        <f t="shared" si="806"/>
        <v>0</v>
      </c>
      <c r="T791" s="656" t="e">
        <f>+VLOOKUP($L791,Data_Validation!$A:$D,1,0)</f>
        <v>#N/A</v>
      </c>
      <c r="U791" s="656" t="e">
        <f>+VLOOKUP($L791,Data_Validation!$A:$D,3,0)</f>
        <v>#N/A</v>
      </c>
      <c r="V791" s="656" t="e">
        <f>+VLOOKUP($L791,Data_Validation!$A:$D,4,0)</f>
        <v>#N/A</v>
      </c>
      <c r="W791" s="656" t="e">
        <f>+VLOOKUP($L791,Data_Validation!$A:$E,5,0)</f>
        <v>#N/A</v>
      </c>
    </row>
    <row r="792" spans="1:23" ht="15.75" customHeight="1">
      <c r="A792" s="716"/>
      <c r="B792" s="654"/>
      <c r="C792" s="717"/>
      <c r="D792" s="716"/>
      <c r="E792" s="716"/>
      <c r="F792" s="716"/>
      <c r="G792" s="716"/>
      <c r="H792" s="716"/>
      <c r="I792" s="716"/>
      <c r="J792" s="716"/>
      <c r="K792" s="716"/>
      <c r="L792" s="653" t="str">
        <f t="shared" si="785"/>
        <v>0</v>
      </c>
      <c r="M792" s="654">
        <f t="shared" si="780"/>
        <v>0</v>
      </c>
      <c r="N792" s="655">
        <f>+IF(OR($Q792=Parametres!$G$2,$Q792=Parametres!$G$3),I792,C792)</f>
        <v>0</v>
      </c>
      <c r="O792" s="655">
        <f>+IF(OR($Q792=Parametres!$G$2,$Q792=Parametres!$G$3),J792,D792)</f>
        <v>0</v>
      </c>
      <c r="P792" s="655">
        <f>+IF(OR($Q792=Parametres!$G$2,$Q792=Parametres!$G$3),K792,E792)</f>
        <v>0</v>
      </c>
      <c r="Q792" s="654">
        <f t="shared" ref="Q792:S792" si="807">+F792</f>
        <v>0</v>
      </c>
      <c r="R792" s="653">
        <f t="shared" si="807"/>
        <v>0</v>
      </c>
      <c r="S792" s="654">
        <f t="shared" si="807"/>
        <v>0</v>
      </c>
      <c r="T792" s="656" t="e">
        <f>+VLOOKUP($L792,Data_Validation!$A:$D,1,0)</f>
        <v>#N/A</v>
      </c>
      <c r="U792" s="656" t="e">
        <f>+VLOOKUP($L792,Data_Validation!$A:$D,3,0)</f>
        <v>#N/A</v>
      </c>
      <c r="V792" s="656" t="e">
        <f>+VLOOKUP($L792,Data_Validation!$A:$D,4,0)</f>
        <v>#N/A</v>
      </c>
      <c r="W792" s="656" t="e">
        <f>+VLOOKUP($L792,Data_Validation!$A:$E,5,0)</f>
        <v>#N/A</v>
      </c>
    </row>
    <row r="793" spans="1:23" ht="15.75" customHeight="1">
      <c r="A793" s="716"/>
      <c r="B793" s="654"/>
      <c r="C793" s="717"/>
      <c r="D793" s="716"/>
      <c r="E793" s="716"/>
      <c r="F793" s="716"/>
      <c r="G793" s="716"/>
      <c r="H793" s="716"/>
      <c r="I793" s="716"/>
      <c r="J793" s="716"/>
      <c r="K793" s="716"/>
      <c r="L793" s="653" t="str">
        <f t="shared" si="785"/>
        <v>0</v>
      </c>
      <c r="M793" s="654">
        <f t="shared" si="780"/>
        <v>0</v>
      </c>
      <c r="N793" s="655">
        <f>+IF(OR($Q793=Parametres!$G$2,$Q793=Parametres!$G$3),I793,C793)</f>
        <v>0</v>
      </c>
      <c r="O793" s="655">
        <f>+IF(OR($Q793=Parametres!$G$2,$Q793=Parametres!$G$3),J793,D793)</f>
        <v>0</v>
      </c>
      <c r="P793" s="655">
        <f>+IF(OR($Q793=Parametres!$G$2,$Q793=Parametres!$G$3),K793,E793)</f>
        <v>0</v>
      </c>
      <c r="Q793" s="654">
        <f t="shared" ref="Q793:S793" si="808">+F793</f>
        <v>0</v>
      </c>
      <c r="R793" s="653">
        <f t="shared" si="808"/>
        <v>0</v>
      </c>
      <c r="S793" s="654">
        <f t="shared" si="808"/>
        <v>0</v>
      </c>
      <c r="T793" s="656" t="e">
        <f>+VLOOKUP($L793,Data_Validation!$A:$D,1,0)</f>
        <v>#N/A</v>
      </c>
      <c r="U793" s="656" t="e">
        <f>+VLOOKUP($L793,Data_Validation!$A:$D,3,0)</f>
        <v>#N/A</v>
      </c>
      <c r="V793" s="656" t="e">
        <f>+VLOOKUP($L793,Data_Validation!$A:$D,4,0)</f>
        <v>#N/A</v>
      </c>
      <c r="W793" s="656" t="e">
        <f>+VLOOKUP($L793,Data_Validation!$A:$E,5,0)</f>
        <v>#N/A</v>
      </c>
    </row>
    <row r="794" spans="1:23" ht="15.75" customHeight="1">
      <c r="A794" s="716"/>
      <c r="B794" s="654"/>
      <c r="C794" s="717"/>
      <c r="D794" s="716"/>
      <c r="E794" s="716"/>
      <c r="F794" s="716"/>
      <c r="G794" s="716"/>
      <c r="H794" s="716"/>
      <c r="I794" s="716"/>
      <c r="J794" s="716"/>
      <c r="K794" s="716"/>
      <c r="L794" s="653" t="str">
        <f t="shared" si="785"/>
        <v>0</v>
      </c>
      <c r="M794" s="654">
        <f t="shared" si="780"/>
        <v>0</v>
      </c>
      <c r="N794" s="655">
        <f>+IF(OR($Q794=Parametres!$G$2,$Q794=Parametres!$G$3),I794,C794)</f>
        <v>0</v>
      </c>
      <c r="O794" s="655">
        <f>+IF(OR($Q794=Parametres!$G$2,$Q794=Parametres!$G$3),J794,D794)</f>
        <v>0</v>
      </c>
      <c r="P794" s="655">
        <f>+IF(OR($Q794=Parametres!$G$2,$Q794=Parametres!$G$3),K794,E794)</f>
        <v>0</v>
      </c>
      <c r="Q794" s="654">
        <f t="shared" ref="Q794:S794" si="809">+F794</f>
        <v>0</v>
      </c>
      <c r="R794" s="653">
        <f t="shared" si="809"/>
        <v>0</v>
      </c>
      <c r="S794" s="654">
        <f t="shared" si="809"/>
        <v>0</v>
      </c>
      <c r="T794" s="656" t="e">
        <f>+VLOOKUP($L794,Data_Validation!$A:$D,1,0)</f>
        <v>#N/A</v>
      </c>
      <c r="U794" s="656" t="e">
        <f>+VLOOKUP($L794,Data_Validation!$A:$D,3,0)</f>
        <v>#N/A</v>
      </c>
      <c r="V794" s="656" t="e">
        <f>+VLOOKUP($L794,Data_Validation!$A:$D,4,0)</f>
        <v>#N/A</v>
      </c>
      <c r="W794" s="656" t="e">
        <f>+VLOOKUP($L794,Data_Validation!$A:$E,5,0)</f>
        <v>#N/A</v>
      </c>
    </row>
    <row r="795" spans="1:23" ht="15.75" customHeight="1">
      <c r="A795" s="716"/>
      <c r="B795" s="654"/>
      <c r="C795" s="717"/>
      <c r="D795" s="716"/>
      <c r="E795" s="716"/>
      <c r="F795" s="716"/>
      <c r="G795" s="716"/>
      <c r="H795" s="716"/>
      <c r="I795" s="716"/>
      <c r="J795" s="716"/>
      <c r="K795" s="716"/>
      <c r="L795" s="653" t="str">
        <f t="shared" si="785"/>
        <v>0</v>
      </c>
      <c r="M795" s="654">
        <f t="shared" si="780"/>
        <v>0</v>
      </c>
      <c r="N795" s="655">
        <f>+IF(OR($Q795=Parametres!$G$2,$Q795=Parametres!$G$3),I795,C795)</f>
        <v>0</v>
      </c>
      <c r="O795" s="655">
        <f>+IF(OR($Q795=Parametres!$G$2,$Q795=Parametres!$G$3),J795,D795)</f>
        <v>0</v>
      </c>
      <c r="P795" s="655">
        <f>+IF(OR($Q795=Parametres!$G$2,$Q795=Parametres!$G$3),K795,E795)</f>
        <v>0</v>
      </c>
      <c r="Q795" s="654">
        <f t="shared" ref="Q795:S795" si="810">+F795</f>
        <v>0</v>
      </c>
      <c r="R795" s="653">
        <f t="shared" si="810"/>
        <v>0</v>
      </c>
      <c r="S795" s="654">
        <f t="shared" si="810"/>
        <v>0</v>
      </c>
      <c r="T795" s="656" t="e">
        <f>+VLOOKUP($L795,Data_Validation!$A:$D,1,0)</f>
        <v>#N/A</v>
      </c>
      <c r="U795" s="656" t="e">
        <f>+VLOOKUP($L795,Data_Validation!$A:$D,3,0)</f>
        <v>#N/A</v>
      </c>
      <c r="V795" s="656" t="e">
        <f>+VLOOKUP($L795,Data_Validation!$A:$D,4,0)</f>
        <v>#N/A</v>
      </c>
      <c r="W795" s="656" t="e">
        <f>+VLOOKUP($L795,Data_Validation!$A:$E,5,0)</f>
        <v>#N/A</v>
      </c>
    </row>
    <row r="796" spans="1:23" ht="15.75" customHeight="1">
      <c r="A796" s="716"/>
      <c r="B796" s="654"/>
      <c r="C796" s="717"/>
      <c r="D796" s="716"/>
      <c r="E796" s="716"/>
      <c r="F796" s="716"/>
      <c r="G796" s="716"/>
      <c r="H796" s="716"/>
      <c r="I796" s="716"/>
      <c r="J796" s="716"/>
      <c r="K796" s="716"/>
      <c r="L796" s="653" t="str">
        <f t="shared" si="785"/>
        <v>0</v>
      </c>
      <c r="M796" s="654">
        <f t="shared" si="780"/>
        <v>0</v>
      </c>
      <c r="N796" s="655">
        <f>+IF(OR($Q796=Parametres!$G$2,$Q796=Parametres!$G$3),I796,C796)</f>
        <v>0</v>
      </c>
      <c r="O796" s="655">
        <f>+IF(OR($Q796=Parametres!$G$2,$Q796=Parametres!$G$3),J796,D796)</f>
        <v>0</v>
      </c>
      <c r="P796" s="655">
        <f>+IF(OR($Q796=Parametres!$G$2,$Q796=Parametres!$G$3),K796,E796)</f>
        <v>0</v>
      </c>
      <c r="Q796" s="654">
        <f t="shared" ref="Q796:S796" si="811">+F796</f>
        <v>0</v>
      </c>
      <c r="R796" s="653">
        <f t="shared" si="811"/>
        <v>0</v>
      </c>
      <c r="S796" s="654">
        <f t="shared" si="811"/>
        <v>0</v>
      </c>
      <c r="T796" s="656" t="e">
        <f>+VLOOKUP($L796,Data_Validation!$A:$D,1,0)</f>
        <v>#N/A</v>
      </c>
      <c r="U796" s="656" t="e">
        <f>+VLOOKUP($L796,Data_Validation!$A:$D,3,0)</f>
        <v>#N/A</v>
      </c>
      <c r="V796" s="656" t="e">
        <f>+VLOOKUP($L796,Data_Validation!$A:$D,4,0)</f>
        <v>#N/A</v>
      </c>
      <c r="W796" s="656" t="e">
        <f>+VLOOKUP($L796,Data_Validation!$A:$E,5,0)</f>
        <v>#N/A</v>
      </c>
    </row>
    <row r="797" spans="1:23" ht="15.75" customHeight="1">
      <c r="A797" s="716"/>
      <c r="B797" s="654"/>
      <c r="C797" s="717"/>
      <c r="D797" s="716"/>
      <c r="E797" s="716"/>
      <c r="F797" s="716"/>
      <c r="G797" s="716"/>
      <c r="H797" s="716"/>
      <c r="I797" s="716"/>
      <c r="J797" s="716"/>
      <c r="K797" s="716"/>
      <c r="L797" s="653" t="str">
        <f t="shared" si="785"/>
        <v>0</v>
      </c>
      <c r="M797" s="654">
        <f t="shared" si="780"/>
        <v>0</v>
      </c>
      <c r="N797" s="655">
        <f>+IF(OR($Q797=Parametres!$G$2,$Q797=Parametres!$G$3),I797,C797)</f>
        <v>0</v>
      </c>
      <c r="O797" s="655">
        <f>+IF(OR($Q797=Parametres!$G$2,$Q797=Parametres!$G$3),J797,D797)</f>
        <v>0</v>
      </c>
      <c r="P797" s="655">
        <f>+IF(OR($Q797=Parametres!$G$2,$Q797=Parametres!$G$3),K797,E797)</f>
        <v>0</v>
      </c>
      <c r="Q797" s="654">
        <f t="shared" ref="Q797:S797" si="812">+F797</f>
        <v>0</v>
      </c>
      <c r="R797" s="653">
        <f t="shared" si="812"/>
        <v>0</v>
      </c>
      <c r="S797" s="654">
        <f t="shared" si="812"/>
        <v>0</v>
      </c>
      <c r="T797" s="656" t="e">
        <f>+VLOOKUP($L797,Data_Validation!$A:$D,1,0)</f>
        <v>#N/A</v>
      </c>
      <c r="U797" s="656" t="e">
        <f>+VLOOKUP($L797,Data_Validation!$A:$D,3,0)</f>
        <v>#N/A</v>
      </c>
      <c r="V797" s="656" t="e">
        <f>+VLOOKUP($L797,Data_Validation!$A:$D,4,0)</f>
        <v>#N/A</v>
      </c>
      <c r="W797" s="656" t="e">
        <f>+VLOOKUP($L797,Data_Validation!$A:$E,5,0)</f>
        <v>#N/A</v>
      </c>
    </row>
    <row r="798" spans="1:23" ht="15.75" customHeight="1">
      <c r="A798" s="716"/>
      <c r="B798" s="654"/>
      <c r="C798" s="717"/>
      <c r="D798" s="716"/>
      <c r="E798" s="716"/>
      <c r="F798" s="716"/>
      <c r="G798" s="716"/>
      <c r="H798" s="716"/>
      <c r="I798" s="716"/>
      <c r="J798" s="716"/>
      <c r="K798" s="716"/>
      <c r="L798" s="653" t="str">
        <f t="shared" si="785"/>
        <v>0</v>
      </c>
      <c r="M798" s="654">
        <f t="shared" si="780"/>
        <v>0</v>
      </c>
      <c r="N798" s="655">
        <f>+IF(OR($Q798=Parametres!$G$2,$Q798=Parametres!$G$3),I798,C798)</f>
        <v>0</v>
      </c>
      <c r="O798" s="655">
        <f>+IF(OR($Q798=Parametres!$G$2,$Q798=Parametres!$G$3),J798,D798)</f>
        <v>0</v>
      </c>
      <c r="P798" s="655">
        <f>+IF(OR($Q798=Parametres!$G$2,$Q798=Parametres!$G$3),K798,E798)</f>
        <v>0</v>
      </c>
      <c r="Q798" s="654">
        <f t="shared" ref="Q798:S798" si="813">+F798</f>
        <v>0</v>
      </c>
      <c r="R798" s="653">
        <f t="shared" si="813"/>
        <v>0</v>
      </c>
      <c r="S798" s="654">
        <f t="shared" si="813"/>
        <v>0</v>
      </c>
      <c r="T798" s="656" t="e">
        <f>+VLOOKUP($L798,Data_Validation!$A:$D,1,0)</f>
        <v>#N/A</v>
      </c>
      <c r="U798" s="656" t="e">
        <f>+VLOOKUP($L798,Data_Validation!$A:$D,3,0)</f>
        <v>#N/A</v>
      </c>
      <c r="V798" s="656" t="e">
        <f>+VLOOKUP($L798,Data_Validation!$A:$D,4,0)</f>
        <v>#N/A</v>
      </c>
      <c r="W798" s="656" t="e">
        <f>+VLOOKUP($L798,Data_Validation!$A:$E,5,0)</f>
        <v>#N/A</v>
      </c>
    </row>
    <row r="799" spans="1:23" ht="15.75" customHeight="1">
      <c r="A799" s="716"/>
      <c r="B799" s="654"/>
      <c r="C799" s="717"/>
      <c r="D799" s="716"/>
      <c r="E799" s="716"/>
      <c r="F799" s="716"/>
      <c r="G799" s="716"/>
      <c r="H799" s="716"/>
      <c r="I799" s="716"/>
      <c r="J799" s="716"/>
      <c r="K799" s="716"/>
      <c r="L799" s="653" t="str">
        <f t="shared" si="785"/>
        <v>0</v>
      </c>
      <c r="M799" s="654">
        <f t="shared" si="780"/>
        <v>0</v>
      </c>
      <c r="N799" s="655">
        <f>+IF(OR($Q799=Parametres!$G$2,$Q799=Parametres!$G$3),I799,C799)</f>
        <v>0</v>
      </c>
      <c r="O799" s="655">
        <f>+IF(OR($Q799=Parametres!$G$2,$Q799=Parametres!$G$3),J799,D799)</f>
        <v>0</v>
      </c>
      <c r="P799" s="655">
        <f>+IF(OR($Q799=Parametres!$G$2,$Q799=Parametres!$G$3),K799,E799)</f>
        <v>0</v>
      </c>
      <c r="Q799" s="654">
        <f t="shared" ref="Q799:S799" si="814">+F799</f>
        <v>0</v>
      </c>
      <c r="R799" s="653">
        <f t="shared" si="814"/>
        <v>0</v>
      </c>
      <c r="S799" s="654">
        <f t="shared" si="814"/>
        <v>0</v>
      </c>
      <c r="T799" s="656" t="e">
        <f>+VLOOKUP($L799,Data_Validation!$A:$D,1,0)</f>
        <v>#N/A</v>
      </c>
      <c r="U799" s="656" t="e">
        <f>+VLOOKUP($L799,Data_Validation!$A:$D,3,0)</f>
        <v>#N/A</v>
      </c>
      <c r="V799" s="656" t="e">
        <f>+VLOOKUP($L799,Data_Validation!$A:$D,4,0)</f>
        <v>#N/A</v>
      </c>
      <c r="W799" s="656" t="e">
        <f>+VLOOKUP($L799,Data_Validation!$A:$E,5,0)</f>
        <v>#N/A</v>
      </c>
    </row>
    <row r="800" spans="1:23" ht="15.75" customHeight="1">
      <c r="A800" s="716"/>
      <c r="B800" s="654"/>
      <c r="C800" s="717"/>
      <c r="D800" s="716"/>
      <c r="E800" s="716"/>
      <c r="F800" s="716"/>
      <c r="G800" s="716"/>
      <c r="H800" s="716"/>
      <c r="I800" s="716"/>
      <c r="J800" s="716"/>
      <c r="K800" s="716"/>
      <c r="L800" s="653" t="str">
        <f t="shared" si="785"/>
        <v>0</v>
      </c>
      <c r="M800" s="654">
        <f t="shared" si="780"/>
        <v>0</v>
      </c>
      <c r="N800" s="655">
        <f>+IF(OR($Q800=Parametres!$G$2,$Q800=Parametres!$G$3),I800,C800)</f>
        <v>0</v>
      </c>
      <c r="O800" s="655">
        <f>+IF(OR($Q800=Parametres!$G$2,$Q800=Parametres!$G$3),J800,D800)</f>
        <v>0</v>
      </c>
      <c r="P800" s="655">
        <f>+IF(OR($Q800=Parametres!$G$2,$Q800=Parametres!$G$3),K800,E800)</f>
        <v>0</v>
      </c>
      <c r="Q800" s="654">
        <f t="shared" ref="Q800:S800" si="815">+F800</f>
        <v>0</v>
      </c>
      <c r="R800" s="653">
        <f t="shared" si="815"/>
        <v>0</v>
      </c>
      <c r="S800" s="654">
        <f t="shared" si="815"/>
        <v>0</v>
      </c>
      <c r="T800" s="656" t="e">
        <f>+VLOOKUP($L800,Data_Validation!$A:$D,1,0)</f>
        <v>#N/A</v>
      </c>
      <c r="U800" s="656" t="e">
        <f>+VLOOKUP($L800,Data_Validation!$A:$D,3,0)</f>
        <v>#N/A</v>
      </c>
      <c r="V800" s="656" t="e">
        <f>+VLOOKUP($L800,Data_Validation!$A:$D,4,0)</f>
        <v>#N/A</v>
      </c>
      <c r="W800" s="656" t="e">
        <f>+VLOOKUP($L800,Data_Validation!$A:$E,5,0)</f>
        <v>#N/A</v>
      </c>
    </row>
    <row r="801" spans="1:23" ht="15.75" customHeight="1">
      <c r="A801" s="716"/>
      <c r="B801" s="654"/>
      <c r="C801" s="717"/>
      <c r="D801" s="716"/>
      <c r="E801" s="716"/>
      <c r="F801" s="716"/>
      <c r="G801" s="716"/>
      <c r="H801" s="716"/>
      <c r="I801" s="716"/>
      <c r="J801" s="716"/>
      <c r="K801" s="716"/>
      <c r="L801" s="653" t="str">
        <f t="shared" si="785"/>
        <v>0</v>
      </c>
      <c r="M801" s="654">
        <f t="shared" si="780"/>
        <v>0</v>
      </c>
      <c r="N801" s="655">
        <f>+IF(OR($Q801=Parametres!$G$2,$Q801=Parametres!$G$3),I801,C801)</f>
        <v>0</v>
      </c>
      <c r="O801" s="655">
        <f>+IF(OR($Q801=Parametres!$G$2,$Q801=Parametres!$G$3),J801,D801)</f>
        <v>0</v>
      </c>
      <c r="P801" s="655">
        <f>+IF(OR($Q801=Parametres!$G$2,$Q801=Parametres!$G$3),K801,E801)</f>
        <v>0</v>
      </c>
      <c r="Q801" s="654">
        <f t="shared" ref="Q801:S801" si="816">+F801</f>
        <v>0</v>
      </c>
      <c r="R801" s="653">
        <f t="shared" si="816"/>
        <v>0</v>
      </c>
      <c r="S801" s="654">
        <f t="shared" si="816"/>
        <v>0</v>
      </c>
      <c r="T801" s="656" t="e">
        <f>+VLOOKUP($L801,Data_Validation!$A:$D,1,0)</f>
        <v>#N/A</v>
      </c>
      <c r="U801" s="656" t="e">
        <f>+VLOOKUP($L801,Data_Validation!$A:$D,3,0)</f>
        <v>#N/A</v>
      </c>
      <c r="V801" s="656" t="e">
        <f>+VLOOKUP($L801,Data_Validation!$A:$D,4,0)</f>
        <v>#N/A</v>
      </c>
      <c r="W801" s="656" t="e">
        <f>+VLOOKUP($L801,Data_Validation!$A:$E,5,0)</f>
        <v>#N/A</v>
      </c>
    </row>
    <row r="802" spans="1:23" ht="15.75" customHeight="1">
      <c r="A802" s="716"/>
      <c r="B802" s="654"/>
      <c r="C802" s="717"/>
      <c r="D802" s="716"/>
      <c r="E802" s="716"/>
      <c r="F802" s="716"/>
      <c r="G802" s="716"/>
      <c r="H802" s="716"/>
      <c r="I802" s="716"/>
      <c r="J802" s="716"/>
      <c r="K802" s="716"/>
      <c r="L802" s="653" t="str">
        <f t="shared" si="785"/>
        <v>0</v>
      </c>
      <c r="M802" s="654">
        <f t="shared" si="780"/>
        <v>0</v>
      </c>
      <c r="N802" s="655">
        <f>+IF(OR($Q802=Parametres!$G$2,$Q802=Parametres!$G$3),I802,C802)</f>
        <v>0</v>
      </c>
      <c r="O802" s="655">
        <f>+IF(OR($Q802=Parametres!$G$2,$Q802=Parametres!$G$3),J802,D802)</f>
        <v>0</v>
      </c>
      <c r="P802" s="655">
        <f>+IF(OR($Q802=Parametres!$G$2,$Q802=Parametres!$G$3),K802,E802)</f>
        <v>0</v>
      </c>
      <c r="Q802" s="654">
        <f t="shared" ref="Q802:S802" si="817">+F802</f>
        <v>0</v>
      </c>
      <c r="R802" s="653">
        <f t="shared" si="817"/>
        <v>0</v>
      </c>
      <c r="S802" s="654">
        <f t="shared" si="817"/>
        <v>0</v>
      </c>
      <c r="T802" s="656" t="e">
        <f>+VLOOKUP($L802,Data_Validation!$A:$D,1,0)</f>
        <v>#N/A</v>
      </c>
      <c r="U802" s="656" t="e">
        <f>+VLOOKUP($L802,Data_Validation!$A:$D,3,0)</f>
        <v>#N/A</v>
      </c>
      <c r="V802" s="656" t="e">
        <f>+VLOOKUP($L802,Data_Validation!$A:$D,4,0)</f>
        <v>#N/A</v>
      </c>
      <c r="W802" s="656" t="e">
        <f>+VLOOKUP($L802,Data_Validation!$A:$E,5,0)</f>
        <v>#N/A</v>
      </c>
    </row>
    <row r="803" spans="1:23" ht="15.75" customHeight="1">
      <c r="A803" s="716"/>
      <c r="B803" s="654"/>
      <c r="C803" s="717"/>
      <c r="D803" s="716"/>
      <c r="E803" s="716"/>
      <c r="F803" s="716"/>
      <c r="G803" s="716"/>
      <c r="H803" s="716"/>
      <c r="I803" s="716"/>
      <c r="J803" s="716"/>
      <c r="K803" s="716"/>
      <c r="L803" s="653" t="str">
        <f t="shared" si="785"/>
        <v>0</v>
      </c>
      <c r="M803" s="654">
        <f t="shared" si="780"/>
        <v>0</v>
      </c>
      <c r="N803" s="655">
        <f>+IF(OR($Q803=Parametres!$G$2,$Q803=Parametres!$G$3),I803,C803)</f>
        <v>0</v>
      </c>
      <c r="O803" s="655">
        <f>+IF(OR($Q803=Parametres!$G$2,$Q803=Parametres!$G$3),J803,D803)</f>
        <v>0</v>
      </c>
      <c r="P803" s="655">
        <f>+IF(OR($Q803=Parametres!$G$2,$Q803=Parametres!$G$3),K803,E803)</f>
        <v>0</v>
      </c>
      <c r="Q803" s="654">
        <f t="shared" ref="Q803:S803" si="818">+F803</f>
        <v>0</v>
      </c>
      <c r="R803" s="653">
        <f t="shared" si="818"/>
        <v>0</v>
      </c>
      <c r="S803" s="654">
        <f t="shared" si="818"/>
        <v>0</v>
      </c>
      <c r="T803" s="656" t="e">
        <f>+VLOOKUP($L803,Data_Validation!$A:$D,1,0)</f>
        <v>#N/A</v>
      </c>
      <c r="U803" s="656" t="e">
        <f>+VLOOKUP($L803,Data_Validation!$A:$D,3,0)</f>
        <v>#N/A</v>
      </c>
      <c r="V803" s="656" t="e">
        <f>+VLOOKUP($L803,Data_Validation!$A:$D,4,0)</f>
        <v>#N/A</v>
      </c>
      <c r="W803" s="656" t="e">
        <f>+VLOOKUP($L803,Data_Validation!$A:$E,5,0)</f>
        <v>#N/A</v>
      </c>
    </row>
    <row r="804" spans="1:23" ht="15.75" customHeight="1">
      <c r="A804" s="716"/>
      <c r="B804" s="654"/>
      <c r="C804" s="717"/>
      <c r="D804" s="716"/>
      <c r="E804" s="716"/>
      <c r="F804" s="716"/>
      <c r="G804" s="716"/>
      <c r="H804" s="716"/>
      <c r="I804" s="716"/>
      <c r="J804" s="716"/>
      <c r="K804" s="716"/>
      <c r="L804" s="653" t="str">
        <f t="shared" si="785"/>
        <v>0</v>
      </c>
      <c r="M804" s="654">
        <f t="shared" si="780"/>
        <v>0</v>
      </c>
      <c r="N804" s="655">
        <f>+IF(OR($Q804=Parametres!$G$2,$Q804=Parametres!$G$3),I804,C804)</f>
        <v>0</v>
      </c>
      <c r="O804" s="655">
        <f>+IF(OR($Q804=Parametres!$G$2,$Q804=Parametres!$G$3),J804,D804)</f>
        <v>0</v>
      </c>
      <c r="P804" s="655">
        <f>+IF(OR($Q804=Parametres!$G$2,$Q804=Parametres!$G$3),K804,E804)</f>
        <v>0</v>
      </c>
      <c r="Q804" s="654">
        <f t="shared" ref="Q804:S804" si="819">+F804</f>
        <v>0</v>
      </c>
      <c r="R804" s="653">
        <f t="shared" si="819"/>
        <v>0</v>
      </c>
      <c r="S804" s="654">
        <f t="shared" si="819"/>
        <v>0</v>
      </c>
      <c r="T804" s="656" t="e">
        <f>+VLOOKUP($L804,Data_Validation!$A:$D,1,0)</f>
        <v>#N/A</v>
      </c>
      <c r="U804" s="656" t="e">
        <f>+VLOOKUP($L804,Data_Validation!$A:$D,3,0)</f>
        <v>#N/A</v>
      </c>
      <c r="V804" s="656" t="e">
        <f>+VLOOKUP($L804,Data_Validation!$A:$D,4,0)</f>
        <v>#N/A</v>
      </c>
      <c r="W804" s="656" t="e">
        <f>+VLOOKUP($L804,Data_Validation!$A:$E,5,0)</f>
        <v>#N/A</v>
      </c>
    </row>
    <row r="805" spans="1:23" ht="15.75" customHeight="1">
      <c r="A805" s="716"/>
      <c r="B805" s="654"/>
      <c r="C805" s="717"/>
      <c r="D805" s="716"/>
      <c r="E805" s="716"/>
      <c r="F805" s="716"/>
      <c r="G805" s="716"/>
      <c r="H805" s="716"/>
      <c r="I805" s="716"/>
      <c r="J805" s="716"/>
      <c r="K805" s="716"/>
      <c r="L805" s="653" t="str">
        <f t="shared" si="785"/>
        <v>0</v>
      </c>
      <c r="M805" s="654">
        <f t="shared" si="780"/>
        <v>0</v>
      </c>
      <c r="N805" s="655">
        <f>+IF(OR($Q805=Parametres!$G$2,$Q805=Parametres!$G$3),I805,C805)</f>
        <v>0</v>
      </c>
      <c r="O805" s="655">
        <f>+IF(OR($Q805=Parametres!$G$2,$Q805=Parametres!$G$3),J805,D805)</f>
        <v>0</v>
      </c>
      <c r="P805" s="655">
        <f>+IF(OR($Q805=Parametres!$G$2,$Q805=Parametres!$G$3),K805,E805)</f>
        <v>0</v>
      </c>
      <c r="Q805" s="654">
        <f t="shared" ref="Q805:S805" si="820">+F805</f>
        <v>0</v>
      </c>
      <c r="R805" s="653">
        <f t="shared" si="820"/>
        <v>0</v>
      </c>
      <c r="S805" s="654">
        <f t="shared" si="820"/>
        <v>0</v>
      </c>
      <c r="T805" s="656" t="e">
        <f>+VLOOKUP($L805,Data_Validation!$A:$D,1,0)</f>
        <v>#N/A</v>
      </c>
      <c r="U805" s="656" t="e">
        <f>+VLOOKUP($L805,Data_Validation!$A:$D,3,0)</f>
        <v>#N/A</v>
      </c>
      <c r="V805" s="656" t="e">
        <f>+VLOOKUP($L805,Data_Validation!$A:$D,4,0)</f>
        <v>#N/A</v>
      </c>
      <c r="W805" s="656" t="e">
        <f>+VLOOKUP($L805,Data_Validation!$A:$E,5,0)</f>
        <v>#N/A</v>
      </c>
    </row>
    <row r="806" spans="1:23" ht="15.75" customHeight="1">
      <c r="A806" s="716"/>
      <c r="B806" s="654"/>
      <c r="C806" s="717"/>
      <c r="D806" s="716"/>
      <c r="E806" s="716"/>
      <c r="F806" s="716"/>
      <c r="G806" s="716"/>
      <c r="H806" s="716"/>
      <c r="I806" s="716"/>
      <c r="J806" s="716"/>
      <c r="K806" s="716"/>
      <c r="L806" s="653" t="str">
        <f t="shared" si="785"/>
        <v>0</v>
      </c>
      <c r="M806" s="654">
        <f t="shared" si="780"/>
        <v>0</v>
      </c>
      <c r="N806" s="655">
        <f>+IF(OR($Q806=Parametres!$G$2,$Q806=Parametres!$G$3),I806,C806)</f>
        <v>0</v>
      </c>
      <c r="O806" s="655">
        <f>+IF(OR($Q806=Parametres!$G$2,$Q806=Parametres!$G$3),J806,D806)</f>
        <v>0</v>
      </c>
      <c r="P806" s="655">
        <f>+IF(OR($Q806=Parametres!$G$2,$Q806=Parametres!$G$3),K806,E806)</f>
        <v>0</v>
      </c>
      <c r="Q806" s="654">
        <f t="shared" ref="Q806:S806" si="821">+F806</f>
        <v>0</v>
      </c>
      <c r="R806" s="653">
        <f t="shared" si="821"/>
        <v>0</v>
      </c>
      <c r="S806" s="654">
        <f t="shared" si="821"/>
        <v>0</v>
      </c>
      <c r="T806" s="656" t="e">
        <f>+VLOOKUP($L806,Data_Validation!$A:$D,1,0)</f>
        <v>#N/A</v>
      </c>
      <c r="U806" s="656" t="e">
        <f>+VLOOKUP($L806,Data_Validation!$A:$D,3,0)</f>
        <v>#N/A</v>
      </c>
      <c r="V806" s="656" t="e">
        <f>+VLOOKUP($L806,Data_Validation!$A:$D,4,0)</f>
        <v>#N/A</v>
      </c>
      <c r="W806" s="656" t="e">
        <f>+VLOOKUP($L806,Data_Validation!$A:$E,5,0)</f>
        <v>#N/A</v>
      </c>
    </row>
    <row r="807" spans="1:23" ht="15.75" customHeight="1">
      <c r="A807" s="716"/>
      <c r="B807" s="654"/>
      <c r="C807" s="717"/>
      <c r="D807" s="716"/>
      <c r="E807" s="716"/>
      <c r="F807" s="716"/>
      <c r="G807" s="716"/>
      <c r="H807" s="716"/>
      <c r="I807" s="716"/>
      <c r="J807" s="716"/>
      <c r="K807" s="716"/>
      <c r="L807" s="653" t="str">
        <f t="shared" si="785"/>
        <v>0</v>
      </c>
      <c r="M807" s="654">
        <f t="shared" si="780"/>
        <v>0</v>
      </c>
      <c r="N807" s="655">
        <f>+IF(OR($Q807=Parametres!$G$2,$Q807=Parametres!$G$3),I807,C807)</f>
        <v>0</v>
      </c>
      <c r="O807" s="655">
        <f>+IF(OR($Q807=Parametres!$G$2,$Q807=Parametres!$G$3),J807,D807)</f>
        <v>0</v>
      </c>
      <c r="P807" s="655">
        <f>+IF(OR($Q807=Parametres!$G$2,$Q807=Parametres!$G$3),K807,E807)</f>
        <v>0</v>
      </c>
      <c r="Q807" s="654">
        <f t="shared" ref="Q807:S807" si="822">+F807</f>
        <v>0</v>
      </c>
      <c r="R807" s="653">
        <f t="shared" si="822"/>
        <v>0</v>
      </c>
      <c r="S807" s="654">
        <f t="shared" si="822"/>
        <v>0</v>
      </c>
      <c r="T807" s="656" t="e">
        <f>+VLOOKUP($L807,Data_Validation!$A:$D,1,0)</f>
        <v>#N/A</v>
      </c>
      <c r="U807" s="656" t="e">
        <f>+VLOOKUP($L807,Data_Validation!$A:$D,3,0)</f>
        <v>#N/A</v>
      </c>
      <c r="V807" s="656" t="e">
        <f>+VLOOKUP($L807,Data_Validation!$A:$D,4,0)</f>
        <v>#N/A</v>
      </c>
      <c r="W807" s="656" t="e">
        <f>+VLOOKUP($L807,Data_Validation!$A:$E,5,0)</f>
        <v>#N/A</v>
      </c>
    </row>
    <row r="808" spans="1:23" ht="15.75" customHeight="1">
      <c r="A808" s="716"/>
      <c r="B808" s="654"/>
      <c r="C808" s="717"/>
      <c r="D808" s="716"/>
      <c r="E808" s="716"/>
      <c r="F808" s="716"/>
      <c r="G808" s="716"/>
      <c r="H808" s="716"/>
      <c r="I808" s="716"/>
      <c r="J808" s="716"/>
      <c r="K808" s="716"/>
      <c r="L808" s="653" t="str">
        <f t="shared" si="785"/>
        <v>0</v>
      </c>
      <c r="M808" s="654">
        <f t="shared" si="780"/>
        <v>0</v>
      </c>
      <c r="N808" s="655">
        <f>+IF(OR($Q808=Parametres!$G$2,$Q808=Parametres!$G$3),I808,C808)</f>
        <v>0</v>
      </c>
      <c r="O808" s="655">
        <f>+IF(OR($Q808=Parametres!$G$2,$Q808=Parametres!$G$3),J808,D808)</f>
        <v>0</v>
      </c>
      <c r="P808" s="655">
        <f>+IF(OR($Q808=Parametres!$G$2,$Q808=Parametres!$G$3),K808,E808)</f>
        <v>0</v>
      </c>
      <c r="Q808" s="654">
        <f t="shared" ref="Q808:S808" si="823">+F808</f>
        <v>0</v>
      </c>
      <c r="R808" s="653">
        <f t="shared" si="823"/>
        <v>0</v>
      </c>
      <c r="S808" s="654">
        <f t="shared" si="823"/>
        <v>0</v>
      </c>
      <c r="T808" s="656" t="e">
        <f>+VLOOKUP($L808,Data_Validation!$A:$D,1,0)</f>
        <v>#N/A</v>
      </c>
      <c r="U808" s="656" t="e">
        <f>+VLOOKUP($L808,Data_Validation!$A:$D,3,0)</f>
        <v>#N/A</v>
      </c>
      <c r="V808" s="656" t="e">
        <f>+VLOOKUP($L808,Data_Validation!$A:$D,4,0)</f>
        <v>#N/A</v>
      </c>
      <c r="W808" s="656" t="e">
        <f>+VLOOKUP($L808,Data_Validation!$A:$E,5,0)</f>
        <v>#N/A</v>
      </c>
    </row>
    <row r="809" spans="1:23" ht="15.75" customHeight="1">
      <c r="A809" s="716"/>
      <c r="B809" s="654"/>
      <c r="C809" s="717"/>
      <c r="D809" s="716"/>
      <c r="E809" s="716"/>
      <c r="F809" s="716"/>
      <c r="G809" s="716"/>
      <c r="H809" s="716"/>
      <c r="I809" s="716"/>
      <c r="J809" s="716"/>
      <c r="K809" s="716"/>
      <c r="L809" s="653" t="str">
        <f t="shared" si="785"/>
        <v>0</v>
      </c>
      <c r="M809" s="654">
        <f t="shared" si="780"/>
        <v>0</v>
      </c>
      <c r="N809" s="655">
        <f>+IF(OR($Q809=Parametres!$G$2,$Q809=Parametres!$G$3),I809,C809)</f>
        <v>0</v>
      </c>
      <c r="O809" s="655">
        <f>+IF(OR($Q809=Parametres!$G$2,$Q809=Parametres!$G$3),J809,D809)</f>
        <v>0</v>
      </c>
      <c r="P809" s="655">
        <f>+IF(OR($Q809=Parametres!$G$2,$Q809=Parametres!$G$3),K809,E809)</f>
        <v>0</v>
      </c>
      <c r="Q809" s="654">
        <f t="shared" ref="Q809:S809" si="824">+F809</f>
        <v>0</v>
      </c>
      <c r="R809" s="653">
        <f t="shared" si="824"/>
        <v>0</v>
      </c>
      <c r="S809" s="654">
        <f t="shared" si="824"/>
        <v>0</v>
      </c>
      <c r="T809" s="656" t="e">
        <f>+VLOOKUP($L809,Data_Validation!$A:$D,1,0)</f>
        <v>#N/A</v>
      </c>
      <c r="U809" s="656" t="e">
        <f>+VLOOKUP($L809,Data_Validation!$A:$D,3,0)</f>
        <v>#N/A</v>
      </c>
      <c r="V809" s="656" t="e">
        <f>+VLOOKUP($L809,Data_Validation!$A:$D,4,0)</f>
        <v>#N/A</v>
      </c>
      <c r="W809" s="656" t="e">
        <f>+VLOOKUP($L809,Data_Validation!$A:$E,5,0)</f>
        <v>#N/A</v>
      </c>
    </row>
    <row r="810" spans="1:23" ht="15.75" customHeight="1">
      <c r="A810" s="716"/>
      <c r="B810" s="654"/>
      <c r="C810" s="717"/>
      <c r="D810" s="716"/>
      <c r="E810" s="716"/>
      <c r="F810" s="716"/>
      <c r="G810" s="716"/>
      <c r="H810" s="716"/>
      <c r="I810" s="716"/>
      <c r="J810" s="716"/>
      <c r="K810" s="716"/>
      <c r="L810" s="653" t="str">
        <f t="shared" si="785"/>
        <v>0</v>
      </c>
      <c r="M810" s="654">
        <f t="shared" si="780"/>
        <v>0</v>
      </c>
      <c r="N810" s="655">
        <f>+IF(OR($Q810=Parametres!$G$2,$Q810=Parametres!$G$3),I810,C810)</f>
        <v>0</v>
      </c>
      <c r="O810" s="655">
        <f>+IF(OR($Q810=Parametres!$G$2,$Q810=Parametres!$G$3),J810,D810)</f>
        <v>0</v>
      </c>
      <c r="P810" s="655">
        <f>+IF(OR($Q810=Parametres!$G$2,$Q810=Parametres!$G$3),K810,E810)</f>
        <v>0</v>
      </c>
      <c r="Q810" s="654">
        <f t="shared" ref="Q810:S810" si="825">+F810</f>
        <v>0</v>
      </c>
      <c r="R810" s="653">
        <f t="shared" si="825"/>
        <v>0</v>
      </c>
      <c r="S810" s="654">
        <f t="shared" si="825"/>
        <v>0</v>
      </c>
      <c r="T810" s="656" t="e">
        <f>+VLOOKUP($L810,Data_Validation!$A:$D,1,0)</f>
        <v>#N/A</v>
      </c>
      <c r="U810" s="656" t="e">
        <f>+VLOOKUP($L810,Data_Validation!$A:$D,3,0)</f>
        <v>#N/A</v>
      </c>
      <c r="V810" s="656" t="e">
        <f>+VLOOKUP($L810,Data_Validation!$A:$D,4,0)</f>
        <v>#N/A</v>
      </c>
      <c r="W810" s="656" t="e">
        <f>+VLOOKUP($L810,Data_Validation!$A:$E,5,0)</f>
        <v>#N/A</v>
      </c>
    </row>
    <row r="811" spans="1:23" ht="15.75" customHeight="1">
      <c r="A811" s="716"/>
      <c r="B811" s="654"/>
      <c r="C811" s="717"/>
      <c r="D811" s="716"/>
      <c r="E811" s="716"/>
      <c r="F811" s="716"/>
      <c r="G811" s="716"/>
      <c r="H811" s="716"/>
      <c r="I811" s="716"/>
      <c r="J811" s="716"/>
      <c r="K811" s="716"/>
      <c r="L811" s="653" t="str">
        <f t="shared" si="785"/>
        <v>0</v>
      </c>
      <c r="M811" s="654">
        <f t="shared" si="780"/>
        <v>0</v>
      </c>
      <c r="N811" s="655">
        <f>+IF(OR($Q811=Parametres!$G$2,$Q811=Parametres!$G$3),I811,C811)</f>
        <v>0</v>
      </c>
      <c r="O811" s="655">
        <f>+IF(OR($Q811=Parametres!$G$2,$Q811=Parametres!$G$3),J811,D811)</f>
        <v>0</v>
      </c>
      <c r="P811" s="655">
        <f>+IF(OR($Q811=Parametres!$G$2,$Q811=Parametres!$G$3),K811,E811)</f>
        <v>0</v>
      </c>
      <c r="Q811" s="654">
        <f t="shared" ref="Q811:S811" si="826">+F811</f>
        <v>0</v>
      </c>
      <c r="R811" s="653">
        <f t="shared" si="826"/>
        <v>0</v>
      </c>
      <c r="S811" s="654">
        <f t="shared" si="826"/>
        <v>0</v>
      </c>
      <c r="T811" s="656" t="e">
        <f>+VLOOKUP($L811,Data_Validation!$A:$D,1,0)</f>
        <v>#N/A</v>
      </c>
      <c r="U811" s="656" t="e">
        <f>+VLOOKUP($L811,Data_Validation!$A:$D,3,0)</f>
        <v>#N/A</v>
      </c>
      <c r="V811" s="656" t="e">
        <f>+VLOOKUP($L811,Data_Validation!$A:$D,4,0)</f>
        <v>#N/A</v>
      </c>
      <c r="W811" s="656" t="e">
        <f>+VLOOKUP($L811,Data_Validation!$A:$E,5,0)</f>
        <v>#N/A</v>
      </c>
    </row>
    <row r="812" spans="1:23" ht="15.75" customHeight="1">
      <c r="A812" s="716"/>
      <c r="B812" s="654"/>
      <c r="C812" s="717"/>
      <c r="D812" s="716"/>
      <c r="E812" s="716"/>
      <c r="F812" s="716"/>
      <c r="G812" s="716"/>
      <c r="H812" s="716"/>
      <c r="I812" s="716"/>
      <c r="J812" s="716"/>
      <c r="K812" s="716"/>
      <c r="L812" s="653" t="str">
        <f t="shared" si="785"/>
        <v>0</v>
      </c>
      <c r="M812" s="654">
        <f t="shared" si="780"/>
        <v>0</v>
      </c>
      <c r="N812" s="655">
        <f>+IF(OR($Q812=Parametres!$G$2,$Q812=Parametres!$G$3),I812,C812)</f>
        <v>0</v>
      </c>
      <c r="O812" s="655">
        <f>+IF(OR($Q812=Parametres!$G$2,$Q812=Parametres!$G$3),J812,D812)</f>
        <v>0</v>
      </c>
      <c r="P812" s="655">
        <f>+IF(OR($Q812=Parametres!$G$2,$Q812=Parametres!$G$3),K812,E812)</f>
        <v>0</v>
      </c>
      <c r="Q812" s="654">
        <f t="shared" ref="Q812:S812" si="827">+F812</f>
        <v>0</v>
      </c>
      <c r="R812" s="653">
        <f t="shared" si="827"/>
        <v>0</v>
      </c>
      <c r="S812" s="654">
        <f t="shared" si="827"/>
        <v>0</v>
      </c>
      <c r="T812" s="656" t="e">
        <f>+VLOOKUP($L812,Data_Validation!$A:$D,1,0)</f>
        <v>#N/A</v>
      </c>
      <c r="U812" s="656" t="e">
        <f>+VLOOKUP($L812,Data_Validation!$A:$D,3,0)</f>
        <v>#N/A</v>
      </c>
      <c r="V812" s="656" t="e">
        <f>+VLOOKUP($L812,Data_Validation!$A:$D,4,0)</f>
        <v>#N/A</v>
      </c>
      <c r="W812" s="656" t="e">
        <f>+VLOOKUP($L812,Data_Validation!$A:$E,5,0)</f>
        <v>#N/A</v>
      </c>
    </row>
    <row r="813" spans="1:23" ht="15.75" customHeight="1">
      <c r="A813" s="716"/>
      <c r="B813" s="654"/>
      <c r="C813" s="717"/>
      <c r="D813" s="716"/>
      <c r="E813" s="716"/>
      <c r="F813" s="716"/>
      <c r="G813" s="716"/>
      <c r="H813" s="716"/>
      <c r="I813" s="716"/>
      <c r="J813" s="716"/>
      <c r="K813" s="716"/>
      <c r="L813" s="653" t="str">
        <f t="shared" si="785"/>
        <v>0</v>
      </c>
      <c r="M813" s="654">
        <f t="shared" si="780"/>
        <v>0</v>
      </c>
      <c r="N813" s="655">
        <f>+IF(OR($Q813=Parametres!$G$2,$Q813=Parametres!$G$3),I813,C813)</f>
        <v>0</v>
      </c>
      <c r="O813" s="655">
        <f>+IF(OR($Q813=Parametres!$G$2,$Q813=Parametres!$G$3),J813,D813)</f>
        <v>0</v>
      </c>
      <c r="P813" s="655">
        <f>+IF(OR($Q813=Parametres!$G$2,$Q813=Parametres!$G$3),K813,E813)</f>
        <v>0</v>
      </c>
      <c r="Q813" s="654">
        <f t="shared" ref="Q813:S813" si="828">+F813</f>
        <v>0</v>
      </c>
      <c r="R813" s="653">
        <f t="shared" si="828"/>
        <v>0</v>
      </c>
      <c r="S813" s="654">
        <f t="shared" si="828"/>
        <v>0</v>
      </c>
      <c r="T813" s="656" t="e">
        <f>+VLOOKUP($L813,Data_Validation!$A:$D,1,0)</f>
        <v>#N/A</v>
      </c>
      <c r="U813" s="656" t="e">
        <f>+VLOOKUP($L813,Data_Validation!$A:$D,3,0)</f>
        <v>#N/A</v>
      </c>
      <c r="V813" s="656" t="e">
        <f>+VLOOKUP($L813,Data_Validation!$A:$D,4,0)</f>
        <v>#N/A</v>
      </c>
      <c r="W813" s="656" t="e">
        <f>+VLOOKUP($L813,Data_Validation!$A:$E,5,0)</f>
        <v>#N/A</v>
      </c>
    </row>
    <row r="814" spans="1:23" ht="15.75" customHeight="1">
      <c r="A814" s="716"/>
      <c r="B814" s="654"/>
      <c r="C814" s="717"/>
      <c r="D814" s="716"/>
      <c r="E814" s="716"/>
      <c r="F814" s="716"/>
      <c r="G814" s="716"/>
      <c r="H814" s="716"/>
      <c r="I814" s="716"/>
      <c r="J814" s="716"/>
      <c r="K814" s="716"/>
      <c r="L814" s="653" t="str">
        <f t="shared" si="785"/>
        <v>0</v>
      </c>
      <c r="M814" s="654">
        <f t="shared" si="780"/>
        <v>0</v>
      </c>
      <c r="N814" s="655">
        <f>+IF(OR($Q814=Parametres!$G$2,$Q814=Parametres!$G$3),I814,C814)</f>
        <v>0</v>
      </c>
      <c r="O814" s="655">
        <f>+IF(OR($Q814=Parametres!$G$2,$Q814=Parametres!$G$3),J814,D814)</f>
        <v>0</v>
      </c>
      <c r="P814" s="655">
        <f>+IF(OR($Q814=Parametres!$G$2,$Q814=Parametres!$G$3),K814,E814)</f>
        <v>0</v>
      </c>
      <c r="Q814" s="654">
        <f t="shared" ref="Q814:S814" si="829">+F814</f>
        <v>0</v>
      </c>
      <c r="R814" s="653">
        <f t="shared" si="829"/>
        <v>0</v>
      </c>
      <c r="S814" s="654">
        <f t="shared" si="829"/>
        <v>0</v>
      </c>
      <c r="T814" s="656" t="e">
        <f>+VLOOKUP($L814,Data_Validation!$A:$D,1,0)</f>
        <v>#N/A</v>
      </c>
      <c r="U814" s="656" t="e">
        <f>+VLOOKUP($L814,Data_Validation!$A:$D,3,0)</f>
        <v>#N/A</v>
      </c>
      <c r="V814" s="656" t="e">
        <f>+VLOOKUP($L814,Data_Validation!$A:$D,4,0)</f>
        <v>#N/A</v>
      </c>
      <c r="W814" s="656" t="e">
        <f>+VLOOKUP($L814,Data_Validation!$A:$E,5,0)</f>
        <v>#N/A</v>
      </c>
    </row>
    <row r="815" spans="1:23" ht="15.75" customHeight="1">
      <c r="A815" s="716"/>
      <c r="B815" s="654"/>
      <c r="C815" s="717"/>
      <c r="D815" s="716"/>
      <c r="E815" s="716"/>
      <c r="F815" s="716"/>
      <c r="G815" s="716"/>
      <c r="H815" s="716"/>
      <c r="I815" s="716"/>
      <c r="J815" s="716"/>
      <c r="K815" s="716"/>
      <c r="L815" s="653" t="str">
        <f t="shared" si="785"/>
        <v>0</v>
      </c>
      <c r="M815" s="654">
        <f t="shared" si="780"/>
        <v>0</v>
      </c>
      <c r="N815" s="655">
        <f>+IF(OR($Q815=Parametres!$G$2,$Q815=Parametres!$G$3),I815,C815)</f>
        <v>0</v>
      </c>
      <c r="O815" s="655">
        <f>+IF(OR($Q815=Parametres!$G$2,$Q815=Parametres!$G$3),J815,D815)</f>
        <v>0</v>
      </c>
      <c r="P815" s="655">
        <f>+IF(OR($Q815=Parametres!$G$2,$Q815=Parametres!$G$3),K815,E815)</f>
        <v>0</v>
      </c>
      <c r="Q815" s="654">
        <f t="shared" ref="Q815:S815" si="830">+F815</f>
        <v>0</v>
      </c>
      <c r="R815" s="653">
        <f t="shared" si="830"/>
        <v>0</v>
      </c>
      <c r="S815" s="654">
        <f t="shared" si="830"/>
        <v>0</v>
      </c>
      <c r="T815" s="656" t="e">
        <f>+VLOOKUP($L815,Data_Validation!$A:$D,1,0)</f>
        <v>#N/A</v>
      </c>
      <c r="U815" s="656" t="e">
        <f>+VLOOKUP($L815,Data_Validation!$A:$D,3,0)</f>
        <v>#N/A</v>
      </c>
      <c r="V815" s="656" t="e">
        <f>+VLOOKUP($L815,Data_Validation!$A:$D,4,0)</f>
        <v>#N/A</v>
      </c>
      <c r="W815" s="656" t="e">
        <f>+VLOOKUP($L815,Data_Validation!$A:$E,5,0)</f>
        <v>#N/A</v>
      </c>
    </row>
    <row r="816" spans="1:23" ht="15.75" customHeight="1">
      <c r="A816" s="716"/>
      <c r="B816" s="654"/>
      <c r="C816" s="717"/>
      <c r="D816" s="716"/>
      <c r="E816" s="716"/>
      <c r="F816" s="716"/>
      <c r="G816" s="716"/>
      <c r="H816" s="716"/>
      <c r="I816" s="716"/>
      <c r="J816" s="716"/>
      <c r="K816" s="716"/>
      <c r="L816" s="653" t="str">
        <f t="shared" si="785"/>
        <v>0</v>
      </c>
      <c r="M816" s="654">
        <f t="shared" si="780"/>
        <v>0</v>
      </c>
      <c r="N816" s="655">
        <f>+IF(OR($Q816=Parametres!$G$2,$Q816=Parametres!$G$3),I816,C816)</f>
        <v>0</v>
      </c>
      <c r="O816" s="655">
        <f>+IF(OR($Q816=Parametres!$G$2,$Q816=Parametres!$G$3),J816,D816)</f>
        <v>0</v>
      </c>
      <c r="P816" s="655">
        <f>+IF(OR($Q816=Parametres!$G$2,$Q816=Parametres!$G$3),K816,E816)</f>
        <v>0</v>
      </c>
      <c r="Q816" s="654">
        <f t="shared" ref="Q816:S816" si="831">+F816</f>
        <v>0</v>
      </c>
      <c r="R816" s="653">
        <f t="shared" si="831"/>
        <v>0</v>
      </c>
      <c r="S816" s="654">
        <f t="shared" si="831"/>
        <v>0</v>
      </c>
      <c r="T816" s="656" t="e">
        <f>+VLOOKUP($L816,Data_Validation!$A:$D,1,0)</f>
        <v>#N/A</v>
      </c>
      <c r="U816" s="656" t="e">
        <f>+VLOOKUP($L816,Data_Validation!$A:$D,3,0)</f>
        <v>#N/A</v>
      </c>
      <c r="V816" s="656" t="e">
        <f>+VLOOKUP($L816,Data_Validation!$A:$D,4,0)</f>
        <v>#N/A</v>
      </c>
      <c r="W816" s="656" t="e">
        <f>+VLOOKUP($L816,Data_Validation!$A:$E,5,0)</f>
        <v>#N/A</v>
      </c>
    </row>
    <row r="817" spans="1:23" ht="15.75" customHeight="1">
      <c r="A817" s="716"/>
      <c r="B817" s="654"/>
      <c r="C817" s="717"/>
      <c r="D817" s="716"/>
      <c r="E817" s="716"/>
      <c r="F817" s="716"/>
      <c r="G817" s="716"/>
      <c r="H817" s="716"/>
      <c r="I817" s="716"/>
      <c r="J817" s="716"/>
      <c r="K817" s="716"/>
      <c r="L817" s="653" t="str">
        <f t="shared" si="785"/>
        <v>0</v>
      </c>
      <c r="M817" s="654">
        <f t="shared" si="780"/>
        <v>0</v>
      </c>
      <c r="N817" s="655">
        <f>+IF(OR($Q817=Parametres!$G$2,$Q817=Parametres!$G$3),I817,C817)</f>
        <v>0</v>
      </c>
      <c r="O817" s="655">
        <f>+IF(OR($Q817=Parametres!$G$2,$Q817=Parametres!$G$3),J817,D817)</f>
        <v>0</v>
      </c>
      <c r="P817" s="655">
        <f>+IF(OR($Q817=Parametres!$G$2,$Q817=Parametres!$G$3),K817,E817)</f>
        <v>0</v>
      </c>
      <c r="Q817" s="654">
        <f t="shared" ref="Q817:S817" si="832">+F817</f>
        <v>0</v>
      </c>
      <c r="R817" s="653">
        <f t="shared" si="832"/>
        <v>0</v>
      </c>
      <c r="S817" s="654">
        <f t="shared" si="832"/>
        <v>0</v>
      </c>
      <c r="T817" s="656" t="e">
        <f>+VLOOKUP($L817,Data_Validation!$A:$D,1,0)</f>
        <v>#N/A</v>
      </c>
      <c r="U817" s="656" t="e">
        <f>+VLOOKUP($L817,Data_Validation!$A:$D,3,0)</f>
        <v>#N/A</v>
      </c>
      <c r="V817" s="656" t="e">
        <f>+VLOOKUP($L817,Data_Validation!$A:$D,4,0)</f>
        <v>#N/A</v>
      </c>
      <c r="W817" s="656" t="e">
        <f>+VLOOKUP($L817,Data_Validation!$A:$E,5,0)</f>
        <v>#N/A</v>
      </c>
    </row>
    <row r="818" spans="1:23" ht="15.75" customHeight="1">
      <c r="A818" s="716"/>
      <c r="B818" s="654"/>
      <c r="C818" s="717"/>
      <c r="D818" s="716"/>
      <c r="E818" s="716"/>
      <c r="F818" s="716"/>
      <c r="G818" s="716"/>
      <c r="H818" s="716"/>
      <c r="I818" s="716"/>
      <c r="J818" s="716"/>
      <c r="K818" s="716"/>
      <c r="L818" s="653" t="str">
        <f t="shared" si="785"/>
        <v>0</v>
      </c>
      <c r="M818" s="654">
        <f t="shared" si="780"/>
        <v>0</v>
      </c>
      <c r="N818" s="655">
        <f>+IF(OR($Q818=Parametres!$G$2,$Q818=Parametres!$G$3),I818,C818)</f>
        <v>0</v>
      </c>
      <c r="O818" s="655">
        <f>+IF(OR($Q818=Parametres!$G$2,$Q818=Parametres!$G$3),J818,D818)</f>
        <v>0</v>
      </c>
      <c r="P818" s="655">
        <f>+IF(OR($Q818=Parametres!$G$2,$Q818=Parametres!$G$3),K818,E818)</f>
        <v>0</v>
      </c>
      <c r="Q818" s="654">
        <f t="shared" ref="Q818:S818" si="833">+F818</f>
        <v>0</v>
      </c>
      <c r="R818" s="653">
        <f t="shared" si="833"/>
        <v>0</v>
      </c>
      <c r="S818" s="654">
        <f t="shared" si="833"/>
        <v>0</v>
      </c>
      <c r="T818" s="656" t="e">
        <f>+VLOOKUP($L818,Data_Validation!$A:$D,1,0)</f>
        <v>#N/A</v>
      </c>
      <c r="U818" s="656" t="e">
        <f>+VLOOKUP($L818,Data_Validation!$A:$D,3,0)</f>
        <v>#N/A</v>
      </c>
      <c r="V818" s="656" t="e">
        <f>+VLOOKUP($L818,Data_Validation!$A:$D,4,0)</f>
        <v>#N/A</v>
      </c>
      <c r="W818" s="656" t="e">
        <f>+VLOOKUP($L818,Data_Validation!$A:$E,5,0)</f>
        <v>#N/A</v>
      </c>
    </row>
    <row r="819" spans="1:23" ht="15.75" customHeight="1">
      <c r="A819" s="716"/>
      <c r="B819" s="654"/>
      <c r="C819" s="717"/>
      <c r="D819" s="716"/>
      <c r="E819" s="716"/>
      <c r="F819" s="716"/>
      <c r="G819" s="716"/>
      <c r="H819" s="716"/>
      <c r="I819" s="716"/>
      <c r="J819" s="716"/>
      <c r="K819" s="716"/>
      <c r="L819" s="653" t="str">
        <f t="shared" si="785"/>
        <v>0</v>
      </c>
      <c r="M819" s="654">
        <f t="shared" si="780"/>
        <v>0</v>
      </c>
      <c r="N819" s="655">
        <f>+IF(OR($Q819=Parametres!$G$2,$Q819=Parametres!$G$3),I819,C819)</f>
        <v>0</v>
      </c>
      <c r="O819" s="655">
        <f>+IF(OR($Q819=Parametres!$G$2,$Q819=Parametres!$G$3),J819,D819)</f>
        <v>0</v>
      </c>
      <c r="P819" s="655">
        <f>+IF(OR($Q819=Parametres!$G$2,$Q819=Parametres!$G$3),K819,E819)</f>
        <v>0</v>
      </c>
      <c r="Q819" s="654">
        <f t="shared" ref="Q819:S819" si="834">+F819</f>
        <v>0</v>
      </c>
      <c r="R819" s="653">
        <f t="shared" si="834"/>
        <v>0</v>
      </c>
      <c r="S819" s="654">
        <f t="shared" si="834"/>
        <v>0</v>
      </c>
      <c r="T819" s="656" t="e">
        <f>+VLOOKUP($L819,Data_Validation!$A:$D,1,0)</f>
        <v>#N/A</v>
      </c>
      <c r="U819" s="656" t="e">
        <f>+VLOOKUP($L819,Data_Validation!$A:$D,3,0)</f>
        <v>#N/A</v>
      </c>
      <c r="V819" s="656" t="e">
        <f>+VLOOKUP($L819,Data_Validation!$A:$D,4,0)</f>
        <v>#N/A</v>
      </c>
      <c r="W819" s="656" t="e">
        <f>+VLOOKUP($L819,Data_Validation!$A:$E,5,0)</f>
        <v>#N/A</v>
      </c>
    </row>
    <row r="820" spans="1:23" ht="15.75" customHeight="1">
      <c r="A820" s="716"/>
      <c r="B820" s="654"/>
      <c r="C820" s="717"/>
      <c r="D820" s="716"/>
      <c r="E820" s="716"/>
      <c r="F820" s="716"/>
      <c r="G820" s="716"/>
      <c r="H820" s="716"/>
      <c r="I820" s="716"/>
      <c r="J820" s="716"/>
      <c r="K820" s="716"/>
      <c r="L820" s="653" t="str">
        <f t="shared" si="785"/>
        <v>0</v>
      </c>
      <c r="M820" s="654">
        <f t="shared" si="780"/>
        <v>0</v>
      </c>
      <c r="N820" s="655">
        <f>+IF(OR($Q820=Parametres!$G$2,$Q820=Parametres!$G$3),I820,C820)</f>
        <v>0</v>
      </c>
      <c r="O820" s="655">
        <f>+IF(OR($Q820=Parametres!$G$2,$Q820=Parametres!$G$3),J820,D820)</f>
        <v>0</v>
      </c>
      <c r="P820" s="655">
        <f>+IF(OR($Q820=Parametres!$G$2,$Q820=Parametres!$G$3),K820,E820)</f>
        <v>0</v>
      </c>
      <c r="Q820" s="654">
        <f t="shared" ref="Q820:S820" si="835">+F820</f>
        <v>0</v>
      </c>
      <c r="R820" s="653">
        <f t="shared" si="835"/>
        <v>0</v>
      </c>
      <c r="S820" s="654">
        <f t="shared" si="835"/>
        <v>0</v>
      </c>
      <c r="T820" s="656" t="e">
        <f>+VLOOKUP($L820,Data_Validation!$A:$D,1,0)</f>
        <v>#N/A</v>
      </c>
      <c r="U820" s="656" t="e">
        <f>+VLOOKUP($L820,Data_Validation!$A:$D,3,0)</f>
        <v>#N/A</v>
      </c>
      <c r="V820" s="656" t="e">
        <f>+VLOOKUP($L820,Data_Validation!$A:$D,4,0)</f>
        <v>#N/A</v>
      </c>
      <c r="W820" s="656" t="e">
        <f>+VLOOKUP($L820,Data_Validation!$A:$E,5,0)</f>
        <v>#N/A</v>
      </c>
    </row>
    <row r="821" spans="1:23" ht="15.75" customHeight="1">
      <c r="A821" s="716"/>
      <c r="B821" s="654"/>
      <c r="C821" s="717"/>
      <c r="D821" s="716"/>
      <c r="E821" s="716"/>
      <c r="F821" s="716"/>
      <c r="G821" s="716"/>
      <c r="H821" s="716"/>
      <c r="I821" s="716"/>
      <c r="J821" s="716"/>
      <c r="K821" s="716"/>
      <c r="L821" s="653" t="str">
        <f t="shared" si="785"/>
        <v>0</v>
      </c>
      <c r="M821" s="654">
        <f t="shared" si="780"/>
        <v>0</v>
      </c>
      <c r="N821" s="655">
        <f>+IF(OR($Q821=Parametres!$G$2,$Q821=Parametres!$G$3),I821,C821)</f>
        <v>0</v>
      </c>
      <c r="O821" s="655">
        <f>+IF(OR($Q821=Parametres!$G$2,$Q821=Parametres!$G$3),J821,D821)</f>
        <v>0</v>
      </c>
      <c r="P821" s="655">
        <f>+IF(OR($Q821=Parametres!$G$2,$Q821=Parametres!$G$3),K821,E821)</f>
        <v>0</v>
      </c>
      <c r="Q821" s="654">
        <f t="shared" ref="Q821:S821" si="836">+F821</f>
        <v>0</v>
      </c>
      <c r="R821" s="653">
        <f t="shared" si="836"/>
        <v>0</v>
      </c>
      <c r="S821" s="654">
        <f t="shared" si="836"/>
        <v>0</v>
      </c>
      <c r="T821" s="656" t="e">
        <f>+VLOOKUP($L821,Data_Validation!$A:$D,1,0)</f>
        <v>#N/A</v>
      </c>
      <c r="U821" s="656" t="e">
        <f>+VLOOKUP($L821,Data_Validation!$A:$D,3,0)</f>
        <v>#N/A</v>
      </c>
      <c r="V821" s="656" t="e">
        <f>+VLOOKUP($L821,Data_Validation!$A:$D,4,0)</f>
        <v>#N/A</v>
      </c>
      <c r="W821" s="656" t="e">
        <f>+VLOOKUP($L821,Data_Validation!$A:$E,5,0)</f>
        <v>#N/A</v>
      </c>
    </row>
    <row r="822" spans="1:23" ht="15.75" customHeight="1">
      <c r="A822" s="716"/>
      <c r="B822" s="654"/>
      <c r="C822" s="717"/>
      <c r="D822" s="716"/>
      <c r="E822" s="716"/>
      <c r="F822" s="716"/>
      <c r="G822" s="716"/>
      <c r="H822" s="716"/>
      <c r="I822" s="716"/>
      <c r="J822" s="716"/>
      <c r="K822" s="716"/>
      <c r="L822" s="653" t="str">
        <f t="shared" si="785"/>
        <v>0</v>
      </c>
      <c r="M822" s="654">
        <f t="shared" si="780"/>
        <v>0</v>
      </c>
      <c r="N822" s="655">
        <f>+IF(OR($Q822=Parametres!$G$2,$Q822=Parametres!$G$3),I822,C822)</f>
        <v>0</v>
      </c>
      <c r="O822" s="655">
        <f>+IF(OR($Q822=Parametres!$G$2,$Q822=Parametres!$G$3),J822,D822)</f>
        <v>0</v>
      </c>
      <c r="P822" s="655">
        <f>+IF(OR($Q822=Parametres!$G$2,$Q822=Parametres!$G$3),K822,E822)</f>
        <v>0</v>
      </c>
      <c r="Q822" s="654">
        <f t="shared" ref="Q822:S822" si="837">+F822</f>
        <v>0</v>
      </c>
      <c r="R822" s="653">
        <f t="shared" si="837"/>
        <v>0</v>
      </c>
      <c r="S822" s="654">
        <f t="shared" si="837"/>
        <v>0</v>
      </c>
      <c r="T822" s="656" t="e">
        <f>+VLOOKUP($L822,Data_Validation!$A:$D,1,0)</f>
        <v>#N/A</v>
      </c>
      <c r="U822" s="656" t="e">
        <f>+VLOOKUP($L822,Data_Validation!$A:$D,3,0)</f>
        <v>#N/A</v>
      </c>
      <c r="V822" s="656" t="e">
        <f>+VLOOKUP($L822,Data_Validation!$A:$D,4,0)</f>
        <v>#N/A</v>
      </c>
      <c r="W822" s="656" t="e">
        <f>+VLOOKUP($L822,Data_Validation!$A:$E,5,0)</f>
        <v>#N/A</v>
      </c>
    </row>
    <row r="823" spans="1:23" ht="15.75" customHeight="1">
      <c r="A823" s="716"/>
      <c r="B823" s="654"/>
      <c r="C823" s="717"/>
      <c r="D823" s="716"/>
      <c r="E823" s="716"/>
      <c r="F823" s="716"/>
      <c r="G823" s="716"/>
      <c r="H823" s="716"/>
      <c r="I823" s="716"/>
      <c r="J823" s="716"/>
      <c r="K823" s="716"/>
      <c r="L823" s="653" t="str">
        <f t="shared" si="785"/>
        <v>0</v>
      </c>
      <c r="M823" s="654">
        <f t="shared" si="780"/>
        <v>0</v>
      </c>
      <c r="N823" s="655">
        <f>+IF(OR($Q823=Parametres!$G$2,$Q823=Parametres!$G$3),I823,C823)</f>
        <v>0</v>
      </c>
      <c r="O823" s="655">
        <f>+IF(OR($Q823=Parametres!$G$2,$Q823=Parametres!$G$3),J823,D823)</f>
        <v>0</v>
      </c>
      <c r="P823" s="655">
        <f>+IF(OR($Q823=Parametres!$G$2,$Q823=Parametres!$G$3),K823,E823)</f>
        <v>0</v>
      </c>
      <c r="Q823" s="654">
        <f t="shared" ref="Q823:S823" si="838">+F823</f>
        <v>0</v>
      </c>
      <c r="R823" s="653">
        <f t="shared" si="838"/>
        <v>0</v>
      </c>
      <c r="S823" s="654">
        <f t="shared" si="838"/>
        <v>0</v>
      </c>
      <c r="T823" s="656" t="e">
        <f>+VLOOKUP($L823,Data_Validation!$A:$D,1,0)</f>
        <v>#N/A</v>
      </c>
      <c r="U823" s="656" t="e">
        <f>+VLOOKUP($L823,Data_Validation!$A:$D,3,0)</f>
        <v>#N/A</v>
      </c>
      <c r="V823" s="656" t="e">
        <f>+VLOOKUP($L823,Data_Validation!$A:$D,4,0)</f>
        <v>#N/A</v>
      </c>
      <c r="W823" s="656" t="e">
        <f>+VLOOKUP($L823,Data_Validation!$A:$E,5,0)</f>
        <v>#N/A</v>
      </c>
    </row>
    <row r="824" spans="1:23" ht="15.75" customHeight="1">
      <c r="A824" s="716"/>
      <c r="B824" s="654"/>
      <c r="C824" s="717"/>
      <c r="D824" s="716"/>
      <c r="E824" s="716"/>
      <c r="F824" s="716"/>
      <c r="G824" s="716"/>
      <c r="H824" s="716"/>
      <c r="I824" s="716"/>
      <c r="J824" s="716"/>
      <c r="K824" s="716"/>
      <c r="L824" s="653" t="str">
        <f t="shared" si="785"/>
        <v>0</v>
      </c>
      <c r="M824" s="654">
        <f t="shared" si="780"/>
        <v>0</v>
      </c>
      <c r="N824" s="655">
        <f>+IF(OR($Q824=Parametres!$G$2,$Q824=Parametres!$G$3),I824,C824)</f>
        <v>0</v>
      </c>
      <c r="O824" s="655">
        <f>+IF(OR($Q824=Parametres!$G$2,$Q824=Parametres!$G$3),J824,D824)</f>
        <v>0</v>
      </c>
      <c r="P824" s="655">
        <f>+IF(OR($Q824=Parametres!$G$2,$Q824=Parametres!$G$3),K824,E824)</f>
        <v>0</v>
      </c>
      <c r="Q824" s="654">
        <f t="shared" ref="Q824:S824" si="839">+F824</f>
        <v>0</v>
      </c>
      <c r="R824" s="653">
        <f t="shared" si="839"/>
        <v>0</v>
      </c>
      <c r="S824" s="654">
        <f t="shared" si="839"/>
        <v>0</v>
      </c>
      <c r="T824" s="656" t="e">
        <f>+VLOOKUP($L824,Data_Validation!$A:$D,1,0)</f>
        <v>#N/A</v>
      </c>
      <c r="U824" s="656" t="e">
        <f>+VLOOKUP($L824,Data_Validation!$A:$D,3,0)</f>
        <v>#N/A</v>
      </c>
      <c r="V824" s="656" t="e">
        <f>+VLOOKUP($L824,Data_Validation!$A:$D,4,0)</f>
        <v>#N/A</v>
      </c>
      <c r="W824" s="656" t="e">
        <f>+VLOOKUP($L824,Data_Validation!$A:$E,5,0)</f>
        <v>#N/A</v>
      </c>
    </row>
    <row r="825" spans="1:23" ht="15.75" customHeight="1">
      <c r="A825" s="716"/>
      <c r="B825" s="654"/>
      <c r="C825" s="717"/>
      <c r="D825" s="716"/>
      <c r="E825" s="716"/>
      <c r="F825" s="716"/>
      <c r="G825" s="716"/>
      <c r="H825" s="716"/>
      <c r="I825" s="716"/>
      <c r="J825" s="716"/>
      <c r="K825" s="716"/>
      <c r="L825" s="653" t="str">
        <f t="shared" si="785"/>
        <v>0</v>
      </c>
      <c r="M825" s="654">
        <f t="shared" si="780"/>
        <v>0</v>
      </c>
      <c r="N825" s="655">
        <f>+IF(OR($Q825=Parametres!$G$2,$Q825=Parametres!$G$3),I825,C825)</f>
        <v>0</v>
      </c>
      <c r="O825" s="655">
        <f>+IF(OR($Q825=Parametres!$G$2,$Q825=Parametres!$G$3),J825,D825)</f>
        <v>0</v>
      </c>
      <c r="P825" s="655">
        <f>+IF(OR($Q825=Parametres!$G$2,$Q825=Parametres!$G$3),K825,E825)</f>
        <v>0</v>
      </c>
      <c r="Q825" s="654">
        <f t="shared" ref="Q825:S825" si="840">+F825</f>
        <v>0</v>
      </c>
      <c r="R825" s="653">
        <f t="shared" si="840"/>
        <v>0</v>
      </c>
      <c r="S825" s="654">
        <f t="shared" si="840"/>
        <v>0</v>
      </c>
      <c r="T825" s="656" t="e">
        <f>+VLOOKUP($L825,Data_Validation!$A:$D,1,0)</f>
        <v>#N/A</v>
      </c>
      <c r="U825" s="656" t="e">
        <f>+VLOOKUP($L825,Data_Validation!$A:$D,3,0)</f>
        <v>#N/A</v>
      </c>
      <c r="V825" s="656" t="e">
        <f>+VLOOKUP($L825,Data_Validation!$A:$D,4,0)</f>
        <v>#N/A</v>
      </c>
      <c r="W825" s="656" t="e">
        <f>+VLOOKUP($L825,Data_Validation!$A:$E,5,0)</f>
        <v>#N/A</v>
      </c>
    </row>
    <row r="826" spans="1:23" ht="15.75" customHeight="1">
      <c r="A826" s="716"/>
      <c r="B826" s="654"/>
      <c r="C826" s="717"/>
      <c r="D826" s="716"/>
      <c r="E826" s="716"/>
      <c r="F826" s="716"/>
      <c r="G826" s="716"/>
      <c r="H826" s="716"/>
      <c r="I826" s="716"/>
      <c r="J826" s="716"/>
      <c r="K826" s="716"/>
      <c r="L826" s="653" t="str">
        <f t="shared" si="785"/>
        <v>0</v>
      </c>
      <c r="M826" s="654">
        <f t="shared" si="780"/>
        <v>0</v>
      </c>
      <c r="N826" s="655">
        <f>+IF(OR($Q826=Parametres!$G$2,$Q826=Parametres!$G$3),I826,C826)</f>
        <v>0</v>
      </c>
      <c r="O826" s="655">
        <f>+IF(OR($Q826=Parametres!$G$2,$Q826=Parametres!$G$3),J826,D826)</f>
        <v>0</v>
      </c>
      <c r="P826" s="655">
        <f>+IF(OR($Q826=Parametres!$G$2,$Q826=Parametres!$G$3),K826,E826)</f>
        <v>0</v>
      </c>
      <c r="Q826" s="654">
        <f t="shared" ref="Q826:S826" si="841">+F826</f>
        <v>0</v>
      </c>
      <c r="R826" s="653">
        <f t="shared" si="841"/>
        <v>0</v>
      </c>
      <c r="S826" s="654">
        <f t="shared" si="841"/>
        <v>0</v>
      </c>
      <c r="T826" s="656" t="e">
        <f>+VLOOKUP($L826,Data_Validation!$A:$D,1,0)</f>
        <v>#N/A</v>
      </c>
      <c r="U826" s="656" t="e">
        <f>+VLOOKUP($L826,Data_Validation!$A:$D,3,0)</f>
        <v>#N/A</v>
      </c>
      <c r="V826" s="656" t="e">
        <f>+VLOOKUP($L826,Data_Validation!$A:$D,4,0)</f>
        <v>#N/A</v>
      </c>
      <c r="W826" s="656" t="e">
        <f>+VLOOKUP($L826,Data_Validation!$A:$E,5,0)</f>
        <v>#N/A</v>
      </c>
    </row>
    <row r="827" spans="1:23" ht="15.75" customHeight="1">
      <c r="A827" s="716"/>
      <c r="B827" s="654"/>
      <c r="C827" s="717"/>
      <c r="D827" s="716"/>
      <c r="E827" s="716"/>
      <c r="F827" s="716"/>
      <c r="G827" s="716"/>
      <c r="H827" s="716"/>
      <c r="I827" s="716"/>
      <c r="J827" s="716"/>
      <c r="K827" s="716"/>
      <c r="L827" s="653" t="str">
        <f t="shared" si="785"/>
        <v>0</v>
      </c>
      <c r="M827" s="654">
        <f t="shared" si="780"/>
        <v>0</v>
      </c>
      <c r="N827" s="655">
        <f>+IF(OR($Q827=Parametres!$G$2,$Q827=Parametres!$G$3),I827,C827)</f>
        <v>0</v>
      </c>
      <c r="O827" s="655">
        <f>+IF(OR($Q827=Parametres!$G$2,$Q827=Parametres!$G$3),J827,D827)</f>
        <v>0</v>
      </c>
      <c r="P827" s="655">
        <f>+IF(OR($Q827=Parametres!$G$2,$Q827=Parametres!$G$3),K827,E827)</f>
        <v>0</v>
      </c>
      <c r="Q827" s="654">
        <f t="shared" ref="Q827:S827" si="842">+F827</f>
        <v>0</v>
      </c>
      <c r="R827" s="653">
        <f t="shared" si="842"/>
        <v>0</v>
      </c>
      <c r="S827" s="654">
        <f t="shared" si="842"/>
        <v>0</v>
      </c>
      <c r="T827" s="656" t="e">
        <f>+VLOOKUP($L827,Data_Validation!$A:$D,1,0)</f>
        <v>#N/A</v>
      </c>
      <c r="U827" s="656" t="e">
        <f>+VLOOKUP($L827,Data_Validation!$A:$D,3,0)</f>
        <v>#N/A</v>
      </c>
      <c r="V827" s="656" t="e">
        <f>+VLOOKUP($L827,Data_Validation!$A:$D,4,0)</f>
        <v>#N/A</v>
      </c>
      <c r="W827" s="656" t="e">
        <f>+VLOOKUP($L827,Data_Validation!$A:$E,5,0)</f>
        <v>#N/A</v>
      </c>
    </row>
    <row r="828" spans="1:23" ht="15.75" customHeight="1">
      <c r="A828" s="716"/>
      <c r="B828" s="654"/>
      <c r="C828" s="717"/>
      <c r="D828" s="716"/>
      <c r="E828" s="716"/>
      <c r="F828" s="716"/>
      <c r="G828" s="716"/>
      <c r="H828" s="716"/>
      <c r="I828" s="716"/>
      <c r="J828" s="716"/>
      <c r="K828" s="716"/>
      <c r="L828" s="653" t="str">
        <f t="shared" si="785"/>
        <v>0</v>
      </c>
      <c r="M828" s="654">
        <f t="shared" si="780"/>
        <v>0</v>
      </c>
      <c r="N828" s="655">
        <f>+IF(OR($Q828=Parametres!$G$2,$Q828=Parametres!$G$3),I828,C828)</f>
        <v>0</v>
      </c>
      <c r="O828" s="655">
        <f>+IF(OR($Q828=Parametres!$G$2,$Q828=Parametres!$G$3),J828,D828)</f>
        <v>0</v>
      </c>
      <c r="P828" s="655">
        <f>+IF(OR($Q828=Parametres!$G$2,$Q828=Parametres!$G$3),K828,E828)</f>
        <v>0</v>
      </c>
      <c r="Q828" s="654">
        <f t="shared" ref="Q828:S828" si="843">+F828</f>
        <v>0</v>
      </c>
      <c r="R828" s="653">
        <f t="shared" si="843"/>
        <v>0</v>
      </c>
      <c r="S828" s="654">
        <f t="shared" si="843"/>
        <v>0</v>
      </c>
      <c r="T828" s="656" t="e">
        <f>+VLOOKUP($L828,Data_Validation!$A:$D,1,0)</f>
        <v>#N/A</v>
      </c>
      <c r="U828" s="656" t="e">
        <f>+VLOOKUP($L828,Data_Validation!$A:$D,3,0)</f>
        <v>#N/A</v>
      </c>
      <c r="V828" s="656" t="e">
        <f>+VLOOKUP($L828,Data_Validation!$A:$D,4,0)</f>
        <v>#N/A</v>
      </c>
      <c r="W828" s="656" t="e">
        <f>+VLOOKUP($L828,Data_Validation!$A:$E,5,0)</f>
        <v>#N/A</v>
      </c>
    </row>
    <row r="829" spans="1:23" ht="15.75" customHeight="1">
      <c r="A829" s="716"/>
      <c r="B829" s="654"/>
      <c r="C829" s="717"/>
      <c r="D829" s="716"/>
      <c r="E829" s="716"/>
      <c r="F829" s="716"/>
      <c r="G829" s="716"/>
      <c r="H829" s="716"/>
      <c r="I829" s="716"/>
      <c r="J829" s="716"/>
      <c r="K829" s="716"/>
      <c r="L829" s="653" t="str">
        <f t="shared" si="785"/>
        <v>0</v>
      </c>
      <c r="M829" s="654">
        <f t="shared" si="780"/>
        <v>0</v>
      </c>
      <c r="N829" s="655">
        <f>+IF(OR($Q829=Parametres!$G$2,$Q829=Parametres!$G$3),I829,C829)</f>
        <v>0</v>
      </c>
      <c r="O829" s="655">
        <f>+IF(OR($Q829=Parametres!$G$2,$Q829=Parametres!$G$3),J829,D829)</f>
        <v>0</v>
      </c>
      <c r="P829" s="655">
        <f>+IF(OR($Q829=Parametres!$G$2,$Q829=Parametres!$G$3),K829,E829)</f>
        <v>0</v>
      </c>
      <c r="Q829" s="654">
        <f t="shared" ref="Q829:S829" si="844">+F829</f>
        <v>0</v>
      </c>
      <c r="R829" s="653">
        <f t="shared" si="844"/>
        <v>0</v>
      </c>
      <c r="S829" s="654">
        <f t="shared" si="844"/>
        <v>0</v>
      </c>
      <c r="T829" s="656" t="e">
        <f>+VLOOKUP($L829,Data_Validation!$A:$D,1,0)</f>
        <v>#N/A</v>
      </c>
      <c r="U829" s="656" t="e">
        <f>+VLOOKUP($L829,Data_Validation!$A:$D,3,0)</f>
        <v>#N/A</v>
      </c>
      <c r="V829" s="656" t="e">
        <f>+VLOOKUP($L829,Data_Validation!$A:$D,4,0)</f>
        <v>#N/A</v>
      </c>
      <c r="W829" s="656" t="e">
        <f>+VLOOKUP($L829,Data_Validation!$A:$E,5,0)</f>
        <v>#N/A</v>
      </c>
    </row>
    <row r="830" spans="1:23" ht="15.75" customHeight="1">
      <c r="A830" s="716"/>
      <c r="B830" s="654"/>
      <c r="C830" s="717"/>
      <c r="D830" s="716"/>
      <c r="E830" s="716"/>
      <c r="F830" s="716"/>
      <c r="G830" s="716"/>
      <c r="H830" s="716"/>
      <c r="I830" s="716"/>
      <c r="J830" s="716"/>
      <c r="K830" s="716"/>
      <c r="L830" s="653" t="str">
        <f t="shared" si="785"/>
        <v>0</v>
      </c>
      <c r="M830" s="654">
        <f t="shared" si="780"/>
        <v>0</v>
      </c>
      <c r="N830" s="655">
        <f>+IF(OR($Q830=Parametres!$G$2,$Q830=Parametres!$G$3),I830,C830)</f>
        <v>0</v>
      </c>
      <c r="O830" s="655">
        <f>+IF(OR($Q830=Parametres!$G$2,$Q830=Parametres!$G$3),J830,D830)</f>
        <v>0</v>
      </c>
      <c r="P830" s="655">
        <f>+IF(OR($Q830=Parametres!$G$2,$Q830=Parametres!$G$3),K830,E830)</f>
        <v>0</v>
      </c>
      <c r="Q830" s="654">
        <f t="shared" ref="Q830:S830" si="845">+F830</f>
        <v>0</v>
      </c>
      <c r="R830" s="653">
        <f t="shared" si="845"/>
        <v>0</v>
      </c>
      <c r="S830" s="654">
        <f t="shared" si="845"/>
        <v>0</v>
      </c>
      <c r="T830" s="656" t="e">
        <f>+VLOOKUP($L830,Data_Validation!$A:$D,1,0)</f>
        <v>#N/A</v>
      </c>
      <c r="U830" s="656" t="e">
        <f>+VLOOKUP($L830,Data_Validation!$A:$D,3,0)</f>
        <v>#N/A</v>
      </c>
      <c r="V830" s="656" t="e">
        <f>+VLOOKUP($L830,Data_Validation!$A:$D,4,0)</f>
        <v>#N/A</v>
      </c>
      <c r="W830" s="656" t="e">
        <f>+VLOOKUP($L830,Data_Validation!$A:$E,5,0)</f>
        <v>#N/A</v>
      </c>
    </row>
    <row r="831" spans="1:23" ht="15.75" customHeight="1">
      <c r="A831" s="716"/>
      <c r="B831" s="654"/>
      <c r="C831" s="717"/>
      <c r="D831" s="716"/>
      <c r="E831" s="716"/>
      <c r="F831" s="716"/>
      <c r="G831" s="716"/>
      <c r="H831" s="716"/>
      <c r="I831" s="716"/>
      <c r="J831" s="716"/>
      <c r="K831" s="716"/>
      <c r="L831" s="653" t="str">
        <f t="shared" si="785"/>
        <v>0</v>
      </c>
      <c r="M831" s="654">
        <f t="shared" si="780"/>
        <v>0</v>
      </c>
      <c r="N831" s="655">
        <f>+IF(OR($Q831=Parametres!$G$2,$Q831=Parametres!$G$3),I831,C831)</f>
        <v>0</v>
      </c>
      <c r="O831" s="655">
        <f>+IF(OR($Q831=Parametres!$G$2,$Q831=Parametres!$G$3),J831,D831)</f>
        <v>0</v>
      </c>
      <c r="P831" s="655">
        <f>+IF(OR($Q831=Parametres!$G$2,$Q831=Parametres!$G$3),K831,E831)</f>
        <v>0</v>
      </c>
      <c r="Q831" s="654">
        <f t="shared" ref="Q831:S831" si="846">+F831</f>
        <v>0</v>
      </c>
      <c r="R831" s="653">
        <f t="shared" si="846"/>
        <v>0</v>
      </c>
      <c r="S831" s="654">
        <f t="shared" si="846"/>
        <v>0</v>
      </c>
      <c r="T831" s="656" t="e">
        <f>+VLOOKUP($L831,Data_Validation!$A:$D,1,0)</f>
        <v>#N/A</v>
      </c>
      <c r="U831" s="656" t="e">
        <f>+VLOOKUP($L831,Data_Validation!$A:$D,3,0)</f>
        <v>#N/A</v>
      </c>
      <c r="V831" s="656" t="e">
        <f>+VLOOKUP($L831,Data_Validation!$A:$D,4,0)</f>
        <v>#N/A</v>
      </c>
      <c r="W831" s="656" t="e">
        <f>+VLOOKUP($L831,Data_Validation!$A:$E,5,0)</f>
        <v>#N/A</v>
      </c>
    </row>
    <row r="832" spans="1:23" ht="15.75" customHeight="1">
      <c r="A832" s="716"/>
      <c r="B832" s="654"/>
      <c r="C832" s="717"/>
      <c r="D832" s="716"/>
      <c r="E832" s="716"/>
      <c r="F832" s="716"/>
      <c r="G832" s="716"/>
      <c r="H832" s="716"/>
      <c r="I832" s="716"/>
      <c r="J832" s="716"/>
      <c r="K832" s="716"/>
      <c r="L832" s="653" t="str">
        <f t="shared" si="785"/>
        <v>0</v>
      </c>
      <c r="M832" s="654">
        <f t="shared" si="780"/>
        <v>0</v>
      </c>
      <c r="N832" s="655">
        <f>+IF(OR($Q832=Parametres!$G$2,$Q832=Parametres!$G$3),I832,C832)</f>
        <v>0</v>
      </c>
      <c r="O832" s="655">
        <f>+IF(OR($Q832=Parametres!$G$2,$Q832=Parametres!$G$3),J832,D832)</f>
        <v>0</v>
      </c>
      <c r="P832" s="655">
        <f>+IF(OR($Q832=Parametres!$G$2,$Q832=Parametres!$G$3),K832,E832)</f>
        <v>0</v>
      </c>
      <c r="Q832" s="654">
        <f t="shared" ref="Q832:S832" si="847">+F832</f>
        <v>0</v>
      </c>
      <c r="R832" s="653">
        <f t="shared" si="847"/>
        <v>0</v>
      </c>
      <c r="S832" s="654">
        <f t="shared" si="847"/>
        <v>0</v>
      </c>
      <c r="T832" s="656" t="e">
        <f>+VLOOKUP($L832,Data_Validation!$A:$D,1,0)</f>
        <v>#N/A</v>
      </c>
      <c r="U832" s="656" t="e">
        <f>+VLOOKUP($L832,Data_Validation!$A:$D,3,0)</f>
        <v>#N/A</v>
      </c>
      <c r="V832" s="656" t="e">
        <f>+VLOOKUP($L832,Data_Validation!$A:$D,4,0)</f>
        <v>#N/A</v>
      </c>
      <c r="W832" s="656" t="e">
        <f>+VLOOKUP($L832,Data_Validation!$A:$E,5,0)</f>
        <v>#N/A</v>
      </c>
    </row>
    <row r="833" spans="1:23" ht="15.75" customHeight="1">
      <c r="A833" s="716"/>
      <c r="B833" s="654"/>
      <c r="C833" s="717"/>
      <c r="D833" s="716"/>
      <c r="E833" s="716"/>
      <c r="F833" s="716"/>
      <c r="G833" s="716"/>
      <c r="H833" s="716"/>
      <c r="I833" s="716"/>
      <c r="J833" s="716"/>
      <c r="K833" s="716"/>
      <c r="L833" s="653" t="str">
        <f t="shared" si="785"/>
        <v>0</v>
      </c>
      <c r="M833" s="654">
        <f t="shared" si="780"/>
        <v>0</v>
      </c>
      <c r="N833" s="655">
        <f>+IF(OR($Q833=Parametres!$G$2,$Q833=Parametres!$G$3),I833,C833)</f>
        <v>0</v>
      </c>
      <c r="O833" s="655">
        <f>+IF(OR($Q833=Parametres!$G$2,$Q833=Parametres!$G$3),J833,D833)</f>
        <v>0</v>
      </c>
      <c r="P833" s="655">
        <f>+IF(OR($Q833=Parametres!$G$2,$Q833=Parametres!$G$3),K833,E833)</f>
        <v>0</v>
      </c>
      <c r="Q833" s="654">
        <f t="shared" ref="Q833:S833" si="848">+F833</f>
        <v>0</v>
      </c>
      <c r="R833" s="653">
        <f t="shared" si="848"/>
        <v>0</v>
      </c>
      <c r="S833" s="654">
        <f t="shared" si="848"/>
        <v>0</v>
      </c>
      <c r="T833" s="656" t="e">
        <f>+VLOOKUP($L833,Data_Validation!$A:$D,1,0)</f>
        <v>#N/A</v>
      </c>
      <c r="U833" s="656" t="e">
        <f>+VLOOKUP($L833,Data_Validation!$A:$D,3,0)</f>
        <v>#N/A</v>
      </c>
      <c r="V833" s="656" t="e">
        <f>+VLOOKUP($L833,Data_Validation!$A:$D,4,0)</f>
        <v>#N/A</v>
      </c>
      <c r="W833" s="656" t="e">
        <f>+VLOOKUP($L833,Data_Validation!$A:$E,5,0)</f>
        <v>#N/A</v>
      </c>
    </row>
    <row r="834" spans="1:23" ht="15.75" customHeight="1">
      <c r="A834" s="716"/>
      <c r="B834" s="654"/>
      <c r="C834" s="717"/>
      <c r="D834" s="716"/>
      <c r="E834" s="716"/>
      <c r="F834" s="716"/>
      <c r="G834" s="716"/>
      <c r="H834" s="716"/>
      <c r="I834" s="716"/>
      <c r="J834" s="716"/>
      <c r="K834" s="716"/>
      <c r="L834" s="653" t="str">
        <f t="shared" si="785"/>
        <v>0</v>
      </c>
      <c r="M834" s="654">
        <f t="shared" si="780"/>
        <v>0</v>
      </c>
      <c r="N834" s="655">
        <f>+IF(OR($Q834=Parametres!$G$2,$Q834=Parametres!$G$3),I834,C834)</f>
        <v>0</v>
      </c>
      <c r="O834" s="655">
        <f>+IF(OR($Q834=Parametres!$G$2,$Q834=Parametres!$G$3),J834,D834)</f>
        <v>0</v>
      </c>
      <c r="P834" s="655">
        <f>+IF(OR($Q834=Parametres!$G$2,$Q834=Parametres!$G$3),K834,E834)</f>
        <v>0</v>
      </c>
      <c r="Q834" s="654">
        <f t="shared" ref="Q834:S834" si="849">+F834</f>
        <v>0</v>
      </c>
      <c r="R834" s="653">
        <f t="shared" si="849"/>
        <v>0</v>
      </c>
      <c r="S834" s="654">
        <f t="shared" si="849"/>
        <v>0</v>
      </c>
      <c r="T834" s="656" t="e">
        <f>+VLOOKUP($L834,Data_Validation!$A:$D,1,0)</f>
        <v>#N/A</v>
      </c>
      <c r="U834" s="656" t="e">
        <f>+VLOOKUP($L834,Data_Validation!$A:$D,3,0)</f>
        <v>#N/A</v>
      </c>
      <c r="V834" s="656" t="e">
        <f>+VLOOKUP($L834,Data_Validation!$A:$D,4,0)</f>
        <v>#N/A</v>
      </c>
      <c r="W834" s="656" t="e">
        <f>+VLOOKUP($L834,Data_Validation!$A:$E,5,0)</f>
        <v>#N/A</v>
      </c>
    </row>
    <row r="835" spans="1:23" ht="15.75" customHeight="1">
      <c r="A835" s="716"/>
      <c r="B835" s="654"/>
      <c r="C835" s="717"/>
      <c r="D835" s="716"/>
      <c r="E835" s="716"/>
      <c r="F835" s="716"/>
      <c r="G835" s="716"/>
      <c r="H835" s="716"/>
      <c r="I835" s="716"/>
      <c r="J835" s="716"/>
      <c r="K835" s="716"/>
      <c r="L835" s="653" t="str">
        <f t="shared" ref="L835:L898" si="850">TEXT(B835,0)</f>
        <v>0</v>
      </c>
      <c r="M835" s="654">
        <f t="shared" si="780"/>
        <v>0</v>
      </c>
      <c r="N835" s="655">
        <f>+IF(OR($Q835=Parametres!$G$2,$Q835=Parametres!$G$3),I835,C835)</f>
        <v>0</v>
      </c>
      <c r="O835" s="655">
        <f>+IF(OR($Q835=Parametres!$G$2,$Q835=Parametres!$G$3),J835,D835)</f>
        <v>0</v>
      </c>
      <c r="P835" s="655">
        <f>+IF(OR($Q835=Parametres!$G$2,$Q835=Parametres!$G$3),K835,E835)</f>
        <v>0</v>
      </c>
      <c r="Q835" s="654">
        <f t="shared" ref="Q835:S835" si="851">+F835</f>
        <v>0</v>
      </c>
      <c r="R835" s="653">
        <f t="shared" si="851"/>
        <v>0</v>
      </c>
      <c r="S835" s="654">
        <f t="shared" si="851"/>
        <v>0</v>
      </c>
      <c r="T835" s="656" t="e">
        <f>+VLOOKUP($L835,Data_Validation!$A:$D,1,0)</f>
        <v>#N/A</v>
      </c>
      <c r="U835" s="656" t="e">
        <f>+VLOOKUP($L835,Data_Validation!$A:$D,3,0)</f>
        <v>#N/A</v>
      </c>
      <c r="V835" s="656" t="e">
        <f>+VLOOKUP($L835,Data_Validation!$A:$D,4,0)</f>
        <v>#N/A</v>
      </c>
      <c r="W835" s="656" t="e">
        <f>+VLOOKUP($L835,Data_Validation!$A:$E,5,0)</f>
        <v>#N/A</v>
      </c>
    </row>
    <row r="836" spans="1:23" ht="15.75" customHeight="1">
      <c r="A836" s="716"/>
      <c r="B836" s="654"/>
      <c r="C836" s="717"/>
      <c r="D836" s="716"/>
      <c r="E836" s="716"/>
      <c r="F836" s="716"/>
      <c r="G836" s="716"/>
      <c r="H836" s="716"/>
      <c r="I836" s="716"/>
      <c r="J836" s="716"/>
      <c r="K836" s="716"/>
      <c r="L836" s="653" t="str">
        <f t="shared" si="850"/>
        <v>0</v>
      </c>
      <c r="M836" s="654">
        <f t="shared" si="780"/>
        <v>0</v>
      </c>
      <c r="N836" s="655">
        <f>+IF(OR($Q836=Parametres!$G$2,$Q836=Parametres!$G$3),I836,C836)</f>
        <v>0</v>
      </c>
      <c r="O836" s="655">
        <f>+IF(OR($Q836=Parametres!$G$2,$Q836=Parametres!$G$3),J836,D836)</f>
        <v>0</v>
      </c>
      <c r="P836" s="655">
        <f>+IF(OR($Q836=Parametres!$G$2,$Q836=Parametres!$G$3),K836,E836)</f>
        <v>0</v>
      </c>
      <c r="Q836" s="654">
        <f t="shared" ref="Q836:S836" si="852">+F836</f>
        <v>0</v>
      </c>
      <c r="R836" s="653">
        <f t="shared" si="852"/>
        <v>0</v>
      </c>
      <c r="S836" s="654">
        <f t="shared" si="852"/>
        <v>0</v>
      </c>
      <c r="T836" s="656" t="e">
        <f>+VLOOKUP($L836,Data_Validation!$A:$D,1,0)</f>
        <v>#N/A</v>
      </c>
      <c r="U836" s="656" t="e">
        <f>+VLOOKUP($L836,Data_Validation!$A:$D,3,0)</f>
        <v>#N/A</v>
      </c>
      <c r="V836" s="656" t="e">
        <f>+VLOOKUP($L836,Data_Validation!$A:$D,4,0)</f>
        <v>#N/A</v>
      </c>
      <c r="W836" s="656" t="e">
        <f>+VLOOKUP($L836,Data_Validation!$A:$E,5,0)</f>
        <v>#N/A</v>
      </c>
    </row>
    <row r="837" spans="1:23" ht="15.75" customHeight="1">
      <c r="A837" s="716"/>
      <c r="B837" s="654"/>
      <c r="C837" s="717"/>
      <c r="D837" s="716"/>
      <c r="E837" s="716"/>
      <c r="F837" s="716"/>
      <c r="G837" s="716"/>
      <c r="H837" s="716"/>
      <c r="I837" s="716"/>
      <c r="J837" s="716"/>
      <c r="K837" s="716"/>
      <c r="L837" s="653" t="str">
        <f t="shared" si="850"/>
        <v>0</v>
      </c>
      <c r="M837" s="654">
        <f t="shared" si="780"/>
        <v>0</v>
      </c>
      <c r="N837" s="655">
        <f>+IF(OR($Q837=Parametres!$G$2,$Q837=Parametres!$G$3),I837,C837)</f>
        <v>0</v>
      </c>
      <c r="O837" s="655">
        <f>+IF(OR($Q837=Parametres!$G$2,$Q837=Parametres!$G$3),J837,D837)</f>
        <v>0</v>
      </c>
      <c r="P837" s="655">
        <f>+IF(OR($Q837=Parametres!$G$2,$Q837=Parametres!$G$3),K837,E837)</f>
        <v>0</v>
      </c>
      <c r="Q837" s="654">
        <f t="shared" ref="Q837:S837" si="853">+F837</f>
        <v>0</v>
      </c>
      <c r="R837" s="653">
        <f t="shared" si="853"/>
        <v>0</v>
      </c>
      <c r="S837" s="654">
        <f t="shared" si="853"/>
        <v>0</v>
      </c>
      <c r="T837" s="656" t="e">
        <f>+VLOOKUP($L837,Data_Validation!$A:$D,1,0)</f>
        <v>#N/A</v>
      </c>
      <c r="U837" s="656" t="e">
        <f>+VLOOKUP($L837,Data_Validation!$A:$D,3,0)</f>
        <v>#N/A</v>
      </c>
      <c r="V837" s="656" t="e">
        <f>+VLOOKUP($L837,Data_Validation!$A:$D,4,0)</f>
        <v>#N/A</v>
      </c>
      <c r="W837" s="656" t="e">
        <f>+VLOOKUP($L837,Data_Validation!$A:$E,5,0)</f>
        <v>#N/A</v>
      </c>
    </row>
    <row r="838" spans="1:23" ht="15.75" customHeight="1">
      <c r="A838" s="716"/>
      <c r="B838" s="654"/>
      <c r="C838" s="717"/>
      <c r="D838" s="716"/>
      <c r="E838" s="716"/>
      <c r="F838" s="716"/>
      <c r="G838" s="716"/>
      <c r="H838" s="716"/>
      <c r="I838" s="716"/>
      <c r="J838" s="716"/>
      <c r="K838" s="716"/>
      <c r="L838" s="653" t="str">
        <f t="shared" si="850"/>
        <v>0</v>
      </c>
      <c r="M838" s="654">
        <f t="shared" si="780"/>
        <v>0</v>
      </c>
      <c r="N838" s="655">
        <f>+IF(OR($Q838=Parametres!$G$2,$Q838=Parametres!$G$3),I838,C838)</f>
        <v>0</v>
      </c>
      <c r="O838" s="655">
        <f>+IF(OR($Q838=Parametres!$G$2,$Q838=Parametres!$G$3),J838,D838)</f>
        <v>0</v>
      </c>
      <c r="P838" s="655">
        <f>+IF(OR($Q838=Parametres!$G$2,$Q838=Parametres!$G$3),K838,E838)</f>
        <v>0</v>
      </c>
      <c r="Q838" s="654">
        <f t="shared" ref="Q838:S838" si="854">+F838</f>
        <v>0</v>
      </c>
      <c r="R838" s="653">
        <f t="shared" si="854"/>
        <v>0</v>
      </c>
      <c r="S838" s="654">
        <f t="shared" si="854"/>
        <v>0</v>
      </c>
      <c r="T838" s="656" t="e">
        <f>+VLOOKUP($L838,Data_Validation!$A:$D,1,0)</f>
        <v>#N/A</v>
      </c>
      <c r="U838" s="656" t="e">
        <f>+VLOOKUP($L838,Data_Validation!$A:$D,3,0)</f>
        <v>#N/A</v>
      </c>
      <c r="V838" s="656" t="e">
        <f>+VLOOKUP($L838,Data_Validation!$A:$D,4,0)</f>
        <v>#N/A</v>
      </c>
      <c r="W838" s="656" t="e">
        <f>+VLOOKUP($L838,Data_Validation!$A:$E,5,0)</f>
        <v>#N/A</v>
      </c>
    </row>
    <row r="839" spans="1:23" ht="15.75" customHeight="1">
      <c r="A839" s="716"/>
      <c r="B839" s="654"/>
      <c r="C839" s="717"/>
      <c r="D839" s="716"/>
      <c r="E839" s="716"/>
      <c r="F839" s="716"/>
      <c r="G839" s="716"/>
      <c r="H839" s="716"/>
      <c r="I839" s="716"/>
      <c r="J839" s="716"/>
      <c r="K839" s="716"/>
      <c r="L839" s="653" t="str">
        <f t="shared" si="850"/>
        <v>0</v>
      </c>
      <c r="M839" s="654">
        <f t="shared" si="780"/>
        <v>0</v>
      </c>
      <c r="N839" s="655">
        <f>+IF(OR($Q839=Parametres!$G$2,$Q839=Parametres!$G$3),I839,C839)</f>
        <v>0</v>
      </c>
      <c r="O839" s="655">
        <f>+IF(OR($Q839=Parametres!$G$2,$Q839=Parametres!$G$3),J839,D839)</f>
        <v>0</v>
      </c>
      <c r="P839" s="655">
        <f>+IF(OR($Q839=Parametres!$G$2,$Q839=Parametres!$G$3),K839,E839)</f>
        <v>0</v>
      </c>
      <c r="Q839" s="654">
        <f t="shared" ref="Q839:S839" si="855">+F839</f>
        <v>0</v>
      </c>
      <c r="R839" s="653">
        <f t="shared" si="855"/>
        <v>0</v>
      </c>
      <c r="S839" s="654">
        <f t="shared" si="855"/>
        <v>0</v>
      </c>
      <c r="T839" s="656" t="e">
        <f>+VLOOKUP($L839,Data_Validation!$A:$D,1,0)</f>
        <v>#N/A</v>
      </c>
      <c r="U839" s="656" t="e">
        <f>+VLOOKUP($L839,Data_Validation!$A:$D,3,0)</f>
        <v>#N/A</v>
      </c>
      <c r="V839" s="656" t="e">
        <f>+VLOOKUP($L839,Data_Validation!$A:$D,4,0)</f>
        <v>#N/A</v>
      </c>
      <c r="W839" s="656" t="e">
        <f>+VLOOKUP($L839,Data_Validation!$A:$E,5,0)</f>
        <v>#N/A</v>
      </c>
    </row>
    <row r="840" spans="1:23" ht="15.75" customHeight="1">
      <c r="A840" s="716"/>
      <c r="B840" s="654"/>
      <c r="C840" s="717"/>
      <c r="D840" s="716"/>
      <c r="E840" s="716"/>
      <c r="F840" s="716"/>
      <c r="G840" s="716"/>
      <c r="H840" s="716"/>
      <c r="I840" s="716"/>
      <c r="J840" s="716"/>
      <c r="K840" s="716"/>
      <c r="L840" s="653" t="str">
        <f t="shared" si="850"/>
        <v>0</v>
      </c>
      <c r="M840" s="654">
        <f t="shared" si="780"/>
        <v>0</v>
      </c>
      <c r="N840" s="655">
        <f>+IF(OR($Q840=Parametres!$G$2,$Q840=Parametres!$G$3),I840,C840)</f>
        <v>0</v>
      </c>
      <c r="O840" s="655">
        <f>+IF(OR($Q840=Parametres!$G$2,$Q840=Parametres!$G$3),J840,D840)</f>
        <v>0</v>
      </c>
      <c r="P840" s="655">
        <f>+IF(OR($Q840=Parametres!$G$2,$Q840=Parametres!$G$3),K840,E840)</f>
        <v>0</v>
      </c>
      <c r="Q840" s="654">
        <f t="shared" ref="Q840:S840" si="856">+F840</f>
        <v>0</v>
      </c>
      <c r="R840" s="653">
        <f t="shared" si="856"/>
        <v>0</v>
      </c>
      <c r="S840" s="654">
        <f t="shared" si="856"/>
        <v>0</v>
      </c>
      <c r="T840" s="656" t="e">
        <f>+VLOOKUP($L840,Data_Validation!$A:$D,1,0)</f>
        <v>#N/A</v>
      </c>
      <c r="U840" s="656" t="e">
        <f>+VLOOKUP($L840,Data_Validation!$A:$D,3,0)</f>
        <v>#N/A</v>
      </c>
      <c r="V840" s="656" t="e">
        <f>+VLOOKUP($L840,Data_Validation!$A:$D,4,0)</f>
        <v>#N/A</v>
      </c>
      <c r="W840" s="656" t="e">
        <f>+VLOOKUP($L840,Data_Validation!$A:$E,5,0)</f>
        <v>#N/A</v>
      </c>
    </row>
    <row r="841" spans="1:23" ht="15.75" customHeight="1">
      <c r="A841" s="716"/>
      <c r="B841" s="654"/>
      <c r="C841" s="717"/>
      <c r="D841" s="716"/>
      <c r="E841" s="716"/>
      <c r="F841" s="716"/>
      <c r="G841" s="716"/>
      <c r="H841" s="716"/>
      <c r="I841" s="716"/>
      <c r="J841" s="716"/>
      <c r="K841" s="716"/>
      <c r="L841" s="653" t="str">
        <f t="shared" si="850"/>
        <v>0</v>
      </c>
      <c r="M841" s="654">
        <f t="shared" si="780"/>
        <v>0</v>
      </c>
      <c r="N841" s="655">
        <f>+IF(OR($Q841=Parametres!$G$2,$Q841=Parametres!$G$3),I841,C841)</f>
        <v>0</v>
      </c>
      <c r="O841" s="655">
        <f>+IF(OR($Q841=Parametres!$G$2,$Q841=Parametres!$G$3),J841,D841)</f>
        <v>0</v>
      </c>
      <c r="P841" s="655">
        <f>+IF(OR($Q841=Parametres!$G$2,$Q841=Parametres!$G$3),K841,E841)</f>
        <v>0</v>
      </c>
      <c r="Q841" s="654">
        <f t="shared" ref="Q841:S841" si="857">+F841</f>
        <v>0</v>
      </c>
      <c r="R841" s="653">
        <f t="shared" si="857"/>
        <v>0</v>
      </c>
      <c r="S841" s="654">
        <f t="shared" si="857"/>
        <v>0</v>
      </c>
      <c r="T841" s="656" t="e">
        <f>+VLOOKUP($L841,Data_Validation!$A:$D,1,0)</f>
        <v>#N/A</v>
      </c>
      <c r="U841" s="656" t="e">
        <f>+VLOOKUP($L841,Data_Validation!$A:$D,3,0)</f>
        <v>#N/A</v>
      </c>
      <c r="V841" s="656" t="e">
        <f>+VLOOKUP($L841,Data_Validation!$A:$D,4,0)</f>
        <v>#N/A</v>
      </c>
      <c r="W841" s="656" t="e">
        <f>+VLOOKUP($L841,Data_Validation!$A:$E,5,0)</f>
        <v>#N/A</v>
      </c>
    </row>
    <row r="842" spans="1:23" ht="15.75" customHeight="1">
      <c r="A842" s="716"/>
      <c r="B842" s="654"/>
      <c r="C842" s="717"/>
      <c r="D842" s="716"/>
      <c r="E842" s="716"/>
      <c r="F842" s="716"/>
      <c r="G842" s="716"/>
      <c r="H842" s="716"/>
      <c r="I842" s="716"/>
      <c r="J842" s="716"/>
      <c r="K842" s="716"/>
      <c r="L842" s="653" t="str">
        <f t="shared" si="850"/>
        <v>0</v>
      </c>
      <c r="M842" s="654">
        <f t="shared" si="780"/>
        <v>0</v>
      </c>
      <c r="N842" s="655">
        <f>+IF(OR($Q842=Parametres!$G$2,$Q842=Parametres!$G$3),I842,C842)</f>
        <v>0</v>
      </c>
      <c r="O842" s="655">
        <f>+IF(OR($Q842=Parametres!$G$2,$Q842=Parametres!$G$3),J842,D842)</f>
        <v>0</v>
      </c>
      <c r="P842" s="655">
        <f>+IF(OR($Q842=Parametres!$G$2,$Q842=Parametres!$G$3),K842,E842)</f>
        <v>0</v>
      </c>
      <c r="Q842" s="654">
        <f t="shared" ref="Q842:S842" si="858">+F842</f>
        <v>0</v>
      </c>
      <c r="R842" s="653">
        <f t="shared" si="858"/>
        <v>0</v>
      </c>
      <c r="S842" s="654">
        <f t="shared" si="858"/>
        <v>0</v>
      </c>
      <c r="T842" s="656" t="e">
        <f>+VLOOKUP($L842,Data_Validation!$A:$D,1,0)</f>
        <v>#N/A</v>
      </c>
      <c r="U842" s="656" t="e">
        <f>+VLOOKUP($L842,Data_Validation!$A:$D,3,0)</f>
        <v>#N/A</v>
      </c>
      <c r="V842" s="656" t="e">
        <f>+VLOOKUP($L842,Data_Validation!$A:$D,4,0)</f>
        <v>#N/A</v>
      </c>
      <c r="W842" s="656" t="e">
        <f>+VLOOKUP($L842,Data_Validation!$A:$E,5,0)</f>
        <v>#N/A</v>
      </c>
    </row>
    <row r="843" spans="1:23" ht="15.75" customHeight="1">
      <c r="A843" s="716"/>
      <c r="B843" s="654"/>
      <c r="C843" s="717"/>
      <c r="D843" s="716"/>
      <c r="E843" s="716"/>
      <c r="F843" s="716"/>
      <c r="G843" s="716"/>
      <c r="H843" s="716"/>
      <c r="I843" s="716"/>
      <c r="J843" s="716"/>
      <c r="K843" s="716"/>
      <c r="L843" s="653" t="str">
        <f t="shared" si="850"/>
        <v>0</v>
      </c>
      <c r="M843" s="654">
        <f t="shared" si="780"/>
        <v>0</v>
      </c>
      <c r="N843" s="655">
        <f>+IF(OR($Q843=Parametres!$G$2,$Q843=Parametres!$G$3),I843,C843)</f>
        <v>0</v>
      </c>
      <c r="O843" s="655">
        <f>+IF(OR($Q843=Parametres!$G$2,$Q843=Parametres!$G$3),J843,D843)</f>
        <v>0</v>
      </c>
      <c r="P843" s="655">
        <f>+IF(OR($Q843=Parametres!$G$2,$Q843=Parametres!$G$3),K843,E843)</f>
        <v>0</v>
      </c>
      <c r="Q843" s="654">
        <f t="shared" ref="Q843:S843" si="859">+F843</f>
        <v>0</v>
      </c>
      <c r="R843" s="653">
        <f t="shared" si="859"/>
        <v>0</v>
      </c>
      <c r="S843" s="654">
        <f t="shared" si="859"/>
        <v>0</v>
      </c>
      <c r="T843" s="656" t="e">
        <f>+VLOOKUP($L843,Data_Validation!$A:$D,1,0)</f>
        <v>#N/A</v>
      </c>
      <c r="U843" s="656" t="e">
        <f>+VLOOKUP($L843,Data_Validation!$A:$D,3,0)</f>
        <v>#N/A</v>
      </c>
      <c r="V843" s="656" t="e">
        <f>+VLOOKUP($L843,Data_Validation!$A:$D,4,0)</f>
        <v>#N/A</v>
      </c>
      <c r="W843" s="656" t="e">
        <f>+VLOOKUP($L843,Data_Validation!$A:$E,5,0)</f>
        <v>#N/A</v>
      </c>
    </row>
    <row r="844" spans="1:23" ht="15.75" customHeight="1">
      <c r="A844" s="716"/>
      <c r="B844" s="654"/>
      <c r="C844" s="717"/>
      <c r="D844" s="716"/>
      <c r="E844" s="716"/>
      <c r="F844" s="716"/>
      <c r="G844" s="716"/>
      <c r="H844" s="716"/>
      <c r="I844" s="716"/>
      <c r="J844" s="716"/>
      <c r="K844" s="716"/>
      <c r="L844" s="653" t="str">
        <f t="shared" si="850"/>
        <v>0</v>
      </c>
      <c r="M844" s="654">
        <f t="shared" si="780"/>
        <v>0</v>
      </c>
      <c r="N844" s="655">
        <f>+IF(OR($Q844=Parametres!$G$2,$Q844=Parametres!$G$3),I844,C844)</f>
        <v>0</v>
      </c>
      <c r="O844" s="655">
        <f>+IF(OR($Q844=Parametres!$G$2,$Q844=Parametres!$G$3),J844,D844)</f>
        <v>0</v>
      </c>
      <c r="P844" s="655">
        <f>+IF(OR($Q844=Parametres!$G$2,$Q844=Parametres!$G$3),K844,E844)</f>
        <v>0</v>
      </c>
      <c r="Q844" s="654">
        <f t="shared" ref="Q844:S844" si="860">+F844</f>
        <v>0</v>
      </c>
      <c r="R844" s="653">
        <f t="shared" si="860"/>
        <v>0</v>
      </c>
      <c r="S844" s="654">
        <f t="shared" si="860"/>
        <v>0</v>
      </c>
      <c r="T844" s="656" t="e">
        <f>+VLOOKUP($L844,Data_Validation!$A:$D,1,0)</f>
        <v>#N/A</v>
      </c>
      <c r="U844" s="656" t="e">
        <f>+VLOOKUP($L844,Data_Validation!$A:$D,3,0)</f>
        <v>#N/A</v>
      </c>
      <c r="V844" s="656" t="e">
        <f>+VLOOKUP($L844,Data_Validation!$A:$D,4,0)</f>
        <v>#N/A</v>
      </c>
      <c r="W844" s="656" t="e">
        <f>+VLOOKUP($L844,Data_Validation!$A:$E,5,0)</f>
        <v>#N/A</v>
      </c>
    </row>
    <row r="845" spans="1:23" ht="15.75" customHeight="1">
      <c r="A845" s="716"/>
      <c r="B845" s="654"/>
      <c r="C845" s="717"/>
      <c r="D845" s="716"/>
      <c r="E845" s="716"/>
      <c r="F845" s="716"/>
      <c r="G845" s="716"/>
      <c r="H845" s="716"/>
      <c r="I845" s="716"/>
      <c r="J845" s="716"/>
      <c r="K845" s="716"/>
      <c r="L845" s="653" t="str">
        <f t="shared" si="850"/>
        <v>0</v>
      </c>
      <c r="M845" s="654">
        <f t="shared" si="780"/>
        <v>0</v>
      </c>
      <c r="N845" s="655">
        <f>+IF(OR($Q845=Parametres!$G$2,$Q845=Parametres!$G$3),I845,C845)</f>
        <v>0</v>
      </c>
      <c r="O845" s="655">
        <f>+IF(OR($Q845=Parametres!$G$2,$Q845=Parametres!$G$3),J845,D845)</f>
        <v>0</v>
      </c>
      <c r="P845" s="655">
        <f>+IF(OR($Q845=Parametres!$G$2,$Q845=Parametres!$G$3),K845,E845)</f>
        <v>0</v>
      </c>
      <c r="Q845" s="654">
        <f t="shared" ref="Q845:S845" si="861">+F845</f>
        <v>0</v>
      </c>
      <c r="R845" s="653">
        <f t="shared" si="861"/>
        <v>0</v>
      </c>
      <c r="S845" s="654">
        <f t="shared" si="861"/>
        <v>0</v>
      </c>
      <c r="T845" s="656" t="e">
        <f>+VLOOKUP($L845,Data_Validation!$A:$D,1,0)</f>
        <v>#N/A</v>
      </c>
      <c r="U845" s="656" t="e">
        <f>+VLOOKUP($L845,Data_Validation!$A:$D,3,0)</f>
        <v>#N/A</v>
      </c>
      <c r="V845" s="656" t="e">
        <f>+VLOOKUP($L845,Data_Validation!$A:$D,4,0)</f>
        <v>#N/A</v>
      </c>
      <c r="W845" s="656" t="e">
        <f>+VLOOKUP($L845,Data_Validation!$A:$E,5,0)</f>
        <v>#N/A</v>
      </c>
    </row>
    <row r="846" spans="1:23" ht="15.75" customHeight="1">
      <c r="A846" s="716"/>
      <c r="B846" s="654"/>
      <c r="C846" s="717"/>
      <c r="D846" s="716"/>
      <c r="E846" s="716"/>
      <c r="F846" s="716"/>
      <c r="G846" s="716"/>
      <c r="H846" s="716"/>
      <c r="I846" s="716"/>
      <c r="J846" s="716"/>
      <c r="K846" s="716"/>
      <c r="L846" s="653" t="str">
        <f t="shared" si="850"/>
        <v>0</v>
      </c>
      <c r="M846" s="654">
        <f t="shared" si="780"/>
        <v>0</v>
      </c>
      <c r="N846" s="655">
        <f>+IF(OR($Q846=Parametres!$G$2,$Q846=Parametres!$G$3),I846,C846)</f>
        <v>0</v>
      </c>
      <c r="O846" s="655">
        <f>+IF(OR($Q846=Parametres!$G$2,$Q846=Parametres!$G$3),J846,D846)</f>
        <v>0</v>
      </c>
      <c r="P846" s="655">
        <f>+IF(OR($Q846=Parametres!$G$2,$Q846=Parametres!$G$3),K846,E846)</f>
        <v>0</v>
      </c>
      <c r="Q846" s="654">
        <f t="shared" ref="Q846:S846" si="862">+F846</f>
        <v>0</v>
      </c>
      <c r="R846" s="653">
        <f t="shared" si="862"/>
        <v>0</v>
      </c>
      <c r="S846" s="654">
        <f t="shared" si="862"/>
        <v>0</v>
      </c>
      <c r="T846" s="656" t="e">
        <f>+VLOOKUP($L846,Data_Validation!$A:$D,1,0)</f>
        <v>#N/A</v>
      </c>
      <c r="U846" s="656" t="e">
        <f>+VLOOKUP($L846,Data_Validation!$A:$D,3,0)</f>
        <v>#N/A</v>
      </c>
      <c r="V846" s="656" t="e">
        <f>+VLOOKUP($L846,Data_Validation!$A:$D,4,0)</f>
        <v>#N/A</v>
      </c>
      <c r="W846" s="656" t="e">
        <f>+VLOOKUP($L846,Data_Validation!$A:$E,5,0)</f>
        <v>#N/A</v>
      </c>
    </row>
    <row r="847" spans="1:23" ht="15.75" customHeight="1">
      <c r="A847" s="716"/>
      <c r="B847" s="654"/>
      <c r="C847" s="717"/>
      <c r="D847" s="716"/>
      <c r="E847" s="716"/>
      <c r="F847" s="716"/>
      <c r="G847" s="716"/>
      <c r="H847" s="716"/>
      <c r="I847" s="716"/>
      <c r="J847" s="716"/>
      <c r="K847" s="716"/>
      <c r="L847" s="653" t="str">
        <f t="shared" si="850"/>
        <v>0</v>
      </c>
      <c r="M847" s="654">
        <f t="shared" si="780"/>
        <v>0</v>
      </c>
      <c r="N847" s="655">
        <f>+IF(OR($Q847=Parametres!$G$2,$Q847=Parametres!$G$3),I847,C847)</f>
        <v>0</v>
      </c>
      <c r="O847" s="655">
        <f>+IF(OR($Q847=Parametres!$G$2,$Q847=Parametres!$G$3),J847,D847)</f>
        <v>0</v>
      </c>
      <c r="P847" s="655">
        <f>+IF(OR($Q847=Parametres!$G$2,$Q847=Parametres!$G$3),K847,E847)</f>
        <v>0</v>
      </c>
      <c r="Q847" s="654">
        <f t="shared" ref="Q847:S847" si="863">+F847</f>
        <v>0</v>
      </c>
      <c r="R847" s="653">
        <f t="shared" si="863"/>
        <v>0</v>
      </c>
      <c r="S847" s="654">
        <f t="shared" si="863"/>
        <v>0</v>
      </c>
      <c r="T847" s="656" t="e">
        <f>+VLOOKUP($L847,Data_Validation!$A:$D,1,0)</f>
        <v>#N/A</v>
      </c>
      <c r="U847" s="656" t="e">
        <f>+VLOOKUP($L847,Data_Validation!$A:$D,3,0)</f>
        <v>#N/A</v>
      </c>
      <c r="V847" s="656" t="e">
        <f>+VLOOKUP($L847,Data_Validation!$A:$D,4,0)</f>
        <v>#N/A</v>
      </c>
      <c r="W847" s="656" t="e">
        <f>+VLOOKUP($L847,Data_Validation!$A:$E,5,0)</f>
        <v>#N/A</v>
      </c>
    </row>
    <row r="848" spans="1:23" ht="15.75" customHeight="1">
      <c r="A848" s="716"/>
      <c r="B848" s="654"/>
      <c r="C848" s="717"/>
      <c r="D848" s="716"/>
      <c r="E848" s="716"/>
      <c r="F848" s="716"/>
      <c r="G848" s="716"/>
      <c r="H848" s="716"/>
      <c r="I848" s="716"/>
      <c r="J848" s="716"/>
      <c r="K848" s="716"/>
      <c r="L848" s="653" t="str">
        <f t="shared" si="850"/>
        <v>0</v>
      </c>
      <c r="M848" s="654">
        <f t="shared" si="780"/>
        <v>0</v>
      </c>
      <c r="N848" s="655">
        <f>+IF(OR($Q848=Parametres!$G$2,$Q848=Parametres!$G$3),I848,C848)</f>
        <v>0</v>
      </c>
      <c r="O848" s="655">
        <f>+IF(OR($Q848=Parametres!$G$2,$Q848=Parametres!$G$3),J848,D848)</f>
        <v>0</v>
      </c>
      <c r="P848" s="655">
        <f>+IF(OR($Q848=Parametres!$G$2,$Q848=Parametres!$G$3),K848,E848)</f>
        <v>0</v>
      </c>
      <c r="Q848" s="654">
        <f t="shared" ref="Q848:S848" si="864">+F848</f>
        <v>0</v>
      </c>
      <c r="R848" s="653">
        <f t="shared" si="864"/>
        <v>0</v>
      </c>
      <c r="S848" s="654">
        <f t="shared" si="864"/>
        <v>0</v>
      </c>
      <c r="T848" s="656" t="e">
        <f>+VLOOKUP($L848,Data_Validation!$A:$D,1,0)</f>
        <v>#N/A</v>
      </c>
      <c r="U848" s="656" t="e">
        <f>+VLOOKUP($L848,Data_Validation!$A:$D,3,0)</f>
        <v>#N/A</v>
      </c>
      <c r="V848" s="656" t="e">
        <f>+VLOOKUP($L848,Data_Validation!$A:$D,4,0)</f>
        <v>#N/A</v>
      </c>
      <c r="W848" s="656" t="e">
        <f>+VLOOKUP($L848,Data_Validation!$A:$E,5,0)</f>
        <v>#N/A</v>
      </c>
    </row>
    <row r="849" spans="1:23" ht="15.75" customHeight="1">
      <c r="A849" s="716"/>
      <c r="B849" s="654"/>
      <c r="C849" s="717"/>
      <c r="D849" s="716"/>
      <c r="E849" s="716"/>
      <c r="F849" s="716"/>
      <c r="G849" s="716"/>
      <c r="H849" s="716"/>
      <c r="I849" s="716"/>
      <c r="J849" s="716"/>
      <c r="K849" s="716"/>
      <c r="L849" s="653" t="str">
        <f t="shared" si="850"/>
        <v>0</v>
      </c>
      <c r="M849" s="654">
        <f t="shared" si="780"/>
        <v>0</v>
      </c>
      <c r="N849" s="655">
        <f>+IF(OR($Q849=Parametres!$G$2,$Q849=Parametres!$G$3),I849,C849)</f>
        <v>0</v>
      </c>
      <c r="O849" s="655">
        <f>+IF(OR($Q849=Parametres!$G$2,$Q849=Parametres!$G$3),J849,D849)</f>
        <v>0</v>
      </c>
      <c r="P849" s="655">
        <f>+IF(OR($Q849=Parametres!$G$2,$Q849=Parametres!$G$3),K849,E849)</f>
        <v>0</v>
      </c>
      <c r="Q849" s="654">
        <f t="shared" ref="Q849:S849" si="865">+F849</f>
        <v>0</v>
      </c>
      <c r="R849" s="653">
        <f t="shared" si="865"/>
        <v>0</v>
      </c>
      <c r="S849" s="654">
        <f t="shared" si="865"/>
        <v>0</v>
      </c>
      <c r="T849" s="656" t="e">
        <f>+VLOOKUP($L849,Data_Validation!$A:$D,1,0)</f>
        <v>#N/A</v>
      </c>
      <c r="U849" s="656" t="e">
        <f>+VLOOKUP($L849,Data_Validation!$A:$D,3,0)</f>
        <v>#N/A</v>
      </c>
      <c r="V849" s="656" t="e">
        <f>+VLOOKUP($L849,Data_Validation!$A:$D,4,0)</f>
        <v>#N/A</v>
      </c>
      <c r="W849" s="656" t="e">
        <f>+VLOOKUP($L849,Data_Validation!$A:$E,5,0)</f>
        <v>#N/A</v>
      </c>
    </row>
    <row r="850" spans="1:23" ht="15.75" customHeight="1">
      <c r="A850" s="716"/>
      <c r="B850" s="654"/>
      <c r="C850" s="717"/>
      <c r="D850" s="716"/>
      <c r="E850" s="716"/>
      <c r="F850" s="716"/>
      <c r="G850" s="716"/>
      <c r="H850" s="716"/>
      <c r="I850" s="716"/>
      <c r="J850" s="716"/>
      <c r="K850" s="716"/>
      <c r="L850" s="653" t="str">
        <f t="shared" si="850"/>
        <v>0</v>
      </c>
      <c r="M850" s="654">
        <f t="shared" si="780"/>
        <v>0</v>
      </c>
      <c r="N850" s="655">
        <f>+IF(OR($Q850=Parametres!$G$2,$Q850=Parametres!$G$3),I850,C850)</f>
        <v>0</v>
      </c>
      <c r="O850" s="655">
        <f>+IF(OR($Q850=Parametres!$G$2,$Q850=Parametres!$G$3),J850,D850)</f>
        <v>0</v>
      </c>
      <c r="P850" s="655">
        <f>+IF(OR($Q850=Parametres!$G$2,$Q850=Parametres!$G$3),K850,E850)</f>
        <v>0</v>
      </c>
      <c r="Q850" s="654">
        <f t="shared" ref="Q850:S850" si="866">+F850</f>
        <v>0</v>
      </c>
      <c r="R850" s="653">
        <f t="shared" si="866"/>
        <v>0</v>
      </c>
      <c r="S850" s="654">
        <f t="shared" si="866"/>
        <v>0</v>
      </c>
      <c r="T850" s="656" t="e">
        <f>+VLOOKUP($L850,Data_Validation!$A:$D,1,0)</f>
        <v>#N/A</v>
      </c>
      <c r="U850" s="656" t="e">
        <f>+VLOOKUP($L850,Data_Validation!$A:$D,3,0)</f>
        <v>#N/A</v>
      </c>
      <c r="V850" s="656" t="e">
        <f>+VLOOKUP($L850,Data_Validation!$A:$D,4,0)</f>
        <v>#N/A</v>
      </c>
      <c r="W850" s="656" t="e">
        <f>+VLOOKUP($L850,Data_Validation!$A:$E,5,0)</f>
        <v>#N/A</v>
      </c>
    </row>
    <row r="851" spans="1:23" ht="15.75" customHeight="1">
      <c r="A851" s="716"/>
      <c r="B851" s="654"/>
      <c r="C851" s="717"/>
      <c r="D851" s="716"/>
      <c r="E851" s="716"/>
      <c r="F851" s="716"/>
      <c r="G851" s="716"/>
      <c r="H851" s="716"/>
      <c r="I851" s="716"/>
      <c r="J851" s="716"/>
      <c r="K851" s="716"/>
      <c r="L851" s="653" t="str">
        <f t="shared" si="850"/>
        <v>0</v>
      </c>
      <c r="M851" s="654">
        <f t="shared" si="780"/>
        <v>0</v>
      </c>
      <c r="N851" s="655">
        <f>+IF(OR($Q851=Parametres!$G$2,$Q851=Parametres!$G$3),I851,C851)</f>
        <v>0</v>
      </c>
      <c r="O851" s="655">
        <f>+IF(OR($Q851=Parametres!$G$2,$Q851=Parametres!$G$3),J851,D851)</f>
        <v>0</v>
      </c>
      <c r="P851" s="655">
        <f>+IF(OR($Q851=Parametres!$G$2,$Q851=Parametres!$G$3),K851,E851)</f>
        <v>0</v>
      </c>
      <c r="Q851" s="654">
        <f t="shared" ref="Q851:S851" si="867">+F851</f>
        <v>0</v>
      </c>
      <c r="R851" s="653">
        <f t="shared" si="867"/>
        <v>0</v>
      </c>
      <c r="S851" s="654">
        <f t="shared" si="867"/>
        <v>0</v>
      </c>
      <c r="T851" s="656" t="e">
        <f>+VLOOKUP($L851,Data_Validation!$A:$D,1,0)</f>
        <v>#N/A</v>
      </c>
      <c r="U851" s="656" t="e">
        <f>+VLOOKUP($L851,Data_Validation!$A:$D,3,0)</f>
        <v>#N/A</v>
      </c>
      <c r="V851" s="656" t="e">
        <f>+VLOOKUP($L851,Data_Validation!$A:$D,4,0)</f>
        <v>#N/A</v>
      </c>
      <c r="W851" s="656" t="e">
        <f>+VLOOKUP($L851,Data_Validation!$A:$E,5,0)</f>
        <v>#N/A</v>
      </c>
    </row>
    <row r="852" spans="1:23" ht="15.75" customHeight="1">
      <c r="A852" s="716"/>
      <c r="B852" s="654"/>
      <c r="C852" s="717"/>
      <c r="D852" s="716"/>
      <c r="E852" s="716"/>
      <c r="F852" s="716"/>
      <c r="G852" s="716"/>
      <c r="H852" s="716"/>
      <c r="I852" s="716"/>
      <c r="J852" s="716"/>
      <c r="K852" s="716"/>
      <c r="L852" s="653" t="str">
        <f t="shared" si="850"/>
        <v>0</v>
      </c>
      <c r="M852" s="654">
        <f t="shared" si="780"/>
        <v>0</v>
      </c>
      <c r="N852" s="655">
        <f>+IF(OR($Q852=Parametres!$G$2,$Q852=Parametres!$G$3),I852,C852)</f>
        <v>0</v>
      </c>
      <c r="O852" s="655">
        <f>+IF(OR($Q852=Parametres!$G$2,$Q852=Parametres!$G$3),J852,D852)</f>
        <v>0</v>
      </c>
      <c r="P852" s="655">
        <f>+IF(OR($Q852=Parametres!$G$2,$Q852=Parametres!$G$3),K852,E852)</f>
        <v>0</v>
      </c>
      <c r="Q852" s="654">
        <f t="shared" ref="Q852:S852" si="868">+F852</f>
        <v>0</v>
      </c>
      <c r="R852" s="653">
        <f t="shared" si="868"/>
        <v>0</v>
      </c>
      <c r="S852" s="654">
        <f t="shared" si="868"/>
        <v>0</v>
      </c>
      <c r="T852" s="656" t="e">
        <f>+VLOOKUP($L852,Data_Validation!$A:$D,1,0)</f>
        <v>#N/A</v>
      </c>
      <c r="U852" s="656" t="e">
        <f>+VLOOKUP($L852,Data_Validation!$A:$D,3,0)</f>
        <v>#N/A</v>
      </c>
      <c r="V852" s="656" t="e">
        <f>+VLOOKUP($L852,Data_Validation!$A:$D,4,0)</f>
        <v>#N/A</v>
      </c>
      <c r="W852" s="656" t="e">
        <f>+VLOOKUP($L852,Data_Validation!$A:$E,5,0)</f>
        <v>#N/A</v>
      </c>
    </row>
    <row r="853" spans="1:23" ht="15.75" customHeight="1">
      <c r="A853" s="716"/>
      <c r="B853" s="654"/>
      <c r="C853" s="717"/>
      <c r="D853" s="716"/>
      <c r="E853" s="716"/>
      <c r="F853" s="716"/>
      <c r="G853" s="716"/>
      <c r="H853" s="716"/>
      <c r="I853" s="716"/>
      <c r="J853" s="716"/>
      <c r="K853" s="716"/>
      <c r="L853" s="653" t="str">
        <f t="shared" si="850"/>
        <v>0</v>
      </c>
      <c r="M853" s="654">
        <f t="shared" si="780"/>
        <v>0</v>
      </c>
      <c r="N853" s="655">
        <f>+IF(OR($Q853=Parametres!$G$2,$Q853=Parametres!$G$3),I853,C853)</f>
        <v>0</v>
      </c>
      <c r="O853" s="655">
        <f>+IF(OR($Q853=Parametres!$G$2,$Q853=Parametres!$G$3),J853,D853)</f>
        <v>0</v>
      </c>
      <c r="P853" s="655">
        <f>+IF(OR($Q853=Parametres!$G$2,$Q853=Parametres!$G$3),K853,E853)</f>
        <v>0</v>
      </c>
      <c r="Q853" s="654">
        <f t="shared" ref="Q853:S853" si="869">+F853</f>
        <v>0</v>
      </c>
      <c r="R853" s="653">
        <f t="shared" si="869"/>
        <v>0</v>
      </c>
      <c r="S853" s="654">
        <f t="shared" si="869"/>
        <v>0</v>
      </c>
      <c r="T853" s="656" t="e">
        <f>+VLOOKUP($L853,Data_Validation!$A:$D,1,0)</f>
        <v>#N/A</v>
      </c>
      <c r="U853" s="656" t="e">
        <f>+VLOOKUP($L853,Data_Validation!$A:$D,3,0)</f>
        <v>#N/A</v>
      </c>
      <c r="V853" s="656" t="e">
        <f>+VLOOKUP($L853,Data_Validation!$A:$D,4,0)</f>
        <v>#N/A</v>
      </c>
      <c r="W853" s="656" t="e">
        <f>+VLOOKUP($L853,Data_Validation!$A:$E,5,0)</f>
        <v>#N/A</v>
      </c>
    </row>
    <row r="854" spans="1:23" ht="15.75" customHeight="1">
      <c r="A854" s="716"/>
      <c r="B854" s="654"/>
      <c r="C854" s="717"/>
      <c r="D854" s="716"/>
      <c r="E854" s="716"/>
      <c r="F854" s="716"/>
      <c r="G854" s="716"/>
      <c r="H854" s="716"/>
      <c r="I854" s="716"/>
      <c r="J854" s="716"/>
      <c r="K854" s="716"/>
      <c r="L854" s="653" t="str">
        <f t="shared" si="850"/>
        <v>0</v>
      </c>
      <c r="M854" s="654">
        <f t="shared" si="780"/>
        <v>0</v>
      </c>
      <c r="N854" s="655">
        <f>+IF(OR($Q854=Parametres!$G$2,$Q854=Parametres!$G$3),I854,C854)</f>
        <v>0</v>
      </c>
      <c r="O854" s="655">
        <f>+IF(OR($Q854=Parametres!$G$2,$Q854=Parametres!$G$3),J854,D854)</f>
        <v>0</v>
      </c>
      <c r="P854" s="655">
        <f>+IF(OR($Q854=Parametres!$G$2,$Q854=Parametres!$G$3),K854,E854)</f>
        <v>0</v>
      </c>
      <c r="Q854" s="654">
        <f t="shared" ref="Q854:S854" si="870">+F854</f>
        <v>0</v>
      </c>
      <c r="R854" s="653">
        <f t="shared" si="870"/>
        <v>0</v>
      </c>
      <c r="S854" s="654">
        <f t="shared" si="870"/>
        <v>0</v>
      </c>
      <c r="T854" s="656" t="e">
        <f>+VLOOKUP($L854,Data_Validation!$A:$D,1,0)</f>
        <v>#N/A</v>
      </c>
      <c r="U854" s="656" t="e">
        <f>+VLOOKUP($L854,Data_Validation!$A:$D,3,0)</f>
        <v>#N/A</v>
      </c>
      <c r="V854" s="656" t="e">
        <f>+VLOOKUP($L854,Data_Validation!$A:$D,4,0)</f>
        <v>#N/A</v>
      </c>
      <c r="W854" s="656" t="e">
        <f>+VLOOKUP($L854,Data_Validation!$A:$E,5,0)</f>
        <v>#N/A</v>
      </c>
    </row>
    <row r="855" spans="1:23" ht="15.75" customHeight="1">
      <c r="A855" s="716"/>
      <c r="B855" s="654"/>
      <c r="C855" s="717"/>
      <c r="D855" s="716"/>
      <c r="E855" s="716"/>
      <c r="F855" s="716"/>
      <c r="G855" s="716"/>
      <c r="H855" s="716"/>
      <c r="I855" s="716"/>
      <c r="J855" s="716"/>
      <c r="K855" s="716"/>
      <c r="L855" s="653" t="str">
        <f t="shared" si="850"/>
        <v>0</v>
      </c>
      <c r="M855" s="654">
        <f t="shared" si="780"/>
        <v>0</v>
      </c>
      <c r="N855" s="655">
        <f>+IF(OR($Q855=Parametres!$G$2,$Q855=Parametres!$G$3),I855,C855)</f>
        <v>0</v>
      </c>
      <c r="O855" s="655">
        <f>+IF(OR($Q855=Parametres!$G$2,$Q855=Parametres!$G$3),J855,D855)</f>
        <v>0</v>
      </c>
      <c r="P855" s="655">
        <f>+IF(OR($Q855=Parametres!$G$2,$Q855=Parametres!$G$3),K855,E855)</f>
        <v>0</v>
      </c>
      <c r="Q855" s="654">
        <f t="shared" ref="Q855:S855" si="871">+F855</f>
        <v>0</v>
      </c>
      <c r="R855" s="653">
        <f t="shared" si="871"/>
        <v>0</v>
      </c>
      <c r="S855" s="654">
        <f t="shared" si="871"/>
        <v>0</v>
      </c>
      <c r="T855" s="656" t="e">
        <f>+VLOOKUP($L855,Data_Validation!$A:$D,1,0)</f>
        <v>#N/A</v>
      </c>
      <c r="U855" s="656" t="e">
        <f>+VLOOKUP($L855,Data_Validation!$A:$D,3,0)</f>
        <v>#N/A</v>
      </c>
      <c r="V855" s="656" t="e">
        <f>+VLOOKUP($L855,Data_Validation!$A:$D,4,0)</f>
        <v>#N/A</v>
      </c>
      <c r="W855" s="656" t="e">
        <f>+VLOOKUP($L855,Data_Validation!$A:$E,5,0)</f>
        <v>#N/A</v>
      </c>
    </row>
    <row r="856" spans="1:23" ht="15.75" customHeight="1">
      <c r="A856" s="716"/>
      <c r="B856" s="654"/>
      <c r="C856" s="717"/>
      <c r="D856" s="716"/>
      <c r="E856" s="716"/>
      <c r="F856" s="716"/>
      <c r="G856" s="716"/>
      <c r="H856" s="716"/>
      <c r="I856" s="716"/>
      <c r="J856" s="716"/>
      <c r="K856" s="716"/>
      <c r="L856" s="653" t="str">
        <f t="shared" si="850"/>
        <v>0</v>
      </c>
      <c r="M856" s="654">
        <f t="shared" si="780"/>
        <v>0</v>
      </c>
      <c r="N856" s="655">
        <f>+IF(OR($Q856=Parametres!$G$2,$Q856=Parametres!$G$3),I856,C856)</f>
        <v>0</v>
      </c>
      <c r="O856" s="655">
        <f>+IF(OR($Q856=Parametres!$G$2,$Q856=Parametres!$G$3),J856,D856)</f>
        <v>0</v>
      </c>
      <c r="P856" s="655">
        <f>+IF(OR($Q856=Parametres!$G$2,$Q856=Parametres!$G$3),K856,E856)</f>
        <v>0</v>
      </c>
      <c r="Q856" s="654">
        <f t="shared" ref="Q856:S856" si="872">+F856</f>
        <v>0</v>
      </c>
      <c r="R856" s="653">
        <f t="shared" si="872"/>
        <v>0</v>
      </c>
      <c r="S856" s="654">
        <f t="shared" si="872"/>
        <v>0</v>
      </c>
      <c r="T856" s="656" t="e">
        <f>+VLOOKUP($L856,Data_Validation!$A:$D,1,0)</f>
        <v>#N/A</v>
      </c>
      <c r="U856" s="656" t="e">
        <f>+VLOOKUP($L856,Data_Validation!$A:$D,3,0)</f>
        <v>#N/A</v>
      </c>
      <c r="V856" s="656" t="e">
        <f>+VLOOKUP($L856,Data_Validation!$A:$D,4,0)</f>
        <v>#N/A</v>
      </c>
      <c r="W856" s="656" t="e">
        <f>+VLOOKUP($L856,Data_Validation!$A:$E,5,0)</f>
        <v>#N/A</v>
      </c>
    </row>
    <row r="857" spans="1:23" ht="15.75" customHeight="1">
      <c r="A857" s="716"/>
      <c r="B857" s="654"/>
      <c r="C857" s="717"/>
      <c r="D857" s="716"/>
      <c r="E857" s="716"/>
      <c r="F857" s="716"/>
      <c r="G857" s="716"/>
      <c r="H857" s="716"/>
      <c r="I857" s="716"/>
      <c r="J857" s="716"/>
      <c r="K857" s="716"/>
      <c r="L857" s="653" t="str">
        <f t="shared" si="850"/>
        <v>0</v>
      </c>
      <c r="M857" s="654">
        <f t="shared" si="780"/>
        <v>0</v>
      </c>
      <c r="N857" s="655">
        <f>+IF(OR($Q857=Parametres!$G$2,$Q857=Parametres!$G$3),I857,C857)</f>
        <v>0</v>
      </c>
      <c r="O857" s="655">
        <f>+IF(OR($Q857=Parametres!$G$2,$Q857=Parametres!$G$3),J857,D857)</f>
        <v>0</v>
      </c>
      <c r="P857" s="655">
        <f>+IF(OR($Q857=Parametres!$G$2,$Q857=Parametres!$G$3),K857,E857)</f>
        <v>0</v>
      </c>
      <c r="Q857" s="654">
        <f t="shared" ref="Q857:S857" si="873">+F857</f>
        <v>0</v>
      </c>
      <c r="R857" s="653">
        <f t="shared" si="873"/>
        <v>0</v>
      </c>
      <c r="S857" s="654">
        <f t="shared" si="873"/>
        <v>0</v>
      </c>
      <c r="T857" s="656" t="e">
        <f>+VLOOKUP($L857,Data_Validation!$A:$D,1,0)</f>
        <v>#N/A</v>
      </c>
      <c r="U857" s="656" t="e">
        <f>+VLOOKUP($L857,Data_Validation!$A:$D,3,0)</f>
        <v>#N/A</v>
      </c>
      <c r="V857" s="656" t="e">
        <f>+VLOOKUP($L857,Data_Validation!$A:$D,4,0)</f>
        <v>#N/A</v>
      </c>
      <c r="W857" s="656" t="e">
        <f>+VLOOKUP($L857,Data_Validation!$A:$E,5,0)</f>
        <v>#N/A</v>
      </c>
    </row>
    <row r="858" spans="1:23" ht="15.75" customHeight="1">
      <c r="A858" s="716"/>
      <c r="B858" s="654"/>
      <c r="C858" s="717"/>
      <c r="D858" s="716"/>
      <c r="E858" s="716"/>
      <c r="F858" s="716"/>
      <c r="G858" s="716"/>
      <c r="H858" s="716"/>
      <c r="I858" s="716"/>
      <c r="J858" s="716"/>
      <c r="K858" s="716"/>
      <c r="L858" s="653" t="str">
        <f t="shared" si="850"/>
        <v>0</v>
      </c>
      <c r="M858" s="654">
        <f t="shared" si="780"/>
        <v>0</v>
      </c>
      <c r="N858" s="655">
        <f>+IF(OR($Q858=Parametres!$G$2,$Q858=Parametres!$G$3),I858,C858)</f>
        <v>0</v>
      </c>
      <c r="O858" s="655">
        <f>+IF(OR($Q858=Parametres!$G$2,$Q858=Parametres!$G$3),J858,D858)</f>
        <v>0</v>
      </c>
      <c r="P858" s="655">
        <f>+IF(OR($Q858=Parametres!$G$2,$Q858=Parametres!$G$3),K858,E858)</f>
        <v>0</v>
      </c>
      <c r="Q858" s="654">
        <f t="shared" ref="Q858:S858" si="874">+F858</f>
        <v>0</v>
      </c>
      <c r="R858" s="653">
        <f t="shared" si="874"/>
        <v>0</v>
      </c>
      <c r="S858" s="654">
        <f t="shared" si="874"/>
        <v>0</v>
      </c>
      <c r="T858" s="656" t="e">
        <f>+VLOOKUP($L858,Data_Validation!$A:$D,1,0)</f>
        <v>#N/A</v>
      </c>
      <c r="U858" s="656" t="e">
        <f>+VLOOKUP($L858,Data_Validation!$A:$D,3,0)</f>
        <v>#N/A</v>
      </c>
      <c r="V858" s="656" t="e">
        <f>+VLOOKUP($L858,Data_Validation!$A:$D,4,0)</f>
        <v>#N/A</v>
      </c>
      <c r="W858" s="656" t="e">
        <f>+VLOOKUP($L858,Data_Validation!$A:$E,5,0)</f>
        <v>#N/A</v>
      </c>
    </row>
    <row r="859" spans="1:23" ht="15.75" customHeight="1">
      <c r="A859" s="716"/>
      <c r="B859" s="654"/>
      <c r="C859" s="717"/>
      <c r="D859" s="716"/>
      <c r="E859" s="716"/>
      <c r="F859" s="716"/>
      <c r="G859" s="716"/>
      <c r="H859" s="716"/>
      <c r="I859" s="716"/>
      <c r="J859" s="716"/>
      <c r="K859" s="716"/>
      <c r="L859" s="653" t="str">
        <f t="shared" si="850"/>
        <v>0</v>
      </c>
      <c r="M859" s="654">
        <f t="shared" si="780"/>
        <v>0</v>
      </c>
      <c r="N859" s="655">
        <f>+IF(OR($Q859=Parametres!$G$2,$Q859=Parametres!$G$3),I859,C859)</f>
        <v>0</v>
      </c>
      <c r="O859" s="655">
        <f>+IF(OR($Q859=Parametres!$G$2,$Q859=Parametres!$G$3),J859,D859)</f>
        <v>0</v>
      </c>
      <c r="P859" s="655">
        <f>+IF(OR($Q859=Parametres!$G$2,$Q859=Parametres!$G$3),K859,E859)</f>
        <v>0</v>
      </c>
      <c r="Q859" s="654">
        <f t="shared" ref="Q859:S859" si="875">+F859</f>
        <v>0</v>
      </c>
      <c r="R859" s="653">
        <f t="shared" si="875"/>
        <v>0</v>
      </c>
      <c r="S859" s="654">
        <f t="shared" si="875"/>
        <v>0</v>
      </c>
      <c r="T859" s="656" t="e">
        <f>+VLOOKUP($L859,Data_Validation!$A:$D,1,0)</f>
        <v>#N/A</v>
      </c>
      <c r="U859" s="656" t="e">
        <f>+VLOOKUP($L859,Data_Validation!$A:$D,3,0)</f>
        <v>#N/A</v>
      </c>
      <c r="V859" s="656" t="e">
        <f>+VLOOKUP($L859,Data_Validation!$A:$D,4,0)</f>
        <v>#N/A</v>
      </c>
      <c r="W859" s="656" t="e">
        <f>+VLOOKUP($L859,Data_Validation!$A:$E,5,0)</f>
        <v>#N/A</v>
      </c>
    </row>
    <row r="860" spans="1:23" ht="15.75" customHeight="1">
      <c r="A860" s="716"/>
      <c r="B860" s="654"/>
      <c r="C860" s="717"/>
      <c r="D860" s="716"/>
      <c r="E860" s="716"/>
      <c r="F860" s="716"/>
      <c r="G860" s="716"/>
      <c r="H860" s="716"/>
      <c r="I860" s="716"/>
      <c r="J860" s="716"/>
      <c r="K860" s="716"/>
      <c r="L860" s="653" t="str">
        <f t="shared" si="850"/>
        <v>0</v>
      </c>
      <c r="M860" s="654">
        <f t="shared" si="780"/>
        <v>0</v>
      </c>
      <c r="N860" s="655">
        <f>+IF(OR($Q860=Parametres!$G$2,$Q860=Parametres!$G$3),I860,C860)</f>
        <v>0</v>
      </c>
      <c r="O860" s="655">
        <f>+IF(OR($Q860=Parametres!$G$2,$Q860=Parametres!$G$3),J860,D860)</f>
        <v>0</v>
      </c>
      <c r="P860" s="655">
        <f>+IF(OR($Q860=Parametres!$G$2,$Q860=Parametres!$G$3),K860,E860)</f>
        <v>0</v>
      </c>
      <c r="Q860" s="654">
        <f t="shared" ref="Q860:S860" si="876">+F860</f>
        <v>0</v>
      </c>
      <c r="R860" s="653">
        <f t="shared" si="876"/>
        <v>0</v>
      </c>
      <c r="S860" s="654">
        <f t="shared" si="876"/>
        <v>0</v>
      </c>
      <c r="T860" s="656" t="e">
        <f>+VLOOKUP($L860,Data_Validation!$A:$D,1,0)</f>
        <v>#N/A</v>
      </c>
      <c r="U860" s="656" t="e">
        <f>+VLOOKUP($L860,Data_Validation!$A:$D,3,0)</f>
        <v>#N/A</v>
      </c>
      <c r="V860" s="656" t="e">
        <f>+VLOOKUP($L860,Data_Validation!$A:$D,4,0)</f>
        <v>#N/A</v>
      </c>
      <c r="W860" s="656" t="e">
        <f>+VLOOKUP($L860,Data_Validation!$A:$E,5,0)</f>
        <v>#N/A</v>
      </c>
    </row>
    <row r="861" spans="1:23" ht="15.75" customHeight="1">
      <c r="A861" s="716"/>
      <c r="B861" s="654"/>
      <c r="C861" s="717"/>
      <c r="D861" s="716"/>
      <c r="E861" s="716"/>
      <c r="F861" s="716"/>
      <c r="G861" s="716"/>
      <c r="H861" s="716"/>
      <c r="I861" s="716"/>
      <c r="J861" s="716"/>
      <c r="K861" s="716"/>
      <c r="L861" s="653" t="str">
        <f t="shared" si="850"/>
        <v>0</v>
      </c>
      <c r="M861" s="654">
        <f t="shared" si="780"/>
        <v>0</v>
      </c>
      <c r="N861" s="655">
        <f>+IF(OR($Q861=Parametres!$G$2,$Q861=Parametres!$G$3),I861,C861)</f>
        <v>0</v>
      </c>
      <c r="O861" s="655">
        <f>+IF(OR($Q861=Parametres!$G$2,$Q861=Parametres!$G$3),J861,D861)</f>
        <v>0</v>
      </c>
      <c r="P861" s="655">
        <f>+IF(OR($Q861=Parametres!$G$2,$Q861=Parametres!$G$3),K861,E861)</f>
        <v>0</v>
      </c>
      <c r="Q861" s="654">
        <f t="shared" ref="Q861:S861" si="877">+F861</f>
        <v>0</v>
      </c>
      <c r="R861" s="653">
        <f t="shared" si="877"/>
        <v>0</v>
      </c>
      <c r="S861" s="654">
        <f t="shared" si="877"/>
        <v>0</v>
      </c>
      <c r="T861" s="656" t="e">
        <f>+VLOOKUP($L861,Data_Validation!$A:$D,1,0)</f>
        <v>#N/A</v>
      </c>
      <c r="U861" s="656" t="e">
        <f>+VLOOKUP($L861,Data_Validation!$A:$D,3,0)</f>
        <v>#N/A</v>
      </c>
      <c r="V861" s="656" t="e">
        <f>+VLOOKUP($L861,Data_Validation!$A:$D,4,0)</f>
        <v>#N/A</v>
      </c>
      <c r="W861" s="656" t="e">
        <f>+VLOOKUP($L861,Data_Validation!$A:$E,5,0)</f>
        <v>#N/A</v>
      </c>
    </row>
    <row r="862" spans="1:23" ht="15.75" customHeight="1">
      <c r="A862" s="716"/>
      <c r="B862" s="654"/>
      <c r="C862" s="717"/>
      <c r="D862" s="716"/>
      <c r="E862" s="716"/>
      <c r="F862" s="716"/>
      <c r="G862" s="716"/>
      <c r="H862" s="716"/>
      <c r="I862" s="716"/>
      <c r="J862" s="716"/>
      <c r="K862" s="716"/>
      <c r="L862" s="653" t="str">
        <f t="shared" si="850"/>
        <v>0</v>
      </c>
      <c r="M862" s="654">
        <f t="shared" si="780"/>
        <v>0</v>
      </c>
      <c r="N862" s="655">
        <f>+IF(OR($Q862=Parametres!$G$2,$Q862=Parametres!$G$3),I862,C862)</f>
        <v>0</v>
      </c>
      <c r="O862" s="655">
        <f>+IF(OR($Q862=Parametres!$G$2,$Q862=Parametres!$G$3),J862,D862)</f>
        <v>0</v>
      </c>
      <c r="P862" s="655">
        <f>+IF(OR($Q862=Parametres!$G$2,$Q862=Parametres!$G$3),K862,E862)</f>
        <v>0</v>
      </c>
      <c r="Q862" s="654">
        <f t="shared" ref="Q862:S862" si="878">+F862</f>
        <v>0</v>
      </c>
      <c r="R862" s="653">
        <f t="shared" si="878"/>
        <v>0</v>
      </c>
      <c r="S862" s="654">
        <f t="shared" si="878"/>
        <v>0</v>
      </c>
      <c r="T862" s="656" t="e">
        <f>+VLOOKUP($L862,Data_Validation!$A:$D,1,0)</f>
        <v>#N/A</v>
      </c>
      <c r="U862" s="656" t="e">
        <f>+VLOOKUP($L862,Data_Validation!$A:$D,3,0)</f>
        <v>#N/A</v>
      </c>
      <c r="V862" s="656" t="e">
        <f>+VLOOKUP($L862,Data_Validation!$A:$D,4,0)</f>
        <v>#N/A</v>
      </c>
      <c r="W862" s="656" t="e">
        <f>+VLOOKUP($L862,Data_Validation!$A:$E,5,0)</f>
        <v>#N/A</v>
      </c>
    </row>
    <row r="863" spans="1:23" ht="15.75" customHeight="1">
      <c r="A863" s="716"/>
      <c r="B863" s="654"/>
      <c r="C863" s="717"/>
      <c r="D863" s="716"/>
      <c r="E863" s="716"/>
      <c r="F863" s="716"/>
      <c r="G863" s="716"/>
      <c r="H863" s="716"/>
      <c r="I863" s="716"/>
      <c r="J863" s="716"/>
      <c r="K863" s="716"/>
      <c r="L863" s="653" t="str">
        <f t="shared" si="850"/>
        <v>0</v>
      </c>
      <c r="M863" s="654">
        <f t="shared" si="780"/>
        <v>0</v>
      </c>
      <c r="N863" s="655">
        <f>+IF(OR($Q863=Parametres!$G$2,$Q863=Parametres!$G$3),I863,C863)</f>
        <v>0</v>
      </c>
      <c r="O863" s="655">
        <f>+IF(OR($Q863=Parametres!$G$2,$Q863=Parametres!$G$3),J863,D863)</f>
        <v>0</v>
      </c>
      <c r="P863" s="655">
        <f>+IF(OR($Q863=Parametres!$G$2,$Q863=Parametres!$G$3),K863,E863)</f>
        <v>0</v>
      </c>
      <c r="Q863" s="654">
        <f t="shared" ref="Q863:S863" si="879">+F863</f>
        <v>0</v>
      </c>
      <c r="R863" s="653">
        <f t="shared" si="879"/>
        <v>0</v>
      </c>
      <c r="S863" s="654">
        <f t="shared" si="879"/>
        <v>0</v>
      </c>
      <c r="T863" s="656" t="e">
        <f>+VLOOKUP($L863,Data_Validation!$A:$D,1,0)</f>
        <v>#N/A</v>
      </c>
      <c r="U863" s="656" t="e">
        <f>+VLOOKUP($L863,Data_Validation!$A:$D,3,0)</f>
        <v>#N/A</v>
      </c>
      <c r="V863" s="656" t="e">
        <f>+VLOOKUP($L863,Data_Validation!$A:$D,4,0)</f>
        <v>#N/A</v>
      </c>
      <c r="W863" s="656" t="e">
        <f>+VLOOKUP($L863,Data_Validation!$A:$E,5,0)</f>
        <v>#N/A</v>
      </c>
    </row>
    <row r="864" spans="1:23" ht="15.75" customHeight="1">
      <c r="A864" s="716"/>
      <c r="B864" s="654"/>
      <c r="C864" s="717"/>
      <c r="D864" s="716"/>
      <c r="E864" s="716"/>
      <c r="F864" s="716"/>
      <c r="G864" s="716"/>
      <c r="H864" s="716"/>
      <c r="I864" s="716"/>
      <c r="J864" s="716"/>
      <c r="K864" s="716"/>
      <c r="L864" s="653" t="str">
        <f t="shared" si="850"/>
        <v>0</v>
      </c>
      <c r="M864" s="654">
        <f t="shared" si="780"/>
        <v>0</v>
      </c>
      <c r="N864" s="655">
        <f>+IF(OR($Q864=Parametres!$G$2,$Q864=Parametres!$G$3),I864,C864)</f>
        <v>0</v>
      </c>
      <c r="O864" s="655">
        <f>+IF(OR($Q864=Parametres!$G$2,$Q864=Parametres!$G$3),J864,D864)</f>
        <v>0</v>
      </c>
      <c r="P864" s="655">
        <f>+IF(OR($Q864=Parametres!$G$2,$Q864=Parametres!$G$3),K864,E864)</f>
        <v>0</v>
      </c>
      <c r="Q864" s="654">
        <f t="shared" ref="Q864:S864" si="880">+F864</f>
        <v>0</v>
      </c>
      <c r="R864" s="653">
        <f t="shared" si="880"/>
        <v>0</v>
      </c>
      <c r="S864" s="654">
        <f t="shared" si="880"/>
        <v>0</v>
      </c>
      <c r="T864" s="656" t="e">
        <f>+VLOOKUP($L864,Data_Validation!$A:$D,1,0)</f>
        <v>#N/A</v>
      </c>
      <c r="U864" s="656" t="e">
        <f>+VLOOKUP($L864,Data_Validation!$A:$D,3,0)</f>
        <v>#N/A</v>
      </c>
      <c r="V864" s="656" t="e">
        <f>+VLOOKUP($L864,Data_Validation!$A:$D,4,0)</f>
        <v>#N/A</v>
      </c>
      <c r="W864" s="656" t="e">
        <f>+VLOOKUP($L864,Data_Validation!$A:$E,5,0)</f>
        <v>#N/A</v>
      </c>
    </row>
    <row r="865" spans="1:23" ht="15.75" customHeight="1">
      <c r="A865" s="716"/>
      <c r="B865" s="654"/>
      <c r="C865" s="717"/>
      <c r="D865" s="716"/>
      <c r="E865" s="716"/>
      <c r="F865" s="716"/>
      <c r="G865" s="716"/>
      <c r="H865" s="716"/>
      <c r="I865" s="716"/>
      <c r="J865" s="716"/>
      <c r="K865" s="716"/>
      <c r="L865" s="653" t="str">
        <f t="shared" si="850"/>
        <v>0</v>
      </c>
      <c r="M865" s="654">
        <f t="shared" si="780"/>
        <v>0</v>
      </c>
      <c r="N865" s="655">
        <f>+IF(OR($Q865=Parametres!$G$2,$Q865=Parametres!$G$3),I865,C865)</f>
        <v>0</v>
      </c>
      <c r="O865" s="655">
        <f>+IF(OR($Q865=Parametres!$G$2,$Q865=Parametres!$G$3),J865,D865)</f>
        <v>0</v>
      </c>
      <c r="P865" s="655">
        <f>+IF(OR($Q865=Parametres!$G$2,$Q865=Parametres!$G$3),K865,E865)</f>
        <v>0</v>
      </c>
      <c r="Q865" s="654">
        <f t="shared" ref="Q865:S865" si="881">+F865</f>
        <v>0</v>
      </c>
      <c r="R865" s="653">
        <f t="shared" si="881"/>
        <v>0</v>
      </c>
      <c r="S865" s="654">
        <f t="shared" si="881"/>
        <v>0</v>
      </c>
      <c r="T865" s="656" t="e">
        <f>+VLOOKUP($L865,Data_Validation!$A:$D,1,0)</f>
        <v>#N/A</v>
      </c>
      <c r="U865" s="656" t="e">
        <f>+VLOOKUP($L865,Data_Validation!$A:$D,3,0)</f>
        <v>#N/A</v>
      </c>
      <c r="V865" s="656" t="e">
        <f>+VLOOKUP($L865,Data_Validation!$A:$D,4,0)</f>
        <v>#N/A</v>
      </c>
      <c r="W865" s="656" t="e">
        <f>+VLOOKUP($L865,Data_Validation!$A:$E,5,0)</f>
        <v>#N/A</v>
      </c>
    </row>
    <row r="866" spans="1:23" ht="15.75" customHeight="1">
      <c r="A866" s="716"/>
      <c r="B866" s="654"/>
      <c r="C866" s="717"/>
      <c r="D866" s="716"/>
      <c r="E866" s="716"/>
      <c r="F866" s="716"/>
      <c r="G866" s="716"/>
      <c r="H866" s="716"/>
      <c r="I866" s="716"/>
      <c r="J866" s="716"/>
      <c r="K866" s="716"/>
      <c r="L866" s="653" t="str">
        <f t="shared" si="850"/>
        <v>0</v>
      </c>
      <c r="M866" s="654">
        <f t="shared" si="780"/>
        <v>0</v>
      </c>
      <c r="N866" s="655">
        <f>+IF(OR($Q866=Parametres!$G$2,$Q866=Parametres!$G$3),I866,C866)</f>
        <v>0</v>
      </c>
      <c r="O866" s="655">
        <f>+IF(OR($Q866=Parametres!$G$2,$Q866=Parametres!$G$3),J866,D866)</f>
        <v>0</v>
      </c>
      <c r="P866" s="655">
        <f>+IF(OR($Q866=Parametres!$G$2,$Q866=Parametres!$G$3),K866,E866)</f>
        <v>0</v>
      </c>
      <c r="Q866" s="654">
        <f t="shared" ref="Q866:S866" si="882">+F866</f>
        <v>0</v>
      </c>
      <c r="R866" s="653">
        <f t="shared" si="882"/>
        <v>0</v>
      </c>
      <c r="S866" s="654">
        <f t="shared" si="882"/>
        <v>0</v>
      </c>
      <c r="T866" s="656" t="e">
        <f>+VLOOKUP($L866,Data_Validation!$A:$D,1,0)</f>
        <v>#N/A</v>
      </c>
      <c r="U866" s="656" t="e">
        <f>+VLOOKUP($L866,Data_Validation!$A:$D,3,0)</f>
        <v>#N/A</v>
      </c>
      <c r="V866" s="656" t="e">
        <f>+VLOOKUP($L866,Data_Validation!$A:$D,4,0)</f>
        <v>#N/A</v>
      </c>
      <c r="W866" s="656" t="e">
        <f>+VLOOKUP($L866,Data_Validation!$A:$E,5,0)</f>
        <v>#N/A</v>
      </c>
    </row>
    <row r="867" spans="1:23" ht="15.75" customHeight="1">
      <c r="A867" s="716"/>
      <c r="B867" s="654"/>
      <c r="C867" s="717"/>
      <c r="D867" s="716"/>
      <c r="E867" s="716"/>
      <c r="F867" s="716"/>
      <c r="G867" s="716"/>
      <c r="H867" s="716"/>
      <c r="I867" s="716"/>
      <c r="J867" s="716"/>
      <c r="K867" s="716"/>
      <c r="L867" s="653" t="str">
        <f t="shared" si="850"/>
        <v>0</v>
      </c>
      <c r="M867" s="654">
        <f t="shared" si="780"/>
        <v>0</v>
      </c>
      <c r="N867" s="655">
        <f>+IF(OR($Q867=Parametres!$G$2,$Q867=Parametres!$G$3),I867,C867)</f>
        <v>0</v>
      </c>
      <c r="O867" s="655">
        <f>+IF(OR($Q867=Parametres!$G$2,$Q867=Parametres!$G$3),J867,D867)</f>
        <v>0</v>
      </c>
      <c r="P867" s="655">
        <f>+IF(OR($Q867=Parametres!$G$2,$Q867=Parametres!$G$3),K867,E867)</f>
        <v>0</v>
      </c>
      <c r="Q867" s="654">
        <f t="shared" ref="Q867:S867" si="883">+F867</f>
        <v>0</v>
      </c>
      <c r="R867" s="653">
        <f t="shared" si="883"/>
        <v>0</v>
      </c>
      <c r="S867" s="654">
        <f t="shared" si="883"/>
        <v>0</v>
      </c>
      <c r="T867" s="656" t="e">
        <f>+VLOOKUP($L867,Data_Validation!$A:$D,1,0)</f>
        <v>#N/A</v>
      </c>
      <c r="U867" s="656" t="e">
        <f>+VLOOKUP($L867,Data_Validation!$A:$D,3,0)</f>
        <v>#N/A</v>
      </c>
      <c r="V867" s="656" t="e">
        <f>+VLOOKUP($L867,Data_Validation!$A:$D,4,0)</f>
        <v>#N/A</v>
      </c>
      <c r="W867" s="656" t="e">
        <f>+VLOOKUP($L867,Data_Validation!$A:$E,5,0)</f>
        <v>#N/A</v>
      </c>
    </row>
    <row r="868" spans="1:23" ht="15.75" customHeight="1">
      <c r="A868" s="716"/>
      <c r="B868" s="654"/>
      <c r="C868" s="717"/>
      <c r="D868" s="716"/>
      <c r="E868" s="716"/>
      <c r="F868" s="716"/>
      <c r="G868" s="716"/>
      <c r="H868" s="716"/>
      <c r="I868" s="716"/>
      <c r="J868" s="716"/>
      <c r="K868" s="716"/>
      <c r="L868" s="653" t="str">
        <f t="shared" si="850"/>
        <v>0</v>
      </c>
      <c r="M868" s="654">
        <f t="shared" si="780"/>
        <v>0</v>
      </c>
      <c r="N868" s="655">
        <f>+IF(OR($Q868=Parametres!$G$2,$Q868=Parametres!$G$3),I868,C868)</f>
        <v>0</v>
      </c>
      <c r="O868" s="655">
        <f>+IF(OR($Q868=Parametres!$G$2,$Q868=Parametres!$G$3),J868,D868)</f>
        <v>0</v>
      </c>
      <c r="P868" s="655">
        <f>+IF(OR($Q868=Parametres!$G$2,$Q868=Parametres!$G$3),K868,E868)</f>
        <v>0</v>
      </c>
      <c r="Q868" s="654">
        <f t="shared" ref="Q868:S868" si="884">+F868</f>
        <v>0</v>
      </c>
      <c r="R868" s="653">
        <f t="shared" si="884"/>
        <v>0</v>
      </c>
      <c r="S868" s="654">
        <f t="shared" si="884"/>
        <v>0</v>
      </c>
      <c r="T868" s="656" t="e">
        <f>+VLOOKUP($L868,Data_Validation!$A:$D,1,0)</f>
        <v>#N/A</v>
      </c>
      <c r="U868" s="656" t="e">
        <f>+VLOOKUP($L868,Data_Validation!$A:$D,3,0)</f>
        <v>#N/A</v>
      </c>
      <c r="V868" s="656" t="e">
        <f>+VLOOKUP($L868,Data_Validation!$A:$D,4,0)</f>
        <v>#N/A</v>
      </c>
      <c r="W868" s="656" t="e">
        <f>+VLOOKUP($L868,Data_Validation!$A:$E,5,0)</f>
        <v>#N/A</v>
      </c>
    </row>
    <row r="869" spans="1:23" ht="15.75" customHeight="1">
      <c r="A869" s="716"/>
      <c r="B869" s="654"/>
      <c r="C869" s="717"/>
      <c r="D869" s="716"/>
      <c r="E869" s="716"/>
      <c r="F869" s="716"/>
      <c r="G869" s="716"/>
      <c r="H869" s="716"/>
      <c r="I869" s="716"/>
      <c r="J869" s="716"/>
      <c r="K869" s="716"/>
      <c r="L869" s="653" t="str">
        <f t="shared" si="850"/>
        <v>0</v>
      </c>
      <c r="M869" s="654">
        <f t="shared" si="780"/>
        <v>0</v>
      </c>
      <c r="N869" s="655">
        <f>+IF(OR($Q869=Parametres!$G$2,$Q869=Parametres!$G$3),I869,C869)</f>
        <v>0</v>
      </c>
      <c r="O869" s="655">
        <f>+IF(OR($Q869=Parametres!$G$2,$Q869=Parametres!$G$3),J869,D869)</f>
        <v>0</v>
      </c>
      <c r="P869" s="655">
        <f>+IF(OR($Q869=Parametres!$G$2,$Q869=Parametres!$G$3),K869,E869)</f>
        <v>0</v>
      </c>
      <c r="Q869" s="654">
        <f t="shared" ref="Q869:S869" si="885">+F869</f>
        <v>0</v>
      </c>
      <c r="R869" s="653">
        <f t="shared" si="885"/>
        <v>0</v>
      </c>
      <c r="S869" s="654">
        <f t="shared" si="885"/>
        <v>0</v>
      </c>
      <c r="T869" s="656" t="e">
        <f>+VLOOKUP($L869,Data_Validation!$A:$D,1,0)</f>
        <v>#N/A</v>
      </c>
      <c r="U869" s="656" t="e">
        <f>+VLOOKUP($L869,Data_Validation!$A:$D,3,0)</f>
        <v>#N/A</v>
      </c>
      <c r="V869" s="656" t="e">
        <f>+VLOOKUP($L869,Data_Validation!$A:$D,4,0)</f>
        <v>#N/A</v>
      </c>
      <c r="W869" s="656" t="e">
        <f>+VLOOKUP($L869,Data_Validation!$A:$E,5,0)</f>
        <v>#N/A</v>
      </c>
    </row>
    <row r="870" spans="1:23" ht="15.75" customHeight="1">
      <c r="A870" s="716"/>
      <c r="B870" s="654"/>
      <c r="C870" s="717"/>
      <c r="D870" s="716"/>
      <c r="E870" s="716"/>
      <c r="F870" s="716"/>
      <c r="G870" s="716"/>
      <c r="H870" s="716"/>
      <c r="I870" s="716"/>
      <c r="J870" s="716"/>
      <c r="K870" s="716"/>
      <c r="L870" s="653" t="str">
        <f t="shared" si="850"/>
        <v>0</v>
      </c>
      <c r="M870" s="654">
        <f t="shared" si="780"/>
        <v>0</v>
      </c>
      <c r="N870" s="655">
        <f>+IF(OR($Q870=Parametres!$G$2,$Q870=Parametres!$G$3),I870,C870)</f>
        <v>0</v>
      </c>
      <c r="O870" s="655">
        <f>+IF(OR($Q870=Parametres!$G$2,$Q870=Parametres!$G$3),J870,D870)</f>
        <v>0</v>
      </c>
      <c r="P870" s="655">
        <f>+IF(OR($Q870=Parametres!$G$2,$Q870=Parametres!$G$3),K870,E870)</f>
        <v>0</v>
      </c>
      <c r="Q870" s="654">
        <f t="shared" ref="Q870:S870" si="886">+F870</f>
        <v>0</v>
      </c>
      <c r="R870" s="653">
        <f t="shared" si="886"/>
        <v>0</v>
      </c>
      <c r="S870" s="654">
        <f t="shared" si="886"/>
        <v>0</v>
      </c>
      <c r="T870" s="656" t="e">
        <f>+VLOOKUP($L870,Data_Validation!$A:$D,1,0)</f>
        <v>#N/A</v>
      </c>
      <c r="U870" s="656" t="e">
        <f>+VLOOKUP($L870,Data_Validation!$A:$D,3,0)</f>
        <v>#N/A</v>
      </c>
      <c r="V870" s="656" t="e">
        <f>+VLOOKUP($L870,Data_Validation!$A:$D,4,0)</f>
        <v>#N/A</v>
      </c>
      <c r="W870" s="656" t="e">
        <f>+VLOOKUP($L870,Data_Validation!$A:$E,5,0)</f>
        <v>#N/A</v>
      </c>
    </row>
    <row r="871" spans="1:23" ht="15.75" customHeight="1">
      <c r="A871" s="716"/>
      <c r="B871" s="654"/>
      <c r="C871" s="717"/>
      <c r="D871" s="716"/>
      <c r="E871" s="716"/>
      <c r="F871" s="716"/>
      <c r="G871" s="716"/>
      <c r="H871" s="716"/>
      <c r="I871" s="716"/>
      <c r="J871" s="716"/>
      <c r="K871" s="716"/>
      <c r="L871" s="653" t="str">
        <f t="shared" si="850"/>
        <v>0</v>
      </c>
      <c r="M871" s="654">
        <f t="shared" si="780"/>
        <v>0</v>
      </c>
      <c r="N871" s="655">
        <f>+IF(OR($Q871=Parametres!$G$2,$Q871=Parametres!$G$3),I871,C871)</f>
        <v>0</v>
      </c>
      <c r="O871" s="655">
        <f>+IF(OR($Q871=Parametres!$G$2,$Q871=Parametres!$G$3),J871,D871)</f>
        <v>0</v>
      </c>
      <c r="P871" s="655">
        <f>+IF(OR($Q871=Parametres!$G$2,$Q871=Parametres!$G$3),K871,E871)</f>
        <v>0</v>
      </c>
      <c r="Q871" s="654">
        <f t="shared" ref="Q871:S871" si="887">+F871</f>
        <v>0</v>
      </c>
      <c r="R871" s="653">
        <f t="shared" si="887"/>
        <v>0</v>
      </c>
      <c r="S871" s="654">
        <f t="shared" si="887"/>
        <v>0</v>
      </c>
      <c r="T871" s="656" t="e">
        <f>+VLOOKUP($L871,Data_Validation!$A:$D,1,0)</f>
        <v>#N/A</v>
      </c>
      <c r="U871" s="656" t="e">
        <f>+VLOOKUP($L871,Data_Validation!$A:$D,3,0)</f>
        <v>#N/A</v>
      </c>
      <c r="V871" s="656" t="e">
        <f>+VLOOKUP($L871,Data_Validation!$A:$D,4,0)</f>
        <v>#N/A</v>
      </c>
      <c r="W871" s="656" t="e">
        <f>+VLOOKUP($L871,Data_Validation!$A:$E,5,0)</f>
        <v>#N/A</v>
      </c>
    </row>
    <row r="872" spans="1:23" ht="15.75" customHeight="1">
      <c r="A872" s="716"/>
      <c r="B872" s="654"/>
      <c r="C872" s="717"/>
      <c r="D872" s="716"/>
      <c r="E872" s="716"/>
      <c r="F872" s="716"/>
      <c r="G872" s="716"/>
      <c r="H872" s="716"/>
      <c r="I872" s="716"/>
      <c r="J872" s="716"/>
      <c r="K872" s="716"/>
      <c r="L872" s="653" t="str">
        <f t="shared" si="850"/>
        <v>0</v>
      </c>
      <c r="M872" s="654">
        <f t="shared" si="780"/>
        <v>0</v>
      </c>
      <c r="N872" s="655">
        <f>+IF(OR($Q872=Parametres!$G$2,$Q872=Parametres!$G$3),I872,C872)</f>
        <v>0</v>
      </c>
      <c r="O872" s="655">
        <f>+IF(OR($Q872=Parametres!$G$2,$Q872=Parametres!$G$3),J872,D872)</f>
        <v>0</v>
      </c>
      <c r="P872" s="655">
        <f>+IF(OR($Q872=Parametres!$G$2,$Q872=Parametres!$G$3),K872,E872)</f>
        <v>0</v>
      </c>
      <c r="Q872" s="654">
        <f t="shared" ref="Q872:S872" si="888">+F872</f>
        <v>0</v>
      </c>
      <c r="R872" s="653">
        <f t="shared" si="888"/>
        <v>0</v>
      </c>
      <c r="S872" s="654">
        <f t="shared" si="888"/>
        <v>0</v>
      </c>
      <c r="T872" s="656" t="e">
        <f>+VLOOKUP($L872,Data_Validation!$A:$D,1,0)</f>
        <v>#N/A</v>
      </c>
      <c r="U872" s="656" t="e">
        <f>+VLOOKUP($L872,Data_Validation!$A:$D,3,0)</f>
        <v>#N/A</v>
      </c>
      <c r="V872" s="656" t="e">
        <f>+VLOOKUP($L872,Data_Validation!$A:$D,4,0)</f>
        <v>#N/A</v>
      </c>
      <c r="W872" s="656" t="e">
        <f>+VLOOKUP($L872,Data_Validation!$A:$E,5,0)</f>
        <v>#N/A</v>
      </c>
    </row>
    <row r="873" spans="1:23" ht="15.75" customHeight="1">
      <c r="A873" s="716"/>
      <c r="B873" s="654"/>
      <c r="C873" s="717"/>
      <c r="D873" s="716"/>
      <c r="E873" s="716"/>
      <c r="F873" s="716"/>
      <c r="G873" s="716"/>
      <c r="H873" s="716"/>
      <c r="I873" s="716"/>
      <c r="J873" s="716"/>
      <c r="K873" s="716"/>
      <c r="L873" s="653" t="str">
        <f t="shared" si="850"/>
        <v>0</v>
      </c>
      <c r="M873" s="654">
        <f t="shared" si="780"/>
        <v>0</v>
      </c>
      <c r="N873" s="655">
        <f>+IF(OR($Q873=Parametres!$G$2,$Q873=Parametres!$G$3),I873,C873)</f>
        <v>0</v>
      </c>
      <c r="O873" s="655">
        <f>+IF(OR($Q873=Parametres!$G$2,$Q873=Parametres!$G$3),J873,D873)</f>
        <v>0</v>
      </c>
      <c r="P873" s="655">
        <f>+IF(OR($Q873=Parametres!$G$2,$Q873=Parametres!$G$3),K873,E873)</f>
        <v>0</v>
      </c>
      <c r="Q873" s="654">
        <f t="shared" ref="Q873:S873" si="889">+F873</f>
        <v>0</v>
      </c>
      <c r="R873" s="653">
        <f t="shared" si="889"/>
        <v>0</v>
      </c>
      <c r="S873" s="654">
        <f t="shared" si="889"/>
        <v>0</v>
      </c>
      <c r="T873" s="656" t="e">
        <f>+VLOOKUP($L873,Data_Validation!$A:$D,1,0)</f>
        <v>#N/A</v>
      </c>
      <c r="U873" s="656" t="e">
        <f>+VLOOKUP($L873,Data_Validation!$A:$D,3,0)</f>
        <v>#N/A</v>
      </c>
      <c r="V873" s="656" t="e">
        <f>+VLOOKUP($L873,Data_Validation!$A:$D,4,0)</f>
        <v>#N/A</v>
      </c>
      <c r="W873" s="656" t="e">
        <f>+VLOOKUP($L873,Data_Validation!$A:$E,5,0)</f>
        <v>#N/A</v>
      </c>
    </row>
    <row r="874" spans="1:23" ht="15.75" customHeight="1">
      <c r="A874" s="716"/>
      <c r="B874" s="654"/>
      <c r="C874" s="717"/>
      <c r="D874" s="716"/>
      <c r="E874" s="716"/>
      <c r="F874" s="716"/>
      <c r="G874" s="716"/>
      <c r="H874" s="716"/>
      <c r="I874" s="716"/>
      <c r="J874" s="716"/>
      <c r="K874" s="716"/>
      <c r="L874" s="653" t="str">
        <f t="shared" si="850"/>
        <v>0</v>
      </c>
      <c r="M874" s="654">
        <f t="shared" si="780"/>
        <v>0</v>
      </c>
      <c r="N874" s="655">
        <f>+IF(OR($Q874=Parametres!$G$2,$Q874=Parametres!$G$3),I874,C874)</f>
        <v>0</v>
      </c>
      <c r="O874" s="655">
        <f>+IF(OR($Q874=Parametres!$G$2,$Q874=Parametres!$G$3),J874,D874)</f>
        <v>0</v>
      </c>
      <c r="P874" s="655">
        <f>+IF(OR($Q874=Parametres!$G$2,$Q874=Parametres!$G$3),K874,E874)</f>
        <v>0</v>
      </c>
      <c r="Q874" s="654">
        <f t="shared" ref="Q874:S874" si="890">+F874</f>
        <v>0</v>
      </c>
      <c r="R874" s="653">
        <f t="shared" si="890"/>
        <v>0</v>
      </c>
      <c r="S874" s="654">
        <f t="shared" si="890"/>
        <v>0</v>
      </c>
      <c r="T874" s="656" t="e">
        <f>+VLOOKUP($L874,Data_Validation!$A:$D,1,0)</f>
        <v>#N/A</v>
      </c>
      <c r="U874" s="656" t="e">
        <f>+VLOOKUP($L874,Data_Validation!$A:$D,3,0)</f>
        <v>#N/A</v>
      </c>
      <c r="V874" s="656" t="e">
        <f>+VLOOKUP($L874,Data_Validation!$A:$D,4,0)</f>
        <v>#N/A</v>
      </c>
      <c r="W874" s="656" t="e">
        <f>+VLOOKUP($L874,Data_Validation!$A:$E,5,0)</f>
        <v>#N/A</v>
      </c>
    </row>
    <row r="875" spans="1:23" ht="15.75" customHeight="1">
      <c r="A875" s="716"/>
      <c r="B875" s="654"/>
      <c r="C875" s="717"/>
      <c r="D875" s="716"/>
      <c r="E875" s="716"/>
      <c r="F875" s="716"/>
      <c r="G875" s="716"/>
      <c r="H875" s="716"/>
      <c r="I875" s="716"/>
      <c r="J875" s="716"/>
      <c r="K875" s="716"/>
      <c r="L875" s="653" t="str">
        <f t="shared" si="850"/>
        <v>0</v>
      </c>
      <c r="M875" s="654">
        <f t="shared" si="780"/>
        <v>0</v>
      </c>
      <c r="N875" s="655">
        <f>+IF(OR($Q875=Parametres!$G$2,$Q875=Parametres!$G$3),I875,C875)</f>
        <v>0</v>
      </c>
      <c r="O875" s="655">
        <f>+IF(OR($Q875=Parametres!$G$2,$Q875=Parametres!$G$3),J875,D875)</f>
        <v>0</v>
      </c>
      <c r="P875" s="655">
        <f>+IF(OR($Q875=Parametres!$G$2,$Q875=Parametres!$G$3),K875,E875)</f>
        <v>0</v>
      </c>
      <c r="Q875" s="654">
        <f t="shared" ref="Q875:S875" si="891">+F875</f>
        <v>0</v>
      </c>
      <c r="R875" s="653">
        <f t="shared" si="891"/>
        <v>0</v>
      </c>
      <c r="S875" s="654">
        <f t="shared" si="891"/>
        <v>0</v>
      </c>
      <c r="T875" s="656" t="e">
        <f>+VLOOKUP($L875,Data_Validation!$A:$D,1,0)</f>
        <v>#N/A</v>
      </c>
      <c r="U875" s="656" t="e">
        <f>+VLOOKUP($L875,Data_Validation!$A:$D,3,0)</f>
        <v>#N/A</v>
      </c>
      <c r="V875" s="656" t="e">
        <f>+VLOOKUP($L875,Data_Validation!$A:$D,4,0)</f>
        <v>#N/A</v>
      </c>
      <c r="W875" s="656" t="e">
        <f>+VLOOKUP($L875,Data_Validation!$A:$E,5,0)</f>
        <v>#N/A</v>
      </c>
    </row>
    <row r="876" spans="1:23" ht="15.75" customHeight="1">
      <c r="A876" s="716"/>
      <c r="B876" s="654"/>
      <c r="C876" s="717"/>
      <c r="D876" s="716"/>
      <c r="E876" s="716"/>
      <c r="F876" s="716"/>
      <c r="G876" s="716"/>
      <c r="H876" s="716"/>
      <c r="I876" s="716"/>
      <c r="J876" s="716"/>
      <c r="K876" s="716"/>
      <c r="L876" s="653" t="str">
        <f t="shared" si="850"/>
        <v>0</v>
      </c>
      <c r="M876" s="654">
        <f t="shared" si="780"/>
        <v>0</v>
      </c>
      <c r="N876" s="655">
        <f>+IF(OR($Q876=Parametres!$G$2,$Q876=Parametres!$G$3),I876,C876)</f>
        <v>0</v>
      </c>
      <c r="O876" s="655">
        <f>+IF(OR($Q876=Parametres!$G$2,$Q876=Parametres!$G$3),J876,D876)</f>
        <v>0</v>
      </c>
      <c r="P876" s="655">
        <f>+IF(OR($Q876=Parametres!$G$2,$Q876=Parametres!$G$3),K876,E876)</f>
        <v>0</v>
      </c>
      <c r="Q876" s="654">
        <f t="shared" ref="Q876:S876" si="892">+F876</f>
        <v>0</v>
      </c>
      <c r="R876" s="653">
        <f t="shared" si="892"/>
        <v>0</v>
      </c>
      <c r="S876" s="654">
        <f t="shared" si="892"/>
        <v>0</v>
      </c>
      <c r="T876" s="656" t="e">
        <f>+VLOOKUP($L876,Data_Validation!$A:$D,1,0)</f>
        <v>#N/A</v>
      </c>
      <c r="U876" s="656" t="e">
        <f>+VLOOKUP($L876,Data_Validation!$A:$D,3,0)</f>
        <v>#N/A</v>
      </c>
      <c r="V876" s="656" t="e">
        <f>+VLOOKUP($L876,Data_Validation!$A:$D,4,0)</f>
        <v>#N/A</v>
      </c>
      <c r="W876" s="656" t="e">
        <f>+VLOOKUP($L876,Data_Validation!$A:$E,5,0)</f>
        <v>#N/A</v>
      </c>
    </row>
    <row r="877" spans="1:23" ht="15.75" customHeight="1">
      <c r="A877" s="716"/>
      <c r="B877" s="654"/>
      <c r="C877" s="717"/>
      <c r="D877" s="716"/>
      <c r="E877" s="716"/>
      <c r="F877" s="716"/>
      <c r="G877" s="716"/>
      <c r="H877" s="716"/>
      <c r="I877" s="716"/>
      <c r="J877" s="716"/>
      <c r="K877" s="716"/>
      <c r="L877" s="653" t="str">
        <f t="shared" si="850"/>
        <v>0</v>
      </c>
      <c r="M877" s="654">
        <f t="shared" si="780"/>
        <v>0</v>
      </c>
      <c r="N877" s="655">
        <f>+IF(OR($Q877=Parametres!$G$2,$Q877=Parametres!$G$3),I877,C877)</f>
        <v>0</v>
      </c>
      <c r="O877" s="655">
        <f>+IF(OR($Q877=Parametres!$G$2,$Q877=Parametres!$G$3),J877,D877)</f>
        <v>0</v>
      </c>
      <c r="P877" s="655">
        <f>+IF(OR($Q877=Parametres!$G$2,$Q877=Parametres!$G$3),K877,E877)</f>
        <v>0</v>
      </c>
      <c r="Q877" s="654">
        <f t="shared" ref="Q877:S877" si="893">+F877</f>
        <v>0</v>
      </c>
      <c r="R877" s="653">
        <f t="shared" si="893"/>
        <v>0</v>
      </c>
      <c r="S877" s="654">
        <f t="shared" si="893"/>
        <v>0</v>
      </c>
      <c r="T877" s="656" t="e">
        <f>+VLOOKUP($L877,Data_Validation!$A:$D,1,0)</f>
        <v>#N/A</v>
      </c>
      <c r="U877" s="656" t="e">
        <f>+VLOOKUP($L877,Data_Validation!$A:$D,3,0)</f>
        <v>#N/A</v>
      </c>
      <c r="V877" s="656" t="e">
        <f>+VLOOKUP($L877,Data_Validation!$A:$D,4,0)</f>
        <v>#N/A</v>
      </c>
      <c r="W877" s="656" t="e">
        <f>+VLOOKUP($L877,Data_Validation!$A:$E,5,0)</f>
        <v>#N/A</v>
      </c>
    </row>
    <row r="878" spans="1:23" ht="15.75" customHeight="1">
      <c r="A878" s="716"/>
      <c r="B878" s="654"/>
      <c r="C878" s="717"/>
      <c r="D878" s="716"/>
      <c r="E878" s="716"/>
      <c r="F878" s="716"/>
      <c r="G878" s="716"/>
      <c r="H878" s="716"/>
      <c r="I878" s="716"/>
      <c r="J878" s="716"/>
      <c r="K878" s="716"/>
      <c r="L878" s="653" t="str">
        <f t="shared" si="850"/>
        <v>0</v>
      </c>
      <c r="M878" s="654">
        <f t="shared" si="780"/>
        <v>0</v>
      </c>
      <c r="N878" s="655">
        <f>+IF(OR($Q878=Parametres!$G$2,$Q878=Parametres!$G$3),I878,C878)</f>
        <v>0</v>
      </c>
      <c r="O878" s="655">
        <f>+IF(OR($Q878=Parametres!$G$2,$Q878=Parametres!$G$3),J878,D878)</f>
        <v>0</v>
      </c>
      <c r="P878" s="655">
        <f>+IF(OR($Q878=Parametres!$G$2,$Q878=Parametres!$G$3),K878,E878)</f>
        <v>0</v>
      </c>
      <c r="Q878" s="654">
        <f t="shared" ref="Q878:S878" si="894">+F878</f>
        <v>0</v>
      </c>
      <c r="R878" s="653">
        <f t="shared" si="894"/>
        <v>0</v>
      </c>
      <c r="S878" s="654">
        <f t="shared" si="894"/>
        <v>0</v>
      </c>
      <c r="T878" s="656" t="e">
        <f>+VLOOKUP($L878,Data_Validation!$A:$D,1,0)</f>
        <v>#N/A</v>
      </c>
      <c r="U878" s="656" t="e">
        <f>+VLOOKUP($L878,Data_Validation!$A:$D,3,0)</f>
        <v>#N/A</v>
      </c>
      <c r="V878" s="656" t="e">
        <f>+VLOOKUP($L878,Data_Validation!$A:$D,4,0)</f>
        <v>#N/A</v>
      </c>
      <c r="W878" s="656" t="e">
        <f>+VLOOKUP($L878,Data_Validation!$A:$E,5,0)</f>
        <v>#N/A</v>
      </c>
    </row>
    <row r="879" spans="1:23" ht="15.75" customHeight="1">
      <c r="A879" s="716"/>
      <c r="B879" s="654"/>
      <c r="C879" s="717"/>
      <c r="D879" s="716"/>
      <c r="E879" s="716"/>
      <c r="F879" s="716"/>
      <c r="G879" s="716"/>
      <c r="H879" s="716"/>
      <c r="I879" s="716"/>
      <c r="J879" s="716"/>
      <c r="K879" s="716"/>
      <c r="L879" s="653" t="str">
        <f t="shared" si="850"/>
        <v>0</v>
      </c>
      <c r="M879" s="654">
        <f t="shared" si="780"/>
        <v>0</v>
      </c>
      <c r="N879" s="655">
        <f>+IF(OR($Q879=Parametres!$G$2,$Q879=Parametres!$G$3),I879,C879)</f>
        <v>0</v>
      </c>
      <c r="O879" s="655">
        <f>+IF(OR($Q879=Parametres!$G$2,$Q879=Parametres!$G$3),J879,D879)</f>
        <v>0</v>
      </c>
      <c r="P879" s="655">
        <f>+IF(OR($Q879=Parametres!$G$2,$Q879=Parametres!$G$3),K879,E879)</f>
        <v>0</v>
      </c>
      <c r="Q879" s="654">
        <f t="shared" ref="Q879:S879" si="895">+F879</f>
        <v>0</v>
      </c>
      <c r="R879" s="653">
        <f t="shared" si="895"/>
        <v>0</v>
      </c>
      <c r="S879" s="654">
        <f t="shared" si="895"/>
        <v>0</v>
      </c>
      <c r="T879" s="656" t="e">
        <f>+VLOOKUP($L879,Data_Validation!$A:$D,1,0)</f>
        <v>#N/A</v>
      </c>
      <c r="U879" s="656" t="e">
        <f>+VLOOKUP($L879,Data_Validation!$A:$D,3,0)</f>
        <v>#N/A</v>
      </c>
      <c r="V879" s="656" t="e">
        <f>+VLOOKUP($L879,Data_Validation!$A:$D,4,0)</f>
        <v>#N/A</v>
      </c>
      <c r="W879" s="656" t="e">
        <f>+VLOOKUP($L879,Data_Validation!$A:$E,5,0)</f>
        <v>#N/A</v>
      </c>
    </row>
    <row r="880" spans="1:23" ht="15.75" customHeight="1">
      <c r="A880" s="716"/>
      <c r="B880" s="654"/>
      <c r="C880" s="717"/>
      <c r="D880" s="716"/>
      <c r="E880" s="716"/>
      <c r="F880" s="716"/>
      <c r="G880" s="716"/>
      <c r="H880" s="716"/>
      <c r="I880" s="716"/>
      <c r="J880" s="716"/>
      <c r="K880" s="716"/>
      <c r="L880" s="653" t="str">
        <f t="shared" si="850"/>
        <v>0</v>
      </c>
      <c r="M880" s="654">
        <f t="shared" si="780"/>
        <v>0</v>
      </c>
      <c r="N880" s="655">
        <f>+IF(OR($Q880=Parametres!$G$2,$Q880=Parametres!$G$3),I880,C880)</f>
        <v>0</v>
      </c>
      <c r="O880" s="655">
        <f>+IF(OR($Q880=Parametres!$G$2,$Q880=Parametres!$G$3),J880,D880)</f>
        <v>0</v>
      </c>
      <c r="P880" s="655">
        <f>+IF(OR($Q880=Parametres!$G$2,$Q880=Parametres!$G$3),K880,E880)</f>
        <v>0</v>
      </c>
      <c r="Q880" s="654">
        <f t="shared" ref="Q880:S880" si="896">+F880</f>
        <v>0</v>
      </c>
      <c r="R880" s="653">
        <f t="shared" si="896"/>
        <v>0</v>
      </c>
      <c r="S880" s="654">
        <f t="shared" si="896"/>
        <v>0</v>
      </c>
      <c r="T880" s="656" t="e">
        <f>+VLOOKUP($L880,Data_Validation!$A:$D,1,0)</f>
        <v>#N/A</v>
      </c>
      <c r="U880" s="656" t="e">
        <f>+VLOOKUP($L880,Data_Validation!$A:$D,3,0)</f>
        <v>#N/A</v>
      </c>
      <c r="V880" s="656" t="e">
        <f>+VLOOKUP($L880,Data_Validation!$A:$D,4,0)</f>
        <v>#N/A</v>
      </c>
      <c r="W880" s="656" t="e">
        <f>+VLOOKUP($L880,Data_Validation!$A:$E,5,0)</f>
        <v>#N/A</v>
      </c>
    </row>
    <row r="881" spans="1:23" ht="15.75" customHeight="1">
      <c r="A881" s="716"/>
      <c r="B881" s="654"/>
      <c r="C881" s="717"/>
      <c r="D881" s="716"/>
      <c r="E881" s="716"/>
      <c r="F881" s="716"/>
      <c r="G881" s="716"/>
      <c r="H881" s="716"/>
      <c r="I881" s="716"/>
      <c r="J881" s="716"/>
      <c r="K881" s="716"/>
      <c r="L881" s="653" t="str">
        <f t="shared" si="850"/>
        <v>0</v>
      </c>
      <c r="M881" s="654">
        <f t="shared" si="780"/>
        <v>0</v>
      </c>
      <c r="N881" s="655">
        <f>+IF(OR($Q881=Parametres!$G$2,$Q881=Parametres!$G$3),I881,C881)</f>
        <v>0</v>
      </c>
      <c r="O881" s="655">
        <f>+IF(OR($Q881=Parametres!$G$2,$Q881=Parametres!$G$3),J881,D881)</f>
        <v>0</v>
      </c>
      <c r="P881" s="655">
        <f>+IF(OR($Q881=Parametres!$G$2,$Q881=Parametres!$G$3),K881,E881)</f>
        <v>0</v>
      </c>
      <c r="Q881" s="654">
        <f t="shared" ref="Q881:S881" si="897">+F881</f>
        <v>0</v>
      </c>
      <c r="R881" s="653">
        <f t="shared" si="897"/>
        <v>0</v>
      </c>
      <c r="S881" s="654">
        <f t="shared" si="897"/>
        <v>0</v>
      </c>
      <c r="T881" s="656" t="e">
        <f>+VLOOKUP($L881,Data_Validation!$A:$D,1,0)</f>
        <v>#N/A</v>
      </c>
      <c r="U881" s="656" t="e">
        <f>+VLOOKUP($L881,Data_Validation!$A:$D,3,0)</f>
        <v>#N/A</v>
      </c>
      <c r="V881" s="656" t="e">
        <f>+VLOOKUP($L881,Data_Validation!$A:$D,4,0)</f>
        <v>#N/A</v>
      </c>
      <c r="W881" s="656" t="e">
        <f>+VLOOKUP($L881,Data_Validation!$A:$E,5,0)</f>
        <v>#N/A</v>
      </c>
    </row>
    <row r="882" spans="1:23" ht="15.75" customHeight="1">
      <c r="A882" s="716"/>
      <c r="B882" s="654"/>
      <c r="C882" s="717"/>
      <c r="D882" s="716"/>
      <c r="E882" s="716"/>
      <c r="F882" s="716"/>
      <c r="G882" s="716"/>
      <c r="H882" s="716"/>
      <c r="I882" s="716"/>
      <c r="J882" s="716"/>
      <c r="K882" s="716"/>
      <c r="L882" s="653" t="str">
        <f t="shared" si="850"/>
        <v>0</v>
      </c>
      <c r="M882" s="654">
        <f t="shared" si="780"/>
        <v>0</v>
      </c>
      <c r="N882" s="655">
        <f>+IF(OR($Q882=Parametres!$G$2,$Q882=Parametres!$G$3),I882,C882)</f>
        <v>0</v>
      </c>
      <c r="O882" s="655">
        <f>+IF(OR($Q882=Parametres!$G$2,$Q882=Parametres!$G$3),J882,D882)</f>
        <v>0</v>
      </c>
      <c r="P882" s="655">
        <f>+IF(OR($Q882=Parametres!$G$2,$Q882=Parametres!$G$3),K882,E882)</f>
        <v>0</v>
      </c>
      <c r="Q882" s="654">
        <f t="shared" ref="Q882:S882" si="898">+F882</f>
        <v>0</v>
      </c>
      <c r="R882" s="653">
        <f t="shared" si="898"/>
        <v>0</v>
      </c>
      <c r="S882" s="654">
        <f t="shared" si="898"/>
        <v>0</v>
      </c>
      <c r="T882" s="656" t="e">
        <f>+VLOOKUP($L882,Data_Validation!$A:$D,1,0)</f>
        <v>#N/A</v>
      </c>
      <c r="U882" s="656" t="e">
        <f>+VLOOKUP($L882,Data_Validation!$A:$D,3,0)</f>
        <v>#N/A</v>
      </c>
      <c r="V882" s="656" t="e">
        <f>+VLOOKUP($L882,Data_Validation!$A:$D,4,0)</f>
        <v>#N/A</v>
      </c>
      <c r="W882" s="656" t="e">
        <f>+VLOOKUP($L882,Data_Validation!$A:$E,5,0)</f>
        <v>#N/A</v>
      </c>
    </row>
    <row r="883" spans="1:23" ht="15.75" customHeight="1">
      <c r="A883" s="716"/>
      <c r="B883" s="654"/>
      <c r="C883" s="717"/>
      <c r="D883" s="716"/>
      <c r="E883" s="716"/>
      <c r="F883" s="716"/>
      <c r="G883" s="716"/>
      <c r="H883" s="716"/>
      <c r="I883" s="716"/>
      <c r="J883" s="716"/>
      <c r="K883" s="716"/>
      <c r="L883" s="653" t="str">
        <f t="shared" si="850"/>
        <v>0</v>
      </c>
      <c r="M883" s="654">
        <f t="shared" si="780"/>
        <v>0</v>
      </c>
      <c r="N883" s="655">
        <f>+IF(OR($Q883=Parametres!$G$2,$Q883=Parametres!$G$3),I883,C883)</f>
        <v>0</v>
      </c>
      <c r="O883" s="655">
        <f>+IF(OR($Q883=Parametres!$G$2,$Q883=Parametres!$G$3),J883,D883)</f>
        <v>0</v>
      </c>
      <c r="P883" s="655">
        <f>+IF(OR($Q883=Parametres!$G$2,$Q883=Parametres!$G$3),K883,E883)</f>
        <v>0</v>
      </c>
      <c r="Q883" s="654">
        <f t="shared" ref="Q883:S883" si="899">+F883</f>
        <v>0</v>
      </c>
      <c r="R883" s="653">
        <f t="shared" si="899"/>
        <v>0</v>
      </c>
      <c r="S883" s="654">
        <f t="shared" si="899"/>
        <v>0</v>
      </c>
      <c r="T883" s="656" t="e">
        <f>+VLOOKUP($L883,Data_Validation!$A:$D,1,0)</f>
        <v>#N/A</v>
      </c>
      <c r="U883" s="656" t="e">
        <f>+VLOOKUP($L883,Data_Validation!$A:$D,3,0)</f>
        <v>#N/A</v>
      </c>
      <c r="V883" s="656" t="e">
        <f>+VLOOKUP($L883,Data_Validation!$A:$D,4,0)</f>
        <v>#N/A</v>
      </c>
      <c r="W883" s="656" t="e">
        <f>+VLOOKUP($L883,Data_Validation!$A:$E,5,0)</f>
        <v>#N/A</v>
      </c>
    </row>
    <row r="884" spans="1:23" ht="15.75" customHeight="1">
      <c r="A884" s="716"/>
      <c r="B884" s="654"/>
      <c r="C884" s="717"/>
      <c r="D884" s="716"/>
      <c r="E884" s="716"/>
      <c r="F884" s="716"/>
      <c r="G884" s="716"/>
      <c r="H884" s="716"/>
      <c r="I884" s="716"/>
      <c r="J884" s="716"/>
      <c r="K884" s="716"/>
      <c r="L884" s="653" t="str">
        <f t="shared" si="850"/>
        <v>0</v>
      </c>
      <c r="M884" s="654">
        <f t="shared" si="780"/>
        <v>0</v>
      </c>
      <c r="N884" s="655">
        <f>+IF(OR($Q884=Parametres!$G$2,$Q884=Parametres!$G$3),I884,C884)</f>
        <v>0</v>
      </c>
      <c r="O884" s="655">
        <f>+IF(OR($Q884=Parametres!$G$2,$Q884=Parametres!$G$3),J884,D884)</f>
        <v>0</v>
      </c>
      <c r="P884" s="655">
        <f>+IF(OR($Q884=Parametres!$G$2,$Q884=Parametres!$G$3),K884,E884)</f>
        <v>0</v>
      </c>
      <c r="Q884" s="654">
        <f t="shared" ref="Q884:S884" si="900">+F884</f>
        <v>0</v>
      </c>
      <c r="R884" s="653">
        <f t="shared" si="900"/>
        <v>0</v>
      </c>
      <c r="S884" s="654">
        <f t="shared" si="900"/>
        <v>0</v>
      </c>
      <c r="T884" s="656" t="e">
        <f>+VLOOKUP($L884,Data_Validation!$A:$D,1,0)</f>
        <v>#N/A</v>
      </c>
      <c r="U884" s="656" t="e">
        <f>+VLOOKUP($L884,Data_Validation!$A:$D,3,0)</f>
        <v>#N/A</v>
      </c>
      <c r="V884" s="656" t="e">
        <f>+VLOOKUP($L884,Data_Validation!$A:$D,4,0)</f>
        <v>#N/A</v>
      </c>
      <c r="W884" s="656" t="e">
        <f>+VLOOKUP($L884,Data_Validation!$A:$E,5,0)</f>
        <v>#N/A</v>
      </c>
    </row>
    <row r="885" spans="1:23" ht="15.75" customHeight="1">
      <c r="A885" s="716"/>
      <c r="B885" s="654"/>
      <c r="C885" s="717"/>
      <c r="D885" s="716"/>
      <c r="E885" s="716"/>
      <c r="F885" s="716"/>
      <c r="G885" s="716"/>
      <c r="H885" s="716"/>
      <c r="I885" s="716"/>
      <c r="J885" s="716"/>
      <c r="K885" s="716"/>
      <c r="L885" s="653" t="str">
        <f t="shared" si="850"/>
        <v>0</v>
      </c>
      <c r="M885" s="654">
        <f t="shared" si="780"/>
        <v>0</v>
      </c>
      <c r="N885" s="655">
        <f>+IF(OR($Q885=Parametres!$G$2,$Q885=Parametres!$G$3),I885,C885)</f>
        <v>0</v>
      </c>
      <c r="O885" s="655">
        <f>+IF(OR($Q885=Parametres!$G$2,$Q885=Parametres!$G$3),J885,D885)</f>
        <v>0</v>
      </c>
      <c r="P885" s="655">
        <f>+IF(OR($Q885=Parametres!$G$2,$Q885=Parametres!$G$3),K885,E885)</f>
        <v>0</v>
      </c>
      <c r="Q885" s="654">
        <f t="shared" ref="Q885:S885" si="901">+F885</f>
        <v>0</v>
      </c>
      <c r="R885" s="653">
        <f t="shared" si="901"/>
        <v>0</v>
      </c>
      <c r="S885" s="654">
        <f t="shared" si="901"/>
        <v>0</v>
      </c>
      <c r="T885" s="656" t="e">
        <f>+VLOOKUP($L885,Data_Validation!$A:$D,1,0)</f>
        <v>#N/A</v>
      </c>
      <c r="U885" s="656" t="e">
        <f>+VLOOKUP($L885,Data_Validation!$A:$D,3,0)</f>
        <v>#N/A</v>
      </c>
      <c r="V885" s="656" t="e">
        <f>+VLOOKUP($L885,Data_Validation!$A:$D,4,0)</f>
        <v>#N/A</v>
      </c>
      <c r="W885" s="656" t="e">
        <f>+VLOOKUP($L885,Data_Validation!$A:$E,5,0)</f>
        <v>#N/A</v>
      </c>
    </row>
    <row r="886" spans="1:23" ht="15.75" customHeight="1">
      <c r="A886" s="716"/>
      <c r="B886" s="654"/>
      <c r="C886" s="717"/>
      <c r="D886" s="716"/>
      <c r="E886" s="716"/>
      <c r="F886" s="716"/>
      <c r="G886" s="716"/>
      <c r="H886" s="716"/>
      <c r="I886" s="716"/>
      <c r="J886" s="716"/>
      <c r="K886" s="716"/>
      <c r="L886" s="653" t="str">
        <f t="shared" si="850"/>
        <v>0</v>
      </c>
      <c r="M886" s="654">
        <f t="shared" si="780"/>
        <v>0</v>
      </c>
      <c r="N886" s="655">
        <f>+IF(OR($Q886=Parametres!$G$2,$Q886=Parametres!$G$3),I886,C886)</f>
        <v>0</v>
      </c>
      <c r="O886" s="655">
        <f>+IF(OR($Q886=Parametres!$G$2,$Q886=Parametres!$G$3),J886,D886)</f>
        <v>0</v>
      </c>
      <c r="P886" s="655">
        <f>+IF(OR($Q886=Parametres!$G$2,$Q886=Parametres!$G$3),K886,E886)</f>
        <v>0</v>
      </c>
      <c r="Q886" s="654">
        <f t="shared" ref="Q886:S886" si="902">+F886</f>
        <v>0</v>
      </c>
      <c r="R886" s="653">
        <f t="shared" si="902"/>
        <v>0</v>
      </c>
      <c r="S886" s="654">
        <f t="shared" si="902"/>
        <v>0</v>
      </c>
      <c r="T886" s="656" t="e">
        <f>+VLOOKUP($L886,Data_Validation!$A:$D,1,0)</f>
        <v>#N/A</v>
      </c>
      <c r="U886" s="656" t="e">
        <f>+VLOOKUP($L886,Data_Validation!$A:$D,3,0)</f>
        <v>#N/A</v>
      </c>
      <c r="V886" s="656" t="e">
        <f>+VLOOKUP($L886,Data_Validation!$A:$D,4,0)</f>
        <v>#N/A</v>
      </c>
      <c r="W886" s="656" t="e">
        <f>+VLOOKUP($L886,Data_Validation!$A:$E,5,0)</f>
        <v>#N/A</v>
      </c>
    </row>
    <row r="887" spans="1:23" ht="15.75" customHeight="1">
      <c r="A887" s="716"/>
      <c r="B887" s="654"/>
      <c r="C887" s="717"/>
      <c r="D887" s="716"/>
      <c r="E887" s="716"/>
      <c r="F887" s="716"/>
      <c r="G887" s="716"/>
      <c r="H887" s="716"/>
      <c r="I887" s="716"/>
      <c r="J887" s="716"/>
      <c r="K887" s="716"/>
      <c r="L887" s="653" t="str">
        <f t="shared" si="850"/>
        <v>0</v>
      </c>
      <c r="M887" s="654">
        <f t="shared" si="780"/>
        <v>0</v>
      </c>
      <c r="N887" s="655">
        <f>+IF(OR($Q887=Parametres!$G$2,$Q887=Parametres!$G$3),I887,C887)</f>
        <v>0</v>
      </c>
      <c r="O887" s="655">
        <f>+IF(OR($Q887=Parametres!$G$2,$Q887=Parametres!$G$3),J887,D887)</f>
        <v>0</v>
      </c>
      <c r="P887" s="655">
        <f>+IF(OR($Q887=Parametres!$G$2,$Q887=Parametres!$G$3),K887,E887)</f>
        <v>0</v>
      </c>
      <c r="Q887" s="654">
        <f t="shared" ref="Q887:S887" si="903">+F887</f>
        <v>0</v>
      </c>
      <c r="R887" s="653">
        <f t="shared" si="903"/>
        <v>0</v>
      </c>
      <c r="S887" s="654">
        <f t="shared" si="903"/>
        <v>0</v>
      </c>
      <c r="T887" s="656" t="e">
        <f>+VLOOKUP($L887,Data_Validation!$A:$D,1,0)</f>
        <v>#N/A</v>
      </c>
      <c r="U887" s="656" t="e">
        <f>+VLOOKUP($L887,Data_Validation!$A:$D,3,0)</f>
        <v>#N/A</v>
      </c>
      <c r="V887" s="656" t="e">
        <f>+VLOOKUP($L887,Data_Validation!$A:$D,4,0)</f>
        <v>#N/A</v>
      </c>
      <c r="W887" s="656" t="e">
        <f>+VLOOKUP($L887,Data_Validation!$A:$E,5,0)</f>
        <v>#N/A</v>
      </c>
    </row>
    <row r="888" spans="1:23" ht="15.75" customHeight="1">
      <c r="A888" s="716"/>
      <c r="B888" s="654"/>
      <c r="C888" s="717"/>
      <c r="D888" s="716"/>
      <c r="E888" s="716"/>
      <c r="F888" s="716"/>
      <c r="G888" s="716"/>
      <c r="H888" s="716"/>
      <c r="I888" s="716"/>
      <c r="J888" s="716"/>
      <c r="K888" s="716"/>
      <c r="L888" s="653" t="str">
        <f t="shared" si="850"/>
        <v>0</v>
      </c>
      <c r="M888" s="654">
        <f t="shared" si="780"/>
        <v>0</v>
      </c>
      <c r="N888" s="655">
        <f>+IF(OR($Q888=Parametres!$G$2,$Q888=Parametres!$G$3),I888,C888)</f>
        <v>0</v>
      </c>
      <c r="O888" s="655">
        <f>+IF(OR($Q888=Parametres!$G$2,$Q888=Parametres!$G$3),J888,D888)</f>
        <v>0</v>
      </c>
      <c r="P888" s="655">
        <f>+IF(OR($Q888=Parametres!$G$2,$Q888=Parametres!$G$3),K888,E888)</f>
        <v>0</v>
      </c>
      <c r="Q888" s="654">
        <f t="shared" ref="Q888:S888" si="904">+F888</f>
        <v>0</v>
      </c>
      <c r="R888" s="653">
        <f t="shared" si="904"/>
        <v>0</v>
      </c>
      <c r="S888" s="654">
        <f t="shared" si="904"/>
        <v>0</v>
      </c>
      <c r="T888" s="656" t="e">
        <f>+VLOOKUP($L888,Data_Validation!$A:$D,1,0)</f>
        <v>#N/A</v>
      </c>
      <c r="U888" s="656" t="e">
        <f>+VLOOKUP($L888,Data_Validation!$A:$D,3,0)</f>
        <v>#N/A</v>
      </c>
      <c r="V888" s="656" t="e">
        <f>+VLOOKUP($L888,Data_Validation!$A:$D,4,0)</f>
        <v>#N/A</v>
      </c>
      <c r="W888" s="656" t="e">
        <f>+VLOOKUP($L888,Data_Validation!$A:$E,5,0)</f>
        <v>#N/A</v>
      </c>
    </row>
    <row r="889" spans="1:23" ht="15.75" customHeight="1">
      <c r="A889" s="716"/>
      <c r="B889" s="654"/>
      <c r="C889" s="717"/>
      <c r="D889" s="716"/>
      <c r="E889" s="716"/>
      <c r="F889" s="716"/>
      <c r="G889" s="716"/>
      <c r="H889" s="716"/>
      <c r="I889" s="716"/>
      <c r="J889" s="716"/>
      <c r="K889" s="716"/>
      <c r="L889" s="653" t="str">
        <f t="shared" si="850"/>
        <v>0</v>
      </c>
      <c r="M889" s="654">
        <f t="shared" si="780"/>
        <v>0</v>
      </c>
      <c r="N889" s="655">
        <f>+IF(OR($Q889=Parametres!$G$2,$Q889=Parametres!$G$3),I889,C889)</f>
        <v>0</v>
      </c>
      <c r="O889" s="655">
        <f>+IF(OR($Q889=Parametres!$G$2,$Q889=Parametres!$G$3),J889,D889)</f>
        <v>0</v>
      </c>
      <c r="P889" s="655">
        <f>+IF(OR($Q889=Parametres!$G$2,$Q889=Parametres!$G$3),K889,E889)</f>
        <v>0</v>
      </c>
      <c r="Q889" s="654">
        <f t="shared" ref="Q889:S889" si="905">+F889</f>
        <v>0</v>
      </c>
      <c r="R889" s="653">
        <f t="shared" si="905"/>
        <v>0</v>
      </c>
      <c r="S889" s="654">
        <f t="shared" si="905"/>
        <v>0</v>
      </c>
      <c r="T889" s="656" t="e">
        <f>+VLOOKUP($L889,Data_Validation!$A:$D,1,0)</f>
        <v>#N/A</v>
      </c>
      <c r="U889" s="656" t="e">
        <f>+VLOOKUP($L889,Data_Validation!$A:$D,3,0)</f>
        <v>#N/A</v>
      </c>
      <c r="V889" s="656" t="e">
        <f>+VLOOKUP($L889,Data_Validation!$A:$D,4,0)</f>
        <v>#N/A</v>
      </c>
      <c r="W889" s="656" t="e">
        <f>+VLOOKUP($L889,Data_Validation!$A:$E,5,0)</f>
        <v>#N/A</v>
      </c>
    </row>
    <row r="890" spans="1:23" ht="15.75" customHeight="1">
      <c r="A890" s="716"/>
      <c r="B890" s="654"/>
      <c r="C890" s="717"/>
      <c r="D890" s="716"/>
      <c r="E890" s="716"/>
      <c r="F890" s="716"/>
      <c r="G890" s="716"/>
      <c r="H890" s="716"/>
      <c r="I890" s="716"/>
      <c r="J890" s="716"/>
      <c r="K890" s="716"/>
      <c r="L890" s="653" t="str">
        <f t="shared" si="850"/>
        <v>0</v>
      </c>
      <c r="M890" s="654">
        <f t="shared" si="780"/>
        <v>0</v>
      </c>
      <c r="N890" s="655">
        <f>+IF(OR($Q890=Parametres!$G$2,$Q890=Parametres!$G$3),I890,C890)</f>
        <v>0</v>
      </c>
      <c r="O890" s="655">
        <f>+IF(OR($Q890=Parametres!$G$2,$Q890=Parametres!$G$3),J890,D890)</f>
        <v>0</v>
      </c>
      <c r="P890" s="655">
        <f>+IF(OR($Q890=Parametres!$G$2,$Q890=Parametres!$G$3),K890,E890)</f>
        <v>0</v>
      </c>
      <c r="Q890" s="654">
        <f t="shared" ref="Q890:S890" si="906">+F890</f>
        <v>0</v>
      </c>
      <c r="R890" s="653">
        <f t="shared" si="906"/>
        <v>0</v>
      </c>
      <c r="S890" s="654">
        <f t="shared" si="906"/>
        <v>0</v>
      </c>
      <c r="T890" s="656" t="e">
        <f>+VLOOKUP($L890,Data_Validation!$A:$D,1,0)</f>
        <v>#N/A</v>
      </c>
      <c r="U890" s="656" t="e">
        <f>+VLOOKUP($L890,Data_Validation!$A:$D,3,0)</f>
        <v>#N/A</v>
      </c>
      <c r="V890" s="656" t="e">
        <f>+VLOOKUP($L890,Data_Validation!$A:$D,4,0)</f>
        <v>#N/A</v>
      </c>
      <c r="W890" s="656" t="e">
        <f>+VLOOKUP($L890,Data_Validation!$A:$E,5,0)</f>
        <v>#N/A</v>
      </c>
    </row>
    <row r="891" spans="1:23" ht="15.75" customHeight="1">
      <c r="A891" s="716"/>
      <c r="B891" s="654"/>
      <c r="C891" s="717"/>
      <c r="D891" s="716"/>
      <c r="E891" s="716"/>
      <c r="F891" s="716"/>
      <c r="G891" s="716"/>
      <c r="H891" s="716"/>
      <c r="I891" s="716"/>
      <c r="J891" s="716"/>
      <c r="K891" s="716"/>
      <c r="L891" s="653" t="str">
        <f t="shared" si="850"/>
        <v>0</v>
      </c>
      <c r="M891" s="654">
        <f t="shared" si="780"/>
        <v>0</v>
      </c>
      <c r="N891" s="655">
        <f>+IF(OR($Q891=Parametres!$G$2,$Q891=Parametres!$G$3),I891,C891)</f>
        <v>0</v>
      </c>
      <c r="O891" s="655">
        <f>+IF(OR($Q891=Parametres!$G$2,$Q891=Parametres!$G$3),J891,D891)</f>
        <v>0</v>
      </c>
      <c r="P891" s="655">
        <f>+IF(OR($Q891=Parametres!$G$2,$Q891=Parametres!$G$3),K891,E891)</f>
        <v>0</v>
      </c>
      <c r="Q891" s="654">
        <f t="shared" ref="Q891:S891" si="907">+F891</f>
        <v>0</v>
      </c>
      <c r="R891" s="653">
        <f t="shared" si="907"/>
        <v>0</v>
      </c>
      <c r="S891" s="654">
        <f t="shared" si="907"/>
        <v>0</v>
      </c>
      <c r="T891" s="656" t="e">
        <f>+VLOOKUP($L891,Data_Validation!$A:$D,1,0)</f>
        <v>#N/A</v>
      </c>
      <c r="U891" s="656" t="e">
        <f>+VLOOKUP($L891,Data_Validation!$A:$D,3,0)</f>
        <v>#N/A</v>
      </c>
      <c r="V891" s="656" t="e">
        <f>+VLOOKUP($L891,Data_Validation!$A:$D,4,0)</f>
        <v>#N/A</v>
      </c>
      <c r="W891" s="656" t="e">
        <f>+VLOOKUP($L891,Data_Validation!$A:$E,5,0)</f>
        <v>#N/A</v>
      </c>
    </row>
    <row r="892" spans="1:23" ht="15.75" customHeight="1">
      <c r="A892" s="716"/>
      <c r="B892" s="654"/>
      <c r="C892" s="717"/>
      <c r="D892" s="716"/>
      <c r="E892" s="716"/>
      <c r="F892" s="716"/>
      <c r="G892" s="716"/>
      <c r="H892" s="716"/>
      <c r="I892" s="716"/>
      <c r="J892" s="716"/>
      <c r="K892" s="716"/>
      <c r="L892" s="653" t="str">
        <f t="shared" si="850"/>
        <v>0</v>
      </c>
      <c r="M892" s="654">
        <f t="shared" si="780"/>
        <v>0</v>
      </c>
      <c r="N892" s="655">
        <f>+IF(OR($Q892=Parametres!$G$2,$Q892=Parametres!$G$3),I892,C892)</f>
        <v>0</v>
      </c>
      <c r="O892" s="655">
        <f>+IF(OR($Q892=Parametres!$G$2,$Q892=Parametres!$G$3),J892,D892)</f>
        <v>0</v>
      </c>
      <c r="P892" s="655">
        <f>+IF(OR($Q892=Parametres!$G$2,$Q892=Parametres!$G$3),K892,E892)</f>
        <v>0</v>
      </c>
      <c r="Q892" s="654">
        <f t="shared" ref="Q892:S892" si="908">+F892</f>
        <v>0</v>
      </c>
      <c r="R892" s="653">
        <f t="shared" si="908"/>
        <v>0</v>
      </c>
      <c r="S892" s="654">
        <f t="shared" si="908"/>
        <v>0</v>
      </c>
      <c r="T892" s="656" t="e">
        <f>+VLOOKUP($L892,Data_Validation!$A:$D,1,0)</f>
        <v>#N/A</v>
      </c>
      <c r="U892" s="656" t="e">
        <f>+VLOOKUP($L892,Data_Validation!$A:$D,3,0)</f>
        <v>#N/A</v>
      </c>
      <c r="V892" s="656" t="e">
        <f>+VLOOKUP($L892,Data_Validation!$A:$D,4,0)</f>
        <v>#N/A</v>
      </c>
      <c r="W892" s="656" t="e">
        <f>+VLOOKUP($L892,Data_Validation!$A:$E,5,0)</f>
        <v>#N/A</v>
      </c>
    </row>
    <row r="893" spans="1:23" ht="15.75" customHeight="1">
      <c r="A893" s="716"/>
      <c r="B893" s="654"/>
      <c r="C893" s="717"/>
      <c r="D893" s="716"/>
      <c r="E893" s="716"/>
      <c r="F893" s="716"/>
      <c r="G893" s="716"/>
      <c r="H893" s="716"/>
      <c r="I893" s="716"/>
      <c r="J893" s="716"/>
      <c r="K893" s="716"/>
      <c r="L893" s="653" t="str">
        <f t="shared" si="850"/>
        <v>0</v>
      </c>
      <c r="M893" s="654">
        <f t="shared" si="780"/>
        <v>0</v>
      </c>
      <c r="N893" s="655">
        <f>+IF(OR($Q893=Parametres!$G$2,$Q893=Parametres!$G$3),I893,C893)</f>
        <v>0</v>
      </c>
      <c r="O893" s="655">
        <f>+IF(OR($Q893=Parametres!$G$2,$Q893=Parametres!$G$3),J893,D893)</f>
        <v>0</v>
      </c>
      <c r="P893" s="655">
        <f>+IF(OR($Q893=Parametres!$G$2,$Q893=Parametres!$G$3),K893,E893)</f>
        <v>0</v>
      </c>
      <c r="Q893" s="654">
        <f t="shared" ref="Q893:S893" si="909">+F893</f>
        <v>0</v>
      </c>
      <c r="R893" s="653">
        <f t="shared" si="909"/>
        <v>0</v>
      </c>
      <c r="S893" s="654">
        <f t="shared" si="909"/>
        <v>0</v>
      </c>
      <c r="T893" s="656" t="e">
        <f>+VLOOKUP($L893,Data_Validation!$A:$D,1,0)</f>
        <v>#N/A</v>
      </c>
      <c r="U893" s="656" t="e">
        <f>+VLOOKUP($L893,Data_Validation!$A:$D,3,0)</f>
        <v>#N/A</v>
      </c>
      <c r="V893" s="656" t="e">
        <f>+VLOOKUP($L893,Data_Validation!$A:$D,4,0)</f>
        <v>#N/A</v>
      </c>
      <c r="W893" s="656" t="e">
        <f>+VLOOKUP($L893,Data_Validation!$A:$E,5,0)</f>
        <v>#N/A</v>
      </c>
    </row>
    <row r="894" spans="1:23" ht="15.75" customHeight="1">
      <c r="A894" s="716"/>
      <c r="B894" s="654"/>
      <c r="C894" s="717"/>
      <c r="D894" s="716"/>
      <c r="E894" s="716"/>
      <c r="F894" s="716"/>
      <c r="G894" s="716"/>
      <c r="H894" s="716"/>
      <c r="I894" s="716"/>
      <c r="J894" s="716"/>
      <c r="K894" s="716"/>
      <c r="L894" s="653" t="str">
        <f t="shared" si="850"/>
        <v>0</v>
      </c>
      <c r="M894" s="654">
        <f t="shared" si="780"/>
        <v>0</v>
      </c>
      <c r="N894" s="655">
        <f>+IF(OR($Q894=Parametres!$G$2,$Q894=Parametres!$G$3),I894,C894)</f>
        <v>0</v>
      </c>
      <c r="O894" s="655">
        <f>+IF(OR($Q894=Parametres!$G$2,$Q894=Parametres!$G$3),J894,D894)</f>
        <v>0</v>
      </c>
      <c r="P894" s="655">
        <f>+IF(OR($Q894=Parametres!$G$2,$Q894=Parametres!$G$3),K894,E894)</f>
        <v>0</v>
      </c>
      <c r="Q894" s="654">
        <f t="shared" ref="Q894:S894" si="910">+F894</f>
        <v>0</v>
      </c>
      <c r="R894" s="653">
        <f t="shared" si="910"/>
        <v>0</v>
      </c>
      <c r="S894" s="654">
        <f t="shared" si="910"/>
        <v>0</v>
      </c>
      <c r="T894" s="656" t="e">
        <f>+VLOOKUP($L894,Data_Validation!$A:$D,1,0)</f>
        <v>#N/A</v>
      </c>
      <c r="U894" s="656" t="e">
        <f>+VLOOKUP($L894,Data_Validation!$A:$D,3,0)</f>
        <v>#N/A</v>
      </c>
      <c r="V894" s="656" t="e">
        <f>+VLOOKUP($L894,Data_Validation!$A:$D,4,0)</f>
        <v>#N/A</v>
      </c>
      <c r="W894" s="656" t="e">
        <f>+VLOOKUP($L894,Data_Validation!$A:$E,5,0)</f>
        <v>#N/A</v>
      </c>
    </row>
    <row r="895" spans="1:23" ht="15.75" customHeight="1">
      <c r="A895" s="716"/>
      <c r="B895" s="654"/>
      <c r="C895" s="717"/>
      <c r="D895" s="716"/>
      <c r="E895" s="716"/>
      <c r="F895" s="716"/>
      <c r="G895" s="716"/>
      <c r="H895" s="716"/>
      <c r="I895" s="716"/>
      <c r="J895" s="716"/>
      <c r="K895" s="716"/>
      <c r="L895" s="653" t="str">
        <f t="shared" si="850"/>
        <v>0</v>
      </c>
      <c r="M895" s="654">
        <f t="shared" si="780"/>
        <v>0</v>
      </c>
      <c r="N895" s="655">
        <f>+IF(OR($Q895=Parametres!$G$2,$Q895=Parametres!$G$3),I895,C895)</f>
        <v>0</v>
      </c>
      <c r="O895" s="655">
        <f>+IF(OR($Q895=Parametres!$G$2,$Q895=Parametres!$G$3),J895,D895)</f>
        <v>0</v>
      </c>
      <c r="P895" s="655">
        <f>+IF(OR($Q895=Parametres!$G$2,$Q895=Parametres!$G$3),K895,E895)</f>
        <v>0</v>
      </c>
      <c r="Q895" s="654">
        <f t="shared" ref="Q895:S895" si="911">+F895</f>
        <v>0</v>
      </c>
      <c r="R895" s="653">
        <f t="shared" si="911"/>
        <v>0</v>
      </c>
      <c r="S895" s="654">
        <f t="shared" si="911"/>
        <v>0</v>
      </c>
      <c r="T895" s="656" t="e">
        <f>+VLOOKUP($L895,Data_Validation!$A:$D,1,0)</f>
        <v>#N/A</v>
      </c>
      <c r="U895" s="656" t="e">
        <f>+VLOOKUP($L895,Data_Validation!$A:$D,3,0)</f>
        <v>#N/A</v>
      </c>
      <c r="V895" s="656" t="e">
        <f>+VLOOKUP($L895,Data_Validation!$A:$D,4,0)</f>
        <v>#N/A</v>
      </c>
      <c r="W895" s="656" t="e">
        <f>+VLOOKUP($L895,Data_Validation!$A:$E,5,0)</f>
        <v>#N/A</v>
      </c>
    </row>
    <row r="896" spans="1:23" ht="15.75" customHeight="1">
      <c r="A896" s="716"/>
      <c r="B896" s="654"/>
      <c r="C896" s="717"/>
      <c r="D896" s="716"/>
      <c r="E896" s="716"/>
      <c r="F896" s="716"/>
      <c r="G896" s="716"/>
      <c r="H896" s="716"/>
      <c r="I896" s="716"/>
      <c r="J896" s="716"/>
      <c r="K896" s="716"/>
      <c r="L896" s="653" t="str">
        <f t="shared" si="850"/>
        <v>0</v>
      </c>
      <c r="M896" s="654">
        <f t="shared" si="780"/>
        <v>0</v>
      </c>
      <c r="N896" s="655">
        <f>+IF(OR($Q896=Parametres!$G$2,$Q896=Parametres!$G$3),I896,C896)</f>
        <v>0</v>
      </c>
      <c r="O896" s="655">
        <f>+IF(OR($Q896=Parametres!$G$2,$Q896=Parametres!$G$3),J896,D896)</f>
        <v>0</v>
      </c>
      <c r="P896" s="655">
        <f>+IF(OR($Q896=Parametres!$G$2,$Q896=Parametres!$G$3),K896,E896)</f>
        <v>0</v>
      </c>
      <c r="Q896" s="654">
        <f t="shared" ref="Q896:S896" si="912">+F896</f>
        <v>0</v>
      </c>
      <c r="R896" s="653">
        <f t="shared" si="912"/>
        <v>0</v>
      </c>
      <c r="S896" s="654">
        <f t="shared" si="912"/>
        <v>0</v>
      </c>
      <c r="T896" s="656" t="e">
        <f>+VLOOKUP($L896,Data_Validation!$A:$D,1,0)</f>
        <v>#N/A</v>
      </c>
      <c r="U896" s="656" t="e">
        <f>+VLOOKUP($L896,Data_Validation!$A:$D,3,0)</f>
        <v>#N/A</v>
      </c>
      <c r="V896" s="656" t="e">
        <f>+VLOOKUP($L896,Data_Validation!$A:$D,4,0)</f>
        <v>#N/A</v>
      </c>
      <c r="W896" s="656" t="e">
        <f>+VLOOKUP($L896,Data_Validation!$A:$E,5,0)</f>
        <v>#N/A</v>
      </c>
    </row>
    <row r="897" spans="1:23" ht="15.75" customHeight="1">
      <c r="A897" s="716"/>
      <c r="B897" s="654"/>
      <c r="C897" s="717"/>
      <c r="D897" s="716"/>
      <c r="E897" s="716"/>
      <c r="F897" s="716"/>
      <c r="G897" s="716"/>
      <c r="H897" s="716"/>
      <c r="I897" s="716"/>
      <c r="J897" s="716"/>
      <c r="K897" s="716"/>
      <c r="L897" s="653" t="str">
        <f t="shared" si="850"/>
        <v>0</v>
      </c>
      <c r="M897" s="654">
        <f t="shared" si="780"/>
        <v>0</v>
      </c>
      <c r="N897" s="655">
        <f>+IF(OR($Q897=Parametres!$G$2,$Q897=Parametres!$G$3),I897,C897)</f>
        <v>0</v>
      </c>
      <c r="O897" s="655">
        <f>+IF(OR($Q897=Parametres!$G$2,$Q897=Parametres!$G$3),J897,D897)</f>
        <v>0</v>
      </c>
      <c r="P897" s="655">
        <f>+IF(OR($Q897=Parametres!$G$2,$Q897=Parametres!$G$3),K897,E897)</f>
        <v>0</v>
      </c>
      <c r="Q897" s="654">
        <f t="shared" ref="Q897:S897" si="913">+F897</f>
        <v>0</v>
      </c>
      <c r="R897" s="653">
        <f t="shared" si="913"/>
        <v>0</v>
      </c>
      <c r="S897" s="654">
        <f t="shared" si="913"/>
        <v>0</v>
      </c>
      <c r="T897" s="656" t="e">
        <f>+VLOOKUP($L897,Data_Validation!$A:$D,1,0)</f>
        <v>#N/A</v>
      </c>
      <c r="U897" s="656" t="e">
        <f>+VLOOKUP($L897,Data_Validation!$A:$D,3,0)</f>
        <v>#N/A</v>
      </c>
      <c r="V897" s="656" t="e">
        <f>+VLOOKUP($L897,Data_Validation!$A:$D,4,0)</f>
        <v>#N/A</v>
      </c>
      <c r="W897" s="656" t="e">
        <f>+VLOOKUP($L897,Data_Validation!$A:$E,5,0)</f>
        <v>#N/A</v>
      </c>
    </row>
    <row r="898" spans="1:23" ht="15.75" customHeight="1">
      <c r="A898" s="716"/>
      <c r="B898" s="654"/>
      <c r="C898" s="717"/>
      <c r="D898" s="716"/>
      <c r="E898" s="716"/>
      <c r="F898" s="716"/>
      <c r="G898" s="716"/>
      <c r="H898" s="716"/>
      <c r="I898" s="716"/>
      <c r="J898" s="716"/>
      <c r="K898" s="716"/>
      <c r="L898" s="653" t="str">
        <f t="shared" si="850"/>
        <v>0</v>
      </c>
      <c r="M898" s="654">
        <f t="shared" si="780"/>
        <v>0</v>
      </c>
      <c r="N898" s="655">
        <f>+IF(OR($Q898=Parametres!$G$2,$Q898=Parametres!$G$3),I898,C898)</f>
        <v>0</v>
      </c>
      <c r="O898" s="655">
        <f>+IF(OR($Q898=Parametres!$G$2,$Q898=Parametres!$G$3),J898,D898)</f>
        <v>0</v>
      </c>
      <c r="P898" s="655">
        <f>+IF(OR($Q898=Parametres!$G$2,$Q898=Parametres!$G$3),K898,E898)</f>
        <v>0</v>
      </c>
      <c r="Q898" s="654">
        <f t="shared" ref="Q898:S898" si="914">+F898</f>
        <v>0</v>
      </c>
      <c r="R898" s="653">
        <f t="shared" si="914"/>
        <v>0</v>
      </c>
      <c r="S898" s="654">
        <f t="shared" si="914"/>
        <v>0</v>
      </c>
      <c r="T898" s="656" t="e">
        <f>+VLOOKUP($L898,Data_Validation!$A:$D,1,0)</f>
        <v>#N/A</v>
      </c>
      <c r="U898" s="656" t="e">
        <f>+VLOOKUP($L898,Data_Validation!$A:$D,3,0)</f>
        <v>#N/A</v>
      </c>
      <c r="V898" s="656" t="e">
        <f>+VLOOKUP($L898,Data_Validation!$A:$D,4,0)</f>
        <v>#N/A</v>
      </c>
      <c r="W898" s="656" t="e">
        <f>+VLOOKUP($L898,Data_Validation!$A:$E,5,0)</f>
        <v>#N/A</v>
      </c>
    </row>
    <row r="899" spans="1:23" ht="15.75" customHeight="1">
      <c r="A899" s="716"/>
      <c r="B899" s="654"/>
      <c r="C899" s="717"/>
      <c r="D899" s="716"/>
      <c r="E899" s="716"/>
      <c r="F899" s="716"/>
      <c r="G899" s="716"/>
      <c r="H899" s="716"/>
      <c r="I899" s="716"/>
      <c r="J899" s="716"/>
      <c r="K899" s="716"/>
      <c r="L899" s="653" t="str">
        <f t="shared" ref="L899:L962" si="915">TEXT(B899,0)</f>
        <v>0</v>
      </c>
      <c r="M899" s="654">
        <f t="shared" si="780"/>
        <v>0</v>
      </c>
      <c r="N899" s="655">
        <f>+IF(OR($Q899=Parametres!$G$2,$Q899=Parametres!$G$3),I899,C899)</f>
        <v>0</v>
      </c>
      <c r="O899" s="655">
        <f>+IF(OR($Q899=Parametres!$G$2,$Q899=Parametres!$G$3),J899,D899)</f>
        <v>0</v>
      </c>
      <c r="P899" s="655">
        <f>+IF(OR($Q899=Parametres!$G$2,$Q899=Parametres!$G$3),K899,E899)</f>
        <v>0</v>
      </c>
      <c r="Q899" s="654">
        <f t="shared" ref="Q899:S899" si="916">+F899</f>
        <v>0</v>
      </c>
      <c r="R899" s="653">
        <f t="shared" si="916"/>
        <v>0</v>
      </c>
      <c r="S899" s="654">
        <f t="shared" si="916"/>
        <v>0</v>
      </c>
      <c r="T899" s="656" t="e">
        <f>+VLOOKUP($L899,Data_Validation!$A:$D,1,0)</f>
        <v>#N/A</v>
      </c>
      <c r="U899" s="656" t="e">
        <f>+VLOOKUP($L899,Data_Validation!$A:$D,3,0)</f>
        <v>#N/A</v>
      </c>
      <c r="V899" s="656" t="e">
        <f>+VLOOKUP($L899,Data_Validation!$A:$D,4,0)</f>
        <v>#N/A</v>
      </c>
      <c r="W899" s="656" t="e">
        <f>+VLOOKUP($L899,Data_Validation!$A:$E,5,0)</f>
        <v>#N/A</v>
      </c>
    </row>
    <row r="900" spans="1:23" ht="15.75" customHeight="1">
      <c r="A900" s="716"/>
      <c r="B900" s="654"/>
      <c r="C900" s="717"/>
      <c r="D900" s="716"/>
      <c r="E900" s="716"/>
      <c r="F900" s="716"/>
      <c r="G900" s="716"/>
      <c r="H900" s="716"/>
      <c r="I900" s="716"/>
      <c r="J900" s="716"/>
      <c r="K900" s="716"/>
      <c r="L900" s="653" t="str">
        <f t="shared" si="915"/>
        <v>0</v>
      </c>
      <c r="M900" s="654">
        <f t="shared" si="780"/>
        <v>0</v>
      </c>
      <c r="N900" s="655">
        <f>+IF(OR($Q900=Parametres!$G$2,$Q900=Parametres!$G$3),I900,C900)</f>
        <v>0</v>
      </c>
      <c r="O900" s="655">
        <f>+IF(OR($Q900=Parametres!$G$2,$Q900=Parametres!$G$3),J900,D900)</f>
        <v>0</v>
      </c>
      <c r="P900" s="655">
        <f>+IF(OR($Q900=Parametres!$G$2,$Q900=Parametres!$G$3),K900,E900)</f>
        <v>0</v>
      </c>
      <c r="Q900" s="654">
        <f t="shared" ref="Q900:S900" si="917">+F900</f>
        <v>0</v>
      </c>
      <c r="R900" s="653">
        <f t="shared" si="917"/>
        <v>0</v>
      </c>
      <c r="S900" s="654">
        <f t="shared" si="917"/>
        <v>0</v>
      </c>
      <c r="T900" s="656" t="e">
        <f>+VLOOKUP($L900,Data_Validation!$A:$D,1,0)</f>
        <v>#N/A</v>
      </c>
      <c r="U900" s="656" t="e">
        <f>+VLOOKUP($L900,Data_Validation!$A:$D,3,0)</f>
        <v>#N/A</v>
      </c>
      <c r="V900" s="656" t="e">
        <f>+VLOOKUP($L900,Data_Validation!$A:$D,4,0)</f>
        <v>#N/A</v>
      </c>
      <c r="W900" s="656" t="e">
        <f>+VLOOKUP($L900,Data_Validation!$A:$E,5,0)</f>
        <v>#N/A</v>
      </c>
    </row>
    <row r="901" spans="1:23" ht="15.75" customHeight="1">
      <c r="A901" s="716"/>
      <c r="B901" s="654"/>
      <c r="C901" s="717"/>
      <c r="D901" s="716"/>
      <c r="E901" s="716"/>
      <c r="F901" s="716"/>
      <c r="G901" s="716"/>
      <c r="H901" s="716"/>
      <c r="I901" s="716"/>
      <c r="J901" s="716"/>
      <c r="K901" s="716"/>
      <c r="L901" s="653" t="str">
        <f t="shared" si="915"/>
        <v>0</v>
      </c>
      <c r="M901" s="654">
        <f t="shared" si="780"/>
        <v>0</v>
      </c>
      <c r="N901" s="655">
        <f>+IF(OR($Q901=Parametres!$G$2,$Q901=Parametres!$G$3),I901,C901)</f>
        <v>0</v>
      </c>
      <c r="O901" s="655">
        <f>+IF(OR($Q901=Parametres!$G$2,$Q901=Parametres!$G$3),J901,D901)</f>
        <v>0</v>
      </c>
      <c r="P901" s="655">
        <f>+IF(OR($Q901=Parametres!$G$2,$Q901=Parametres!$G$3),K901,E901)</f>
        <v>0</v>
      </c>
      <c r="Q901" s="654">
        <f t="shared" ref="Q901:S901" si="918">+F901</f>
        <v>0</v>
      </c>
      <c r="R901" s="653">
        <f t="shared" si="918"/>
        <v>0</v>
      </c>
      <c r="S901" s="654">
        <f t="shared" si="918"/>
        <v>0</v>
      </c>
      <c r="T901" s="656" t="e">
        <f>+VLOOKUP($L901,Data_Validation!$A:$D,1,0)</f>
        <v>#N/A</v>
      </c>
      <c r="U901" s="656" t="e">
        <f>+VLOOKUP($L901,Data_Validation!$A:$D,3,0)</f>
        <v>#N/A</v>
      </c>
      <c r="V901" s="656" t="e">
        <f>+VLOOKUP($L901,Data_Validation!$A:$D,4,0)</f>
        <v>#N/A</v>
      </c>
      <c r="W901" s="656" t="e">
        <f>+VLOOKUP($L901,Data_Validation!$A:$E,5,0)</f>
        <v>#N/A</v>
      </c>
    </row>
    <row r="902" spans="1:23" ht="15.75" customHeight="1">
      <c r="A902" s="716"/>
      <c r="B902" s="654"/>
      <c r="C902" s="717"/>
      <c r="D902" s="716"/>
      <c r="E902" s="716"/>
      <c r="F902" s="716"/>
      <c r="G902" s="716"/>
      <c r="H902" s="716"/>
      <c r="I902" s="716"/>
      <c r="J902" s="716"/>
      <c r="K902" s="716"/>
      <c r="L902" s="653" t="str">
        <f t="shared" si="915"/>
        <v>0</v>
      </c>
      <c r="M902" s="654">
        <f t="shared" si="780"/>
        <v>0</v>
      </c>
      <c r="N902" s="655">
        <f>+IF(OR($Q902=Parametres!$G$2,$Q902=Parametres!$G$3),I902,C902)</f>
        <v>0</v>
      </c>
      <c r="O902" s="655">
        <f>+IF(OR($Q902=Parametres!$G$2,$Q902=Parametres!$G$3),J902,D902)</f>
        <v>0</v>
      </c>
      <c r="P902" s="655">
        <f>+IF(OR($Q902=Parametres!$G$2,$Q902=Parametres!$G$3),K902,E902)</f>
        <v>0</v>
      </c>
      <c r="Q902" s="654">
        <f t="shared" ref="Q902:S902" si="919">+F902</f>
        <v>0</v>
      </c>
      <c r="R902" s="653">
        <f t="shared" si="919"/>
        <v>0</v>
      </c>
      <c r="S902" s="654">
        <f t="shared" si="919"/>
        <v>0</v>
      </c>
      <c r="T902" s="656" t="e">
        <f>+VLOOKUP($L902,Data_Validation!$A:$D,1,0)</f>
        <v>#N/A</v>
      </c>
      <c r="U902" s="656" t="e">
        <f>+VLOOKUP($L902,Data_Validation!$A:$D,3,0)</f>
        <v>#N/A</v>
      </c>
      <c r="V902" s="656" t="e">
        <f>+VLOOKUP($L902,Data_Validation!$A:$D,4,0)</f>
        <v>#N/A</v>
      </c>
      <c r="W902" s="656" t="e">
        <f>+VLOOKUP($L902,Data_Validation!$A:$E,5,0)</f>
        <v>#N/A</v>
      </c>
    </row>
    <row r="903" spans="1:23" ht="15.75" customHeight="1">
      <c r="A903" s="716"/>
      <c r="B903" s="654"/>
      <c r="C903" s="717"/>
      <c r="D903" s="716"/>
      <c r="E903" s="716"/>
      <c r="F903" s="716"/>
      <c r="G903" s="716"/>
      <c r="H903" s="716"/>
      <c r="I903" s="716"/>
      <c r="J903" s="716"/>
      <c r="K903" s="716"/>
      <c r="L903" s="653" t="str">
        <f t="shared" si="915"/>
        <v>0</v>
      </c>
      <c r="M903" s="654">
        <f t="shared" si="780"/>
        <v>0</v>
      </c>
      <c r="N903" s="655">
        <f>+IF(OR($Q903=Parametres!$G$2,$Q903=Parametres!$G$3),I903,C903)</f>
        <v>0</v>
      </c>
      <c r="O903" s="655">
        <f>+IF(OR($Q903=Parametres!$G$2,$Q903=Parametres!$G$3),J903,D903)</f>
        <v>0</v>
      </c>
      <c r="P903" s="655">
        <f>+IF(OR($Q903=Parametres!$G$2,$Q903=Parametres!$G$3),K903,E903)</f>
        <v>0</v>
      </c>
      <c r="Q903" s="654">
        <f t="shared" ref="Q903:S903" si="920">+F903</f>
        <v>0</v>
      </c>
      <c r="R903" s="653">
        <f t="shared" si="920"/>
        <v>0</v>
      </c>
      <c r="S903" s="654">
        <f t="shared" si="920"/>
        <v>0</v>
      </c>
      <c r="T903" s="656" t="e">
        <f>+VLOOKUP($L903,Data_Validation!$A:$D,1,0)</f>
        <v>#N/A</v>
      </c>
      <c r="U903" s="656" t="e">
        <f>+VLOOKUP($L903,Data_Validation!$A:$D,3,0)</f>
        <v>#N/A</v>
      </c>
      <c r="V903" s="656" t="e">
        <f>+VLOOKUP($L903,Data_Validation!$A:$D,4,0)</f>
        <v>#N/A</v>
      </c>
      <c r="W903" s="656" t="e">
        <f>+VLOOKUP($L903,Data_Validation!$A:$E,5,0)</f>
        <v>#N/A</v>
      </c>
    </row>
    <row r="904" spans="1:23" ht="15.75" customHeight="1">
      <c r="A904" s="716"/>
      <c r="B904" s="654"/>
      <c r="C904" s="717"/>
      <c r="D904" s="716"/>
      <c r="E904" s="716"/>
      <c r="F904" s="716"/>
      <c r="G904" s="716"/>
      <c r="H904" s="716"/>
      <c r="I904" s="716"/>
      <c r="J904" s="716"/>
      <c r="K904" s="716"/>
      <c r="L904" s="653" t="str">
        <f t="shared" si="915"/>
        <v>0</v>
      </c>
      <c r="M904" s="654">
        <f t="shared" si="780"/>
        <v>0</v>
      </c>
      <c r="N904" s="655">
        <f>+IF(OR($Q904=Parametres!$G$2,$Q904=Parametres!$G$3),I904,C904)</f>
        <v>0</v>
      </c>
      <c r="O904" s="655">
        <f>+IF(OR($Q904=Parametres!$G$2,$Q904=Parametres!$G$3),J904,D904)</f>
        <v>0</v>
      </c>
      <c r="P904" s="655">
        <f>+IF(OR($Q904=Parametres!$G$2,$Q904=Parametres!$G$3),K904,E904)</f>
        <v>0</v>
      </c>
      <c r="Q904" s="654">
        <f t="shared" ref="Q904:S904" si="921">+F904</f>
        <v>0</v>
      </c>
      <c r="R904" s="653">
        <f t="shared" si="921"/>
        <v>0</v>
      </c>
      <c r="S904" s="654">
        <f t="shared" si="921"/>
        <v>0</v>
      </c>
      <c r="T904" s="656" t="e">
        <f>+VLOOKUP($L904,Data_Validation!$A:$D,1,0)</f>
        <v>#N/A</v>
      </c>
      <c r="U904" s="656" t="e">
        <f>+VLOOKUP($L904,Data_Validation!$A:$D,3,0)</f>
        <v>#N/A</v>
      </c>
      <c r="V904" s="656" t="e">
        <f>+VLOOKUP($L904,Data_Validation!$A:$D,4,0)</f>
        <v>#N/A</v>
      </c>
      <c r="W904" s="656" t="e">
        <f>+VLOOKUP($L904,Data_Validation!$A:$E,5,0)</f>
        <v>#N/A</v>
      </c>
    </row>
    <row r="905" spans="1:23" ht="15.75" customHeight="1">
      <c r="A905" s="716"/>
      <c r="B905" s="654"/>
      <c r="C905" s="717"/>
      <c r="D905" s="716"/>
      <c r="E905" s="716"/>
      <c r="F905" s="716"/>
      <c r="G905" s="716"/>
      <c r="H905" s="716"/>
      <c r="I905" s="716"/>
      <c r="J905" s="716"/>
      <c r="K905" s="716"/>
      <c r="L905" s="653" t="str">
        <f t="shared" si="915"/>
        <v>0</v>
      </c>
      <c r="M905" s="654">
        <f t="shared" si="780"/>
        <v>0</v>
      </c>
      <c r="N905" s="655">
        <f>+IF(OR($Q905=Parametres!$G$2,$Q905=Parametres!$G$3),I905,C905)</f>
        <v>0</v>
      </c>
      <c r="O905" s="655">
        <f>+IF(OR($Q905=Parametres!$G$2,$Q905=Parametres!$G$3),J905,D905)</f>
        <v>0</v>
      </c>
      <c r="P905" s="655">
        <f>+IF(OR($Q905=Parametres!$G$2,$Q905=Parametres!$G$3),K905,E905)</f>
        <v>0</v>
      </c>
      <c r="Q905" s="654">
        <f t="shared" ref="Q905:S905" si="922">+F905</f>
        <v>0</v>
      </c>
      <c r="R905" s="653">
        <f t="shared" si="922"/>
        <v>0</v>
      </c>
      <c r="S905" s="654">
        <f t="shared" si="922"/>
        <v>0</v>
      </c>
      <c r="T905" s="656" t="e">
        <f>+VLOOKUP($L905,Data_Validation!$A:$D,1,0)</f>
        <v>#N/A</v>
      </c>
      <c r="U905" s="656" t="e">
        <f>+VLOOKUP($L905,Data_Validation!$A:$D,3,0)</f>
        <v>#N/A</v>
      </c>
      <c r="V905" s="656" t="e">
        <f>+VLOOKUP($L905,Data_Validation!$A:$D,4,0)</f>
        <v>#N/A</v>
      </c>
      <c r="W905" s="656" t="e">
        <f>+VLOOKUP($L905,Data_Validation!$A:$E,5,0)</f>
        <v>#N/A</v>
      </c>
    </row>
    <row r="906" spans="1:23" ht="15.75" customHeight="1">
      <c r="A906" s="716"/>
      <c r="B906" s="654"/>
      <c r="C906" s="717"/>
      <c r="D906" s="716"/>
      <c r="E906" s="716"/>
      <c r="F906" s="716"/>
      <c r="G906" s="716"/>
      <c r="H906" s="716"/>
      <c r="I906" s="716"/>
      <c r="J906" s="716"/>
      <c r="K906" s="716"/>
      <c r="L906" s="653" t="str">
        <f t="shared" si="915"/>
        <v>0</v>
      </c>
      <c r="M906" s="654">
        <f t="shared" si="780"/>
        <v>0</v>
      </c>
      <c r="N906" s="655">
        <f>+IF(OR($Q906=Parametres!$G$2,$Q906=Parametres!$G$3),I906,C906)</f>
        <v>0</v>
      </c>
      <c r="O906" s="655">
        <f>+IF(OR($Q906=Parametres!$G$2,$Q906=Parametres!$G$3),J906,D906)</f>
        <v>0</v>
      </c>
      <c r="P906" s="655">
        <f>+IF(OR($Q906=Parametres!$G$2,$Q906=Parametres!$G$3),K906,E906)</f>
        <v>0</v>
      </c>
      <c r="Q906" s="654">
        <f t="shared" ref="Q906:S906" si="923">+F906</f>
        <v>0</v>
      </c>
      <c r="R906" s="653">
        <f t="shared" si="923"/>
        <v>0</v>
      </c>
      <c r="S906" s="654">
        <f t="shared" si="923"/>
        <v>0</v>
      </c>
      <c r="T906" s="656" t="e">
        <f>+VLOOKUP($L906,Data_Validation!$A:$D,1,0)</f>
        <v>#N/A</v>
      </c>
      <c r="U906" s="656" t="e">
        <f>+VLOOKUP($L906,Data_Validation!$A:$D,3,0)</f>
        <v>#N/A</v>
      </c>
      <c r="V906" s="656" t="e">
        <f>+VLOOKUP($L906,Data_Validation!$A:$D,4,0)</f>
        <v>#N/A</v>
      </c>
      <c r="W906" s="656" t="e">
        <f>+VLOOKUP($L906,Data_Validation!$A:$E,5,0)</f>
        <v>#N/A</v>
      </c>
    </row>
    <row r="907" spans="1:23" ht="15.75" customHeight="1">
      <c r="A907" s="716"/>
      <c r="B907" s="654"/>
      <c r="C907" s="717"/>
      <c r="D907" s="716"/>
      <c r="E907" s="716"/>
      <c r="F907" s="716"/>
      <c r="G907" s="716"/>
      <c r="H907" s="716"/>
      <c r="I907" s="716"/>
      <c r="J907" s="716"/>
      <c r="K907" s="716"/>
      <c r="L907" s="653" t="str">
        <f t="shared" si="915"/>
        <v>0</v>
      </c>
      <c r="M907" s="654">
        <f t="shared" si="780"/>
        <v>0</v>
      </c>
      <c r="N907" s="655">
        <f>+IF(OR($Q907=Parametres!$G$2,$Q907=Parametres!$G$3),I907,C907)</f>
        <v>0</v>
      </c>
      <c r="O907" s="655">
        <f>+IF(OR($Q907=Parametres!$G$2,$Q907=Parametres!$G$3),J907,D907)</f>
        <v>0</v>
      </c>
      <c r="P907" s="655">
        <f>+IF(OR($Q907=Parametres!$G$2,$Q907=Parametres!$G$3),K907,E907)</f>
        <v>0</v>
      </c>
      <c r="Q907" s="654">
        <f t="shared" ref="Q907:S907" si="924">+F907</f>
        <v>0</v>
      </c>
      <c r="R907" s="653">
        <f t="shared" si="924"/>
        <v>0</v>
      </c>
      <c r="S907" s="654">
        <f t="shared" si="924"/>
        <v>0</v>
      </c>
      <c r="T907" s="656" t="e">
        <f>+VLOOKUP($L907,Data_Validation!$A:$D,1,0)</f>
        <v>#N/A</v>
      </c>
      <c r="U907" s="656" t="e">
        <f>+VLOOKUP($L907,Data_Validation!$A:$D,3,0)</f>
        <v>#N/A</v>
      </c>
      <c r="V907" s="656" t="e">
        <f>+VLOOKUP($L907,Data_Validation!$A:$D,4,0)</f>
        <v>#N/A</v>
      </c>
      <c r="W907" s="656" t="e">
        <f>+VLOOKUP($L907,Data_Validation!$A:$E,5,0)</f>
        <v>#N/A</v>
      </c>
    </row>
    <row r="908" spans="1:23" ht="15.75" customHeight="1">
      <c r="A908" s="716"/>
      <c r="B908" s="654"/>
      <c r="C908" s="717"/>
      <c r="D908" s="716"/>
      <c r="E908" s="716"/>
      <c r="F908" s="716"/>
      <c r="G908" s="716"/>
      <c r="H908" s="716"/>
      <c r="I908" s="716"/>
      <c r="J908" s="716"/>
      <c r="K908" s="716"/>
      <c r="L908" s="653" t="str">
        <f t="shared" si="915"/>
        <v>0</v>
      </c>
      <c r="M908" s="654">
        <f t="shared" si="780"/>
        <v>0</v>
      </c>
      <c r="N908" s="655">
        <f>+IF(OR($Q908=Parametres!$G$2,$Q908=Parametres!$G$3),I908,C908)</f>
        <v>0</v>
      </c>
      <c r="O908" s="655">
        <f>+IF(OR($Q908=Parametres!$G$2,$Q908=Parametres!$G$3),J908,D908)</f>
        <v>0</v>
      </c>
      <c r="P908" s="655">
        <f>+IF(OR($Q908=Parametres!$G$2,$Q908=Parametres!$G$3),K908,E908)</f>
        <v>0</v>
      </c>
      <c r="Q908" s="654">
        <f t="shared" ref="Q908:S908" si="925">+F908</f>
        <v>0</v>
      </c>
      <c r="R908" s="653">
        <f t="shared" si="925"/>
        <v>0</v>
      </c>
      <c r="S908" s="654">
        <f t="shared" si="925"/>
        <v>0</v>
      </c>
      <c r="T908" s="656" t="e">
        <f>+VLOOKUP($L908,Data_Validation!$A:$D,1,0)</f>
        <v>#N/A</v>
      </c>
      <c r="U908" s="656" t="e">
        <f>+VLOOKUP($L908,Data_Validation!$A:$D,3,0)</f>
        <v>#N/A</v>
      </c>
      <c r="V908" s="656" t="e">
        <f>+VLOOKUP($L908,Data_Validation!$A:$D,4,0)</f>
        <v>#N/A</v>
      </c>
      <c r="W908" s="656" t="e">
        <f>+VLOOKUP($L908,Data_Validation!$A:$E,5,0)</f>
        <v>#N/A</v>
      </c>
    </row>
    <row r="909" spans="1:23" ht="15.75" customHeight="1">
      <c r="A909" s="716"/>
      <c r="B909" s="654"/>
      <c r="C909" s="717"/>
      <c r="D909" s="716"/>
      <c r="E909" s="716"/>
      <c r="F909" s="716"/>
      <c r="G909" s="716"/>
      <c r="H909" s="716"/>
      <c r="I909" s="716"/>
      <c r="J909" s="716"/>
      <c r="K909" s="716"/>
      <c r="L909" s="653" t="str">
        <f t="shared" si="915"/>
        <v>0</v>
      </c>
      <c r="M909" s="654">
        <f t="shared" si="780"/>
        <v>0</v>
      </c>
      <c r="N909" s="655">
        <f>+IF(OR($Q909=Parametres!$G$2,$Q909=Parametres!$G$3),I909,C909)</f>
        <v>0</v>
      </c>
      <c r="O909" s="655">
        <f>+IF(OR($Q909=Parametres!$G$2,$Q909=Parametres!$G$3),J909,D909)</f>
        <v>0</v>
      </c>
      <c r="P909" s="655">
        <f>+IF(OR($Q909=Parametres!$G$2,$Q909=Parametres!$G$3),K909,E909)</f>
        <v>0</v>
      </c>
      <c r="Q909" s="654">
        <f t="shared" ref="Q909:S909" si="926">+F909</f>
        <v>0</v>
      </c>
      <c r="R909" s="653">
        <f t="shared" si="926"/>
        <v>0</v>
      </c>
      <c r="S909" s="654">
        <f t="shared" si="926"/>
        <v>0</v>
      </c>
      <c r="T909" s="656" t="e">
        <f>+VLOOKUP($L909,Data_Validation!$A:$D,1,0)</f>
        <v>#N/A</v>
      </c>
      <c r="U909" s="656" t="e">
        <f>+VLOOKUP($L909,Data_Validation!$A:$D,3,0)</f>
        <v>#N/A</v>
      </c>
      <c r="V909" s="656" t="e">
        <f>+VLOOKUP($L909,Data_Validation!$A:$D,4,0)</f>
        <v>#N/A</v>
      </c>
      <c r="W909" s="656" t="e">
        <f>+VLOOKUP($L909,Data_Validation!$A:$E,5,0)</f>
        <v>#N/A</v>
      </c>
    </row>
    <row r="910" spans="1:23" ht="15.75" customHeight="1">
      <c r="A910" s="716"/>
      <c r="B910" s="654"/>
      <c r="C910" s="717"/>
      <c r="D910" s="716"/>
      <c r="E910" s="716"/>
      <c r="F910" s="716"/>
      <c r="G910" s="716"/>
      <c r="H910" s="716"/>
      <c r="I910" s="716"/>
      <c r="J910" s="716"/>
      <c r="K910" s="716"/>
      <c r="L910" s="653" t="str">
        <f t="shared" si="915"/>
        <v>0</v>
      </c>
      <c r="M910" s="654">
        <f t="shared" si="780"/>
        <v>0</v>
      </c>
      <c r="N910" s="655">
        <f>+IF(OR($Q910=Parametres!$G$2,$Q910=Parametres!$G$3),I910,C910)</f>
        <v>0</v>
      </c>
      <c r="O910" s="655">
        <f>+IF(OR($Q910=Parametres!$G$2,$Q910=Parametres!$G$3),J910,D910)</f>
        <v>0</v>
      </c>
      <c r="P910" s="655">
        <f>+IF(OR($Q910=Parametres!$G$2,$Q910=Parametres!$G$3),K910,E910)</f>
        <v>0</v>
      </c>
      <c r="Q910" s="654">
        <f t="shared" ref="Q910:S910" si="927">+F910</f>
        <v>0</v>
      </c>
      <c r="R910" s="653">
        <f t="shared" si="927"/>
        <v>0</v>
      </c>
      <c r="S910" s="654">
        <f t="shared" si="927"/>
        <v>0</v>
      </c>
      <c r="T910" s="656" t="e">
        <f>+VLOOKUP($L910,Data_Validation!$A:$D,1,0)</f>
        <v>#N/A</v>
      </c>
      <c r="U910" s="656" t="e">
        <f>+VLOOKUP($L910,Data_Validation!$A:$D,3,0)</f>
        <v>#N/A</v>
      </c>
      <c r="V910" s="656" t="e">
        <f>+VLOOKUP($L910,Data_Validation!$A:$D,4,0)</f>
        <v>#N/A</v>
      </c>
      <c r="W910" s="656" t="e">
        <f>+VLOOKUP($L910,Data_Validation!$A:$E,5,0)</f>
        <v>#N/A</v>
      </c>
    </row>
    <row r="911" spans="1:23" ht="15.75" customHeight="1">
      <c r="A911" s="716"/>
      <c r="B911" s="654"/>
      <c r="C911" s="717"/>
      <c r="D911" s="716"/>
      <c r="E911" s="716"/>
      <c r="F911" s="716"/>
      <c r="G911" s="716"/>
      <c r="H911" s="716"/>
      <c r="I911" s="716"/>
      <c r="J911" s="716"/>
      <c r="K911" s="716"/>
      <c r="L911" s="653" t="str">
        <f t="shared" si="915"/>
        <v>0</v>
      </c>
      <c r="M911" s="654">
        <f t="shared" si="780"/>
        <v>0</v>
      </c>
      <c r="N911" s="655">
        <f>+IF(OR($Q911=Parametres!$G$2,$Q911=Parametres!$G$3),I911,C911)</f>
        <v>0</v>
      </c>
      <c r="O911" s="655">
        <f>+IF(OR($Q911=Parametres!$G$2,$Q911=Parametres!$G$3),J911,D911)</f>
        <v>0</v>
      </c>
      <c r="P911" s="655">
        <f>+IF(OR($Q911=Parametres!$G$2,$Q911=Parametres!$G$3),K911,E911)</f>
        <v>0</v>
      </c>
      <c r="Q911" s="654">
        <f t="shared" ref="Q911:S911" si="928">+F911</f>
        <v>0</v>
      </c>
      <c r="R911" s="653">
        <f t="shared" si="928"/>
        <v>0</v>
      </c>
      <c r="S911" s="654">
        <f t="shared" si="928"/>
        <v>0</v>
      </c>
      <c r="T911" s="656" t="e">
        <f>+VLOOKUP($L911,Data_Validation!$A:$D,1,0)</f>
        <v>#N/A</v>
      </c>
      <c r="U911" s="656" t="e">
        <f>+VLOOKUP($L911,Data_Validation!$A:$D,3,0)</f>
        <v>#N/A</v>
      </c>
      <c r="V911" s="656" t="e">
        <f>+VLOOKUP($L911,Data_Validation!$A:$D,4,0)</f>
        <v>#N/A</v>
      </c>
      <c r="W911" s="656" t="e">
        <f>+VLOOKUP($L911,Data_Validation!$A:$E,5,0)</f>
        <v>#N/A</v>
      </c>
    </row>
    <row r="912" spans="1:23" ht="15.75" customHeight="1">
      <c r="A912" s="716"/>
      <c r="B912" s="654"/>
      <c r="C912" s="717"/>
      <c r="D912" s="716"/>
      <c r="E912" s="716"/>
      <c r="F912" s="716"/>
      <c r="G912" s="716"/>
      <c r="H912" s="716"/>
      <c r="I912" s="716"/>
      <c r="J912" s="716"/>
      <c r="K912" s="716"/>
      <c r="L912" s="653" t="str">
        <f t="shared" si="915"/>
        <v>0</v>
      </c>
      <c r="M912" s="654">
        <f t="shared" si="780"/>
        <v>0</v>
      </c>
      <c r="N912" s="655">
        <f>+IF(OR($Q912=Parametres!$G$2,$Q912=Parametres!$G$3),I912,C912)</f>
        <v>0</v>
      </c>
      <c r="O912" s="655">
        <f>+IF(OR($Q912=Parametres!$G$2,$Q912=Parametres!$G$3),J912,D912)</f>
        <v>0</v>
      </c>
      <c r="P912" s="655">
        <f>+IF(OR($Q912=Parametres!$G$2,$Q912=Parametres!$G$3),K912,E912)</f>
        <v>0</v>
      </c>
      <c r="Q912" s="654">
        <f t="shared" ref="Q912:S912" si="929">+F912</f>
        <v>0</v>
      </c>
      <c r="R912" s="653">
        <f t="shared" si="929"/>
        <v>0</v>
      </c>
      <c r="S912" s="654">
        <f t="shared" si="929"/>
        <v>0</v>
      </c>
      <c r="T912" s="656" t="e">
        <f>+VLOOKUP($L912,Data_Validation!$A:$D,1,0)</f>
        <v>#N/A</v>
      </c>
      <c r="U912" s="656" t="e">
        <f>+VLOOKUP($L912,Data_Validation!$A:$D,3,0)</f>
        <v>#N/A</v>
      </c>
      <c r="V912" s="656" t="e">
        <f>+VLOOKUP($L912,Data_Validation!$A:$D,4,0)</f>
        <v>#N/A</v>
      </c>
      <c r="W912" s="656" t="e">
        <f>+VLOOKUP($L912,Data_Validation!$A:$E,5,0)</f>
        <v>#N/A</v>
      </c>
    </row>
    <row r="913" spans="1:23" ht="15.75" customHeight="1">
      <c r="A913" s="716"/>
      <c r="B913" s="654"/>
      <c r="C913" s="717"/>
      <c r="D913" s="716"/>
      <c r="E913" s="716"/>
      <c r="F913" s="716"/>
      <c r="G913" s="716"/>
      <c r="H913" s="716"/>
      <c r="I913" s="716"/>
      <c r="J913" s="716"/>
      <c r="K913" s="716"/>
      <c r="L913" s="653" t="str">
        <f t="shared" si="915"/>
        <v>0</v>
      </c>
      <c r="M913" s="654">
        <f t="shared" si="780"/>
        <v>0</v>
      </c>
      <c r="N913" s="655">
        <f>+IF(OR($Q913=Parametres!$G$2,$Q913=Parametres!$G$3),I913,C913)</f>
        <v>0</v>
      </c>
      <c r="O913" s="655">
        <f>+IF(OR($Q913=Parametres!$G$2,$Q913=Parametres!$G$3),J913,D913)</f>
        <v>0</v>
      </c>
      <c r="P913" s="655">
        <f>+IF(OR($Q913=Parametres!$G$2,$Q913=Parametres!$G$3),K913,E913)</f>
        <v>0</v>
      </c>
      <c r="Q913" s="654">
        <f t="shared" ref="Q913:S913" si="930">+F913</f>
        <v>0</v>
      </c>
      <c r="R913" s="653">
        <f t="shared" si="930"/>
        <v>0</v>
      </c>
      <c r="S913" s="654">
        <f t="shared" si="930"/>
        <v>0</v>
      </c>
      <c r="T913" s="656" t="e">
        <f>+VLOOKUP($L913,Data_Validation!$A:$D,1,0)</f>
        <v>#N/A</v>
      </c>
      <c r="U913" s="656" t="e">
        <f>+VLOOKUP($L913,Data_Validation!$A:$D,3,0)</f>
        <v>#N/A</v>
      </c>
      <c r="V913" s="656" t="e">
        <f>+VLOOKUP($L913,Data_Validation!$A:$D,4,0)</f>
        <v>#N/A</v>
      </c>
      <c r="W913" s="656" t="e">
        <f>+VLOOKUP($L913,Data_Validation!$A:$E,5,0)</f>
        <v>#N/A</v>
      </c>
    </row>
    <row r="914" spans="1:23" ht="15.75" customHeight="1">
      <c r="A914" s="716"/>
      <c r="B914" s="654"/>
      <c r="C914" s="717"/>
      <c r="D914" s="716"/>
      <c r="E914" s="716"/>
      <c r="F914" s="716"/>
      <c r="G914" s="716"/>
      <c r="H914" s="716"/>
      <c r="I914" s="716"/>
      <c r="J914" s="716"/>
      <c r="K914" s="716"/>
      <c r="L914" s="653" t="str">
        <f t="shared" si="915"/>
        <v>0</v>
      </c>
      <c r="M914" s="654">
        <f t="shared" si="780"/>
        <v>0</v>
      </c>
      <c r="N914" s="655">
        <f>+IF(OR($Q914=Parametres!$G$2,$Q914=Parametres!$G$3),I914,C914)</f>
        <v>0</v>
      </c>
      <c r="O914" s="655">
        <f>+IF(OR($Q914=Parametres!$G$2,$Q914=Parametres!$G$3),J914,D914)</f>
        <v>0</v>
      </c>
      <c r="P914" s="655">
        <f>+IF(OR($Q914=Parametres!$G$2,$Q914=Parametres!$G$3),K914,E914)</f>
        <v>0</v>
      </c>
      <c r="Q914" s="654">
        <f t="shared" ref="Q914:S914" si="931">+F914</f>
        <v>0</v>
      </c>
      <c r="R914" s="653">
        <f t="shared" si="931"/>
        <v>0</v>
      </c>
      <c r="S914" s="654">
        <f t="shared" si="931"/>
        <v>0</v>
      </c>
      <c r="T914" s="656" t="e">
        <f>+VLOOKUP($L914,Data_Validation!$A:$D,1,0)</f>
        <v>#N/A</v>
      </c>
      <c r="U914" s="656" t="e">
        <f>+VLOOKUP($L914,Data_Validation!$A:$D,3,0)</f>
        <v>#N/A</v>
      </c>
      <c r="V914" s="656" t="e">
        <f>+VLOOKUP($L914,Data_Validation!$A:$D,4,0)</f>
        <v>#N/A</v>
      </c>
      <c r="W914" s="656" t="e">
        <f>+VLOOKUP($L914,Data_Validation!$A:$E,5,0)</f>
        <v>#N/A</v>
      </c>
    </row>
    <row r="915" spans="1:23" ht="15.75" customHeight="1">
      <c r="A915" s="716"/>
      <c r="B915" s="654"/>
      <c r="C915" s="717"/>
      <c r="D915" s="716"/>
      <c r="E915" s="716"/>
      <c r="F915" s="716"/>
      <c r="G915" s="716"/>
      <c r="H915" s="716"/>
      <c r="I915" s="716"/>
      <c r="J915" s="716"/>
      <c r="K915" s="716"/>
      <c r="L915" s="653" t="str">
        <f t="shared" si="915"/>
        <v>0</v>
      </c>
      <c r="M915" s="654">
        <f t="shared" si="780"/>
        <v>0</v>
      </c>
      <c r="N915" s="655">
        <f>+IF(OR($Q915=Parametres!$G$2,$Q915=Parametres!$G$3),I915,C915)</f>
        <v>0</v>
      </c>
      <c r="O915" s="655">
        <f>+IF(OR($Q915=Parametres!$G$2,$Q915=Parametres!$G$3),J915,D915)</f>
        <v>0</v>
      </c>
      <c r="P915" s="655">
        <f>+IF(OR($Q915=Parametres!$G$2,$Q915=Parametres!$G$3),K915,E915)</f>
        <v>0</v>
      </c>
      <c r="Q915" s="654">
        <f t="shared" ref="Q915:S915" si="932">+F915</f>
        <v>0</v>
      </c>
      <c r="R915" s="653">
        <f t="shared" si="932"/>
        <v>0</v>
      </c>
      <c r="S915" s="654">
        <f t="shared" si="932"/>
        <v>0</v>
      </c>
      <c r="T915" s="656" t="e">
        <f>+VLOOKUP($L915,Data_Validation!$A:$D,1,0)</f>
        <v>#N/A</v>
      </c>
      <c r="U915" s="656" t="e">
        <f>+VLOOKUP($L915,Data_Validation!$A:$D,3,0)</f>
        <v>#N/A</v>
      </c>
      <c r="V915" s="656" t="e">
        <f>+VLOOKUP($L915,Data_Validation!$A:$D,4,0)</f>
        <v>#N/A</v>
      </c>
      <c r="W915" s="656" t="e">
        <f>+VLOOKUP($L915,Data_Validation!$A:$E,5,0)</f>
        <v>#N/A</v>
      </c>
    </row>
    <row r="916" spans="1:23" ht="15.75" customHeight="1">
      <c r="A916" s="716"/>
      <c r="B916" s="654"/>
      <c r="C916" s="717"/>
      <c r="D916" s="716"/>
      <c r="E916" s="716"/>
      <c r="F916" s="716"/>
      <c r="G916" s="716"/>
      <c r="H916" s="716"/>
      <c r="I916" s="716"/>
      <c r="J916" s="716"/>
      <c r="K916" s="716"/>
      <c r="L916" s="653" t="str">
        <f t="shared" si="915"/>
        <v>0</v>
      </c>
      <c r="M916" s="654">
        <f t="shared" si="780"/>
        <v>0</v>
      </c>
      <c r="N916" s="655">
        <f>+IF(OR($Q916=Parametres!$G$2,$Q916=Parametres!$G$3),I916,C916)</f>
        <v>0</v>
      </c>
      <c r="O916" s="655">
        <f>+IF(OR($Q916=Parametres!$G$2,$Q916=Parametres!$G$3),J916,D916)</f>
        <v>0</v>
      </c>
      <c r="P916" s="655">
        <f>+IF(OR($Q916=Parametres!$G$2,$Q916=Parametres!$G$3),K916,E916)</f>
        <v>0</v>
      </c>
      <c r="Q916" s="654">
        <f t="shared" ref="Q916:S916" si="933">+F916</f>
        <v>0</v>
      </c>
      <c r="R916" s="653">
        <f t="shared" si="933"/>
        <v>0</v>
      </c>
      <c r="S916" s="654">
        <f t="shared" si="933"/>
        <v>0</v>
      </c>
      <c r="T916" s="656" t="e">
        <f>+VLOOKUP($L916,Data_Validation!$A:$D,1,0)</f>
        <v>#N/A</v>
      </c>
      <c r="U916" s="656" t="e">
        <f>+VLOOKUP($L916,Data_Validation!$A:$D,3,0)</f>
        <v>#N/A</v>
      </c>
      <c r="V916" s="656" t="e">
        <f>+VLOOKUP($L916,Data_Validation!$A:$D,4,0)</f>
        <v>#N/A</v>
      </c>
      <c r="W916" s="656" t="e">
        <f>+VLOOKUP($L916,Data_Validation!$A:$E,5,0)</f>
        <v>#N/A</v>
      </c>
    </row>
    <row r="917" spans="1:23" ht="15.75" customHeight="1">
      <c r="A917" s="716"/>
      <c r="B917" s="654"/>
      <c r="C917" s="717"/>
      <c r="D917" s="716"/>
      <c r="E917" s="716"/>
      <c r="F917" s="716"/>
      <c r="G917" s="716"/>
      <c r="H917" s="716"/>
      <c r="I917" s="716"/>
      <c r="J917" s="716"/>
      <c r="K917" s="716"/>
      <c r="L917" s="653" t="str">
        <f t="shared" si="915"/>
        <v>0</v>
      </c>
      <c r="M917" s="654">
        <f t="shared" si="780"/>
        <v>0</v>
      </c>
      <c r="N917" s="655">
        <f>+IF(OR($Q917=Parametres!$G$2,$Q917=Parametres!$G$3),I917,C917)</f>
        <v>0</v>
      </c>
      <c r="O917" s="655">
        <f>+IF(OR($Q917=Parametres!$G$2,$Q917=Parametres!$G$3),J917,D917)</f>
        <v>0</v>
      </c>
      <c r="P917" s="655">
        <f>+IF(OR($Q917=Parametres!$G$2,$Q917=Parametres!$G$3),K917,E917)</f>
        <v>0</v>
      </c>
      <c r="Q917" s="654">
        <f t="shared" ref="Q917:S917" si="934">+F917</f>
        <v>0</v>
      </c>
      <c r="R917" s="653">
        <f t="shared" si="934"/>
        <v>0</v>
      </c>
      <c r="S917" s="654">
        <f t="shared" si="934"/>
        <v>0</v>
      </c>
      <c r="T917" s="656" t="e">
        <f>+VLOOKUP($L917,Data_Validation!$A:$D,1,0)</f>
        <v>#N/A</v>
      </c>
      <c r="U917" s="656" t="e">
        <f>+VLOOKUP($L917,Data_Validation!$A:$D,3,0)</f>
        <v>#N/A</v>
      </c>
      <c r="V917" s="656" t="e">
        <f>+VLOOKUP($L917,Data_Validation!$A:$D,4,0)</f>
        <v>#N/A</v>
      </c>
      <c r="W917" s="656" t="e">
        <f>+VLOOKUP($L917,Data_Validation!$A:$E,5,0)</f>
        <v>#N/A</v>
      </c>
    </row>
    <row r="918" spans="1:23" ht="15.75" customHeight="1">
      <c r="A918" s="716"/>
      <c r="B918" s="654"/>
      <c r="C918" s="717"/>
      <c r="D918" s="716"/>
      <c r="E918" s="716"/>
      <c r="F918" s="716"/>
      <c r="G918" s="716"/>
      <c r="H918" s="716"/>
      <c r="I918" s="716"/>
      <c r="J918" s="716"/>
      <c r="K918" s="716"/>
      <c r="L918" s="653" t="str">
        <f t="shared" si="915"/>
        <v>0</v>
      </c>
      <c r="M918" s="654">
        <f t="shared" si="780"/>
        <v>0</v>
      </c>
      <c r="N918" s="655">
        <f>+IF(OR($Q918=Parametres!$G$2,$Q918=Parametres!$G$3),I918,C918)</f>
        <v>0</v>
      </c>
      <c r="O918" s="655">
        <f>+IF(OR($Q918=Parametres!$G$2,$Q918=Parametres!$G$3),J918,D918)</f>
        <v>0</v>
      </c>
      <c r="P918" s="655">
        <f>+IF(OR($Q918=Parametres!$G$2,$Q918=Parametres!$G$3),K918,E918)</f>
        <v>0</v>
      </c>
      <c r="Q918" s="654">
        <f t="shared" ref="Q918:S918" si="935">+F918</f>
        <v>0</v>
      </c>
      <c r="R918" s="653">
        <f t="shared" si="935"/>
        <v>0</v>
      </c>
      <c r="S918" s="654">
        <f t="shared" si="935"/>
        <v>0</v>
      </c>
      <c r="T918" s="656" t="e">
        <f>+VLOOKUP($L918,Data_Validation!$A:$D,1,0)</f>
        <v>#N/A</v>
      </c>
      <c r="U918" s="656" t="e">
        <f>+VLOOKUP($L918,Data_Validation!$A:$D,3,0)</f>
        <v>#N/A</v>
      </c>
      <c r="V918" s="656" t="e">
        <f>+VLOOKUP($L918,Data_Validation!$A:$D,4,0)</f>
        <v>#N/A</v>
      </c>
      <c r="W918" s="656" t="e">
        <f>+VLOOKUP($L918,Data_Validation!$A:$E,5,0)</f>
        <v>#N/A</v>
      </c>
    </row>
    <row r="919" spans="1:23" ht="15.75" customHeight="1">
      <c r="A919" s="716"/>
      <c r="B919" s="654"/>
      <c r="C919" s="717"/>
      <c r="D919" s="716"/>
      <c r="E919" s="716"/>
      <c r="F919" s="716"/>
      <c r="G919" s="716"/>
      <c r="H919" s="716"/>
      <c r="I919" s="716"/>
      <c r="J919" s="716"/>
      <c r="K919" s="716"/>
      <c r="L919" s="653" t="str">
        <f t="shared" si="915"/>
        <v>0</v>
      </c>
      <c r="M919" s="654">
        <f t="shared" si="780"/>
        <v>0</v>
      </c>
      <c r="N919" s="655">
        <f>+IF(OR($Q919=Parametres!$G$2,$Q919=Parametres!$G$3),I919,C919)</f>
        <v>0</v>
      </c>
      <c r="O919" s="655">
        <f>+IF(OR($Q919=Parametres!$G$2,$Q919=Parametres!$G$3),J919,D919)</f>
        <v>0</v>
      </c>
      <c r="P919" s="655">
        <f>+IF(OR($Q919=Parametres!$G$2,$Q919=Parametres!$G$3),K919,E919)</f>
        <v>0</v>
      </c>
      <c r="Q919" s="654">
        <f t="shared" ref="Q919:S919" si="936">+F919</f>
        <v>0</v>
      </c>
      <c r="R919" s="653">
        <f t="shared" si="936"/>
        <v>0</v>
      </c>
      <c r="S919" s="654">
        <f t="shared" si="936"/>
        <v>0</v>
      </c>
      <c r="T919" s="656" t="e">
        <f>+VLOOKUP($L919,Data_Validation!$A:$D,1,0)</f>
        <v>#N/A</v>
      </c>
      <c r="U919" s="656" t="e">
        <f>+VLOOKUP($L919,Data_Validation!$A:$D,3,0)</f>
        <v>#N/A</v>
      </c>
      <c r="V919" s="656" t="e">
        <f>+VLOOKUP($L919,Data_Validation!$A:$D,4,0)</f>
        <v>#N/A</v>
      </c>
      <c r="W919" s="656" t="e">
        <f>+VLOOKUP($L919,Data_Validation!$A:$E,5,0)</f>
        <v>#N/A</v>
      </c>
    </row>
    <row r="920" spans="1:23" ht="15.75" customHeight="1">
      <c r="A920" s="716"/>
      <c r="B920" s="654"/>
      <c r="C920" s="717"/>
      <c r="D920" s="716"/>
      <c r="E920" s="716"/>
      <c r="F920" s="716"/>
      <c r="G920" s="716"/>
      <c r="H920" s="716"/>
      <c r="I920" s="716"/>
      <c r="J920" s="716"/>
      <c r="K920" s="716"/>
      <c r="L920" s="653" t="str">
        <f t="shared" si="915"/>
        <v>0</v>
      </c>
      <c r="M920" s="654">
        <f t="shared" si="780"/>
        <v>0</v>
      </c>
      <c r="N920" s="655">
        <f>+IF(OR($Q920=Parametres!$G$2,$Q920=Parametres!$G$3),I920,C920)</f>
        <v>0</v>
      </c>
      <c r="O920" s="655">
        <f>+IF(OR($Q920=Parametres!$G$2,$Q920=Parametres!$G$3),J920,D920)</f>
        <v>0</v>
      </c>
      <c r="P920" s="655">
        <f>+IF(OR($Q920=Parametres!$G$2,$Q920=Parametres!$G$3),K920,E920)</f>
        <v>0</v>
      </c>
      <c r="Q920" s="654">
        <f t="shared" ref="Q920:S920" si="937">+F920</f>
        <v>0</v>
      </c>
      <c r="R920" s="653">
        <f t="shared" si="937"/>
        <v>0</v>
      </c>
      <c r="S920" s="654">
        <f t="shared" si="937"/>
        <v>0</v>
      </c>
      <c r="T920" s="656" t="e">
        <f>+VLOOKUP($L920,Data_Validation!$A:$D,1,0)</f>
        <v>#N/A</v>
      </c>
      <c r="U920" s="656" t="e">
        <f>+VLOOKUP($L920,Data_Validation!$A:$D,3,0)</f>
        <v>#N/A</v>
      </c>
      <c r="V920" s="656" t="e">
        <f>+VLOOKUP($L920,Data_Validation!$A:$D,4,0)</f>
        <v>#N/A</v>
      </c>
      <c r="W920" s="656" t="e">
        <f>+VLOOKUP($L920,Data_Validation!$A:$E,5,0)</f>
        <v>#N/A</v>
      </c>
    </row>
    <row r="921" spans="1:23" ht="15.75" customHeight="1">
      <c r="A921" s="716"/>
      <c r="B921" s="654"/>
      <c r="C921" s="717"/>
      <c r="D921" s="716"/>
      <c r="E921" s="716"/>
      <c r="F921" s="716"/>
      <c r="G921" s="716"/>
      <c r="H921" s="716"/>
      <c r="I921" s="716"/>
      <c r="J921" s="716"/>
      <c r="K921" s="716"/>
      <c r="L921" s="653" t="str">
        <f t="shared" si="915"/>
        <v>0</v>
      </c>
      <c r="M921" s="654">
        <f t="shared" si="780"/>
        <v>0</v>
      </c>
      <c r="N921" s="655">
        <f>+IF(OR($Q921=Parametres!$G$2,$Q921=Parametres!$G$3),I921,C921)</f>
        <v>0</v>
      </c>
      <c r="O921" s="655">
        <f>+IF(OR($Q921=Parametres!$G$2,$Q921=Parametres!$G$3),J921,D921)</f>
        <v>0</v>
      </c>
      <c r="P921" s="655">
        <f>+IF(OR($Q921=Parametres!$G$2,$Q921=Parametres!$G$3),K921,E921)</f>
        <v>0</v>
      </c>
      <c r="Q921" s="654">
        <f t="shared" ref="Q921:S921" si="938">+F921</f>
        <v>0</v>
      </c>
      <c r="R921" s="653">
        <f t="shared" si="938"/>
        <v>0</v>
      </c>
      <c r="S921" s="654">
        <f t="shared" si="938"/>
        <v>0</v>
      </c>
      <c r="T921" s="656" t="e">
        <f>+VLOOKUP($L921,Data_Validation!$A:$D,1,0)</f>
        <v>#N/A</v>
      </c>
      <c r="U921" s="656" t="e">
        <f>+VLOOKUP($L921,Data_Validation!$A:$D,3,0)</f>
        <v>#N/A</v>
      </c>
      <c r="V921" s="656" t="e">
        <f>+VLOOKUP($L921,Data_Validation!$A:$D,4,0)</f>
        <v>#N/A</v>
      </c>
      <c r="W921" s="656" t="e">
        <f>+VLOOKUP($L921,Data_Validation!$A:$E,5,0)</f>
        <v>#N/A</v>
      </c>
    </row>
    <row r="922" spans="1:23" ht="15.75" customHeight="1">
      <c r="A922" s="716"/>
      <c r="B922" s="654"/>
      <c r="C922" s="717"/>
      <c r="D922" s="716"/>
      <c r="E922" s="716"/>
      <c r="F922" s="716"/>
      <c r="G922" s="716"/>
      <c r="H922" s="716"/>
      <c r="I922" s="716"/>
      <c r="J922" s="716"/>
      <c r="K922" s="716"/>
      <c r="L922" s="653" t="str">
        <f t="shared" si="915"/>
        <v>0</v>
      </c>
      <c r="M922" s="654">
        <f t="shared" si="780"/>
        <v>0</v>
      </c>
      <c r="N922" s="655">
        <f>+IF(OR($Q922=Parametres!$G$2,$Q922=Parametres!$G$3),I922,C922)</f>
        <v>0</v>
      </c>
      <c r="O922" s="655">
        <f>+IF(OR($Q922=Parametres!$G$2,$Q922=Parametres!$G$3),J922,D922)</f>
        <v>0</v>
      </c>
      <c r="P922" s="655">
        <f>+IF(OR($Q922=Parametres!$G$2,$Q922=Parametres!$G$3),K922,E922)</f>
        <v>0</v>
      </c>
      <c r="Q922" s="654">
        <f t="shared" ref="Q922:S922" si="939">+F922</f>
        <v>0</v>
      </c>
      <c r="R922" s="653">
        <f t="shared" si="939"/>
        <v>0</v>
      </c>
      <c r="S922" s="654">
        <f t="shared" si="939"/>
        <v>0</v>
      </c>
      <c r="T922" s="656" t="e">
        <f>+VLOOKUP($L922,Data_Validation!$A:$D,1,0)</f>
        <v>#N/A</v>
      </c>
      <c r="U922" s="656" t="e">
        <f>+VLOOKUP($L922,Data_Validation!$A:$D,3,0)</f>
        <v>#N/A</v>
      </c>
      <c r="V922" s="656" t="e">
        <f>+VLOOKUP($L922,Data_Validation!$A:$D,4,0)</f>
        <v>#N/A</v>
      </c>
      <c r="W922" s="656" t="e">
        <f>+VLOOKUP($L922,Data_Validation!$A:$E,5,0)</f>
        <v>#N/A</v>
      </c>
    </row>
    <row r="923" spans="1:23" ht="15.75" customHeight="1">
      <c r="A923" s="716"/>
      <c r="B923" s="654"/>
      <c r="C923" s="717"/>
      <c r="D923" s="716"/>
      <c r="E923" s="716"/>
      <c r="F923" s="716"/>
      <c r="G923" s="716"/>
      <c r="H923" s="716"/>
      <c r="I923" s="716"/>
      <c r="J923" s="716"/>
      <c r="K923" s="716"/>
      <c r="L923" s="653" t="str">
        <f t="shared" si="915"/>
        <v>0</v>
      </c>
      <c r="M923" s="654">
        <f t="shared" si="780"/>
        <v>0</v>
      </c>
      <c r="N923" s="655">
        <f>+IF(OR($Q923=Parametres!$G$2,$Q923=Parametres!$G$3),I923,C923)</f>
        <v>0</v>
      </c>
      <c r="O923" s="655">
        <f>+IF(OR($Q923=Parametres!$G$2,$Q923=Parametres!$G$3),J923,D923)</f>
        <v>0</v>
      </c>
      <c r="P923" s="655">
        <f>+IF(OR($Q923=Parametres!$G$2,$Q923=Parametres!$G$3),K923,E923)</f>
        <v>0</v>
      </c>
      <c r="Q923" s="654">
        <f t="shared" ref="Q923:S923" si="940">+F923</f>
        <v>0</v>
      </c>
      <c r="R923" s="653">
        <f t="shared" si="940"/>
        <v>0</v>
      </c>
      <c r="S923" s="654">
        <f t="shared" si="940"/>
        <v>0</v>
      </c>
      <c r="T923" s="656" t="e">
        <f>+VLOOKUP($L923,Data_Validation!$A:$D,1,0)</f>
        <v>#N/A</v>
      </c>
      <c r="U923" s="656" t="e">
        <f>+VLOOKUP($L923,Data_Validation!$A:$D,3,0)</f>
        <v>#N/A</v>
      </c>
      <c r="V923" s="656" t="e">
        <f>+VLOOKUP($L923,Data_Validation!$A:$D,4,0)</f>
        <v>#N/A</v>
      </c>
      <c r="W923" s="656" t="e">
        <f>+VLOOKUP($L923,Data_Validation!$A:$E,5,0)</f>
        <v>#N/A</v>
      </c>
    </row>
    <row r="924" spans="1:23" ht="15.75" customHeight="1">
      <c r="A924" s="716"/>
      <c r="B924" s="654"/>
      <c r="C924" s="717"/>
      <c r="D924" s="716"/>
      <c r="E924" s="716"/>
      <c r="F924" s="716"/>
      <c r="G924" s="716"/>
      <c r="H924" s="716"/>
      <c r="I924" s="716"/>
      <c r="J924" s="716"/>
      <c r="K924" s="716"/>
      <c r="L924" s="653" t="str">
        <f t="shared" si="915"/>
        <v>0</v>
      </c>
      <c r="M924" s="654">
        <f t="shared" si="780"/>
        <v>0</v>
      </c>
      <c r="N924" s="655">
        <f>+IF(OR($Q924=Parametres!$G$2,$Q924=Parametres!$G$3),I924,C924)</f>
        <v>0</v>
      </c>
      <c r="O924" s="655">
        <f>+IF(OR($Q924=Parametres!$G$2,$Q924=Parametres!$G$3),J924,D924)</f>
        <v>0</v>
      </c>
      <c r="P924" s="655">
        <f>+IF(OR($Q924=Parametres!$G$2,$Q924=Parametres!$G$3),K924,E924)</f>
        <v>0</v>
      </c>
      <c r="Q924" s="654">
        <f t="shared" ref="Q924:S924" si="941">+F924</f>
        <v>0</v>
      </c>
      <c r="R924" s="653">
        <f t="shared" si="941"/>
        <v>0</v>
      </c>
      <c r="S924" s="654">
        <f t="shared" si="941"/>
        <v>0</v>
      </c>
      <c r="T924" s="656" t="e">
        <f>+VLOOKUP($L924,Data_Validation!$A:$D,1,0)</f>
        <v>#N/A</v>
      </c>
      <c r="U924" s="656" t="e">
        <f>+VLOOKUP($L924,Data_Validation!$A:$D,3,0)</f>
        <v>#N/A</v>
      </c>
      <c r="V924" s="656" t="e">
        <f>+VLOOKUP($L924,Data_Validation!$A:$D,4,0)</f>
        <v>#N/A</v>
      </c>
      <c r="W924" s="656" t="e">
        <f>+VLOOKUP($L924,Data_Validation!$A:$E,5,0)</f>
        <v>#N/A</v>
      </c>
    </row>
    <row r="925" spans="1:23" ht="15.75" customHeight="1">
      <c r="A925" s="716"/>
      <c r="B925" s="654"/>
      <c r="C925" s="717"/>
      <c r="D925" s="716"/>
      <c r="E925" s="716"/>
      <c r="F925" s="716"/>
      <c r="G925" s="716"/>
      <c r="H925" s="716"/>
      <c r="I925" s="716"/>
      <c r="J925" s="716"/>
      <c r="K925" s="716"/>
      <c r="L925" s="653" t="str">
        <f t="shared" si="915"/>
        <v>0</v>
      </c>
      <c r="M925" s="654">
        <f t="shared" si="780"/>
        <v>0</v>
      </c>
      <c r="N925" s="655">
        <f>+IF(OR($Q925=Parametres!$G$2,$Q925=Parametres!$G$3),I925,C925)</f>
        <v>0</v>
      </c>
      <c r="O925" s="655">
        <f>+IF(OR($Q925=Parametres!$G$2,$Q925=Parametres!$G$3),J925,D925)</f>
        <v>0</v>
      </c>
      <c r="P925" s="655">
        <f>+IF(OR($Q925=Parametres!$G$2,$Q925=Parametres!$G$3),K925,E925)</f>
        <v>0</v>
      </c>
      <c r="Q925" s="654">
        <f t="shared" ref="Q925:S925" si="942">+F925</f>
        <v>0</v>
      </c>
      <c r="R925" s="653">
        <f t="shared" si="942"/>
        <v>0</v>
      </c>
      <c r="S925" s="654">
        <f t="shared" si="942"/>
        <v>0</v>
      </c>
      <c r="T925" s="656" t="e">
        <f>+VLOOKUP($L925,Data_Validation!$A:$D,1,0)</f>
        <v>#N/A</v>
      </c>
      <c r="U925" s="656" t="e">
        <f>+VLOOKUP($L925,Data_Validation!$A:$D,3,0)</f>
        <v>#N/A</v>
      </c>
      <c r="V925" s="656" t="e">
        <f>+VLOOKUP($L925,Data_Validation!$A:$D,4,0)</f>
        <v>#N/A</v>
      </c>
      <c r="W925" s="656" t="e">
        <f>+VLOOKUP($L925,Data_Validation!$A:$E,5,0)</f>
        <v>#N/A</v>
      </c>
    </row>
    <row r="926" spans="1:23" ht="15.75" customHeight="1">
      <c r="A926" s="716"/>
      <c r="B926" s="654"/>
      <c r="C926" s="717"/>
      <c r="D926" s="716"/>
      <c r="E926" s="716"/>
      <c r="F926" s="716"/>
      <c r="G926" s="716"/>
      <c r="H926" s="716"/>
      <c r="I926" s="716"/>
      <c r="J926" s="716"/>
      <c r="K926" s="716"/>
      <c r="L926" s="653" t="str">
        <f t="shared" si="915"/>
        <v>0</v>
      </c>
      <c r="M926" s="654">
        <f t="shared" si="780"/>
        <v>0</v>
      </c>
      <c r="N926" s="655">
        <f>+IF(OR($Q926=Parametres!$G$2,$Q926=Parametres!$G$3),I926,C926)</f>
        <v>0</v>
      </c>
      <c r="O926" s="655">
        <f>+IF(OR($Q926=Parametres!$G$2,$Q926=Parametres!$G$3),J926,D926)</f>
        <v>0</v>
      </c>
      <c r="P926" s="655">
        <f>+IF(OR($Q926=Parametres!$G$2,$Q926=Parametres!$G$3),K926,E926)</f>
        <v>0</v>
      </c>
      <c r="Q926" s="654">
        <f t="shared" ref="Q926:S926" si="943">+F926</f>
        <v>0</v>
      </c>
      <c r="R926" s="653">
        <f t="shared" si="943"/>
        <v>0</v>
      </c>
      <c r="S926" s="654">
        <f t="shared" si="943"/>
        <v>0</v>
      </c>
      <c r="T926" s="656" t="e">
        <f>+VLOOKUP($L926,Data_Validation!$A:$D,1,0)</f>
        <v>#N/A</v>
      </c>
      <c r="U926" s="656" t="e">
        <f>+VLOOKUP($L926,Data_Validation!$A:$D,3,0)</f>
        <v>#N/A</v>
      </c>
      <c r="V926" s="656" t="e">
        <f>+VLOOKUP($L926,Data_Validation!$A:$D,4,0)</f>
        <v>#N/A</v>
      </c>
      <c r="W926" s="656" t="e">
        <f>+VLOOKUP($L926,Data_Validation!$A:$E,5,0)</f>
        <v>#N/A</v>
      </c>
    </row>
    <row r="927" spans="1:23" ht="15.75" customHeight="1">
      <c r="A927" s="716"/>
      <c r="B927" s="654"/>
      <c r="C927" s="717"/>
      <c r="D927" s="716"/>
      <c r="E927" s="716"/>
      <c r="F927" s="716"/>
      <c r="G927" s="716"/>
      <c r="H927" s="716"/>
      <c r="I927" s="716"/>
      <c r="J927" s="716"/>
      <c r="K927" s="716"/>
      <c r="L927" s="653" t="str">
        <f t="shared" si="915"/>
        <v>0</v>
      </c>
      <c r="M927" s="654">
        <f t="shared" si="780"/>
        <v>0</v>
      </c>
      <c r="N927" s="655">
        <f>+IF(OR($Q927=Parametres!$G$2,$Q927=Parametres!$G$3),I927,C927)</f>
        <v>0</v>
      </c>
      <c r="O927" s="655">
        <f>+IF(OR($Q927=Parametres!$G$2,$Q927=Parametres!$G$3),J927,D927)</f>
        <v>0</v>
      </c>
      <c r="P927" s="655">
        <f>+IF(OR($Q927=Parametres!$G$2,$Q927=Parametres!$G$3),K927,E927)</f>
        <v>0</v>
      </c>
      <c r="Q927" s="654">
        <f t="shared" ref="Q927:S927" si="944">+F927</f>
        <v>0</v>
      </c>
      <c r="R927" s="653">
        <f t="shared" si="944"/>
        <v>0</v>
      </c>
      <c r="S927" s="654">
        <f t="shared" si="944"/>
        <v>0</v>
      </c>
      <c r="T927" s="656" t="e">
        <f>+VLOOKUP($L927,Data_Validation!$A:$D,1,0)</f>
        <v>#N/A</v>
      </c>
      <c r="U927" s="656" t="e">
        <f>+VLOOKUP($L927,Data_Validation!$A:$D,3,0)</f>
        <v>#N/A</v>
      </c>
      <c r="V927" s="656" t="e">
        <f>+VLOOKUP($L927,Data_Validation!$A:$D,4,0)</f>
        <v>#N/A</v>
      </c>
      <c r="W927" s="656" t="e">
        <f>+VLOOKUP($L927,Data_Validation!$A:$E,5,0)</f>
        <v>#N/A</v>
      </c>
    </row>
    <row r="928" spans="1:23" ht="15.75" customHeight="1">
      <c r="A928" s="716"/>
      <c r="B928" s="654"/>
      <c r="C928" s="717"/>
      <c r="D928" s="716"/>
      <c r="E928" s="716"/>
      <c r="F928" s="716"/>
      <c r="G928" s="716"/>
      <c r="H928" s="716"/>
      <c r="I928" s="716"/>
      <c r="J928" s="716"/>
      <c r="K928" s="716"/>
      <c r="L928" s="653" t="str">
        <f t="shared" si="915"/>
        <v>0</v>
      </c>
      <c r="M928" s="654">
        <f t="shared" si="780"/>
        <v>0</v>
      </c>
      <c r="N928" s="655">
        <f>+IF(OR($Q928=Parametres!$G$2,$Q928=Parametres!$G$3),I928,C928)</f>
        <v>0</v>
      </c>
      <c r="O928" s="655">
        <f>+IF(OR($Q928=Parametres!$G$2,$Q928=Parametres!$G$3),J928,D928)</f>
        <v>0</v>
      </c>
      <c r="P928" s="655">
        <f>+IF(OR($Q928=Parametres!$G$2,$Q928=Parametres!$G$3),K928,E928)</f>
        <v>0</v>
      </c>
      <c r="Q928" s="654">
        <f t="shared" ref="Q928:S928" si="945">+F928</f>
        <v>0</v>
      </c>
      <c r="R928" s="653">
        <f t="shared" si="945"/>
        <v>0</v>
      </c>
      <c r="S928" s="654">
        <f t="shared" si="945"/>
        <v>0</v>
      </c>
      <c r="T928" s="656" t="e">
        <f>+VLOOKUP($L928,Data_Validation!$A:$D,1,0)</f>
        <v>#N/A</v>
      </c>
      <c r="U928" s="656" t="e">
        <f>+VLOOKUP($L928,Data_Validation!$A:$D,3,0)</f>
        <v>#N/A</v>
      </c>
      <c r="V928" s="656" t="e">
        <f>+VLOOKUP($L928,Data_Validation!$A:$D,4,0)</f>
        <v>#N/A</v>
      </c>
      <c r="W928" s="656" t="e">
        <f>+VLOOKUP($L928,Data_Validation!$A:$E,5,0)</f>
        <v>#N/A</v>
      </c>
    </row>
    <row r="929" spans="1:23" ht="15.75" customHeight="1">
      <c r="A929" s="716"/>
      <c r="B929" s="654"/>
      <c r="C929" s="717"/>
      <c r="D929" s="716"/>
      <c r="E929" s="716"/>
      <c r="F929" s="716"/>
      <c r="G929" s="716"/>
      <c r="H929" s="716"/>
      <c r="I929" s="716"/>
      <c r="J929" s="716"/>
      <c r="K929" s="716"/>
      <c r="L929" s="653" t="str">
        <f t="shared" si="915"/>
        <v>0</v>
      </c>
      <c r="M929" s="654">
        <f t="shared" si="780"/>
        <v>0</v>
      </c>
      <c r="N929" s="655">
        <f>+IF(OR($Q929=Parametres!$G$2,$Q929=Parametres!$G$3),I929,C929)</f>
        <v>0</v>
      </c>
      <c r="O929" s="655">
        <f>+IF(OR($Q929=Parametres!$G$2,$Q929=Parametres!$G$3),J929,D929)</f>
        <v>0</v>
      </c>
      <c r="P929" s="655">
        <f>+IF(OR($Q929=Parametres!$G$2,$Q929=Parametres!$G$3),K929,E929)</f>
        <v>0</v>
      </c>
      <c r="Q929" s="654">
        <f t="shared" ref="Q929:S929" si="946">+F929</f>
        <v>0</v>
      </c>
      <c r="R929" s="653">
        <f t="shared" si="946"/>
        <v>0</v>
      </c>
      <c r="S929" s="654">
        <f t="shared" si="946"/>
        <v>0</v>
      </c>
      <c r="T929" s="656" t="e">
        <f>+VLOOKUP($L929,Data_Validation!$A:$D,1,0)</f>
        <v>#N/A</v>
      </c>
      <c r="U929" s="656" t="e">
        <f>+VLOOKUP($L929,Data_Validation!$A:$D,3,0)</f>
        <v>#N/A</v>
      </c>
      <c r="V929" s="656" t="e">
        <f>+VLOOKUP($L929,Data_Validation!$A:$D,4,0)</f>
        <v>#N/A</v>
      </c>
      <c r="W929" s="656" t="e">
        <f>+VLOOKUP($L929,Data_Validation!$A:$E,5,0)</f>
        <v>#N/A</v>
      </c>
    </row>
    <row r="930" spans="1:23" ht="15.75" customHeight="1">
      <c r="A930" s="716"/>
      <c r="B930" s="654"/>
      <c r="C930" s="717"/>
      <c r="D930" s="716"/>
      <c r="E930" s="716"/>
      <c r="F930" s="716"/>
      <c r="G930" s="716"/>
      <c r="H930" s="716"/>
      <c r="I930" s="716"/>
      <c r="J930" s="716"/>
      <c r="K930" s="716"/>
      <c r="L930" s="653" t="str">
        <f t="shared" si="915"/>
        <v>0</v>
      </c>
      <c r="M930" s="654">
        <f t="shared" si="780"/>
        <v>0</v>
      </c>
      <c r="N930" s="655">
        <f>+IF(OR($Q930=Parametres!$G$2,$Q930=Parametres!$G$3),I930,C930)</f>
        <v>0</v>
      </c>
      <c r="O930" s="655">
        <f>+IF(OR($Q930=Parametres!$G$2,$Q930=Parametres!$G$3),J930,D930)</f>
        <v>0</v>
      </c>
      <c r="P930" s="655">
        <f>+IF(OR($Q930=Parametres!$G$2,$Q930=Parametres!$G$3),K930,E930)</f>
        <v>0</v>
      </c>
      <c r="Q930" s="654">
        <f t="shared" ref="Q930:S930" si="947">+F930</f>
        <v>0</v>
      </c>
      <c r="R930" s="653">
        <f t="shared" si="947"/>
        <v>0</v>
      </c>
      <c r="S930" s="654">
        <f t="shared" si="947"/>
        <v>0</v>
      </c>
      <c r="T930" s="656" t="e">
        <f>+VLOOKUP($L930,Data_Validation!$A:$D,1,0)</f>
        <v>#N/A</v>
      </c>
      <c r="U930" s="656" t="e">
        <f>+VLOOKUP($L930,Data_Validation!$A:$D,3,0)</f>
        <v>#N/A</v>
      </c>
      <c r="V930" s="656" t="e">
        <f>+VLOOKUP($L930,Data_Validation!$A:$D,4,0)</f>
        <v>#N/A</v>
      </c>
      <c r="W930" s="656" t="e">
        <f>+VLOOKUP($L930,Data_Validation!$A:$E,5,0)</f>
        <v>#N/A</v>
      </c>
    </row>
    <row r="931" spans="1:23" ht="15.75" customHeight="1">
      <c r="A931" s="716"/>
      <c r="B931" s="654"/>
      <c r="C931" s="717"/>
      <c r="D931" s="716"/>
      <c r="E931" s="716"/>
      <c r="F931" s="716"/>
      <c r="G931" s="716"/>
      <c r="H931" s="716"/>
      <c r="I931" s="716"/>
      <c r="J931" s="716"/>
      <c r="K931" s="716"/>
      <c r="L931" s="653" t="str">
        <f t="shared" si="915"/>
        <v>0</v>
      </c>
      <c r="M931" s="654">
        <f t="shared" si="780"/>
        <v>0</v>
      </c>
      <c r="N931" s="655">
        <f>+IF(OR($Q931=Parametres!$G$2,$Q931=Parametres!$G$3),I931,C931)</f>
        <v>0</v>
      </c>
      <c r="O931" s="655">
        <f>+IF(OR($Q931=Parametres!$G$2,$Q931=Parametres!$G$3),J931,D931)</f>
        <v>0</v>
      </c>
      <c r="P931" s="655">
        <f>+IF(OR($Q931=Parametres!$G$2,$Q931=Parametres!$G$3),K931,E931)</f>
        <v>0</v>
      </c>
      <c r="Q931" s="654">
        <f t="shared" ref="Q931:S931" si="948">+F931</f>
        <v>0</v>
      </c>
      <c r="R931" s="653">
        <f t="shared" si="948"/>
        <v>0</v>
      </c>
      <c r="S931" s="654">
        <f t="shared" si="948"/>
        <v>0</v>
      </c>
      <c r="T931" s="656" t="e">
        <f>+VLOOKUP($L931,Data_Validation!$A:$D,1,0)</f>
        <v>#N/A</v>
      </c>
      <c r="U931" s="656" t="e">
        <f>+VLOOKUP($L931,Data_Validation!$A:$D,3,0)</f>
        <v>#N/A</v>
      </c>
      <c r="V931" s="656" t="e">
        <f>+VLOOKUP($L931,Data_Validation!$A:$D,4,0)</f>
        <v>#N/A</v>
      </c>
      <c r="W931" s="656" t="e">
        <f>+VLOOKUP($L931,Data_Validation!$A:$E,5,0)</f>
        <v>#N/A</v>
      </c>
    </row>
    <row r="932" spans="1:23" ht="15.75" customHeight="1">
      <c r="A932" s="716"/>
      <c r="B932" s="654"/>
      <c r="C932" s="717"/>
      <c r="D932" s="716"/>
      <c r="E932" s="716"/>
      <c r="F932" s="716"/>
      <c r="G932" s="716"/>
      <c r="H932" s="716"/>
      <c r="I932" s="716"/>
      <c r="J932" s="716"/>
      <c r="K932" s="716"/>
      <c r="L932" s="653" t="str">
        <f t="shared" si="915"/>
        <v>0</v>
      </c>
      <c r="M932" s="654">
        <f t="shared" si="780"/>
        <v>0</v>
      </c>
      <c r="N932" s="655">
        <f>+IF(OR($Q932=Parametres!$G$2,$Q932=Parametres!$G$3),I932,C932)</f>
        <v>0</v>
      </c>
      <c r="O932" s="655">
        <f>+IF(OR($Q932=Parametres!$G$2,$Q932=Parametres!$G$3),J932,D932)</f>
        <v>0</v>
      </c>
      <c r="P932" s="655">
        <f>+IF(OR($Q932=Parametres!$G$2,$Q932=Parametres!$G$3),K932,E932)</f>
        <v>0</v>
      </c>
      <c r="Q932" s="654">
        <f t="shared" ref="Q932:S932" si="949">+F932</f>
        <v>0</v>
      </c>
      <c r="R932" s="653">
        <f t="shared" si="949"/>
        <v>0</v>
      </c>
      <c r="S932" s="654">
        <f t="shared" si="949"/>
        <v>0</v>
      </c>
      <c r="T932" s="656" t="e">
        <f>+VLOOKUP($L932,Data_Validation!$A:$D,1,0)</f>
        <v>#N/A</v>
      </c>
      <c r="U932" s="656" t="e">
        <f>+VLOOKUP($L932,Data_Validation!$A:$D,3,0)</f>
        <v>#N/A</v>
      </c>
      <c r="V932" s="656" t="e">
        <f>+VLOOKUP($L932,Data_Validation!$A:$D,4,0)</f>
        <v>#N/A</v>
      </c>
      <c r="W932" s="656" t="e">
        <f>+VLOOKUP($L932,Data_Validation!$A:$E,5,0)</f>
        <v>#N/A</v>
      </c>
    </row>
    <row r="933" spans="1:23" ht="15.75" customHeight="1">
      <c r="A933" s="716"/>
      <c r="B933" s="654"/>
      <c r="C933" s="717"/>
      <c r="D933" s="716"/>
      <c r="E933" s="716"/>
      <c r="F933" s="716"/>
      <c r="G933" s="716"/>
      <c r="H933" s="716"/>
      <c r="I933" s="716"/>
      <c r="J933" s="716"/>
      <c r="K933" s="716"/>
      <c r="L933" s="653" t="str">
        <f t="shared" si="915"/>
        <v>0</v>
      </c>
      <c r="M933" s="654">
        <f t="shared" si="780"/>
        <v>0</v>
      </c>
      <c r="N933" s="655">
        <f>+IF(OR($Q933=Parametres!$G$2,$Q933=Parametres!$G$3),I933,C933)</f>
        <v>0</v>
      </c>
      <c r="O933" s="655">
        <f>+IF(OR($Q933=Parametres!$G$2,$Q933=Parametres!$G$3),J933,D933)</f>
        <v>0</v>
      </c>
      <c r="P933" s="655">
        <f>+IF(OR($Q933=Parametres!$G$2,$Q933=Parametres!$G$3),K933,E933)</f>
        <v>0</v>
      </c>
      <c r="Q933" s="654">
        <f t="shared" ref="Q933:S933" si="950">+F933</f>
        <v>0</v>
      </c>
      <c r="R933" s="653">
        <f t="shared" si="950"/>
        <v>0</v>
      </c>
      <c r="S933" s="654">
        <f t="shared" si="950"/>
        <v>0</v>
      </c>
      <c r="T933" s="656" t="e">
        <f>+VLOOKUP($L933,Data_Validation!$A:$D,1,0)</f>
        <v>#N/A</v>
      </c>
      <c r="U933" s="656" t="e">
        <f>+VLOOKUP($L933,Data_Validation!$A:$D,3,0)</f>
        <v>#N/A</v>
      </c>
      <c r="V933" s="656" t="e">
        <f>+VLOOKUP($L933,Data_Validation!$A:$D,4,0)</f>
        <v>#N/A</v>
      </c>
      <c r="W933" s="656" t="e">
        <f>+VLOOKUP($L933,Data_Validation!$A:$E,5,0)</f>
        <v>#N/A</v>
      </c>
    </row>
    <row r="934" spans="1:23" ht="15.75" customHeight="1">
      <c r="A934" s="716"/>
      <c r="B934" s="654"/>
      <c r="C934" s="717"/>
      <c r="D934" s="716"/>
      <c r="E934" s="716"/>
      <c r="F934" s="716"/>
      <c r="G934" s="716"/>
      <c r="H934" s="716"/>
      <c r="I934" s="716"/>
      <c r="J934" s="716"/>
      <c r="K934" s="716"/>
      <c r="L934" s="653" t="str">
        <f t="shared" si="915"/>
        <v>0</v>
      </c>
      <c r="M934" s="654">
        <f t="shared" si="780"/>
        <v>0</v>
      </c>
      <c r="N934" s="655">
        <f>+IF(OR($Q934=Parametres!$G$2,$Q934=Parametres!$G$3),I934,C934)</f>
        <v>0</v>
      </c>
      <c r="O934" s="655">
        <f>+IF(OR($Q934=Parametres!$G$2,$Q934=Parametres!$G$3),J934,D934)</f>
        <v>0</v>
      </c>
      <c r="P934" s="655">
        <f>+IF(OR($Q934=Parametres!$G$2,$Q934=Parametres!$G$3),K934,E934)</f>
        <v>0</v>
      </c>
      <c r="Q934" s="654">
        <f t="shared" ref="Q934:S934" si="951">+F934</f>
        <v>0</v>
      </c>
      <c r="R934" s="653">
        <f t="shared" si="951"/>
        <v>0</v>
      </c>
      <c r="S934" s="654">
        <f t="shared" si="951"/>
        <v>0</v>
      </c>
      <c r="T934" s="656" t="e">
        <f>+VLOOKUP($L934,Data_Validation!$A:$D,1,0)</f>
        <v>#N/A</v>
      </c>
      <c r="U934" s="656" t="e">
        <f>+VLOOKUP($L934,Data_Validation!$A:$D,3,0)</f>
        <v>#N/A</v>
      </c>
      <c r="V934" s="656" t="e">
        <f>+VLOOKUP($L934,Data_Validation!$A:$D,4,0)</f>
        <v>#N/A</v>
      </c>
      <c r="W934" s="656" t="e">
        <f>+VLOOKUP($L934,Data_Validation!$A:$E,5,0)</f>
        <v>#N/A</v>
      </c>
    </row>
    <row r="935" spans="1:23" ht="15.75" customHeight="1">
      <c r="A935" s="716"/>
      <c r="B935" s="654"/>
      <c r="C935" s="717"/>
      <c r="D935" s="716"/>
      <c r="E935" s="716"/>
      <c r="F935" s="716"/>
      <c r="G935" s="716"/>
      <c r="H935" s="716"/>
      <c r="I935" s="716"/>
      <c r="J935" s="716"/>
      <c r="K935" s="716"/>
      <c r="L935" s="653" t="str">
        <f t="shared" si="915"/>
        <v>0</v>
      </c>
      <c r="M935" s="654">
        <f t="shared" si="780"/>
        <v>0</v>
      </c>
      <c r="N935" s="655">
        <f>+IF(OR($Q935=Parametres!$G$2,$Q935=Parametres!$G$3),I935,C935)</f>
        <v>0</v>
      </c>
      <c r="O935" s="655">
        <f>+IF(OR($Q935=Parametres!$G$2,$Q935=Parametres!$G$3),J935,D935)</f>
        <v>0</v>
      </c>
      <c r="P935" s="655">
        <f>+IF(OR($Q935=Parametres!$G$2,$Q935=Parametres!$G$3),K935,E935)</f>
        <v>0</v>
      </c>
      <c r="Q935" s="654">
        <f t="shared" ref="Q935:S935" si="952">+F935</f>
        <v>0</v>
      </c>
      <c r="R935" s="653">
        <f t="shared" si="952"/>
        <v>0</v>
      </c>
      <c r="S935" s="654">
        <f t="shared" si="952"/>
        <v>0</v>
      </c>
      <c r="T935" s="656" t="e">
        <f>+VLOOKUP($L935,Data_Validation!$A:$D,1,0)</f>
        <v>#N/A</v>
      </c>
      <c r="U935" s="656" t="e">
        <f>+VLOOKUP($L935,Data_Validation!$A:$D,3,0)</f>
        <v>#N/A</v>
      </c>
      <c r="V935" s="656" t="e">
        <f>+VLOOKUP($L935,Data_Validation!$A:$D,4,0)</f>
        <v>#N/A</v>
      </c>
      <c r="W935" s="656" t="e">
        <f>+VLOOKUP($L935,Data_Validation!$A:$E,5,0)</f>
        <v>#N/A</v>
      </c>
    </row>
    <row r="936" spans="1:23" ht="15.75" customHeight="1">
      <c r="A936" s="716"/>
      <c r="B936" s="654"/>
      <c r="C936" s="717"/>
      <c r="D936" s="716"/>
      <c r="E936" s="716"/>
      <c r="F936" s="716"/>
      <c r="G936" s="716"/>
      <c r="H936" s="716"/>
      <c r="I936" s="716"/>
      <c r="J936" s="716"/>
      <c r="K936" s="716"/>
      <c r="L936" s="653" t="str">
        <f t="shared" si="915"/>
        <v>0</v>
      </c>
      <c r="M936" s="654">
        <f t="shared" si="780"/>
        <v>0</v>
      </c>
      <c r="N936" s="655">
        <f>+IF(OR($Q936=Parametres!$G$2,$Q936=Parametres!$G$3),I936,C936)</f>
        <v>0</v>
      </c>
      <c r="O936" s="655">
        <f>+IF(OR($Q936=Parametres!$G$2,$Q936=Parametres!$G$3),J936,D936)</f>
        <v>0</v>
      </c>
      <c r="P936" s="655">
        <f>+IF(OR($Q936=Parametres!$G$2,$Q936=Parametres!$G$3),K936,E936)</f>
        <v>0</v>
      </c>
      <c r="Q936" s="654">
        <f t="shared" ref="Q936:S936" si="953">+F936</f>
        <v>0</v>
      </c>
      <c r="R936" s="653">
        <f t="shared" si="953"/>
        <v>0</v>
      </c>
      <c r="S936" s="654">
        <f t="shared" si="953"/>
        <v>0</v>
      </c>
      <c r="T936" s="656" t="e">
        <f>+VLOOKUP($L936,Data_Validation!$A:$D,1,0)</f>
        <v>#N/A</v>
      </c>
      <c r="U936" s="656" t="e">
        <f>+VLOOKUP($L936,Data_Validation!$A:$D,3,0)</f>
        <v>#N/A</v>
      </c>
      <c r="V936" s="656" t="e">
        <f>+VLOOKUP($L936,Data_Validation!$A:$D,4,0)</f>
        <v>#N/A</v>
      </c>
      <c r="W936" s="656" t="e">
        <f>+VLOOKUP($L936,Data_Validation!$A:$E,5,0)</f>
        <v>#N/A</v>
      </c>
    </row>
    <row r="937" spans="1:23" ht="15.75" customHeight="1">
      <c r="A937" s="716"/>
      <c r="B937" s="654"/>
      <c r="C937" s="717"/>
      <c r="D937" s="716"/>
      <c r="E937" s="716"/>
      <c r="F937" s="716"/>
      <c r="G937" s="716"/>
      <c r="H937" s="716"/>
      <c r="I937" s="716"/>
      <c r="J937" s="716"/>
      <c r="K937" s="716"/>
      <c r="L937" s="653" t="str">
        <f t="shared" si="915"/>
        <v>0</v>
      </c>
      <c r="M937" s="654">
        <f t="shared" si="780"/>
        <v>0</v>
      </c>
      <c r="N937" s="655">
        <f>+IF(OR($Q937=Parametres!$G$2,$Q937=Parametres!$G$3),I937,C937)</f>
        <v>0</v>
      </c>
      <c r="O937" s="655">
        <f>+IF(OR($Q937=Parametres!$G$2,$Q937=Parametres!$G$3),J937,D937)</f>
        <v>0</v>
      </c>
      <c r="P937" s="655">
        <f>+IF(OR($Q937=Parametres!$G$2,$Q937=Parametres!$G$3),K937,E937)</f>
        <v>0</v>
      </c>
      <c r="Q937" s="654">
        <f t="shared" ref="Q937:S937" si="954">+F937</f>
        <v>0</v>
      </c>
      <c r="R937" s="653">
        <f t="shared" si="954"/>
        <v>0</v>
      </c>
      <c r="S937" s="654">
        <f t="shared" si="954"/>
        <v>0</v>
      </c>
      <c r="T937" s="656" t="e">
        <f>+VLOOKUP($L937,Data_Validation!$A:$D,1,0)</f>
        <v>#N/A</v>
      </c>
      <c r="U937" s="656" t="e">
        <f>+VLOOKUP($L937,Data_Validation!$A:$D,3,0)</f>
        <v>#N/A</v>
      </c>
      <c r="V937" s="656" t="e">
        <f>+VLOOKUP($L937,Data_Validation!$A:$D,4,0)</f>
        <v>#N/A</v>
      </c>
      <c r="W937" s="656" t="e">
        <f>+VLOOKUP($L937,Data_Validation!$A:$E,5,0)</f>
        <v>#N/A</v>
      </c>
    </row>
    <row r="938" spans="1:23" ht="15.75" customHeight="1">
      <c r="A938" s="716"/>
      <c r="B938" s="654"/>
      <c r="C938" s="717"/>
      <c r="D938" s="716"/>
      <c r="E938" s="716"/>
      <c r="F938" s="716"/>
      <c r="G938" s="716"/>
      <c r="H938" s="716"/>
      <c r="I938" s="716"/>
      <c r="J938" s="716"/>
      <c r="K938" s="716"/>
      <c r="L938" s="653" t="str">
        <f t="shared" si="915"/>
        <v>0</v>
      </c>
      <c r="M938" s="654">
        <f t="shared" si="780"/>
        <v>0</v>
      </c>
      <c r="N938" s="655">
        <f>+IF(OR($Q938=Parametres!$G$2,$Q938=Parametres!$G$3),I938,C938)</f>
        <v>0</v>
      </c>
      <c r="O938" s="655">
        <f>+IF(OR($Q938=Parametres!$G$2,$Q938=Parametres!$G$3),J938,D938)</f>
        <v>0</v>
      </c>
      <c r="P938" s="655">
        <f>+IF(OR($Q938=Parametres!$G$2,$Q938=Parametres!$G$3),K938,E938)</f>
        <v>0</v>
      </c>
      <c r="Q938" s="654">
        <f t="shared" ref="Q938:S938" si="955">+F938</f>
        <v>0</v>
      </c>
      <c r="R938" s="653">
        <f t="shared" si="955"/>
        <v>0</v>
      </c>
      <c r="S938" s="654">
        <f t="shared" si="955"/>
        <v>0</v>
      </c>
      <c r="T938" s="656" t="e">
        <f>+VLOOKUP($L938,Data_Validation!$A:$D,1,0)</f>
        <v>#N/A</v>
      </c>
      <c r="U938" s="656" t="e">
        <f>+VLOOKUP($L938,Data_Validation!$A:$D,3,0)</f>
        <v>#N/A</v>
      </c>
      <c r="V938" s="656" t="e">
        <f>+VLOOKUP($L938,Data_Validation!$A:$D,4,0)</f>
        <v>#N/A</v>
      </c>
      <c r="W938" s="656" t="e">
        <f>+VLOOKUP($L938,Data_Validation!$A:$E,5,0)</f>
        <v>#N/A</v>
      </c>
    </row>
    <row r="939" spans="1:23" ht="15.75" customHeight="1">
      <c r="A939" s="716"/>
      <c r="B939" s="654"/>
      <c r="C939" s="717"/>
      <c r="D939" s="716"/>
      <c r="E939" s="716"/>
      <c r="F939" s="716"/>
      <c r="G939" s="716"/>
      <c r="H939" s="716"/>
      <c r="I939" s="716"/>
      <c r="J939" s="716"/>
      <c r="K939" s="716"/>
      <c r="L939" s="653" t="str">
        <f t="shared" si="915"/>
        <v>0</v>
      </c>
      <c r="M939" s="654">
        <f t="shared" si="780"/>
        <v>0</v>
      </c>
      <c r="N939" s="655">
        <f>+IF(OR($Q939=Parametres!$G$2,$Q939=Parametres!$G$3),I939,C939)</f>
        <v>0</v>
      </c>
      <c r="O939" s="655">
        <f>+IF(OR($Q939=Parametres!$G$2,$Q939=Parametres!$G$3),J939,D939)</f>
        <v>0</v>
      </c>
      <c r="P939" s="655">
        <f>+IF(OR($Q939=Parametres!$G$2,$Q939=Parametres!$G$3),K939,E939)</f>
        <v>0</v>
      </c>
      <c r="Q939" s="654">
        <f t="shared" ref="Q939:S939" si="956">+F939</f>
        <v>0</v>
      </c>
      <c r="R939" s="653">
        <f t="shared" si="956"/>
        <v>0</v>
      </c>
      <c r="S939" s="654">
        <f t="shared" si="956"/>
        <v>0</v>
      </c>
      <c r="T939" s="656" t="e">
        <f>+VLOOKUP($L939,Data_Validation!$A:$D,1,0)</f>
        <v>#N/A</v>
      </c>
      <c r="U939" s="656" t="e">
        <f>+VLOOKUP($L939,Data_Validation!$A:$D,3,0)</f>
        <v>#N/A</v>
      </c>
      <c r="V939" s="656" t="e">
        <f>+VLOOKUP($L939,Data_Validation!$A:$D,4,0)</f>
        <v>#N/A</v>
      </c>
      <c r="W939" s="656" t="e">
        <f>+VLOOKUP($L939,Data_Validation!$A:$E,5,0)</f>
        <v>#N/A</v>
      </c>
    </row>
    <row r="940" spans="1:23" ht="15.75" customHeight="1">
      <c r="A940" s="716"/>
      <c r="B940" s="654"/>
      <c r="C940" s="717"/>
      <c r="D940" s="716"/>
      <c r="E940" s="716"/>
      <c r="F940" s="716"/>
      <c r="G940" s="716"/>
      <c r="H940" s="716"/>
      <c r="I940" s="716"/>
      <c r="J940" s="716"/>
      <c r="K940" s="716"/>
      <c r="L940" s="653" t="str">
        <f t="shared" si="915"/>
        <v>0</v>
      </c>
      <c r="M940" s="654">
        <f t="shared" si="780"/>
        <v>0</v>
      </c>
      <c r="N940" s="655">
        <f>+IF(OR($Q940=Parametres!$G$2,$Q940=Parametres!$G$3),I940,C940)</f>
        <v>0</v>
      </c>
      <c r="O940" s="655">
        <f>+IF(OR($Q940=Parametres!$G$2,$Q940=Parametres!$G$3),J940,D940)</f>
        <v>0</v>
      </c>
      <c r="P940" s="655">
        <f>+IF(OR($Q940=Parametres!$G$2,$Q940=Parametres!$G$3),K940,E940)</f>
        <v>0</v>
      </c>
      <c r="Q940" s="654">
        <f t="shared" ref="Q940:S940" si="957">+F940</f>
        <v>0</v>
      </c>
      <c r="R940" s="653">
        <f t="shared" si="957"/>
        <v>0</v>
      </c>
      <c r="S940" s="654">
        <f t="shared" si="957"/>
        <v>0</v>
      </c>
      <c r="T940" s="656" t="e">
        <f>+VLOOKUP($L940,Data_Validation!$A:$D,1,0)</f>
        <v>#N/A</v>
      </c>
      <c r="U940" s="656" t="e">
        <f>+VLOOKUP($L940,Data_Validation!$A:$D,3,0)</f>
        <v>#N/A</v>
      </c>
      <c r="V940" s="656" t="e">
        <f>+VLOOKUP($L940,Data_Validation!$A:$D,4,0)</f>
        <v>#N/A</v>
      </c>
      <c r="W940" s="656" t="e">
        <f>+VLOOKUP($L940,Data_Validation!$A:$E,5,0)</f>
        <v>#N/A</v>
      </c>
    </row>
    <row r="941" spans="1:23" ht="15.75" customHeight="1">
      <c r="A941" s="716"/>
      <c r="B941" s="654"/>
      <c r="C941" s="717"/>
      <c r="D941" s="716"/>
      <c r="E941" s="716"/>
      <c r="F941" s="716"/>
      <c r="G941" s="716"/>
      <c r="H941" s="716"/>
      <c r="I941" s="716"/>
      <c r="J941" s="716"/>
      <c r="K941" s="716"/>
      <c r="L941" s="653" t="str">
        <f t="shared" si="915"/>
        <v>0</v>
      </c>
      <c r="M941" s="654">
        <f t="shared" si="780"/>
        <v>0</v>
      </c>
      <c r="N941" s="655">
        <f>+IF(OR($Q941=Parametres!$G$2,$Q941=Parametres!$G$3),I941,C941)</f>
        <v>0</v>
      </c>
      <c r="O941" s="655">
        <f>+IF(OR($Q941=Parametres!$G$2,$Q941=Parametres!$G$3),J941,D941)</f>
        <v>0</v>
      </c>
      <c r="P941" s="655">
        <f>+IF(OR($Q941=Parametres!$G$2,$Q941=Parametres!$G$3),K941,E941)</f>
        <v>0</v>
      </c>
      <c r="Q941" s="654">
        <f t="shared" ref="Q941:S941" si="958">+F941</f>
        <v>0</v>
      </c>
      <c r="R941" s="653">
        <f t="shared" si="958"/>
        <v>0</v>
      </c>
      <c r="S941" s="654">
        <f t="shared" si="958"/>
        <v>0</v>
      </c>
      <c r="T941" s="656" t="e">
        <f>+VLOOKUP($L941,Data_Validation!$A:$D,1,0)</f>
        <v>#N/A</v>
      </c>
      <c r="U941" s="656" t="e">
        <f>+VLOOKUP($L941,Data_Validation!$A:$D,3,0)</f>
        <v>#N/A</v>
      </c>
      <c r="V941" s="656" t="e">
        <f>+VLOOKUP($L941,Data_Validation!$A:$D,4,0)</f>
        <v>#N/A</v>
      </c>
      <c r="W941" s="656" t="e">
        <f>+VLOOKUP($L941,Data_Validation!$A:$E,5,0)</f>
        <v>#N/A</v>
      </c>
    </row>
    <row r="942" spans="1:23" ht="15.75" customHeight="1">
      <c r="A942" s="716"/>
      <c r="B942" s="654"/>
      <c r="C942" s="717"/>
      <c r="D942" s="716"/>
      <c r="E942" s="716"/>
      <c r="F942" s="716"/>
      <c r="G942" s="716"/>
      <c r="H942" s="716"/>
      <c r="I942" s="716"/>
      <c r="J942" s="716"/>
      <c r="K942" s="716"/>
      <c r="L942" s="653" t="str">
        <f t="shared" si="915"/>
        <v>0</v>
      </c>
      <c r="M942" s="654">
        <f t="shared" si="780"/>
        <v>0</v>
      </c>
      <c r="N942" s="655">
        <f>+IF(OR($Q942=Parametres!$G$2,$Q942=Parametres!$G$3),I942,C942)</f>
        <v>0</v>
      </c>
      <c r="O942" s="655">
        <f>+IF(OR($Q942=Parametres!$G$2,$Q942=Parametres!$G$3),J942,D942)</f>
        <v>0</v>
      </c>
      <c r="P942" s="655">
        <f>+IF(OR($Q942=Parametres!$G$2,$Q942=Parametres!$G$3),K942,E942)</f>
        <v>0</v>
      </c>
      <c r="Q942" s="654">
        <f t="shared" ref="Q942:S942" si="959">+F942</f>
        <v>0</v>
      </c>
      <c r="R942" s="653">
        <f t="shared" si="959"/>
        <v>0</v>
      </c>
      <c r="S942" s="654">
        <f t="shared" si="959"/>
        <v>0</v>
      </c>
      <c r="T942" s="656" t="e">
        <f>+VLOOKUP($L942,Data_Validation!$A:$D,1,0)</f>
        <v>#N/A</v>
      </c>
      <c r="U942" s="656" t="e">
        <f>+VLOOKUP($L942,Data_Validation!$A:$D,3,0)</f>
        <v>#N/A</v>
      </c>
      <c r="V942" s="656" t="e">
        <f>+VLOOKUP($L942,Data_Validation!$A:$D,4,0)</f>
        <v>#N/A</v>
      </c>
      <c r="W942" s="656" t="e">
        <f>+VLOOKUP($L942,Data_Validation!$A:$E,5,0)</f>
        <v>#N/A</v>
      </c>
    </row>
    <row r="943" spans="1:23" ht="15.75" customHeight="1">
      <c r="A943" s="716"/>
      <c r="B943" s="654"/>
      <c r="C943" s="717"/>
      <c r="D943" s="716"/>
      <c r="E943" s="716"/>
      <c r="F943" s="716"/>
      <c r="G943" s="716"/>
      <c r="H943" s="716"/>
      <c r="I943" s="716"/>
      <c r="J943" s="716"/>
      <c r="K943" s="716"/>
      <c r="L943" s="653" t="str">
        <f t="shared" si="915"/>
        <v>0</v>
      </c>
      <c r="M943" s="654">
        <f t="shared" si="780"/>
        <v>0</v>
      </c>
      <c r="N943" s="655">
        <f>+IF(OR($Q943=Parametres!$G$2,$Q943=Parametres!$G$3),I943,C943)</f>
        <v>0</v>
      </c>
      <c r="O943" s="655">
        <f>+IF(OR($Q943=Parametres!$G$2,$Q943=Parametres!$G$3),J943,D943)</f>
        <v>0</v>
      </c>
      <c r="P943" s="655">
        <f>+IF(OR($Q943=Parametres!$G$2,$Q943=Parametres!$G$3),K943,E943)</f>
        <v>0</v>
      </c>
      <c r="Q943" s="654">
        <f t="shared" ref="Q943:S943" si="960">+F943</f>
        <v>0</v>
      </c>
      <c r="R943" s="653">
        <f t="shared" si="960"/>
        <v>0</v>
      </c>
      <c r="S943" s="654">
        <f t="shared" si="960"/>
        <v>0</v>
      </c>
      <c r="T943" s="656" t="e">
        <f>+VLOOKUP($L943,Data_Validation!$A:$D,1,0)</f>
        <v>#N/A</v>
      </c>
      <c r="U943" s="656" t="e">
        <f>+VLOOKUP($L943,Data_Validation!$A:$D,3,0)</f>
        <v>#N/A</v>
      </c>
      <c r="V943" s="656" t="e">
        <f>+VLOOKUP($L943,Data_Validation!$A:$D,4,0)</f>
        <v>#N/A</v>
      </c>
      <c r="W943" s="656" t="e">
        <f>+VLOOKUP($L943,Data_Validation!$A:$E,5,0)</f>
        <v>#N/A</v>
      </c>
    </row>
    <row r="944" spans="1:23" ht="15.75" customHeight="1">
      <c r="A944" s="716"/>
      <c r="B944" s="654"/>
      <c r="C944" s="717"/>
      <c r="D944" s="716"/>
      <c r="E944" s="716"/>
      <c r="F944" s="716"/>
      <c r="G944" s="716"/>
      <c r="H944" s="716"/>
      <c r="I944" s="716"/>
      <c r="J944" s="716"/>
      <c r="K944" s="716"/>
      <c r="L944" s="653" t="str">
        <f t="shared" si="915"/>
        <v>0</v>
      </c>
      <c r="M944" s="654">
        <f t="shared" si="780"/>
        <v>0</v>
      </c>
      <c r="N944" s="655">
        <f>+IF(OR($Q944=Parametres!$G$2,$Q944=Parametres!$G$3),I944,C944)</f>
        <v>0</v>
      </c>
      <c r="O944" s="655">
        <f>+IF(OR($Q944=Parametres!$G$2,$Q944=Parametres!$G$3),J944,D944)</f>
        <v>0</v>
      </c>
      <c r="P944" s="655">
        <f>+IF(OR($Q944=Parametres!$G$2,$Q944=Parametres!$G$3),K944,E944)</f>
        <v>0</v>
      </c>
      <c r="Q944" s="654">
        <f t="shared" ref="Q944:S944" si="961">+F944</f>
        <v>0</v>
      </c>
      <c r="R944" s="653">
        <f t="shared" si="961"/>
        <v>0</v>
      </c>
      <c r="S944" s="654">
        <f t="shared" si="961"/>
        <v>0</v>
      </c>
      <c r="T944" s="656" t="e">
        <f>+VLOOKUP($L944,Data_Validation!$A:$D,1,0)</f>
        <v>#N/A</v>
      </c>
      <c r="U944" s="656" t="e">
        <f>+VLOOKUP($L944,Data_Validation!$A:$D,3,0)</f>
        <v>#N/A</v>
      </c>
      <c r="V944" s="656" t="e">
        <f>+VLOOKUP($L944,Data_Validation!$A:$D,4,0)</f>
        <v>#N/A</v>
      </c>
      <c r="W944" s="656" t="e">
        <f>+VLOOKUP($L944,Data_Validation!$A:$E,5,0)</f>
        <v>#N/A</v>
      </c>
    </row>
    <row r="945" spans="1:23" ht="15.75" customHeight="1">
      <c r="A945" s="716"/>
      <c r="B945" s="654"/>
      <c r="C945" s="717"/>
      <c r="D945" s="716"/>
      <c r="E945" s="716"/>
      <c r="F945" s="716"/>
      <c r="G945" s="716"/>
      <c r="H945" s="716"/>
      <c r="I945" s="716"/>
      <c r="J945" s="716"/>
      <c r="K945" s="716"/>
      <c r="L945" s="653" t="str">
        <f t="shared" si="915"/>
        <v>0</v>
      </c>
      <c r="M945" s="654">
        <f t="shared" si="780"/>
        <v>0</v>
      </c>
      <c r="N945" s="655">
        <f>+IF(OR($Q945=Parametres!$G$2,$Q945=Parametres!$G$3),I945,C945)</f>
        <v>0</v>
      </c>
      <c r="O945" s="655">
        <f>+IF(OR($Q945=Parametres!$G$2,$Q945=Parametres!$G$3),J945,D945)</f>
        <v>0</v>
      </c>
      <c r="P945" s="655">
        <f>+IF(OR($Q945=Parametres!$G$2,$Q945=Parametres!$G$3),K945,E945)</f>
        <v>0</v>
      </c>
      <c r="Q945" s="654">
        <f t="shared" ref="Q945:S945" si="962">+F945</f>
        <v>0</v>
      </c>
      <c r="R945" s="653">
        <f t="shared" si="962"/>
        <v>0</v>
      </c>
      <c r="S945" s="654">
        <f t="shared" si="962"/>
        <v>0</v>
      </c>
      <c r="T945" s="656" t="e">
        <f>+VLOOKUP($L945,Data_Validation!$A:$D,1,0)</f>
        <v>#N/A</v>
      </c>
      <c r="U945" s="656" t="e">
        <f>+VLOOKUP($L945,Data_Validation!$A:$D,3,0)</f>
        <v>#N/A</v>
      </c>
      <c r="V945" s="656" t="e">
        <f>+VLOOKUP($L945,Data_Validation!$A:$D,4,0)</f>
        <v>#N/A</v>
      </c>
      <c r="W945" s="656" t="e">
        <f>+VLOOKUP($L945,Data_Validation!$A:$E,5,0)</f>
        <v>#N/A</v>
      </c>
    </row>
    <row r="946" spans="1:23" ht="15.75" customHeight="1">
      <c r="A946" s="716"/>
      <c r="B946" s="654"/>
      <c r="C946" s="717"/>
      <c r="D946" s="716"/>
      <c r="E946" s="716"/>
      <c r="F946" s="716"/>
      <c r="G946" s="716"/>
      <c r="H946" s="716"/>
      <c r="I946" s="716"/>
      <c r="J946" s="716"/>
      <c r="K946" s="716"/>
      <c r="L946" s="653" t="str">
        <f t="shared" si="915"/>
        <v>0</v>
      </c>
      <c r="M946" s="654">
        <f t="shared" si="780"/>
        <v>0</v>
      </c>
      <c r="N946" s="655">
        <f>+IF(OR($Q946=Parametres!$G$2,$Q946=Parametres!$G$3),I946,C946)</f>
        <v>0</v>
      </c>
      <c r="O946" s="655">
        <f>+IF(OR($Q946=Parametres!$G$2,$Q946=Parametres!$G$3),J946,D946)</f>
        <v>0</v>
      </c>
      <c r="P946" s="655">
        <f>+IF(OR($Q946=Parametres!$G$2,$Q946=Parametres!$G$3),K946,E946)</f>
        <v>0</v>
      </c>
      <c r="Q946" s="654">
        <f t="shared" ref="Q946:S946" si="963">+F946</f>
        <v>0</v>
      </c>
      <c r="R946" s="653">
        <f t="shared" si="963"/>
        <v>0</v>
      </c>
      <c r="S946" s="654">
        <f t="shared" si="963"/>
        <v>0</v>
      </c>
      <c r="T946" s="656" t="e">
        <f>+VLOOKUP($L946,Data_Validation!$A:$D,1,0)</f>
        <v>#N/A</v>
      </c>
      <c r="U946" s="656" t="e">
        <f>+VLOOKUP($L946,Data_Validation!$A:$D,3,0)</f>
        <v>#N/A</v>
      </c>
      <c r="V946" s="656" t="e">
        <f>+VLOOKUP($L946,Data_Validation!$A:$D,4,0)</f>
        <v>#N/A</v>
      </c>
      <c r="W946" s="656" t="e">
        <f>+VLOOKUP($L946,Data_Validation!$A:$E,5,0)</f>
        <v>#N/A</v>
      </c>
    </row>
    <row r="947" spans="1:23" ht="15.75" customHeight="1">
      <c r="A947" s="716"/>
      <c r="B947" s="654"/>
      <c r="C947" s="717"/>
      <c r="D947" s="716"/>
      <c r="E947" s="716"/>
      <c r="F947" s="716"/>
      <c r="G947" s="716"/>
      <c r="H947" s="716"/>
      <c r="I947" s="716"/>
      <c r="J947" s="716"/>
      <c r="K947" s="716"/>
      <c r="L947" s="653" t="str">
        <f t="shared" si="915"/>
        <v>0</v>
      </c>
      <c r="M947" s="654">
        <f t="shared" si="780"/>
        <v>0</v>
      </c>
      <c r="N947" s="655">
        <f>+IF(OR($Q947=Parametres!$G$2,$Q947=Parametres!$G$3),I947,C947)</f>
        <v>0</v>
      </c>
      <c r="O947" s="655">
        <f>+IF(OR($Q947=Parametres!$G$2,$Q947=Parametres!$G$3),J947,D947)</f>
        <v>0</v>
      </c>
      <c r="P947" s="655">
        <f>+IF(OR($Q947=Parametres!$G$2,$Q947=Parametres!$G$3),K947,E947)</f>
        <v>0</v>
      </c>
      <c r="Q947" s="654">
        <f t="shared" ref="Q947:S947" si="964">+F947</f>
        <v>0</v>
      </c>
      <c r="R947" s="653">
        <f t="shared" si="964"/>
        <v>0</v>
      </c>
      <c r="S947" s="654">
        <f t="shared" si="964"/>
        <v>0</v>
      </c>
      <c r="T947" s="656" t="e">
        <f>+VLOOKUP($L947,Data_Validation!$A:$D,1,0)</f>
        <v>#N/A</v>
      </c>
      <c r="U947" s="656" t="e">
        <f>+VLOOKUP($L947,Data_Validation!$A:$D,3,0)</f>
        <v>#N/A</v>
      </c>
      <c r="V947" s="656" t="e">
        <f>+VLOOKUP($L947,Data_Validation!$A:$D,4,0)</f>
        <v>#N/A</v>
      </c>
      <c r="W947" s="656" t="e">
        <f>+VLOOKUP($L947,Data_Validation!$A:$E,5,0)</f>
        <v>#N/A</v>
      </c>
    </row>
    <row r="948" spans="1:23" ht="15.75" customHeight="1">
      <c r="A948" s="716"/>
      <c r="B948" s="654"/>
      <c r="C948" s="717"/>
      <c r="D948" s="716"/>
      <c r="E948" s="716"/>
      <c r="F948" s="716"/>
      <c r="G948" s="716"/>
      <c r="H948" s="716"/>
      <c r="I948" s="716"/>
      <c r="J948" s="716"/>
      <c r="K948" s="716"/>
      <c r="L948" s="653" t="str">
        <f t="shared" si="915"/>
        <v>0</v>
      </c>
      <c r="M948" s="654">
        <f t="shared" si="780"/>
        <v>0</v>
      </c>
      <c r="N948" s="655">
        <f>+IF(OR($Q948=Parametres!$G$2,$Q948=Parametres!$G$3),I948,C948)</f>
        <v>0</v>
      </c>
      <c r="O948" s="655">
        <f>+IF(OR($Q948=Parametres!$G$2,$Q948=Parametres!$G$3),J948,D948)</f>
        <v>0</v>
      </c>
      <c r="P948" s="655">
        <f>+IF(OR($Q948=Parametres!$G$2,$Q948=Parametres!$G$3),K948,E948)</f>
        <v>0</v>
      </c>
      <c r="Q948" s="654">
        <f t="shared" ref="Q948:S948" si="965">+F948</f>
        <v>0</v>
      </c>
      <c r="R948" s="653">
        <f t="shared" si="965"/>
        <v>0</v>
      </c>
      <c r="S948" s="654">
        <f t="shared" si="965"/>
        <v>0</v>
      </c>
      <c r="T948" s="656" t="e">
        <f>+VLOOKUP($L948,Data_Validation!$A:$D,1,0)</f>
        <v>#N/A</v>
      </c>
      <c r="U948" s="656" t="e">
        <f>+VLOOKUP($L948,Data_Validation!$A:$D,3,0)</f>
        <v>#N/A</v>
      </c>
      <c r="V948" s="656" t="e">
        <f>+VLOOKUP($L948,Data_Validation!$A:$D,4,0)</f>
        <v>#N/A</v>
      </c>
      <c r="W948" s="656" t="e">
        <f>+VLOOKUP($L948,Data_Validation!$A:$E,5,0)</f>
        <v>#N/A</v>
      </c>
    </row>
    <row r="949" spans="1:23" ht="15.75" customHeight="1">
      <c r="A949" s="716"/>
      <c r="B949" s="654"/>
      <c r="C949" s="717"/>
      <c r="D949" s="716"/>
      <c r="E949" s="716"/>
      <c r="F949" s="716"/>
      <c r="G949" s="716"/>
      <c r="H949" s="716"/>
      <c r="I949" s="716"/>
      <c r="J949" s="716"/>
      <c r="K949" s="716"/>
      <c r="L949" s="653" t="str">
        <f t="shared" si="915"/>
        <v>0</v>
      </c>
      <c r="M949" s="654">
        <f t="shared" si="780"/>
        <v>0</v>
      </c>
      <c r="N949" s="655">
        <f>+IF(OR($Q949=Parametres!$G$2,$Q949=Parametres!$G$3),I949,C949)</f>
        <v>0</v>
      </c>
      <c r="O949" s="655">
        <f>+IF(OR($Q949=Parametres!$G$2,$Q949=Parametres!$G$3),J949,D949)</f>
        <v>0</v>
      </c>
      <c r="P949" s="655">
        <f>+IF(OR($Q949=Parametres!$G$2,$Q949=Parametres!$G$3),K949,E949)</f>
        <v>0</v>
      </c>
      <c r="Q949" s="654">
        <f t="shared" ref="Q949:S949" si="966">+F949</f>
        <v>0</v>
      </c>
      <c r="R949" s="653">
        <f t="shared" si="966"/>
        <v>0</v>
      </c>
      <c r="S949" s="654">
        <f t="shared" si="966"/>
        <v>0</v>
      </c>
      <c r="T949" s="656" t="e">
        <f>+VLOOKUP($L949,Data_Validation!$A:$D,1,0)</f>
        <v>#N/A</v>
      </c>
      <c r="U949" s="656" t="e">
        <f>+VLOOKUP($L949,Data_Validation!$A:$D,3,0)</f>
        <v>#N/A</v>
      </c>
      <c r="V949" s="656" t="e">
        <f>+VLOOKUP($L949,Data_Validation!$A:$D,4,0)</f>
        <v>#N/A</v>
      </c>
      <c r="W949" s="656" t="e">
        <f>+VLOOKUP($L949,Data_Validation!$A:$E,5,0)</f>
        <v>#N/A</v>
      </c>
    </row>
    <row r="950" spans="1:23" ht="15.75" customHeight="1">
      <c r="A950" s="716"/>
      <c r="B950" s="654"/>
      <c r="C950" s="717"/>
      <c r="D950" s="716"/>
      <c r="E950" s="716"/>
      <c r="F950" s="716"/>
      <c r="G950" s="716"/>
      <c r="H950" s="716"/>
      <c r="I950" s="716"/>
      <c r="J950" s="716"/>
      <c r="K950" s="716"/>
      <c r="L950" s="653" t="str">
        <f t="shared" si="915"/>
        <v>0</v>
      </c>
      <c r="M950" s="654">
        <f t="shared" si="780"/>
        <v>0</v>
      </c>
      <c r="N950" s="655">
        <f>+IF(OR($Q950=Parametres!$G$2,$Q950=Parametres!$G$3),I950,C950)</f>
        <v>0</v>
      </c>
      <c r="O950" s="655">
        <f>+IF(OR($Q950=Parametres!$G$2,$Q950=Parametres!$G$3),J950,D950)</f>
        <v>0</v>
      </c>
      <c r="P950" s="655">
        <f>+IF(OR($Q950=Parametres!$G$2,$Q950=Parametres!$G$3),K950,E950)</f>
        <v>0</v>
      </c>
      <c r="Q950" s="654">
        <f t="shared" ref="Q950:S950" si="967">+F950</f>
        <v>0</v>
      </c>
      <c r="R950" s="653">
        <f t="shared" si="967"/>
        <v>0</v>
      </c>
      <c r="S950" s="654">
        <f t="shared" si="967"/>
        <v>0</v>
      </c>
      <c r="T950" s="656" t="e">
        <f>+VLOOKUP($L950,Data_Validation!$A:$D,1,0)</f>
        <v>#N/A</v>
      </c>
      <c r="U950" s="656" t="e">
        <f>+VLOOKUP($L950,Data_Validation!$A:$D,3,0)</f>
        <v>#N/A</v>
      </c>
      <c r="V950" s="656" t="e">
        <f>+VLOOKUP($L950,Data_Validation!$A:$D,4,0)</f>
        <v>#N/A</v>
      </c>
      <c r="W950" s="656" t="e">
        <f>+VLOOKUP($L950,Data_Validation!$A:$E,5,0)</f>
        <v>#N/A</v>
      </c>
    </row>
    <row r="951" spans="1:23" ht="15.75" customHeight="1">
      <c r="A951" s="716"/>
      <c r="B951" s="654"/>
      <c r="C951" s="717"/>
      <c r="D951" s="716"/>
      <c r="E951" s="716"/>
      <c r="F951" s="716"/>
      <c r="G951" s="716"/>
      <c r="H951" s="716"/>
      <c r="I951" s="716"/>
      <c r="J951" s="716"/>
      <c r="K951" s="716"/>
      <c r="L951" s="653" t="str">
        <f t="shared" si="915"/>
        <v>0</v>
      </c>
      <c r="M951" s="654">
        <f t="shared" si="780"/>
        <v>0</v>
      </c>
      <c r="N951" s="655">
        <f>+IF(OR($Q951=Parametres!$G$2,$Q951=Parametres!$G$3),I951,C951)</f>
        <v>0</v>
      </c>
      <c r="O951" s="655">
        <f>+IF(OR($Q951=Parametres!$G$2,$Q951=Parametres!$G$3),J951,D951)</f>
        <v>0</v>
      </c>
      <c r="P951" s="655">
        <f>+IF(OR($Q951=Parametres!$G$2,$Q951=Parametres!$G$3),K951,E951)</f>
        <v>0</v>
      </c>
      <c r="Q951" s="654">
        <f t="shared" ref="Q951:S951" si="968">+F951</f>
        <v>0</v>
      </c>
      <c r="R951" s="653">
        <f t="shared" si="968"/>
        <v>0</v>
      </c>
      <c r="S951" s="654">
        <f t="shared" si="968"/>
        <v>0</v>
      </c>
      <c r="T951" s="656" t="e">
        <f>+VLOOKUP($L951,Data_Validation!$A:$D,1,0)</f>
        <v>#N/A</v>
      </c>
      <c r="U951" s="656" t="e">
        <f>+VLOOKUP($L951,Data_Validation!$A:$D,3,0)</f>
        <v>#N/A</v>
      </c>
      <c r="V951" s="656" t="e">
        <f>+VLOOKUP($L951,Data_Validation!$A:$D,4,0)</f>
        <v>#N/A</v>
      </c>
      <c r="W951" s="656" t="e">
        <f>+VLOOKUP($L951,Data_Validation!$A:$E,5,0)</f>
        <v>#N/A</v>
      </c>
    </row>
    <row r="952" spans="1:23" ht="15.75" customHeight="1">
      <c r="A952" s="716"/>
      <c r="B952" s="654"/>
      <c r="C952" s="717"/>
      <c r="D952" s="716"/>
      <c r="E952" s="716"/>
      <c r="F952" s="716"/>
      <c r="G952" s="716"/>
      <c r="H952" s="716"/>
      <c r="I952" s="716"/>
      <c r="J952" s="716"/>
      <c r="K952" s="716"/>
      <c r="L952" s="653" t="str">
        <f t="shared" si="915"/>
        <v>0</v>
      </c>
      <c r="M952" s="654">
        <f t="shared" si="780"/>
        <v>0</v>
      </c>
      <c r="N952" s="655">
        <f>+IF(OR($Q952=Parametres!$G$2,$Q952=Parametres!$G$3),I952,C952)</f>
        <v>0</v>
      </c>
      <c r="O952" s="655">
        <f>+IF(OR($Q952=Parametres!$G$2,$Q952=Parametres!$G$3),J952,D952)</f>
        <v>0</v>
      </c>
      <c r="P952" s="655">
        <f>+IF(OR($Q952=Parametres!$G$2,$Q952=Parametres!$G$3),K952,E952)</f>
        <v>0</v>
      </c>
      <c r="Q952" s="654">
        <f t="shared" ref="Q952:S952" si="969">+F952</f>
        <v>0</v>
      </c>
      <c r="R952" s="653">
        <f t="shared" si="969"/>
        <v>0</v>
      </c>
      <c r="S952" s="654">
        <f t="shared" si="969"/>
        <v>0</v>
      </c>
      <c r="T952" s="656" t="e">
        <f>+VLOOKUP($L952,Data_Validation!$A:$D,1,0)</f>
        <v>#N/A</v>
      </c>
      <c r="U952" s="656" t="e">
        <f>+VLOOKUP($L952,Data_Validation!$A:$D,3,0)</f>
        <v>#N/A</v>
      </c>
      <c r="V952" s="656" t="e">
        <f>+VLOOKUP($L952,Data_Validation!$A:$D,4,0)</f>
        <v>#N/A</v>
      </c>
      <c r="W952" s="656" t="e">
        <f>+VLOOKUP($L952,Data_Validation!$A:$E,5,0)</f>
        <v>#N/A</v>
      </c>
    </row>
    <row r="953" spans="1:23" ht="15.75" customHeight="1">
      <c r="A953" s="716"/>
      <c r="B953" s="654"/>
      <c r="C953" s="717"/>
      <c r="D953" s="716"/>
      <c r="E953" s="716"/>
      <c r="F953" s="716"/>
      <c r="G953" s="716"/>
      <c r="H953" s="716"/>
      <c r="I953" s="716"/>
      <c r="J953" s="716"/>
      <c r="K953" s="716"/>
      <c r="L953" s="653" t="str">
        <f t="shared" si="915"/>
        <v>0</v>
      </c>
      <c r="M953" s="654">
        <f t="shared" si="780"/>
        <v>0</v>
      </c>
      <c r="N953" s="655">
        <f>+IF(OR($Q953=Parametres!$G$2,$Q953=Parametres!$G$3),I953,C953)</f>
        <v>0</v>
      </c>
      <c r="O953" s="655">
        <f>+IF(OR($Q953=Parametres!$G$2,$Q953=Parametres!$G$3),J953,D953)</f>
        <v>0</v>
      </c>
      <c r="P953" s="655">
        <f>+IF(OR($Q953=Parametres!$G$2,$Q953=Parametres!$G$3),K953,E953)</f>
        <v>0</v>
      </c>
      <c r="Q953" s="654">
        <f t="shared" ref="Q953:S953" si="970">+F953</f>
        <v>0</v>
      </c>
      <c r="R953" s="653">
        <f t="shared" si="970"/>
        <v>0</v>
      </c>
      <c r="S953" s="654">
        <f t="shared" si="970"/>
        <v>0</v>
      </c>
      <c r="T953" s="656" t="e">
        <f>+VLOOKUP($L953,Data_Validation!$A:$D,1,0)</f>
        <v>#N/A</v>
      </c>
      <c r="U953" s="656" t="e">
        <f>+VLOOKUP($L953,Data_Validation!$A:$D,3,0)</f>
        <v>#N/A</v>
      </c>
      <c r="V953" s="656" t="e">
        <f>+VLOOKUP($L953,Data_Validation!$A:$D,4,0)</f>
        <v>#N/A</v>
      </c>
      <c r="W953" s="656" t="e">
        <f>+VLOOKUP($L953,Data_Validation!$A:$E,5,0)</f>
        <v>#N/A</v>
      </c>
    </row>
    <row r="954" spans="1:23" ht="15.75" customHeight="1">
      <c r="A954" s="716"/>
      <c r="B954" s="654"/>
      <c r="C954" s="717"/>
      <c r="D954" s="716"/>
      <c r="E954" s="716"/>
      <c r="F954" s="716"/>
      <c r="G954" s="716"/>
      <c r="H954" s="716"/>
      <c r="I954" s="716"/>
      <c r="J954" s="716"/>
      <c r="K954" s="716"/>
      <c r="L954" s="653" t="str">
        <f t="shared" si="915"/>
        <v>0</v>
      </c>
      <c r="M954" s="654">
        <f t="shared" si="780"/>
        <v>0</v>
      </c>
      <c r="N954" s="655">
        <f>+IF(OR($Q954=Parametres!$G$2,$Q954=Parametres!$G$3),I954,C954)</f>
        <v>0</v>
      </c>
      <c r="O954" s="655">
        <f>+IF(OR($Q954=Parametres!$G$2,$Q954=Parametres!$G$3),J954,D954)</f>
        <v>0</v>
      </c>
      <c r="P954" s="655">
        <f>+IF(OR($Q954=Parametres!$G$2,$Q954=Parametres!$G$3),K954,E954)</f>
        <v>0</v>
      </c>
      <c r="Q954" s="654">
        <f t="shared" ref="Q954:S954" si="971">+F954</f>
        <v>0</v>
      </c>
      <c r="R954" s="653">
        <f t="shared" si="971"/>
        <v>0</v>
      </c>
      <c r="S954" s="654">
        <f t="shared" si="971"/>
        <v>0</v>
      </c>
      <c r="T954" s="656" t="e">
        <f>+VLOOKUP($L954,Data_Validation!$A:$D,1,0)</f>
        <v>#N/A</v>
      </c>
      <c r="U954" s="656" t="e">
        <f>+VLOOKUP($L954,Data_Validation!$A:$D,3,0)</f>
        <v>#N/A</v>
      </c>
      <c r="V954" s="656" t="e">
        <f>+VLOOKUP($L954,Data_Validation!$A:$D,4,0)</f>
        <v>#N/A</v>
      </c>
      <c r="W954" s="656" t="e">
        <f>+VLOOKUP($L954,Data_Validation!$A:$E,5,0)</f>
        <v>#N/A</v>
      </c>
    </row>
    <row r="955" spans="1:23" ht="15.75" customHeight="1">
      <c r="A955" s="716"/>
      <c r="B955" s="654"/>
      <c r="C955" s="717"/>
      <c r="D955" s="716"/>
      <c r="E955" s="716"/>
      <c r="F955" s="716"/>
      <c r="G955" s="716"/>
      <c r="H955" s="716"/>
      <c r="I955" s="716"/>
      <c r="J955" s="716"/>
      <c r="K955" s="716"/>
      <c r="L955" s="653" t="str">
        <f t="shared" si="915"/>
        <v>0</v>
      </c>
      <c r="M955" s="654">
        <f t="shared" si="780"/>
        <v>0</v>
      </c>
      <c r="N955" s="655">
        <f>+IF(OR($Q955=Parametres!$G$2,$Q955=Parametres!$G$3),I955,C955)</f>
        <v>0</v>
      </c>
      <c r="O955" s="655">
        <f>+IF(OR($Q955=Parametres!$G$2,$Q955=Parametres!$G$3),J955,D955)</f>
        <v>0</v>
      </c>
      <c r="P955" s="655">
        <f>+IF(OR($Q955=Parametres!$G$2,$Q955=Parametres!$G$3),K955,E955)</f>
        <v>0</v>
      </c>
      <c r="Q955" s="654">
        <f t="shared" ref="Q955:S955" si="972">+F955</f>
        <v>0</v>
      </c>
      <c r="R955" s="653">
        <f t="shared" si="972"/>
        <v>0</v>
      </c>
      <c r="S955" s="654">
        <f t="shared" si="972"/>
        <v>0</v>
      </c>
      <c r="T955" s="656" t="e">
        <f>+VLOOKUP($L955,Data_Validation!$A:$D,1,0)</f>
        <v>#N/A</v>
      </c>
      <c r="U955" s="656" t="e">
        <f>+VLOOKUP($L955,Data_Validation!$A:$D,3,0)</f>
        <v>#N/A</v>
      </c>
      <c r="V955" s="656" t="e">
        <f>+VLOOKUP($L955,Data_Validation!$A:$D,4,0)</f>
        <v>#N/A</v>
      </c>
      <c r="W955" s="656" t="e">
        <f>+VLOOKUP($L955,Data_Validation!$A:$E,5,0)</f>
        <v>#N/A</v>
      </c>
    </row>
    <row r="956" spans="1:23" ht="15.75" customHeight="1">
      <c r="A956" s="716"/>
      <c r="B956" s="654"/>
      <c r="C956" s="717"/>
      <c r="D956" s="716"/>
      <c r="E956" s="716"/>
      <c r="F956" s="716"/>
      <c r="G956" s="716"/>
      <c r="H956" s="716"/>
      <c r="I956" s="716"/>
      <c r="J956" s="716"/>
      <c r="K956" s="716"/>
      <c r="L956" s="653" t="str">
        <f t="shared" si="915"/>
        <v>0</v>
      </c>
      <c r="M956" s="654">
        <f t="shared" si="780"/>
        <v>0</v>
      </c>
      <c r="N956" s="655">
        <f>+IF(OR($Q956=Parametres!$G$2,$Q956=Parametres!$G$3),I956,C956)</f>
        <v>0</v>
      </c>
      <c r="O956" s="655">
        <f>+IF(OR($Q956=Parametres!$G$2,$Q956=Parametres!$G$3),J956,D956)</f>
        <v>0</v>
      </c>
      <c r="P956" s="655">
        <f>+IF(OR($Q956=Parametres!$G$2,$Q956=Parametres!$G$3),K956,E956)</f>
        <v>0</v>
      </c>
      <c r="Q956" s="654">
        <f t="shared" ref="Q956:S956" si="973">+F956</f>
        <v>0</v>
      </c>
      <c r="R956" s="653">
        <f t="shared" si="973"/>
        <v>0</v>
      </c>
      <c r="S956" s="654">
        <f t="shared" si="973"/>
        <v>0</v>
      </c>
      <c r="T956" s="656" t="e">
        <f>+VLOOKUP($L956,Data_Validation!$A:$D,1,0)</f>
        <v>#N/A</v>
      </c>
      <c r="U956" s="656" t="e">
        <f>+VLOOKUP($L956,Data_Validation!$A:$D,3,0)</f>
        <v>#N/A</v>
      </c>
      <c r="V956" s="656" t="e">
        <f>+VLOOKUP($L956,Data_Validation!$A:$D,4,0)</f>
        <v>#N/A</v>
      </c>
      <c r="W956" s="656" t="e">
        <f>+VLOOKUP($L956,Data_Validation!$A:$E,5,0)</f>
        <v>#N/A</v>
      </c>
    </row>
    <row r="957" spans="1:23" ht="15.75" customHeight="1">
      <c r="A957" s="716"/>
      <c r="B957" s="654"/>
      <c r="C957" s="717"/>
      <c r="D957" s="716"/>
      <c r="E957" s="716"/>
      <c r="F957" s="716"/>
      <c r="G957" s="716"/>
      <c r="H957" s="716"/>
      <c r="I957" s="716"/>
      <c r="J957" s="716"/>
      <c r="K957" s="716"/>
      <c r="L957" s="653" t="str">
        <f t="shared" si="915"/>
        <v>0</v>
      </c>
      <c r="M957" s="654">
        <f t="shared" si="780"/>
        <v>0</v>
      </c>
      <c r="N957" s="655">
        <f>+IF(OR($Q957=Parametres!$G$2,$Q957=Parametres!$G$3),I957,C957)</f>
        <v>0</v>
      </c>
      <c r="O957" s="655">
        <f>+IF(OR($Q957=Parametres!$G$2,$Q957=Parametres!$G$3),J957,D957)</f>
        <v>0</v>
      </c>
      <c r="P957" s="655">
        <f>+IF(OR($Q957=Parametres!$G$2,$Q957=Parametres!$G$3),K957,E957)</f>
        <v>0</v>
      </c>
      <c r="Q957" s="654">
        <f t="shared" ref="Q957:S957" si="974">+F957</f>
        <v>0</v>
      </c>
      <c r="R957" s="653">
        <f t="shared" si="974"/>
        <v>0</v>
      </c>
      <c r="S957" s="654">
        <f t="shared" si="974"/>
        <v>0</v>
      </c>
      <c r="T957" s="656" t="e">
        <f>+VLOOKUP($L957,Data_Validation!$A:$D,1,0)</f>
        <v>#N/A</v>
      </c>
      <c r="U957" s="656" t="e">
        <f>+VLOOKUP($L957,Data_Validation!$A:$D,3,0)</f>
        <v>#N/A</v>
      </c>
      <c r="V957" s="656" t="e">
        <f>+VLOOKUP($L957,Data_Validation!$A:$D,4,0)</f>
        <v>#N/A</v>
      </c>
      <c r="W957" s="656" t="e">
        <f>+VLOOKUP($L957,Data_Validation!$A:$E,5,0)</f>
        <v>#N/A</v>
      </c>
    </row>
    <row r="958" spans="1:23" ht="15.75" customHeight="1">
      <c r="A958" s="716"/>
      <c r="B958" s="654"/>
      <c r="C958" s="717"/>
      <c r="D958" s="716"/>
      <c r="E958" s="716"/>
      <c r="F958" s="716"/>
      <c r="G958" s="716"/>
      <c r="H958" s="716"/>
      <c r="I958" s="716"/>
      <c r="J958" s="716"/>
      <c r="K958" s="716"/>
      <c r="L958" s="653" t="str">
        <f t="shared" si="915"/>
        <v>0</v>
      </c>
      <c r="M958" s="654">
        <f t="shared" si="780"/>
        <v>0</v>
      </c>
      <c r="N958" s="655">
        <f>+IF(OR($Q958=Parametres!$G$2,$Q958=Parametres!$G$3),I958,C958)</f>
        <v>0</v>
      </c>
      <c r="O958" s="655">
        <f>+IF(OR($Q958=Parametres!$G$2,$Q958=Parametres!$G$3),J958,D958)</f>
        <v>0</v>
      </c>
      <c r="P958" s="655">
        <f>+IF(OR($Q958=Parametres!$G$2,$Q958=Parametres!$G$3),K958,E958)</f>
        <v>0</v>
      </c>
      <c r="Q958" s="654">
        <f t="shared" ref="Q958:S958" si="975">+F958</f>
        <v>0</v>
      </c>
      <c r="R958" s="653">
        <f t="shared" si="975"/>
        <v>0</v>
      </c>
      <c r="S958" s="654">
        <f t="shared" si="975"/>
        <v>0</v>
      </c>
      <c r="T958" s="656" t="e">
        <f>+VLOOKUP($L958,Data_Validation!$A:$D,1,0)</f>
        <v>#N/A</v>
      </c>
      <c r="U958" s="656" t="e">
        <f>+VLOOKUP($L958,Data_Validation!$A:$D,3,0)</f>
        <v>#N/A</v>
      </c>
      <c r="V958" s="656" t="e">
        <f>+VLOOKUP($L958,Data_Validation!$A:$D,4,0)</f>
        <v>#N/A</v>
      </c>
      <c r="W958" s="656" t="e">
        <f>+VLOOKUP($L958,Data_Validation!$A:$E,5,0)</f>
        <v>#N/A</v>
      </c>
    </row>
    <row r="959" spans="1:23" ht="15.75" customHeight="1">
      <c r="A959" s="716"/>
      <c r="B959" s="654"/>
      <c r="C959" s="717"/>
      <c r="D959" s="716"/>
      <c r="E959" s="716"/>
      <c r="F959" s="716"/>
      <c r="G959" s="716"/>
      <c r="H959" s="716"/>
      <c r="I959" s="716"/>
      <c r="J959" s="716"/>
      <c r="K959" s="716"/>
      <c r="L959" s="653" t="str">
        <f t="shared" si="915"/>
        <v>0</v>
      </c>
      <c r="M959" s="654">
        <f t="shared" si="780"/>
        <v>0</v>
      </c>
      <c r="N959" s="655">
        <f>+IF(OR($Q959=Parametres!$G$2,$Q959=Parametres!$G$3),I959,C959)</f>
        <v>0</v>
      </c>
      <c r="O959" s="655">
        <f>+IF(OR($Q959=Parametres!$G$2,$Q959=Parametres!$G$3),J959,D959)</f>
        <v>0</v>
      </c>
      <c r="P959" s="655">
        <f>+IF(OR($Q959=Parametres!$G$2,$Q959=Parametres!$G$3),K959,E959)</f>
        <v>0</v>
      </c>
      <c r="Q959" s="654">
        <f t="shared" ref="Q959:S959" si="976">+F959</f>
        <v>0</v>
      </c>
      <c r="R959" s="653">
        <f t="shared" si="976"/>
        <v>0</v>
      </c>
      <c r="S959" s="654">
        <f t="shared" si="976"/>
        <v>0</v>
      </c>
      <c r="T959" s="656" t="e">
        <f>+VLOOKUP($L959,Data_Validation!$A:$D,1,0)</f>
        <v>#N/A</v>
      </c>
      <c r="U959" s="656" t="e">
        <f>+VLOOKUP($L959,Data_Validation!$A:$D,3,0)</f>
        <v>#N/A</v>
      </c>
      <c r="V959" s="656" t="e">
        <f>+VLOOKUP($L959,Data_Validation!$A:$D,4,0)</f>
        <v>#N/A</v>
      </c>
      <c r="W959" s="656" t="e">
        <f>+VLOOKUP($L959,Data_Validation!$A:$E,5,0)</f>
        <v>#N/A</v>
      </c>
    </row>
    <row r="960" spans="1:23" ht="15.75" customHeight="1">
      <c r="A960" s="716"/>
      <c r="B960" s="654"/>
      <c r="C960" s="717"/>
      <c r="D960" s="716"/>
      <c r="E960" s="716"/>
      <c r="F960" s="716"/>
      <c r="G960" s="716"/>
      <c r="H960" s="716"/>
      <c r="I960" s="716"/>
      <c r="J960" s="716"/>
      <c r="K960" s="716"/>
      <c r="L960" s="653" t="str">
        <f t="shared" si="915"/>
        <v>0</v>
      </c>
      <c r="M960" s="654">
        <f t="shared" si="780"/>
        <v>0</v>
      </c>
      <c r="N960" s="655">
        <f>+IF(OR($Q960=Parametres!$G$2,$Q960=Parametres!$G$3),I960,C960)</f>
        <v>0</v>
      </c>
      <c r="O960" s="655">
        <f>+IF(OR($Q960=Parametres!$G$2,$Q960=Parametres!$G$3),J960,D960)</f>
        <v>0</v>
      </c>
      <c r="P960" s="655">
        <f>+IF(OR($Q960=Parametres!$G$2,$Q960=Parametres!$G$3),K960,E960)</f>
        <v>0</v>
      </c>
      <c r="Q960" s="654">
        <f t="shared" ref="Q960:S960" si="977">+F960</f>
        <v>0</v>
      </c>
      <c r="R960" s="653">
        <f t="shared" si="977"/>
        <v>0</v>
      </c>
      <c r="S960" s="654">
        <f t="shared" si="977"/>
        <v>0</v>
      </c>
      <c r="T960" s="656" t="e">
        <f>+VLOOKUP($L960,Data_Validation!$A:$D,1,0)</f>
        <v>#N/A</v>
      </c>
      <c r="U960" s="656" t="e">
        <f>+VLOOKUP($L960,Data_Validation!$A:$D,3,0)</f>
        <v>#N/A</v>
      </c>
      <c r="V960" s="656" t="e">
        <f>+VLOOKUP($L960,Data_Validation!$A:$D,4,0)</f>
        <v>#N/A</v>
      </c>
      <c r="W960" s="656" t="e">
        <f>+VLOOKUP($L960,Data_Validation!$A:$E,5,0)</f>
        <v>#N/A</v>
      </c>
    </row>
    <row r="961" spans="1:23" ht="15.75" customHeight="1">
      <c r="A961" s="716"/>
      <c r="B961" s="654"/>
      <c r="C961" s="717"/>
      <c r="D961" s="716"/>
      <c r="E961" s="716"/>
      <c r="F961" s="716"/>
      <c r="G961" s="716"/>
      <c r="H961" s="716"/>
      <c r="I961" s="716"/>
      <c r="J961" s="716"/>
      <c r="K961" s="716"/>
      <c r="L961" s="653" t="str">
        <f t="shared" si="915"/>
        <v>0</v>
      </c>
      <c r="M961" s="654">
        <f t="shared" si="780"/>
        <v>0</v>
      </c>
      <c r="N961" s="655">
        <f>+IF(OR($Q961=Parametres!$G$2,$Q961=Parametres!$G$3),I961,C961)</f>
        <v>0</v>
      </c>
      <c r="O961" s="655">
        <f>+IF(OR($Q961=Parametres!$G$2,$Q961=Parametres!$G$3),J961,D961)</f>
        <v>0</v>
      </c>
      <c r="P961" s="655">
        <f>+IF(OR($Q961=Parametres!$G$2,$Q961=Parametres!$G$3),K961,E961)</f>
        <v>0</v>
      </c>
      <c r="Q961" s="654">
        <f t="shared" ref="Q961:S961" si="978">+F961</f>
        <v>0</v>
      </c>
      <c r="R961" s="653">
        <f t="shared" si="978"/>
        <v>0</v>
      </c>
      <c r="S961" s="654">
        <f t="shared" si="978"/>
        <v>0</v>
      </c>
      <c r="T961" s="656" t="e">
        <f>+VLOOKUP($L961,Data_Validation!$A:$D,1,0)</f>
        <v>#N/A</v>
      </c>
      <c r="U961" s="656" t="e">
        <f>+VLOOKUP($L961,Data_Validation!$A:$D,3,0)</f>
        <v>#N/A</v>
      </c>
      <c r="V961" s="656" t="e">
        <f>+VLOOKUP($L961,Data_Validation!$A:$D,4,0)</f>
        <v>#N/A</v>
      </c>
      <c r="W961" s="656" t="e">
        <f>+VLOOKUP($L961,Data_Validation!$A:$E,5,0)</f>
        <v>#N/A</v>
      </c>
    </row>
    <row r="962" spans="1:23" ht="15.75" customHeight="1">
      <c r="A962" s="716"/>
      <c r="B962" s="654"/>
      <c r="C962" s="717"/>
      <c r="D962" s="716"/>
      <c r="E962" s="716"/>
      <c r="F962" s="716"/>
      <c r="G962" s="716"/>
      <c r="H962" s="716"/>
      <c r="I962" s="716"/>
      <c r="J962" s="716"/>
      <c r="K962" s="716"/>
      <c r="L962" s="653" t="str">
        <f t="shared" si="915"/>
        <v>0</v>
      </c>
      <c r="M962" s="654">
        <f t="shared" si="780"/>
        <v>0</v>
      </c>
      <c r="N962" s="655">
        <f>+IF(OR($Q962=Parametres!$G$2,$Q962=Parametres!$G$3),I962,C962)</f>
        <v>0</v>
      </c>
      <c r="O962" s="655">
        <f>+IF(OR($Q962=Parametres!$G$2,$Q962=Parametres!$G$3),J962,D962)</f>
        <v>0</v>
      </c>
      <c r="P962" s="655">
        <f>+IF(OR($Q962=Parametres!$G$2,$Q962=Parametres!$G$3),K962,E962)</f>
        <v>0</v>
      </c>
      <c r="Q962" s="654">
        <f t="shared" ref="Q962:S962" si="979">+F962</f>
        <v>0</v>
      </c>
      <c r="R962" s="653">
        <f t="shared" si="979"/>
        <v>0</v>
      </c>
      <c r="S962" s="654">
        <f t="shared" si="979"/>
        <v>0</v>
      </c>
      <c r="T962" s="656" t="e">
        <f>+VLOOKUP($L962,Data_Validation!$A:$D,1,0)</f>
        <v>#N/A</v>
      </c>
      <c r="U962" s="656" t="e">
        <f>+VLOOKUP($L962,Data_Validation!$A:$D,3,0)</f>
        <v>#N/A</v>
      </c>
      <c r="V962" s="656" t="e">
        <f>+VLOOKUP($L962,Data_Validation!$A:$D,4,0)</f>
        <v>#N/A</v>
      </c>
      <c r="W962" s="656" t="e">
        <f>+VLOOKUP($L962,Data_Validation!$A:$E,5,0)</f>
        <v>#N/A</v>
      </c>
    </row>
    <row r="963" spans="1:23" ht="15.75" customHeight="1">
      <c r="A963" s="716"/>
      <c r="B963" s="654"/>
      <c r="C963" s="717"/>
      <c r="D963" s="716"/>
      <c r="E963" s="716"/>
      <c r="F963" s="716"/>
      <c r="G963" s="716"/>
      <c r="H963" s="716"/>
      <c r="I963" s="716"/>
      <c r="J963" s="716"/>
      <c r="K963" s="716"/>
      <c r="L963" s="653" t="str">
        <f t="shared" ref="L963:L1026" si="980">TEXT(B963,0)</f>
        <v>0</v>
      </c>
      <c r="M963" s="654">
        <f t="shared" si="780"/>
        <v>0</v>
      </c>
      <c r="N963" s="655">
        <f>+IF(OR($Q963=Parametres!$G$2,$Q963=Parametres!$G$3),I963,C963)</f>
        <v>0</v>
      </c>
      <c r="O963" s="655">
        <f>+IF(OR($Q963=Parametres!$G$2,$Q963=Parametres!$G$3),J963,D963)</f>
        <v>0</v>
      </c>
      <c r="P963" s="655">
        <f>+IF(OR($Q963=Parametres!$G$2,$Q963=Parametres!$G$3),K963,E963)</f>
        <v>0</v>
      </c>
      <c r="Q963" s="654">
        <f t="shared" ref="Q963:S963" si="981">+F963</f>
        <v>0</v>
      </c>
      <c r="R963" s="653">
        <f t="shared" si="981"/>
        <v>0</v>
      </c>
      <c r="S963" s="654">
        <f t="shared" si="981"/>
        <v>0</v>
      </c>
      <c r="T963" s="656" t="e">
        <f>+VLOOKUP($L963,Data_Validation!$A:$D,1,0)</f>
        <v>#N/A</v>
      </c>
      <c r="U963" s="656" t="e">
        <f>+VLOOKUP($L963,Data_Validation!$A:$D,3,0)</f>
        <v>#N/A</v>
      </c>
      <c r="V963" s="656" t="e">
        <f>+VLOOKUP($L963,Data_Validation!$A:$D,4,0)</f>
        <v>#N/A</v>
      </c>
      <c r="W963" s="656" t="e">
        <f>+VLOOKUP($L963,Data_Validation!$A:$E,5,0)</f>
        <v>#N/A</v>
      </c>
    </row>
    <row r="964" spans="1:23" ht="15.75" customHeight="1">
      <c r="A964" s="716"/>
      <c r="B964" s="654"/>
      <c r="C964" s="717"/>
      <c r="D964" s="716"/>
      <c r="E964" s="716"/>
      <c r="F964" s="716"/>
      <c r="G964" s="716"/>
      <c r="H964" s="716"/>
      <c r="I964" s="716"/>
      <c r="J964" s="716"/>
      <c r="K964" s="716"/>
      <c r="L964" s="653" t="str">
        <f t="shared" si="980"/>
        <v>0</v>
      </c>
      <c r="M964" s="654">
        <f t="shared" si="780"/>
        <v>0</v>
      </c>
      <c r="N964" s="655">
        <f>+IF(OR($Q964=Parametres!$G$2,$Q964=Parametres!$G$3),I964,C964)</f>
        <v>0</v>
      </c>
      <c r="O964" s="655">
        <f>+IF(OR($Q964=Parametres!$G$2,$Q964=Parametres!$G$3),J964,D964)</f>
        <v>0</v>
      </c>
      <c r="P964" s="655">
        <f>+IF(OR($Q964=Parametres!$G$2,$Q964=Parametres!$G$3),K964,E964)</f>
        <v>0</v>
      </c>
      <c r="Q964" s="654">
        <f t="shared" ref="Q964:S964" si="982">+F964</f>
        <v>0</v>
      </c>
      <c r="R964" s="653">
        <f t="shared" si="982"/>
        <v>0</v>
      </c>
      <c r="S964" s="654">
        <f t="shared" si="982"/>
        <v>0</v>
      </c>
      <c r="T964" s="656" t="e">
        <f>+VLOOKUP($L964,Data_Validation!$A:$D,1,0)</f>
        <v>#N/A</v>
      </c>
      <c r="U964" s="656" t="e">
        <f>+VLOOKUP($L964,Data_Validation!$A:$D,3,0)</f>
        <v>#N/A</v>
      </c>
      <c r="V964" s="656" t="e">
        <f>+VLOOKUP($L964,Data_Validation!$A:$D,4,0)</f>
        <v>#N/A</v>
      </c>
      <c r="W964" s="656" t="e">
        <f>+VLOOKUP($L964,Data_Validation!$A:$E,5,0)</f>
        <v>#N/A</v>
      </c>
    </row>
    <row r="965" spans="1:23" ht="15.75" customHeight="1">
      <c r="A965" s="716"/>
      <c r="B965" s="654"/>
      <c r="C965" s="717"/>
      <c r="D965" s="716"/>
      <c r="E965" s="716"/>
      <c r="F965" s="716"/>
      <c r="G965" s="716"/>
      <c r="H965" s="716"/>
      <c r="I965" s="716"/>
      <c r="J965" s="716"/>
      <c r="K965" s="716"/>
      <c r="L965" s="653" t="str">
        <f t="shared" si="980"/>
        <v>0</v>
      </c>
      <c r="M965" s="654">
        <f t="shared" si="780"/>
        <v>0</v>
      </c>
      <c r="N965" s="655">
        <f>+IF(OR($Q965=Parametres!$G$2,$Q965=Parametres!$G$3),I965,C965)</f>
        <v>0</v>
      </c>
      <c r="O965" s="655">
        <f>+IF(OR($Q965=Parametres!$G$2,$Q965=Parametres!$G$3),J965,D965)</f>
        <v>0</v>
      </c>
      <c r="P965" s="655">
        <f>+IF(OR($Q965=Parametres!$G$2,$Q965=Parametres!$G$3),K965,E965)</f>
        <v>0</v>
      </c>
      <c r="Q965" s="654">
        <f t="shared" ref="Q965:S965" si="983">+F965</f>
        <v>0</v>
      </c>
      <c r="R965" s="653">
        <f t="shared" si="983"/>
        <v>0</v>
      </c>
      <c r="S965" s="654">
        <f t="shared" si="983"/>
        <v>0</v>
      </c>
      <c r="T965" s="656" t="e">
        <f>+VLOOKUP($L965,Data_Validation!$A:$D,1,0)</f>
        <v>#N/A</v>
      </c>
      <c r="U965" s="656" t="e">
        <f>+VLOOKUP($L965,Data_Validation!$A:$D,3,0)</f>
        <v>#N/A</v>
      </c>
      <c r="V965" s="656" t="e">
        <f>+VLOOKUP($L965,Data_Validation!$A:$D,4,0)</f>
        <v>#N/A</v>
      </c>
      <c r="W965" s="656" t="e">
        <f>+VLOOKUP($L965,Data_Validation!$A:$E,5,0)</f>
        <v>#N/A</v>
      </c>
    </row>
    <row r="966" spans="1:23" ht="15.75" customHeight="1">
      <c r="A966" s="716"/>
      <c r="B966" s="654"/>
      <c r="C966" s="717"/>
      <c r="D966" s="716"/>
      <c r="E966" s="716"/>
      <c r="F966" s="716"/>
      <c r="G966" s="716"/>
      <c r="H966" s="716"/>
      <c r="I966" s="716"/>
      <c r="J966" s="716"/>
      <c r="K966" s="716"/>
      <c r="L966" s="653" t="str">
        <f t="shared" si="980"/>
        <v>0</v>
      </c>
      <c r="M966" s="654">
        <f t="shared" si="780"/>
        <v>0</v>
      </c>
      <c r="N966" s="655">
        <f>+IF(OR($Q966=Parametres!$G$2,$Q966=Parametres!$G$3),I966,C966)</f>
        <v>0</v>
      </c>
      <c r="O966" s="655">
        <f>+IF(OR($Q966=Parametres!$G$2,$Q966=Parametres!$G$3),J966,D966)</f>
        <v>0</v>
      </c>
      <c r="P966" s="655">
        <f>+IF(OR($Q966=Parametres!$G$2,$Q966=Parametres!$G$3),K966,E966)</f>
        <v>0</v>
      </c>
      <c r="Q966" s="654">
        <f t="shared" ref="Q966:S966" si="984">+F966</f>
        <v>0</v>
      </c>
      <c r="R966" s="653">
        <f t="shared" si="984"/>
        <v>0</v>
      </c>
      <c r="S966" s="654">
        <f t="shared" si="984"/>
        <v>0</v>
      </c>
      <c r="T966" s="656" t="e">
        <f>+VLOOKUP($L966,Data_Validation!$A:$D,1,0)</f>
        <v>#N/A</v>
      </c>
      <c r="U966" s="656" t="e">
        <f>+VLOOKUP($L966,Data_Validation!$A:$D,3,0)</f>
        <v>#N/A</v>
      </c>
      <c r="V966" s="656" t="e">
        <f>+VLOOKUP($L966,Data_Validation!$A:$D,4,0)</f>
        <v>#N/A</v>
      </c>
      <c r="W966" s="656" t="e">
        <f>+VLOOKUP($L966,Data_Validation!$A:$E,5,0)</f>
        <v>#N/A</v>
      </c>
    </row>
    <row r="967" spans="1:23" ht="15.75" customHeight="1">
      <c r="A967" s="716"/>
      <c r="B967" s="654"/>
      <c r="C967" s="717"/>
      <c r="D967" s="716"/>
      <c r="E967" s="716"/>
      <c r="F967" s="716"/>
      <c r="G967" s="716"/>
      <c r="H967" s="716"/>
      <c r="I967" s="716"/>
      <c r="J967" s="716"/>
      <c r="K967" s="716"/>
      <c r="L967" s="653" t="str">
        <f t="shared" si="980"/>
        <v>0</v>
      </c>
      <c r="M967" s="654">
        <f t="shared" si="780"/>
        <v>0</v>
      </c>
      <c r="N967" s="655">
        <f>+IF(OR($Q967=Parametres!$G$2,$Q967=Parametres!$G$3),I967,C967)</f>
        <v>0</v>
      </c>
      <c r="O967" s="655">
        <f>+IF(OR($Q967=Parametres!$G$2,$Q967=Parametres!$G$3),J967,D967)</f>
        <v>0</v>
      </c>
      <c r="P967" s="655">
        <f>+IF(OR($Q967=Parametres!$G$2,$Q967=Parametres!$G$3),K967,E967)</f>
        <v>0</v>
      </c>
      <c r="Q967" s="654">
        <f t="shared" ref="Q967:S967" si="985">+F967</f>
        <v>0</v>
      </c>
      <c r="R967" s="653">
        <f t="shared" si="985"/>
        <v>0</v>
      </c>
      <c r="S967" s="654">
        <f t="shared" si="985"/>
        <v>0</v>
      </c>
      <c r="T967" s="656" t="e">
        <f>+VLOOKUP($L967,Data_Validation!$A:$D,1,0)</f>
        <v>#N/A</v>
      </c>
      <c r="U967" s="656" t="e">
        <f>+VLOOKUP($L967,Data_Validation!$A:$D,3,0)</f>
        <v>#N/A</v>
      </c>
      <c r="V967" s="656" t="e">
        <f>+VLOOKUP($L967,Data_Validation!$A:$D,4,0)</f>
        <v>#N/A</v>
      </c>
      <c r="W967" s="656" t="e">
        <f>+VLOOKUP($L967,Data_Validation!$A:$E,5,0)</f>
        <v>#N/A</v>
      </c>
    </row>
    <row r="968" spans="1:23" ht="15.75" customHeight="1">
      <c r="A968" s="716"/>
      <c r="B968" s="654"/>
      <c r="C968" s="717"/>
      <c r="D968" s="716"/>
      <c r="E968" s="716"/>
      <c r="F968" s="716"/>
      <c r="G968" s="716"/>
      <c r="H968" s="716"/>
      <c r="I968" s="716"/>
      <c r="J968" s="716"/>
      <c r="K968" s="716"/>
      <c r="L968" s="653" t="str">
        <f t="shared" si="980"/>
        <v>0</v>
      </c>
      <c r="M968" s="654">
        <f t="shared" si="780"/>
        <v>0</v>
      </c>
      <c r="N968" s="655">
        <f>+IF(OR($Q968=Parametres!$G$2,$Q968=Parametres!$G$3),I968,C968)</f>
        <v>0</v>
      </c>
      <c r="O968" s="655">
        <f>+IF(OR($Q968=Parametres!$G$2,$Q968=Parametres!$G$3),J968,D968)</f>
        <v>0</v>
      </c>
      <c r="P968" s="655">
        <f>+IF(OR($Q968=Parametres!$G$2,$Q968=Parametres!$G$3),K968,E968)</f>
        <v>0</v>
      </c>
      <c r="Q968" s="654">
        <f t="shared" ref="Q968:S968" si="986">+F968</f>
        <v>0</v>
      </c>
      <c r="R968" s="653">
        <f t="shared" si="986"/>
        <v>0</v>
      </c>
      <c r="S968" s="654">
        <f t="shared" si="986"/>
        <v>0</v>
      </c>
      <c r="T968" s="656" t="e">
        <f>+VLOOKUP($L968,Data_Validation!$A:$D,1,0)</f>
        <v>#N/A</v>
      </c>
      <c r="U968" s="656" t="e">
        <f>+VLOOKUP($L968,Data_Validation!$A:$D,3,0)</f>
        <v>#N/A</v>
      </c>
      <c r="V968" s="656" t="e">
        <f>+VLOOKUP($L968,Data_Validation!$A:$D,4,0)</f>
        <v>#N/A</v>
      </c>
      <c r="W968" s="656" t="e">
        <f>+VLOOKUP($L968,Data_Validation!$A:$E,5,0)</f>
        <v>#N/A</v>
      </c>
    </row>
    <row r="969" spans="1:23" ht="15.75" customHeight="1">
      <c r="A969" s="716"/>
      <c r="B969" s="654"/>
      <c r="C969" s="717"/>
      <c r="D969" s="716"/>
      <c r="E969" s="716"/>
      <c r="F969" s="716"/>
      <c r="G969" s="716"/>
      <c r="H969" s="716"/>
      <c r="I969" s="716"/>
      <c r="J969" s="716"/>
      <c r="K969" s="716"/>
      <c r="L969" s="653" t="str">
        <f t="shared" si="980"/>
        <v>0</v>
      </c>
      <c r="M969" s="654">
        <f t="shared" si="780"/>
        <v>0</v>
      </c>
      <c r="N969" s="655">
        <f>+IF(OR($Q969=Parametres!$G$2,$Q969=Parametres!$G$3),I969,C969)</f>
        <v>0</v>
      </c>
      <c r="O969" s="655">
        <f>+IF(OR($Q969=Parametres!$G$2,$Q969=Parametres!$G$3),J969,D969)</f>
        <v>0</v>
      </c>
      <c r="P969" s="655">
        <f>+IF(OR($Q969=Parametres!$G$2,$Q969=Parametres!$G$3),K969,E969)</f>
        <v>0</v>
      </c>
      <c r="Q969" s="654">
        <f t="shared" ref="Q969:S969" si="987">+F969</f>
        <v>0</v>
      </c>
      <c r="R969" s="653">
        <f t="shared" si="987"/>
        <v>0</v>
      </c>
      <c r="S969" s="654">
        <f t="shared" si="987"/>
        <v>0</v>
      </c>
      <c r="T969" s="656" t="e">
        <f>+VLOOKUP($L969,Data_Validation!$A:$D,1,0)</f>
        <v>#N/A</v>
      </c>
      <c r="U969" s="656" t="e">
        <f>+VLOOKUP($L969,Data_Validation!$A:$D,3,0)</f>
        <v>#N/A</v>
      </c>
      <c r="V969" s="656" t="e">
        <f>+VLOOKUP($L969,Data_Validation!$A:$D,4,0)</f>
        <v>#N/A</v>
      </c>
      <c r="W969" s="656" t="e">
        <f>+VLOOKUP($L969,Data_Validation!$A:$E,5,0)</f>
        <v>#N/A</v>
      </c>
    </row>
    <row r="970" spans="1:23" ht="15.75" customHeight="1">
      <c r="A970" s="716"/>
      <c r="B970" s="654"/>
      <c r="C970" s="717"/>
      <c r="D970" s="716"/>
      <c r="E970" s="716"/>
      <c r="F970" s="716"/>
      <c r="G970" s="716"/>
      <c r="H970" s="716"/>
      <c r="I970" s="716"/>
      <c r="J970" s="716"/>
      <c r="K970" s="716"/>
      <c r="L970" s="653" t="str">
        <f t="shared" si="980"/>
        <v>0</v>
      </c>
      <c r="M970" s="654">
        <f t="shared" si="780"/>
        <v>0</v>
      </c>
      <c r="N970" s="655">
        <f>+IF(OR($Q970=Parametres!$G$2,$Q970=Parametres!$G$3),I970,C970)</f>
        <v>0</v>
      </c>
      <c r="O970" s="655">
        <f>+IF(OR($Q970=Parametres!$G$2,$Q970=Parametres!$G$3),J970,D970)</f>
        <v>0</v>
      </c>
      <c r="P970" s="655">
        <f>+IF(OR($Q970=Parametres!$G$2,$Q970=Parametres!$G$3),K970,E970)</f>
        <v>0</v>
      </c>
      <c r="Q970" s="654">
        <f t="shared" ref="Q970:S970" si="988">+F970</f>
        <v>0</v>
      </c>
      <c r="R970" s="653">
        <f t="shared" si="988"/>
        <v>0</v>
      </c>
      <c r="S970" s="654">
        <f t="shared" si="988"/>
        <v>0</v>
      </c>
      <c r="T970" s="656" t="e">
        <f>+VLOOKUP($L970,Data_Validation!$A:$D,1,0)</f>
        <v>#N/A</v>
      </c>
      <c r="U970" s="656" t="e">
        <f>+VLOOKUP($L970,Data_Validation!$A:$D,3,0)</f>
        <v>#N/A</v>
      </c>
      <c r="V970" s="656" t="e">
        <f>+VLOOKUP($L970,Data_Validation!$A:$D,4,0)</f>
        <v>#N/A</v>
      </c>
      <c r="W970" s="656" t="e">
        <f>+VLOOKUP($L970,Data_Validation!$A:$E,5,0)</f>
        <v>#N/A</v>
      </c>
    </row>
    <row r="971" spans="1:23" ht="15.75" customHeight="1">
      <c r="A971" s="716"/>
      <c r="B971" s="654"/>
      <c r="C971" s="717"/>
      <c r="D971" s="716"/>
      <c r="E971" s="716"/>
      <c r="F971" s="716"/>
      <c r="G971" s="716"/>
      <c r="H971" s="716"/>
      <c r="I971" s="716"/>
      <c r="J971" s="716"/>
      <c r="K971" s="716"/>
      <c r="L971" s="653" t="str">
        <f t="shared" si="980"/>
        <v>0</v>
      </c>
      <c r="M971" s="654">
        <f t="shared" si="780"/>
        <v>0</v>
      </c>
      <c r="N971" s="655">
        <f>+IF(OR($Q971=Parametres!$G$2,$Q971=Parametres!$G$3),I971,C971)</f>
        <v>0</v>
      </c>
      <c r="O971" s="655">
        <f>+IF(OR($Q971=Parametres!$G$2,$Q971=Parametres!$G$3),J971,D971)</f>
        <v>0</v>
      </c>
      <c r="P971" s="655">
        <f>+IF(OR($Q971=Parametres!$G$2,$Q971=Parametres!$G$3),K971,E971)</f>
        <v>0</v>
      </c>
      <c r="Q971" s="654">
        <f t="shared" ref="Q971:S971" si="989">+F971</f>
        <v>0</v>
      </c>
      <c r="R971" s="653">
        <f t="shared" si="989"/>
        <v>0</v>
      </c>
      <c r="S971" s="654">
        <f t="shared" si="989"/>
        <v>0</v>
      </c>
      <c r="T971" s="656" t="e">
        <f>+VLOOKUP($L971,Data_Validation!$A:$D,1,0)</f>
        <v>#N/A</v>
      </c>
      <c r="U971" s="656" t="e">
        <f>+VLOOKUP($L971,Data_Validation!$A:$D,3,0)</f>
        <v>#N/A</v>
      </c>
      <c r="V971" s="656" t="e">
        <f>+VLOOKUP($L971,Data_Validation!$A:$D,4,0)</f>
        <v>#N/A</v>
      </c>
      <c r="W971" s="656" t="e">
        <f>+VLOOKUP($L971,Data_Validation!$A:$E,5,0)</f>
        <v>#N/A</v>
      </c>
    </row>
    <row r="972" spans="1:23" ht="15.75" customHeight="1">
      <c r="A972" s="716"/>
      <c r="B972" s="654"/>
      <c r="C972" s="717"/>
      <c r="D972" s="716"/>
      <c r="E972" s="716"/>
      <c r="F972" s="716"/>
      <c r="G972" s="716"/>
      <c r="H972" s="716"/>
      <c r="I972" s="716"/>
      <c r="J972" s="716"/>
      <c r="K972" s="716"/>
      <c r="L972" s="653" t="str">
        <f t="shared" si="980"/>
        <v>0</v>
      </c>
      <c r="M972" s="654">
        <f t="shared" si="780"/>
        <v>0</v>
      </c>
      <c r="N972" s="655">
        <f>+IF(OR($Q972=Parametres!$G$2,$Q972=Parametres!$G$3),I972,C972)</f>
        <v>0</v>
      </c>
      <c r="O972" s="655">
        <f>+IF(OR($Q972=Parametres!$G$2,$Q972=Parametres!$G$3),J972,D972)</f>
        <v>0</v>
      </c>
      <c r="P972" s="655">
        <f>+IF(OR($Q972=Parametres!$G$2,$Q972=Parametres!$G$3),K972,E972)</f>
        <v>0</v>
      </c>
      <c r="Q972" s="654">
        <f t="shared" ref="Q972:S972" si="990">+F972</f>
        <v>0</v>
      </c>
      <c r="R972" s="653">
        <f t="shared" si="990"/>
        <v>0</v>
      </c>
      <c r="S972" s="654">
        <f t="shared" si="990"/>
        <v>0</v>
      </c>
      <c r="T972" s="656" t="e">
        <f>+VLOOKUP($L972,Data_Validation!$A:$D,1,0)</f>
        <v>#N/A</v>
      </c>
      <c r="U972" s="656" t="e">
        <f>+VLOOKUP($L972,Data_Validation!$A:$D,3,0)</f>
        <v>#N/A</v>
      </c>
      <c r="V972" s="656" t="e">
        <f>+VLOOKUP($L972,Data_Validation!$A:$D,4,0)</f>
        <v>#N/A</v>
      </c>
      <c r="W972" s="656" t="e">
        <f>+VLOOKUP($L972,Data_Validation!$A:$E,5,0)</f>
        <v>#N/A</v>
      </c>
    </row>
    <row r="973" spans="1:23" ht="15.75" customHeight="1">
      <c r="A973" s="716"/>
      <c r="B973" s="654"/>
      <c r="C973" s="717"/>
      <c r="D973" s="716"/>
      <c r="E973" s="716"/>
      <c r="F973" s="716"/>
      <c r="G973" s="716"/>
      <c r="H973" s="716"/>
      <c r="I973" s="716"/>
      <c r="J973" s="716"/>
      <c r="K973" s="716"/>
      <c r="L973" s="653" t="str">
        <f t="shared" si="980"/>
        <v>0</v>
      </c>
      <c r="M973" s="654">
        <f t="shared" si="780"/>
        <v>0</v>
      </c>
      <c r="N973" s="655">
        <f>+IF(OR($Q973=Parametres!$G$2,$Q973=Parametres!$G$3),I973,C973)</f>
        <v>0</v>
      </c>
      <c r="O973" s="655">
        <f>+IF(OR($Q973=Parametres!$G$2,$Q973=Parametres!$G$3),J973,D973)</f>
        <v>0</v>
      </c>
      <c r="P973" s="655">
        <f>+IF(OR($Q973=Parametres!$G$2,$Q973=Parametres!$G$3),K973,E973)</f>
        <v>0</v>
      </c>
      <c r="Q973" s="654">
        <f t="shared" ref="Q973:S973" si="991">+F973</f>
        <v>0</v>
      </c>
      <c r="R973" s="653">
        <f t="shared" si="991"/>
        <v>0</v>
      </c>
      <c r="S973" s="654">
        <f t="shared" si="991"/>
        <v>0</v>
      </c>
      <c r="T973" s="656" t="e">
        <f>+VLOOKUP($L973,Data_Validation!$A:$D,1,0)</f>
        <v>#N/A</v>
      </c>
      <c r="U973" s="656" t="e">
        <f>+VLOOKUP($L973,Data_Validation!$A:$D,3,0)</f>
        <v>#N/A</v>
      </c>
      <c r="V973" s="656" t="e">
        <f>+VLOOKUP($L973,Data_Validation!$A:$D,4,0)</f>
        <v>#N/A</v>
      </c>
      <c r="W973" s="656" t="e">
        <f>+VLOOKUP($L973,Data_Validation!$A:$E,5,0)</f>
        <v>#N/A</v>
      </c>
    </row>
    <row r="974" spans="1:23" ht="15.75" customHeight="1">
      <c r="A974" s="716"/>
      <c r="B974" s="654"/>
      <c r="C974" s="717"/>
      <c r="D974" s="716"/>
      <c r="E974" s="716"/>
      <c r="F974" s="716"/>
      <c r="G974" s="716"/>
      <c r="H974" s="716"/>
      <c r="I974" s="716"/>
      <c r="J974" s="716"/>
      <c r="K974" s="716"/>
      <c r="L974" s="653" t="str">
        <f t="shared" si="980"/>
        <v>0</v>
      </c>
      <c r="M974" s="654">
        <f t="shared" si="780"/>
        <v>0</v>
      </c>
      <c r="N974" s="655">
        <f>+IF(OR($Q974=Parametres!$G$2,$Q974=Parametres!$G$3),I974,C974)</f>
        <v>0</v>
      </c>
      <c r="O974" s="655">
        <f>+IF(OR($Q974=Parametres!$G$2,$Q974=Parametres!$G$3),J974,D974)</f>
        <v>0</v>
      </c>
      <c r="P974" s="655">
        <f>+IF(OR($Q974=Parametres!$G$2,$Q974=Parametres!$G$3),K974,E974)</f>
        <v>0</v>
      </c>
      <c r="Q974" s="654">
        <f t="shared" ref="Q974:S974" si="992">+F974</f>
        <v>0</v>
      </c>
      <c r="R974" s="653">
        <f t="shared" si="992"/>
        <v>0</v>
      </c>
      <c r="S974" s="654">
        <f t="shared" si="992"/>
        <v>0</v>
      </c>
      <c r="T974" s="656" t="e">
        <f>+VLOOKUP($L974,Data_Validation!$A:$D,1,0)</f>
        <v>#N/A</v>
      </c>
      <c r="U974" s="656" t="e">
        <f>+VLOOKUP($L974,Data_Validation!$A:$D,3,0)</f>
        <v>#N/A</v>
      </c>
      <c r="V974" s="656" t="e">
        <f>+VLOOKUP($L974,Data_Validation!$A:$D,4,0)</f>
        <v>#N/A</v>
      </c>
      <c r="W974" s="656" t="e">
        <f>+VLOOKUP($L974,Data_Validation!$A:$E,5,0)</f>
        <v>#N/A</v>
      </c>
    </row>
    <row r="975" spans="1:23" ht="15.75" customHeight="1">
      <c r="A975" s="716"/>
      <c r="B975" s="654"/>
      <c r="C975" s="717"/>
      <c r="D975" s="716"/>
      <c r="E975" s="716"/>
      <c r="F975" s="716"/>
      <c r="G975" s="716"/>
      <c r="H975" s="716"/>
      <c r="I975" s="716"/>
      <c r="J975" s="716"/>
      <c r="K975" s="716"/>
      <c r="L975" s="653" t="str">
        <f t="shared" si="980"/>
        <v>0</v>
      </c>
      <c r="M975" s="654">
        <f t="shared" si="780"/>
        <v>0</v>
      </c>
      <c r="N975" s="655">
        <f>+IF(OR($Q975=Parametres!$G$2,$Q975=Parametres!$G$3),I975,C975)</f>
        <v>0</v>
      </c>
      <c r="O975" s="655">
        <f>+IF(OR($Q975=Parametres!$G$2,$Q975=Parametres!$G$3),J975,D975)</f>
        <v>0</v>
      </c>
      <c r="P975" s="655">
        <f>+IF(OR($Q975=Parametres!$G$2,$Q975=Parametres!$G$3),K975,E975)</f>
        <v>0</v>
      </c>
      <c r="Q975" s="654">
        <f t="shared" ref="Q975:S975" si="993">+F975</f>
        <v>0</v>
      </c>
      <c r="R975" s="653">
        <f t="shared" si="993"/>
        <v>0</v>
      </c>
      <c r="S975" s="654">
        <f t="shared" si="993"/>
        <v>0</v>
      </c>
      <c r="T975" s="656" t="e">
        <f>+VLOOKUP($L975,Data_Validation!$A:$D,1,0)</f>
        <v>#N/A</v>
      </c>
      <c r="U975" s="656" t="e">
        <f>+VLOOKUP($L975,Data_Validation!$A:$D,3,0)</f>
        <v>#N/A</v>
      </c>
      <c r="V975" s="656" t="e">
        <f>+VLOOKUP($L975,Data_Validation!$A:$D,4,0)</f>
        <v>#N/A</v>
      </c>
      <c r="W975" s="656" t="e">
        <f>+VLOOKUP($L975,Data_Validation!$A:$E,5,0)</f>
        <v>#N/A</v>
      </c>
    </row>
    <row r="976" spans="1:23" ht="15.75" customHeight="1">
      <c r="A976" s="716"/>
      <c r="B976" s="654"/>
      <c r="C976" s="717"/>
      <c r="D976" s="716"/>
      <c r="E976" s="716"/>
      <c r="F976" s="716"/>
      <c r="G976" s="716"/>
      <c r="H976" s="716"/>
      <c r="I976" s="716"/>
      <c r="J976" s="716"/>
      <c r="K976" s="716"/>
      <c r="L976" s="653" t="str">
        <f t="shared" si="980"/>
        <v>0</v>
      </c>
      <c r="M976" s="654">
        <f t="shared" si="780"/>
        <v>0</v>
      </c>
      <c r="N976" s="655">
        <f>+IF(OR($Q976=Parametres!$G$2,$Q976=Parametres!$G$3),I976,C976)</f>
        <v>0</v>
      </c>
      <c r="O976" s="655">
        <f>+IF(OR($Q976=Parametres!$G$2,$Q976=Parametres!$G$3),J976,D976)</f>
        <v>0</v>
      </c>
      <c r="P976" s="655">
        <f>+IF(OR($Q976=Parametres!$G$2,$Q976=Parametres!$G$3),K976,E976)</f>
        <v>0</v>
      </c>
      <c r="Q976" s="654">
        <f t="shared" ref="Q976:S976" si="994">+F976</f>
        <v>0</v>
      </c>
      <c r="R976" s="653">
        <f t="shared" si="994"/>
        <v>0</v>
      </c>
      <c r="S976" s="654">
        <f t="shared" si="994"/>
        <v>0</v>
      </c>
      <c r="T976" s="656" t="e">
        <f>+VLOOKUP($L976,Data_Validation!$A:$D,1,0)</f>
        <v>#N/A</v>
      </c>
      <c r="U976" s="656" t="e">
        <f>+VLOOKUP($L976,Data_Validation!$A:$D,3,0)</f>
        <v>#N/A</v>
      </c>
      <c r="V976" s="656" t="e">
        <f>+VLOOKUP($L976,Data_Validation!$A:$D,4,0)</f>
        <v>#N/A</v>
      </c>
      <c r="W976" s="656" t="e">
        <f>+VLOOKUP($L976,Data_Validation!$A:$E,5,0)</f>
        <v>#N/A</v>
      </c>
    </row>
    <row r="977" spans="1:23" ht="15.75" customHeight="1">
      <c r="A977" s="716"/>
      <c r="B977" s="654"/>
      <c r="C977" s="717"/>
      <c r="D977" s="716"/>
      <c r="E977" s="716"/>
      <c r="F977" s="716"/>
      <c r="G977" s="716"/>
      <c r="H977" s="716"/>
      <c r="I977" s="716"/>
      <c r="J977" s="716"/>
      <c r="K977" s="716"/>
      <c r="L977" s="653" t="str">
        <f t="shared" si="980"/>
        <v>0</v>
      </c>
      <c r="M977" s="654">
        <f t="shared" si="780"/>
        <v>0</v>
      </c>
      <c r="N977" s="655">
        <f>+IF(OR($Q977=Parametres!$G$2,$Q977=Parametres!$G$3),I977,C977)</f>
        <v>0</v>
      </c>
      <c r="O977" s="655">
        <f>+IF(OR($Q977=Parametres!$G$2,$Q977=Parametres!$G$3),J977,D977)</f>
        <v>0</v>
      </c>
      <c r="P977" s="655">
        <f>+IF(OR($Q977=Parametres!$G$2,$Q977=Parametres!$G$3),K977,E977)</f>
        <v>0</v>
      </c>
      <c r="Q977" s="654">
        <f t="shared" ref="Q977:S977" si="995">+F977</f>
        <v>0</v>
      </c>
      <c r="R977" s="653">
        <f t="shared" si="995"/>
        <v>0</v>
      </c>
      <c r="S977" s="654">
        <f t="shared" si="995"/>
        <v>0</v>
      </c>
      <c r="T977" s="656" t="e">
        <f>+VLOOKUP($L977,Data_Validation!$A:$D,1,0)</f>
        <v>#N/A</v>
      </c>
      <c r="U977" s="656" t="e">
        <f>+VLOOKUP($L977,Data_Validation!$A:$D,3,0)</f>
        <v>#N/A</v>
      </c>
      <c r="V977" s="656" t="e">
        <f>+VLOOKUP($L977,Data_Validation!$A:$D,4,0)</f>
        <v>#N/A</v>
      </c>
      <c r="W977" s="656" t="e">
        <f>+VLOOKUP($L977,Data_Validation!$A:$E,5,0)</f>
        <v>#N/A</v>
      </c>
    </row>
    <row r="978" spans="1:23" ht="15.75" customHeight="1">
      <c r="A978" s="716"/>
      <c r="B978" s="654"/>
      <c r="C978" s="717"/>
      <c r="D978" s="716"/>
      <c r="E978" s="716"/>
      <c r="F978" s="716"/>
      <c r="G978" s="716"/>
      <c r="H978" s="716"/>
      <c r="I978" s="716"/>
      <c r="J978" s="716"/>
      <c r="K978" s="716"/>
      <c r="L978" s="653" t="str">
        <f t="shared" si="980"/>
        <v>0</v>
      </c>
      <c r="M978" s="654">
        <f t="shared" si="780"/>
        <v>0</v>
      </c>
      <c r="N978" s="655">
        <f>+IF(OR($Q978=Parametres!$G$2,$Q978=Parametres!$G$3),I978,C978)</f>
        <v>0</v>
      </c>
      <c r="O978" s="655">
        <f>+IF(OR($Q978=Parametres!$G$2,$Q978=Parametres!$G$3),J978,D978)</f>
        <v>0</v>
      </c>
      <c r="P978" s="655">
        <f>+IF(OR($Q978=Parametres!$G$2,$Q978=Parametres!$G$3),K978,E978)</f>
        <v>0</v>
      </c>
      <c r="Q978" s="654">
        <f t="shared" ref="Q978:S978" si="996">+F978</f>
        <v>0</v>
      </c>
      <c r="R978" s="653">
        <f t="shared" si="996"/>
        <v>0</v>
      </c>
      <c r="S978" s="654">
        <f t="shared" si="996"/>
        <v>0</v>
      </c>
      <c r="T978" s="656" t="e">
        <f>+VLOOKUP($L978,Data_Validation!$A:$D,1,0)</f>
        <v>#N/A</v>
      </c>
      <c r="U978" s="656" t="e">
        <f>+VLOOKUP($L978,Data_Validation!$A:$D,3,0)</f>
        <v>#N/A</v>
      </c>
      <c r="V978" s="656" t="e">
        <f>+VLOOKUP($L978,Data_Validation!$A:$D,4,0)</f>
        <v>#N/A</v>
      </c>
      <c r="W978" s="656" t="e">
        <f>+VLOOKUP($L978,Data_Validation!$A:$E,5,0)</f>
        <v>#N/A</v>
      </c>
    </row>
    <row r="979" spans="1:23" ht="15.75" customHeight="1">
      <c r="A979" s="716"/>
      <c r="B979" s="654"/>
      <c r="C979" s="717"/>
      <c r="D979" s="716"/>
      <c r="E979" s="716"/>
      <c r="F979" s="716"/>
      <c r="G979" s="716"/>
      <c r="H979" s="716"/>
      <c r="I979" s="716"/>
      <c r="J979" s="716"/>
      <c r="K979" s="716"/>
      <c r="L979" s="653" t="str">
        <f t="shared" si="980"/>
        <v>0</v>
      </c>
      <c r="M979" s="654">
        <f t="shared" si="780"/>
        <v>0</v>
      </c>
      <c r="N979" s="655">
        <f>+IF(OR($Q979=Parametres!$G$2,$Q979=Parametres!$G$3),I979,C979)</f>
        <v>0</v>
      </c>
      <c r="O979" s="655">
        <f>+IF(OR($Q979=Parametres!$G$2,$Q979=Parametres!$G$3),J979,D979)</f>
        <v>0</v>
      </c>
      <c r="P979" s="655">
        <f>+IF(OR($Q979=Parametres!$G$2,$Q979=Parametres!$G$3),K979,E979)</f>
        <v>0</v>
      </c>
      <c r="Q979" s="654">
        <f t="shared" ref="Q979:S979" si="997">+F979</f>
        <v>0</v>
      </c>
      <c r="R979" s="653">
        <f t="shared" si="997"/>
        <v>0</v>
      </c>
      <c r="S979" s="654">
        <f t="shared" si="997"/>
        <v>0</v>
      </c>
      <c r="T979" s="656" t="e">
        <f>+VLOOKUP($L979,Data_Validation!$A:$D,1,0)</f>
        <v>#N/A</v>
      </c>
      <c r="U979" s="656" t="e">
        <f>+VLOOKUP($L979,Data_Validation!$A:$D,3,0)</f>
        <v>#N/A</v>
      </c>
      <c r="V979" s="656" t="e">
        <f>+VLOOKUP($L979,Data_Validation!$A:$D,4,0)</f>
        <v>#N/A</v>
      </c>
      <c r="W979" s="656" t="e">
        <f>+VLOOKUP($L979,Data_Validation!$A:$E,5,0)</f>
        <v>#N/A</v>
      </c>
    </row>
    <row r="980" spans="1:23" ht="15.75" customHeight="1">
      <c r="A980" s="716"/>
      <c r="B980" s="654"/>
      <c r="C980" s="717"/>
      <c r="D980" s="716"/>
      <c r="E980" s="716"/>
      <c r="F980" s="716"/>
      <c r="G980" s="716"/>
      <c r="H980" s="716"/>
      <c r="I980" s="716"/>
      <c r="J980" s="716"/>
      <c r="K980" s="716"/>
      <c r="L980" s="653" t="str">
        <f t="shared" si="980"/>
        <v>0</v>
      </c>
      <c r="M980" s="654">
        <f t="shared" si="780"/>
        <v>0</v>
      </c>
      <c r="N980" s="655">
        <f>+IF(OR($Q980=Parametres!$G$2,$Q980=Parametres!$G$3),I980,C980)</f>
        <v>0</v>
      </c>
      <c r="O980" s="655">
        <f>+IF(OR($Q980=Parametres!$G$2,$Q980=Parametres!$G$3),J980,D980)</f>
        <v>0</v>
      </c>
      <c r="P980" s="655">
        <f>+IF(OR($Q980=Parametres!$G$2,$Q980=Parametres!$G$3),K980,E980)</f>
        <v>0</v>
      </c>
      <c r="Q980" s="654">
        <f t="shared" ref="Q980:S980" si="998">+F980</f>
        <v>0</v>
      </c>
      <c r="R980" s="653">
        <f t="shared" si="998"/>
        <v>0</v>
      </c>
      <c r="S980" s="654">
        <f t="shared" si="998"/>
        <v>0</v>
      </c>
      <c r="T980" s="656" t="e">
        <f>+VLOOKUP($L980,Data_Validation!$A:$D,1,0)</f>
        <v>#N/A</v>
      </c>
      <c r="U980" s="656" t="e">
        <f>+VLOOKUP($L980,Data_Validation!$A:$D,3,0)</f>
        <v>#N/A</v>
      </c>
      <c r="V980" s="656" t="e">
        <f>+VLOOKUP($L980,Data_Validation!$A:$D,4,0)</f>
        <v>#N/A</v>
      </c>
      <c r="W980" s="656" t="e">
        <f>+VLOOKUP($L980,Data_Validation!$A:$E,5,0)</f>
        <v>#N/A</v>
      </c>
    </row>
    <row r="981" spans="1:23" ht="15.75" customHeight="1">
      <c r="A981" s="716"/>
      <c r="B981" s="654"/>
      <c r="C981" s="717"/>
      <c r="D981" s="716"/>
      <c r="E981" s="716"/>
      <c r="F981" s="716"/>
      <c r="G981" s="716"/>
      <c r="H981" s="716"/>
      <c r="I981" s="716"/>
      <c r="J981" s="716"/>
      <c r="K981" s="716"/>
      <c r="L981" s="653" t="str">
        <f t="shared" si="980"/>
        <v>0</v>
      </c>
      <c r="M981" s="654">
        <f t="shared" si="780"/>
        <v>0</v>
      </c>
      <c r="N981" s="655">
        <f>+IF(OR($Q981=Parametres!$G$2,$Q981=Parametres!$G$3),I981,C981)</f>
        <v>0</v>
      </c>
      <c r="O981" s="655">
        <f>+IF(OR($Q981=Parametres!$G$2,$Q981=Parametres!$G$3),J981,D981)</f>
        <v>0</v>
      </c>
      <c r="P981" s="655">
        <f>+IF(OR($Q981=Parametres!$G$2,$Q981=Parametres!$G$3),K981,E981)</f>
        <v>0</v>
      </c>
      <c r="Q981" s="654">
        <f t="shared" ref="Q981:S981" si="999">+F981</f>
        <v>0</v>
      </c>
      <c r="R981" s="653">
        <f t="shared" si="999"/>
        <v>0</v>
      </c>
      <c r="S981" s="654">
        <f t="shared" si="999"/>
        <v>0</v>
      </c>
      <c r="T981" s="656" t="e">
        <f>+VLOOKUP($L981,Data_Validation!$A:$D,1,0)</f>
        <v>#N/A</v>
      </c>
      <c r="U981" s="656" t="e">
        <f>+VLOOKUP($L981,Data_Validation!$A:$D,3,0)</f>
        <v>#N/A</v>
      </c>
      <c r="V981" s="656" t="e">
        <f>+VLOOKUP($L981,Data_Validation!$A:$D,4,0)</f>
        <v>#N/A</v>
      </c>
      <c r="W981" s="656" t="e">
        <f>+VLOOKUP($L981,Data_Validation!$A:$E,5,0)</f>
        <v>#N/A</v>
      </c>
    </row>
    <row r="982" spans="1:23" ht="15.75" customHeight="1">
      <c r="A982" s="716"/>
      <c r="B982" s="654"/>
      <c r="C982" s="717"/>
      <c r="D982" s="716"/>
      <c r="E982" s="716"/>
      <c r="F982" s="716"/>
      <c r="G982" s="716"/>
      <c r="H982" s="716"/>
      <c r="I982" s="716"/>
      <c r="J982" s="716"/>
      <c r="K982" s="716"/>
      <c r="L982" s="653" t="str">
        <f t="shared" si="980"/>
        <v>0</v>
      </c>
      <c r="M982" s="654">
        <f t="shared" si="780"/>
        <v>0</v>
      </c>
      <c r="N982" s="655">
        <f>+IF(OR($Q982=Parametres!$G$2,$Q982=Parametres!$G$3),I982,C982)</f>
        <v>0</v>
      </c>
      <c r="O982" s="655">
        <f>+IF(OR($Q982=Parametres!$G$2,$Q982=Parametres!$G$3),J982,D982)</f>
        <v>0</v>
      </c>
      <c r="P982" s="655">
        <f>+IF(OR($Q982=Parametres!$G$2,$Q982=Parametres!$G$3),K982,E982)</f>
        <v>0</v>
      </c>
      <c r="Q982" s="654">
        <f t="shared" ref="Q982:S982" si="1000">+F982</f>
        <v>0</v>
      </c>
      <c r="R982" s="653">
        <f t="shared" si="1000"/>
        <v>0</v>
      </c>
      <c r="S982" s="654">
        <f t="shared" si="1000"/>
        <v>0</v>
      </c>
      <c r="T982" s="656" t="e">
        <f>+VLOOKUP($L982,Data_Validation!$A:$D,1,0)</f>
        <v>#N/A</v>
      </c>
      <c r="U982" s="656" t="e">
        <f>+VLOOKUP($L982,Data_Validation!$A:$D,3,0)</f>
        <v>#N/A</v>
      </c>
      <c r="V982" s="656" t="e">
        <f>+VLOOKUP($L982,Data_Validation!$A:$D,4,0)</f>
        <v>#N/A</v>
      </c>
      <c r="W982" s="656" t="e">
        <f>+VLOOKUP($L982,Data_Validation!$A:$E,5,0)</f>
        <v>#N/A</v>
      </c>
    </row>
    <row r="983" spans="1:23" ht="15.75" customHeight="1">
      <c r="A983" s="716"/>
      <c r="B983" s="654"/>
      <c r="C983" s="717"/>
      <c r="D983" s="716"/>
      <c r="E983" s="716"/>
      <c r="F983" s="716"/>
      <c r="G983" s="716"/>
      <c r="H983" s="716"/>
      <c r="I983" s="716"/>
      <c r="J983" s="716"/>
      <c r="K983" s="716"/>
      <c r="L983" s="653" t="str">
        <f t="shared" si="980"/>
        <v>0</v>
      </c>
      <c r="M983" s="654">
        <f t="shared" si="780"/>
        <v>0</v>
      </c>
      <c r="N983" s="655">
        <f>+IF(OR($Q983=Parametres!$G$2,$Q983=Parametres!$G$3),I983,C983)</f>
        <v>0</v>
      </c>
      <c r="O983" s="655">
        <f>+IF(OR($Q983=Parametres!$G$2,$Q983=Parametres!$G$3),J983,D983)</f>
        <v>0</v>
      </c>
      <c r="P983" s="655">
        <f>+IF(OR($Q983=Parametres!$G$2,$Q983=Parametres!$G$3),K983,E983)</f>
        <v>0</v>
      </c>
      <c r="Q983" s="654">
        <f t="shared" ref="Q983:S983" si="1001">+F983</f>
        <v>0</v>
      </c>
      <c r="R983" s="653">
        <f t="shared" si="1001"/>
        <v>0</v>
      </c>
      <c r="S983" s="654">
        <f t="shared" si="1001"/>
        <v>0</v>
      </c>
      <c r="T983" s="656" t="e">
        <f>+VLOOKUP($L983,Data_Validation!$A:$D,1,0)</f>
        <v>#N/A</v>
      </c>
      <c r="U983" s="656" t="e">
        <f>+VLOOKUP($L983,Data_Validation!$A:$D,3,0)</f>
        <v>#N/A</v>
      </c>
      <c r="V983" s="656" t="e">
        <f>+VLOOKUP($L983,Data_Validation!$A:$D,4,0)</f>
        <v>#N/A</v>
      </c>
      <c r="W983" s="656" t="e">
        <f>+VLOOKUP($L983,Data_Validation!$A:$E,5,0)</f>
        <v>#N/A</v>
      </c>
    </row>
    <row r="984" spans="1:23" ht="15.75" customHeight="1">
      <c r="A984" s="716"/>
      <c r="B984" s="654"/>
      <c r="C984" s="717"/>
      <c r="D984" s="716"/>
      <c r="E984" s="716"/>
      <c r="F984" s="716"/>
      <c r="G984" s="716"/>
      <c r="H984" s="716"/>
      <c r="I984" s="716"/>
      <c r="J984" s="716"/>
      <c r="K984" s="716"/>
      <c r="L984" s="653" t="str">
        <f t="shared" si="980"/>
        <v>0</v>
      </c>
      <c r="M984" s="654">
        <f t="shared" si="780"/>
        <v>0</v>
      </c>
      <c r="N984" s="655">
        <f>+IF(OR($Q984=Parametres!$G$2,$Q984=Parametres!$G$3),I984,C984)</f>
        <v>0</v>
      </c>
      <c r="O984" s="655">
        <f>+IF(OR($Q984=Parametres!$G$2,$Q984=Parametres!$G$3),J984,D984)</f>
        <v>0</v>
      </c>
      <c r="P984" s="655">
        <f>+IF(OR($Q984=Parametres!$G$2,$Q984=Parametres!$G$3),K984,E984)</f>
        <v>0</v>
      </c>
      <c r="Q984" s="654">
        <f t="shared" ref="Q984:S984" si="1002">+F984</f>
        <v>0</v>
      </c>
      <c r="R984" s="653">
        <f t="shared" si="1002"/>
        <v>0</v>
      </c>
      <c r="S984" s="654">
        <f t="shared" si="1002"/>
        <v>0</v>
      </c>
      <c r="T984" s="656" t="e">
        <f>+VLOOKUP($L984,Data_Validation!$A:$D,1,0)</f>
        <v>#N/A</v>
      </c>
      <c r="U984" s="656" t="e">
        <f>+VLOOKUP($L984,Data_Validation!$A:$D,3,0)</f>
        <v>#N/A</v>
      </c>
      <c r="V984" s="656" t="e">
        <f>+VLOOKUP($L984,Data_Validation!$A:$D,4,0)</f>
        <v>#N/A</v>
      </c>
      <c r="W984" s="656" t="e">
        <f>+VLOOKUP($L984,Data_Validation!$A:$E,5,0)</f>
        <v>#N/A</v>
      </c>
    </row>
    <row r="985" spans="1:23" ht="15.75" customHeight="1">
      <c r="A985" s="716"/>
      <c r="B985" s="654"/>
      <c r="C985" s="717"/>
      <c r="D985" s="716"/>
      <c r="E985" s="716"/>
      <c r="F985" s="716"/>
      <c r="G985" s="716"/>
      <c r="H985" s="716"/>
      <c r="I985" s="716"/>
      <c r="J985" s="716"/>
      <c r="K985" s="716"/>
      <c r="L985" s="653" t="str">
        <f t="shared" si="980"/>
        <v>0</v>
      </c>
      <c r="M985" s="654">
        <f t="shared" si="780"/>
        <v>0</v>
      </c>
      <c r="N985" s="655">
        <f>+IF(OR($Q985=Parametres!$G$2,$Q985=Parametres!$G$3),I985,C985)</f>
        <v>0</v>
      </c>
      <c r="O985" s="655">
        <f>+IF(OR($Q985=Parametres!$G$2,$Q985=Parametres!$G$3),J985,D985)</f>
        <v>0</v>
      </c>
      <c r="P985" s="655">
        <f>+IF(OR($Q985=Parametres!$G$2,$Q985=Parametres!$G$3),K985,E985)</f>
        <v>0</v>
      </c>
      <c r="Q985" s="654">
        <f t="shared" ref="Q985:S985" si="1003">+F985</f>
        <v>0</v>
      </c>
      <c r="R985" s="653">
        <f t="shared" si="1003"/>
        <v>0</v>
      </c>
      <c r="S985" s="654">
        <f t="shared" si="1003"/>
        <v>0</v>
      </c>
      <c r="T985" s="656" t="e">
        <f>+VLOOKUP($L985,Data_Validation!$A:$D,1,0)</f>
        <v>#N/A</v>
      </c>
      <c r="U985" s="656" t="e">
        <f>+VLOOKUP($L985,Data_Validation!$A:$D,3,0)</f>
        <v>#N/A</v>
      </c>
      <c r="V985" s="656" t="e">
        <f>+VLOOKUP($L985,Data_Validation!$A:$D,4,0)</f>
        <v>#N/A</v>
      </c>
      <c r="W985" s="656" t="e">
        <f>+VLOOKUP($L985,Data_Validation!$A:$E,5,0)</f>
        <v>#N/A</v>
      </c>
    </row>
    <row r="986" spans="1:23" ht="15.75" customHeight="1">
      <c r="A986" s="716"/>
      <c r="B986" s="654"/>
      <c r="C986" s="717"/>
      <c r="D986" s="716"/>
      <c r="E986" s="716"/>
      <c r="F986" s="716"/>
      <c r="G986" s="716"/>
      <c r="H986" s="716"/>
      <c r="I986" s="716"/>
      <c r="J986" s="716"/>
      <c r="K986" s="716"/>
      <c r="L986" s="653" t="str">
        <f t="shared" si="980"/>
        <v>0</v>
      </c>
      <c r="M986" s="654">
        <f t="shared" si="780"/>
        <v>0</v>
      </c>
      <c r="N986" s="655">
        <f>+IF(OR($Q986=Parametres!$G$2,$Q986=Parametres!$G$3),I986,C986)</f>
        <v>0</v>
      </c>
      <c r="O986" s="655">
        <f>+IF(OR($Q986=Parametres!$G$2,$Q986=Parametres!$G$3),J986,D986)</f>
        <v>0</v>
      </c>
      <c r="P986" s="655">
        <f>+IF(OR($Q986=Parametres!$G$2,$Q986=Parametres!$G$3),K986,E986)</f>
        <v>0</v>
      </c>
      <c r="Q986" s="654">
        <f t="shared" ref="Q986:S986" si="1004">+F986</f>
        <v>0</v>
      </c>
      <c r="R986" s="653">
        <f t="shared" si="1004"/>
        <v>0</v>
      </c>
      <c r="S986" s="654">
        <f t="shared" si="1004"/>
        <v>0</v>
      </c>
      <c r="T986" s="656" t="e">
        <f>+VLOOKUP($L986,Data_Validation!$A:$D,1,0)</f>
        <v>#N/A</v>
      </c>
      <c r="U986" s="656" t="e">
        <f>+VLOOKUP($L986,Data_Validation!$A:$D,3,0)</f>
        <v>#N/A</v>
      </c>
      <c r="V986" s="656" t="e">
        <f>+VLOOKUP($L986,Data_Validation!$A:$D,4,0)</f>
        <v>#N/A</v>
      </c>
      <c r="W986" s="656" t="e">
        <f>+VLOOKUP($L986,Data_Validation!$A:$E,5,0)</f>
        <v>#N/A</v>
      </c>
    </row>
    <row r="987" spans="1:23" ht="15.75" customHeight="1">
      <c r="A987" s="716"/>
      <c r="B987" s="654"/>
      <c r="C987" s="717"/>
      <c r="D987" s="716"/>
      <c r="E987" s="716"/>
      <c r="F987" s="716"/>
      <c r="G987" s="716"/>
      <c r="H987" s="716"/>
      <c r="I987" s="716"/>
      <c r="J987" s="716"/>
      <c r="K987" s="716"/>
      <c r="L987" s="653" t="str">
        <f t="shared" si="980"/>
        <v>0</v>
      </c>
      <c r="M987" s="654">
        <f t="shared" si="780"/>
        <v>0</v>
      </c>
      <c r="N987" s="655">
        <f>+IF(OR($Q987=Parametres!$G$2,$Q987=Parametres!$G$3),I987,C987)</f>
        <v>0</v>
      </c>
      <c r="O987" s="655">
        <f>+IF(OR($Q987=Parametres!$G$2,$Q987=Parametres!$G$3),J987,D987)</f>
        <v>0</v>
      </c>
      <c r="P987" s="655">
        <f>+IF(OR($Q987=Parametres!$G$2,$Q987=Parametres!$G$3),K987,E987)</f>
        <v>0</v>
      </c>
      <c r="Q987" s="654">
        <f t="shared" ref="Q987:S987" si="1005">+F987</f>
        <v>0</v>
      </c>
      <c r="R987" s="653">
        <f t="shared" si="1005"/>
        <v>0</v>
      </c>
      <c r="S987" s="654">
        <f t="shared" si="1005"/>
        <v>0</v>
      </c>
      <c r="T987" s="656" t="e">
        <f>+VLOOKUP($L987,Data_Validation!$A:$D,1,0)</f>
        <v>#N/A</v>
      </c>
      <c r="U987" s="656" t="e">
        <f>+VLOOKUP($L987,Data_Validation!$A:$D,3,0)</f>
        <v>#N/A</v>
      </c>
      <c r="V987" s="656" t="e">
        <f>+VLOOKUP($L987,Data_Validation!$A:$D,4,0)</f>
        <v>#N/A</v>
      </c>
      <c r="W987" s="656" t="e">
        <f>+VLOOKUP($L987,Data_Validation!$A:$E,5,0)</f>
        <v>#N/A</v>
      </c>
    </row>
    <row r="988" spans="1:23" ht="15.75" customHeight="1">
      <c r="A988" s="716"/>
      <c r="B988" s="654"/>
      <c r="C988" s="717"/>
      <c r="D988" s="716"/>
      <c r="E988" s="716"/>
      <c r="F988" s="716"/>
      <c r="G988" s="716"/>
      <c r="H988" s="716"/>
      <c r="I988" s="716"/>
      <c r="J988" s="716"/>
      <c r="K988" s="716"/>
      <c r="L988" s="653" t="str">
        <f t="shared" si="980"/>
        <v>0</v>
      </c>
      <c r="M988" s="654">
        <f t="shared" si="780"/>
        <v>0</v>
      </c>
      <c r="N988" s="655">
        <f>+IF(OR($Q988=Parametres!$G$2,$Q988=Parametres!$G$3),I988,C988)</f>
        <v>0</v>
      </c>
      <c r="O988" s="655">
        <f>+IF(OR($Q988=Parametres!$G$2,$Q988=Parametres!$G$3),J988,D988)</f>
        <v>0</v>
      </c>
      <c r="P988" s="655">
        <f>+IF(OR($Q988=Parametres!$G$2,$Q988=Parametres!$G$3),K988,E988)</f>
        <v>0</v>
      </c>
      <c r="Q988" s="654">
        <f t="shared" ref="Q988:S988" si="1006">+F988</f>
        <v>0</v>
      </c>
      <c r="R988" s="653">
        <f t="shared" si="1006"/>
        <v>0</v>
      </c>
      <c r="S988" s="654">
        <f t="shared" si="1006"/>
        <v>0</v>
      </c>
      <c r="T988" s="656" t="e">
        <f>+VLOOKUP($L988,Data_Validation!$A:$D,1,0)</f>
        <v>#N/A</v>
      </c>
      <c r="U988" s="656" t="e">
        <f>+VLOOKUP($L988,Data_Validation!$A:$D,3,0)</f>
        <v>#N/A</v>
      </c>
      <c r="V988" s="656" t="e">
        <f>+VLOOKUP($L988,Data_Validation!$A:$D,4,0)</f>
        <v>#N/A</v>
      </c>
      <c r="W988" s="656" t="e">
        <f>+VLOOKUP($L988,Data_Validation!$A:$E,5,0)</f>
        <v>#N/A</v>
      </c>
    </row>
    <row r="989" spans="1:23" ht="15.75" customHeight="1">
      <c r="A989" s="716"/>
      <c r="B989" s="654"/>
      <c r="C989" s="717"/>
      <c r="D989" s="716"/>
      <c r="E989" s="716"/>
      <c r="F989" s="716"/>
      <c r="G989" s="716"/>
      <c r="H989" s="716"/>
      <c r="I989" s="716"/>
      <c r="J989" s="716"/>
      <c r="K989" s="716"/>
      <c r="L989" s="653" t="str">
        <f t="shared" si="980"/>
        <v>0</v>
      </c>
      <c r="M989" s="654">
        <f t="shared" si="780"/>
        <v>0</v>
      </c>
      <c r="N989" s="655">
        <f>+IF(OR($Q989=Parametres!$G$2,$Q989=Parametres!$G$3),I989,C989)</f>
        <v>0</v>
      </c>
      <c r="O989" s="655">
        <f>+IF(OR($Q989=Parametres!$G$2,$Q989=Parametres!$G$3),J989,D989)</f>
        <v>0</v>
      </c>
      <c r="P989" s="655">
        <f>+IF(OR($Q989=Parametres!$G$2,$Q989=Parametres!$G$3),K989,E989)</f>
        <v>0</v>
      </c>
      <c r="Q989" s="654">
        <f t="shared" ref="Q989:S989" si="1007">+F989</f>
        <v>0</v>
      </c>
      <c r="R989" s="653">
        <f t="shared" si="1007"/>
        <v>0</v>
      </c>
      <c r="S989" s="654">
        <f t="shared" si="1007"/>
        <v>0</v>
      </c>
      <c r="T989" s="656" t="e">
        <f>+VLOOKUP($L989,Data_Validation!$A:$D,1,0)</f>
        <v>#N/A</v>
      </c>
      <c r="U989" s="656" t="e">
        <f>+VLOOKUP($L989,Data_Validation!$A:$D,3,0)</f>
        <v>#N/A</v>
      </c>
      <c r="V989" s="656" t="e">
        <f>+VLOOKUP($L989,Data_Validation!$A:$D,4,0)</f>
        <v>#N/A</v>
      </c>
      <c r="W989" s="656" t="e">
        <f>+VLOOKUP($L989,Data_Validation!$A:$E,5,0)</f>
        <v>#N/A</v>
      </c>
    </row>
    <row r="990" spans="1:23" ht="15.75" customHeight="1">
      <c r="A990" s="716"/>
      <c r="B990" s="654"/>
      <c r="C990" s="717"/>
      <c r="D990" s="716"/>
      <c r="E990" s="716"/>
      <c r="F990" s="716"/>
      <c r="G990" s="716"/>
      <c r="H990" s="716"/>
      <c r="I990" s="716"/>
      <c r="J990" s="716"/>
      <c r="K990" s="716"/>
      <c r="L990" s="653" t="str">
        <f t="shared" si="980"/>
        <v>0</v>
      </c>
      <c r="M990" s="654">
        <f t="shared" si="780"/>
        <v>0</v>
      </c>
      <c r="N990" s="655">
        <f>+IF(OR($Q990=Parametres!$G$2,$Q990=Parametres!$G$3),I990,C990)</f>
        <v>0</v>
      </c>
      <c r="O990" s="655">
        <f>+IF(OR($Q990=Parametres!$G$2,$Q990=Parametres!$G$3),J990,D990)</f>
        <v>0</v>
      </c>
      <c r="P990" s="655">
        <f>+IF(OR($Q990=Parametres!$G$2,$Q990=Parametres!$G$3),K990,E990)</f>
        <v>0</v>
      </c>
      <c r="Q990" s="654">
        <f t="shared" ref="Q990:S990" si="1008">+F990</f>
        <v>0</v>
      </c>
      <c r="R990" s="653">
        <f t="shared" si="1008"/>
        <v>0</v>
      </c>
      <c r="S990" s="654">
        <f t="shared" si="1008"/>
        <v>0</v>
      </c>
      <c r="T990" s="656" t="e">
        <f>+VLOOKUP($L990,Data_Validation!$A:$D,1,0)</f>
        <v>#N/A</v>
      </c>
      <c r="U990" s="656" t="e">
        <f>+VLOOKUP($L990,Data_Validation!$A:$D,3,0)</f>
        <v>#N/A</v>
      </c>
      <c r="V990" s="656" t="e">
        <f>+VLOOKUP($L990,Data_Validation!$A:$D,4,0)</f>
        <v>#N/A</v>
      </c>
      <c r="W990" s="656" t="e">
        <f>+VLOOKUP($L990,Data_Validation!$A:$E,5,0)</f>
        <v>#N/A</v>
      </c>
    </row>
    <row r="991" spans="1:23" ht="15.75" customHeight="1">
      <c r="A991" s="716"/>
      <c r="B991" s="654"/>
      <c r="C991" s="717"/>
      <c r="D991" s="716"/>
      <c r="E991" s="716"/>
      <c r="F991" s="716"/>
      <c r="G991" s="716"/>
      <c r="H991" s="716"/>
      <c r="I991" s="716"/>
      <c r="J991" s="716"/>
      <c r="K991" s="716"/>
      <c r="L991" s="653" t="str">
        <f t="shared" si="980"/>
        <v>0</v>
      </c>
      <c r="M991" s="654">
        <f t="shared" si="780"/>
        <v>0</v>
      </c>
      <c r="N991" s="655">
        <f>+IF(OR($Q991=Parametres!$G$2,$Q991=Parametres!$G$3),I991,C991)</f>
        <v>0</v>
      </c>
      <c r="O991" s="655">
        <f>+IF(OR($Q991=Parametres!$G$2,$Q991=Parametres!$G$3),J991,D991)</f>
        <v>0</v>
      </c>
      <c r="P991" s="655">
        <f>+IF(OR($Q991=Parametres!$G$2,$Q991=Parametres!$G$3),K991,E991)</f>
        <v>0</v>
      </c>
      <c r="Q991" s="654">
        <f t="shared" ref="Q991:S991" si="1009">+F991</f>
        <v>0</v>
      </c>
      <c r="R991" s="653">
        <f t="shared" si="1009"/>
        <v>0</v>
      </c>
      <c r="S991" s="654">
        <f t="shared" si="1009"/>
        <v>0</v>
      </c>
      <c r="T991" s="656" t="e">
        <f>+VLOOKUP($L991,Data_Validation!$A:$D,1,0)</f>
        <v>#N/A</v>
      </c>
      <c r="U991" s="656" t="e">
        <f>+VLOOKUP($L991,Data_Validation!$A:$D,3,0)</f>
        <v>#N/A</v>
      </c>
      <c r="V991" s="656" t="e">
        <f>+VLOOKUP($L991,Data_Validation!$A:$D,4,0)</f>
        <v>#N/A</v>
      </c>
      <c r="W991" s="656" t="e">
        <f>+VLOOKUP($L991,Data_Validation!$A:$E,5,0)</f>
        <v>#N/A</v>
      </c>
    </row>
    <row r="992" spans="1:23" ht="15.75" customHeight="1">
      <c r="A992" s="716"/>
      <c r="B992" s="654"/>
      <c r="C992" s="717"/>
      <c r="D992" s="716"/>
      <c r="E992" s="716"/>
      <c r="F992" s="716"/>
      <c r="G992" s="716"/>
      <c r="H992" s="716"/>
      <c r="I992" s="716"/>
      <c r="J992" s="716"/>
      <c r="K992" s="716"/>
      <c r="L992" s="653" t="str">
        <f t="shared" si="980"/>
        <v>0</v>
      </c>
      <c r="M992" s="654">
        <f t="shared" si="780"/>
        <v>0</v>
      </c>
      <c r="N992" s="655">
        <f>+IF(OR($Q992=Parametres!$G$2,$Q992=Parametres!$G$3),I992,C992)</f>
        <v>0</v>
      </c>
      <c r="O992" s="655">
        <f>+IF(OR($Q992=Parametres!$G$2,$Q992=Parametres!$G$3),J992,D992)</f>
        <v>0</v>
      </c>
      <c r="P992" s="655">
        <f>+IF(OR($Q992=Parametres!$G$2,$Q992=Parametres!$G$3),K992,E992)</f>
        <v>0</v>
      </c>
      <c r="Q992" s="654">
        <f t="shared" ref="Q992:S992" si="1010">+F992</f>
        <v>0</v>
      </c>
      <c r="R992" s="653">
        <f t="shared" si="1010"/>
        <v>0</v>
      </c>
      <c r="S992" s="654">
        <f t="shared" si="1010"/>
        <v>0</v>
      </c>
      <c r="T992" s="656" t="e">
        <f>+VLOOKUP($L992,Data_Validation!$A:$D,1,0)</f>
        <v>#N/A</v>
      </c>
      <c r="U992" s="656" t="e">
        <f>+VLOOKUP($L992,Data_Validation!$A:$D,3,0)</f>
        <v>#N/A</v>
      </c>
      <c r="V992" s="656" t="e">
        <f>+VLOOKUP($L992,Data_Validation!$A:$D,4,0)</f>
        <v>#N/A</v>
      </c>
      <c r="W992" s="656" t="e">
        <f>+VLOOKUP($L992,Data_Validation!$A:$E,5,0)</f>
        <v>#N/A</v>
      </c>
    </row>
    <row r="993" spans="1:23" ht="15.75" customHeight="1">
      <c r="A993" s="716"/>
      <c r="B993" s="654"/>
      <c r="C993" s="717"/>
      <c r="D993" s="716"/>
      <c r="E993" s="716"/>
      <c r="F993" s="716"/>
      <c r="G993" s="716"/>
      <c r="H993" s="716"/>
      <c r="I993" s="716"/>
      <c r="J993" s="716"/>
      <c r="K993" s="716"/>
      <c r="L993" s="653" t="str">
        <f t="shared" si="980"/>
        <v>0</v>
      </c>
      <c r="M993" s="654">
        <f t="shared" si="780"/>
        <v>0</v>
      </c>
      <c r="N993" s="655">
        <f>+IF(OR($Q993=Parametres!$G$2,$Q993=Parametres!$G$3),I993,C993)</f>
        <v>0</v>
      </c>
      <c r="O993" s="655">
        <f>+IF(OR($Q993=Parametres!$G$2,$Q993=Parametres!$G$3),J993,D993)</f>
        <v>0</v>
      </c>
      <c r="P993" s="655">
        <f>+IF(OR($Q993=Parametres!$G$2,$Q993=Parametres!$G$3),K993,E993)</f>
        <v>0</v>
      </c>
      <c r="Q993" s="654">
        <f t="shared" ref="Q993:S993" si="1011">+F993</f>
        <v>0</v>
      </c>
      <c r="R993" s="653">
        <f t="shared" si="1011"/>
        <v>0</v>
      </c>
      <c r="S993" s="654">
        <f t="shared" si="1011"/>
        <v>0</v>
      </c>
      <c r="T993" s="656" t="e">
        <f>+VLOOKUP($L993,Data_Validation!$A:$D,1,0)</f>
        <v>#N/A</v>
      </c>
      <c r="U993" s="656" t="e">
        <f>+VLOOKUP($L993,Data_Validation!$A:$D,3,0)</f>
        <v>#N/A</v>
      </c>
      <c r="V993" s="656" t="e">
        <f>+VLOOKUP($L993,Data_Validation!$A:$D,4,0)</f>
        <v>#N/A</v>
      </c>
      <c r="W993" s="656" t="e">
        <f>+VLOOKUP($L993,Data_Validation!$A:$E,5,0)</f>
        <v>#N/A</v>
      </c>
    </row>
    <row r="994" spans="1:23" ht="15.75" customHeight="1">
      <c r="A994" s="716"/>
      <c r="B994" s="654"/>
      <c r="C994" s="717"/>
      <c r="D994" s="716"/>
      <c r="E994" s="716"/>
      <c r="F994" s="716"/>
      <c r="G994" s="716"/>
      <c r="H994" s="716"/>
      <c r="I994" s="716"/>
      <c r="J994" s="716"/>
      <c r="K994" s="716"/>
      <c r="L994" s="653" t="str">
        <f t="shared" si="980"/>
        <v>0</v>
      </c>
      <c r="M994" s="654">
        <f t="shared" si="780"/>
        <v>0</v>
      </c>
      <c r="N994" s="655">
        <f>+IF(OR($Q994=Parametres!$G$2,$Q994=Parametres!$G$3),I994,C994)</f>
        <v>0</v>
      </c>
      <c r="O994" s="655">
        <f>+IF(OR($Q994=Parametres!$G$2,$Q994=Parametres!$G$3),J994,D994)</f>
        <v>0</v>
      </c>
      <c r="P994" s="655">
        <f>+IF(OR($Q994=Parametres!$G$2,$Q994=Parametres!$G$3),K994,E994)</f>
        <v>0</v>
      </c>
      <c r="Q994" s="654">
        <f t="shared" ref="Q994:S994" si="1012">+F994</f>
        <v>0</v>
      </c>
      <c r="R994" s="653">
        <f t="shared" si="1012"/>
        <v>0</v>
      </c>
      <c r="S994" s="654">
        <f t="shared" si="1012"/>
        <v>0</v>
      </c>
      <c r="T994" s="656" t="e">
        <f>+VLOOKUP($L994,Data_Validation!$A:$D,1,0)</f>
        <v>#N/A</v>
      </c>
      <c r="U994" s="656" t="e">
        <f>+VLOOKUP($L994,Data_Validation!$A:$D,3,0)</f>
        <v>#N/A</v>
      </c>
      <c r="V994" s="656" t="e">
        <f>+VLOOKUP($L994,Data_Validation!$A:$D,4,0)</f>
        <v>#N/A</v>
      </c>
      <c r="W994" s="656" t="e">
        <f>+VLOOKUP($L994,Data_Validation!$A:$E,5,0)</f>
        <v>#N/A</v>
      </c>
    </row>
    <row r="995" spans="1:23" ht="15.75" customHeight="1">
      <c r="A995" s="716"/>
      <c r="B995" s="654"/>
      <c r="C995" s="717"/>
      <c r="D995" s="716"/>
      <c r="E995" s="716"/>
      <c r="F995" s="716"/>
      <c r="G995" s="716"/>
      <c r="H995" s="716"/>
      <c r="I995" s="716"/>
      <c r="J995" s="716"/>
      <c r="K995" s="716"/>
      <c r="L995" s="653" t="str">
        <f t="shared" si="980"/>
        <v>0</v>
      </c>
      <c r="M995" s="654">
        <f t="shared" si="780"/>
        <v>0</v>
      </c>
      <c r="N995" s="655">
        <f>+IF(OR($Q995=Parametres!$G$2,$Q995=Parametres!$G$3),I995,C995)</f>
        <v>0</v>
      </c>
      <c r="O995" s="655">
        <f>+IF(OR($Q995=Parametres!$G$2,$Q995=Parametres!$G$3),J995,D995)</f>
        <v>0</v>
      </c>
      <c r="P995" s="655">
        <f>+IF(OR($Q995=Parametres!$G$2,$Q995=Parametres!$G$3),K995,E995)</f>
        <v>0</v>
      </c>
      <c r="Q995" s="654">
        <f t="shared" ref="Q995:S995" si="1013">+F995</f>
        <v>0</v>
      </c>
      <c r="R995" s="653">
        <f t="shared" si="1013"/>
        <v>0</v>
      </c>
      <c r="S995" s="654">
        <f t="shared" si="1013"/>
        <v>0</v>
      </c>
      <c r="T995" s="656" t="e">
        <f>+VLOOKUP($L995,Data_Validation!$A:$D,1,0)</f>
        <v>#N/A</v>
      </c>
      <c r="U995" s="656" t="e">
        <f>+VLOOKUP($L995,Data_Validation!$A:$D,3,0)</f>
        <v>#N/A</v>
      </c>
      <c r="V995" s="656" t="e">
        <f>+VLOOKUP($L995,Data_Validation!$A:$D,4,0)</f>
        <v>#N/A</v>
      </c>
      <c r="W995" s="656" t="e">
        <f>+VLOOKUP($L995,Data_Validation!$A:$E,5,0)</f>
        <v>#N/A</v>
      </c>
    </row>
    <row r="996" spans="1:23" ht="15.75" customHeight="1">
      <c r="A996" s="716"/>
      <c r="B996" s="654"/>
      <c r="C996" s="717"/>
      <c r="D996" s="716"/>
      <c r="E996" s="716"/>
      <c r="F996" s="716"/>
      <c r="G996" s="716"/>
      <c r="H996" s="716"/>
      <c r="I996" s="716"/>
      <c r="J996" s="716"/>
      <c r="K996" s="716"/>
      <c r="L996" s="653" t="str">
        <f t="shared" si="980"/>
        <v>0</v>
      </c>
      <c r="M996" s="654">
        <f t="shared" si="780"/>
        <v>0</v>
      </c>
      <c r="N996" s="655">
        <f>+IF(OR($Q996=Parametres!$G$2,$Q996=Parametres!$G$3),I996,C996)</f>
        <v>0</v>
      </c>
      <c r="O996" s="655">
        <f>+IF(OR($Q996=Parametres!$G$2,$Q996=Parametres!$G$3),J996,D996)</f>
        <v>0</v>
      </c>
      <c r="P996" s="655">
        <f>+IF(OR($Q996=Parametres!$G$2,$Q996=Parametres!$G$3),K996,E996)</f>
        <v>0</v>
      </c>
      <c r="Q996" s="654">
        <f t="shared" ref="Q996:S996" si="1014">+F996</f>
        <v>0</v>
      </c>
      <c r="R996" s="653">
        <f t="shared" si="1014"/>
        <v>0</v>
      </c>
      <c r="S996" s="654">
        <f t="shared" si="1014"/>
        <v>0</v>
      </c>
      <c r="T996" s="656" t="e">
        <f>+VLOOKUP($L996,Data_Validation!$A:$D,1,0)</f>
        <v>#N/A</v>
      </c>
      <c r="U996" s="656" t="e">
        <f>+VLOOKUP($L996,Data_Validation!$A:$D,3,0)</f>
        <v>#N/A</v>
      </c>
      <c r="V996" s="656" t="e">
        <f>+VLOOKUP($L996,Data_Validation!$A:$D,4,0)</f>
        <v>#N/A</v>
      </c>
      <c r="W996" s="656" t="e">
        <f>+VLOOKUP($L996,Data_Validation!$A:$E,5,0)</f>
        <v>#N/A</v>
      </c>
    </row>
    <row r="997" spans="1:23" ht="15.75" customHeight="1">
      <c r="A997" s="716"/>
      <c r="B997" s="654"/>
      <c r="C997" s="717"/>
      <c r="D997" s="716"/>
      <c r="E997" s="716"/>
      <c r="F997" s="716"/>
      <c r="G997" s="716"/>
      <c r="H997" s="716"/>
      <c r="I997" s="716"/>
      <c r="J997" s="716"/>
      <c r="K997" s="716"/>
      <c r="L997" s="653" t="str">
        <f t="shared" si="980"/>
        <v>0</v>
      </c>
      <c r="M997" s="654">
        <f t="shared" si="780"/>
        <v>0</v>
      </c>
      <c r="N997" s="655">
        <f>+IF(OR($Q997=Parametres!$G$2,$Q997=Parametres!$G$3),I997,C997)</f>
        <v>0</v>
      </c>
      <c r="O997" s="655">
        <f>+IF(OR($Q997=Parametres!$G$2,$Q997=Parametres!$G$3),J997,D997)</f>
        <v>0</v>
      </c>
      <c r="P997" s="655">
        <f>+IF(OR($Q997=Parametres!$G$2,$Q997=Parametres!$G$3),K997,E997)</f>
        <v>0</v>
      </c>
      <c r="Q997" s="654">
        <f t="shared" ref="Q997:S997" si="1015">+F997</f>
        <v>0</v>
      </c>
      <c r="R997" s="653">
        <f t="shared" si="1015"/>
        <v>0</v>
      </c>
      <c r="S997" s="654">
        <f t="shared" si="1015"/>
        <v>0</v>
      </c>
      <c r="T997" s="656" t="e">
        <f>+VLOOKUP($L997,Data_Validation!$A:$D,1,0)</f>
        <v>#N/A</v>
      </c>
      <c r="U997" s="656" t="e">
        <f>+VLOOKUP($L997,Data_Validation!$A:$D,3,0)</f>
        <v>#N/A</v>
      </c>
      <c r="V997" s="656" t="e">
        <f>+VLOOKUP($L997,Data_Validation!$A:$D,4,0)</f>
        <v>#N/A</v>
      </c>
      <c r="W997" s="656" t="e">
        <f>+VLOOKUP($L997,Data_Validation!$A:$E,5,0)</f>
        <v>#N/A</v>
      </c>
    </row>
    <row r="998" spans="1:23" ht="15.75" customHeight="1">
      <c r="A998" s="716"/>
      <c r="B998" s="654"/>
      <c r="C998" s="717"/>
      <c r="D998" s="716"/>
      <c r="E998" s="716"/>
      <c r="F998" s="716"/>
      <c r="G998" s="716"/>
      <c r="H998" s="716"/>
      <c r="I998" s="716"/>
      <c r="J998" s="716"/>
      <c r="K998" s="716"/>
      <c r="L998" s="653" t="str">
        <f t="shared" si="980"/>
        <v>0</v>
      </c>
      <c r="M998" s="654">
        <f t="shared" si="780"/>
        <v>0</v>
      </c>
      <c r="N998" s="655">
        <f>+IF(OR($Q998=Parametres!$G$2,$Q998=Parametres!$G$3),I998,C998)</f>
        <v>0</v>
      </c>
      <c r="O998" s="655">
        <f>+IF(OR($Q998=Parametres!$G$2,$Q998=Parametres!$G$3),J998,D998)</f>
        <v>0</v>
      </c>
      <c r="P998" s="655">
        <f>+IF(OR($Q998=Parametres!$G$2,$Q998=Parametres!$G$3),K998,E998)</f>
        <v>0</v>
      </c>
      <c r="Q998" s="654">
        <f t="shared" ref="Q998:S998" si="1016">+F998</f>
        <v>0</v>
      </c>
      <c r="R998" s="653">
        <f t="shared" si="1016"/>
        <v>0</v>
      </c>
      <c r="S998" s="654">
        <f t="shared" si="1016"/>
        <v>0</v>
      </c>
      <c r="T998" s="656" t="e">
        <f>+VLOOKUP($L998,Data_Validation!$A:$D,1,0)</f>
        <v>#N/A</v>
      </c>
      <c r="U998" s="656" t="e">
        <f>+VLOOKUP($L998,Data_Validation!$A:$D,3,0)</f>
        <v>#N/A</v>
      </c>
      <c r="V998" s="656" t="e">
        <f>+VLOOKUP($L998,Data_Validation!$A:$D,4,0)</f>
        <v>#N/A</v>
      </c>
      <c r="W998" s="656" t="e">
        <f>+VLOOKUP($L998,Data_Validation!$A:$E,5,0)</f>
        <v>#N/A</v>
      </c>
    </row>
    <row r="999" spans="1:23" ht="15.75" customHeight="1">
      <c r="A999" s="716"/>
      <c r="B999" s="654"/>
      <c r="C999" s="717"/>
      <c r="D999" s="716"/>
      <c r="E999" s="716"/>
      <c r="F999" s="716"/>
      <c r="G999" s="716"/>
      <c r="H999" s="716"/>
      <c r="I999" s="716"/>
      <c r="J999" s="716"/>
      <c r="K999" s="716"/>
      <c r="L999" s="653" t="str">
        <f t="shared" si="980"/>
        <v>0</v>
      </c>
      <c r="M999" s="654">
        <f t="shared" si="780"/>
        <v>0</v>
      </c>
      <c r="N999" s="655">
        <f>+IF(OR($Q999=Parametres!$G$2,$Q999=Parametres!$G$3),I999,C999)</f>
        <v>0</v>
      </c>
      <c r="O999" s="655">
        <f>+IF(OR($Q999=Parametres!$G$2,$Q999=Parametres!$G$3),J999,D999)</f>
        <v>0</v>
      </c>
      <c r="P999" s="655">
        <f>+IF(OR($Q999=Parametres!$G$2,$Q999=Parametres!$G$3),K999,E999)</f>
        <v>0</v>
      </c>
      <c r="Q999" s="654">
        <f t="shared" ref="Q999:S999" si="1017">+F999</f>
        <v>0</v>
      </c>
      <c r="R999" s="653">
        <f t="shared" si="1017"/>
        <v>0</v>
      </c>
      <c r="S999" s="654">
        <f t="shared" si="1017"/>
        <v>0</v>
      </c>
      <c r="T999" s="656" t="e">
        <f>+VLOOKUP($L999,Data_Validation!$A:$D,1,0)</f>
        <v>#N/A</v>
      </c>
      <c r="U999" s="656" t="e">
        <f>+VLOOKUP($L999,Data_Validation!$A:$D,3,0)</f>
        <v>#N/A</v>
      </c>
      <c r="V999" s="656" t="e">
        <f>+VLOOKUP($L999,Data_Validation!$A:$D,4,0)</f>
        <v>#N/A</v>
      </c>
      <c r="W999" s="656" t="e">
        <f>+VLOOKUP($L999,Data_Validation!$A:$E,5,0)</f>
        <v>#N/A</v>
      </c>
    </row>
    <row r="1000" spans="1:23" ht="15.75" customHeight="1">
      <c r="A1000" s="716"/>
      <c r="B1000" s="654"/>
      <c r="C1000" s="717"/>
      <c r="D1000" s="716"/>
      <c r="E1000" s="716"/>
      <c r="F1000" s="716"/>
      <c r="G1000" s="716"/>
      <c r="H1000" s="716"/>
      <c r="I1000" s="716"/>
      <c r="J1000" s="716"/>
      <c r="K1000" s="716"/>
      <c r="L1000" s="653" t="str">
        <f t="shared" si="980"/>
        <v>0</v>
      </c>
      <c r="M1000" s="654">
        <f t="shared" si="780"/>
        <v>0</v>
      </c>
      <c r="N1000" s="655">
        <f>+IF(OR($Q1000=Parametres!$G$2,$Q1000=Parametres!$G$3),I1000,C1000)</f>
        <v>0</v>
      </c>
      <c r="O1000" s="655">
        <f>+IF(OR($Q1000=Parametres!$G$2,$Q1000=Parametres!$G$3),J1000,D1000)</f>
        <v>0</v>
      </c>
      <c r="P1000" s="655">
        <f>+IF(OR($Q1000=Parametres!$G$2,$Q1000=Parametres!$G$3),K1000,E1000)</f>
        <v>0</v>
      </c>
      <c r="Q1000" s="654">
        <f t="shared" ref="Q1000:S1000" si="1018">+F1000</f>
        <v>0</v>
      </c>
      <c r="R1000" s="653">
        <f t="shared" si="1018"/>
        <v>0</v>
      </c>
      <c r="S1000" s="654">
        <f t="shared" si="1018"/>
        <v>0</v>
      </c>
      <c r="T1000" s="656" t="e">
        <f>+VLOOKUP($L1000,Data_Validation!$A:$D,1,0)</f>
        <v>#N/A</v>
      </c>
      <c r="U1000" s="656" t="e">
        <f>+VLOOKUP($L1000,Data_Validation!$A:$D,3,0)</f>
        <v>#N/A</v>
      </c>
      <c r="V1000" s="656" t="e">
        <f>+VLOOKUP($L1000,Data_Validation!$A:$D,4,0)</f>
        <v>#N/A</v>
      </c>
      <c r="W1000" s="656" t="e">
        <f>+VLOOKUP($L1000,Data_Validation!$A:$E,5,0)</f>
        <v>#N/A</v>
      </c>
    </row>
    <row r="1001" spans="1:23" ht="15.75" customHeight="1">
      <c r="A1001" s="716"/>
      <c r="B1001" s="654"/>
      <c r="C1001" s="717"/>
      <c r="D1001" s="716"/>
      <c r="E1001" s="716"/>
      <c r="F1001" s="716"/>
      <c r="G1001" s="716"/>
      <c r="H1001" s="716"/>
      <c r="I1001" s="716"/>
      <c r="J1001" s="716"/>
      <c r="K1001" s="716"/>
      <c r="L1001" s="653" t="str">
        <f t="shared" si="980"/>
        <v>0</v>
      </c>
      <c r="M1001" s="654">
        <f t="shared" si="780"/>
        <v>0</v>
      </c>
      <c r="N1001" s="655">
        <f>+IF(OR($Q1001=Parametres!$G$2,$Q1001=Parametres!$G$3),I1001,C1001)</f>
        <v>0</v>
      </c>
      <c r="O1001" s="655">
        <f>+IF(OR($Q1001=Parametres!$G$2,$Q1001=Parametres!$G$3),J1001,D1001)</f>
        <v>0</v>
      </c>
      <c r="P1001" s="655">
        <f>+IF(OR($Q1001=Parametres!$G$2,$Q1001=Parametres!$G$3),K1001,E1001)</f>
        <v>0</v>
      </c>
      <c r="Q1001" s="654">
        <f t="shared" ref="Q1001:S1001" si="1019">+F1001</f>
        <v>0</v>
      </c>
      <c r="R1001" s="653">
        <f t="shared" si="1019"/>
        <v>0</v>
      </c>
      <c r="S1001" s="654">
        <f t="shared" si="1019"/>
        <v>0</v>
      </c>
      <c r="T1001" s="656" t="e">
        <f>+VLOOKUP($L1001,Data_Validation!$A:$D,1,0)</f>
        <v>#N/A</v>
      </c>
      <c r="U1001" s="656" t="e">
        <f>+VLOOKUP($L1001,Data_Validation!$A:$D,3,0)</f>
        <v>#N/A</v>
      </c>
      <c r="V1001" s="656" t="e">
        <f>+VLOOKUP($L1001,Data_Validation!$A:$D,4,0)</f>
        <v>#N/A</v>
      </c>
      <c r="W1001" s="656" t="e">
        <f>+VLOOKUP($L1001,Data_Validation!$A:$E,5,0)</f>
        <v>#N/A</v>
      </c>
    </row>
    <row r="1002" spans="1:23" ht="15.75" customHeight="1">
      <c r="A1002" s="716"/>
      <c r="B1002" s="654"/>
      <c r="C1002" s="717"/>
      <c r="D1002" s="716"/>
      <c r="E1002" s="716"/>
      <c r="F1002" s="716"/>
      <c r="G1002" s="716"/>
      <c r="H1002" s="716"/>
      <c r="I1002" s="716"/>
      <c r="J1002" s="716"/>
      <c r="K1002" s="716"/>
      <c r="L1002" s="653" t="str">
        <f t="shared" si="980"/>
        <v>0</v>
      </c>
      <c r="M1002" s="654">
        <f t="shared" si="780"/>
        <v>0</v>
      </c>
      <c r="N1002" s="655">
        <f>+IF(OR($Q1002=Parametres!$G$2,$Q1002=Parametres!$G$3),I1002,C1002)</f>
        <v>0</v>
      </c>
      <c r="O1002" s="655">
        <f>+IF(OR($Q1002=Parametres!$G$2,$Q1002=Parametres!$G$3),J1002,D1002)</f>
        <v>0</v>
      </c>
      <c r="P1002" s="655">
        <f>+IF(OR($Q1002=Parametres!$G$2,$Q1002=Parametres!$G$3),K1002,E1002)</f>
        <v>0</v>
      </c>
      <c r="Q1002" s="654">
        <f t="shared" ref="Q1002:S1002" si="1020">+F1002</f>
        <v>0</v>
      </c>
      <c r="R1002" s="653">
        <f t="shared" si="1020"/>
        <v>0</v>
      </c>
      <c r="S1002" s="654">
        <f t="shared" si="1020"/>
        <v>0</v>
      </c>
      <c r="T1002" s="656" t="e">
        <f>+VLOOKUP($L1002,Data_Validation!$A:$D,1,0)</f>
        <v>#N/A</v>
      </c>
      <c r="U1002" s="656" t="e">
        <f>+VLOOKUP($L1002,Data_Validation!$A:$D,3,0)</f>
        <v>#N/A</v>
      </c>
      <c r="V1002" s="656" t="e">
        <f>+VLOOKUP($L1002,Data_Validation!$A:$D,4,0)</f>
        <v>#N/A</v>
      </c>
      <c r="W1002" s="656" t="e">
        <f>+VLOOKUP($L1002,Data_Validation!$A:$E,5,0)</f>
        <v>#N/A</v>
      </c>
    </row>
    <row r="1003" spans="1:23" ht="15.75" customHeight="1">
      <c r="A1003" s="716"/>
      <c r="B1003" s="654"/>
      <c r="C1003" s="717"/>
      <c r="D1003" s="716"/>
      <c r="E1003" s="716"/>
      <c r="F1003" s="716"/>
      <c r="G1003" s="716"/>
      <c r="H1003" s="716"/>
      <c r="I1003" s="716"/>
      <c r="J1003" s="716"/>
      <c r="K1003" s="716"/>
      <c r="L1003" s="653" t="str">
        <f t="shared" si="980"/>
        <v>0</v>
      </c>
      <c r="M1003" s="654">
        <f t="shared" si="780"/>
        <v>0</v>
      </c>
      <c r="N1003" s="655">
        <f>+IF(OR($Q1003=Parametres!$G$2,$Q1003=Parametres!$G$3),I1003,C1003)</f>
        <v>0</v>
      </c>
      <c r="O1003" s="655">
        <f>+IF(OR($Q1003=Parametres!$G$2,$Q1003=Parametres!$G$3),J1003,D1003)</f>
        <v>0</v>
      </c>
      <c r="P1003" s="655">
        <f>+IF(OR($Q1003=Parametres!$G$2,$Q1003=Parametres!$G$3),K1003,E1003)</f>
        <v>0</v>
      </c>
      <c r="Q1003" s="654">
        <f t="shared" ref="Q1003:S1003" si="1021">+F1003</f>
        <v>0</v>
      </c>
      <c r="R1003" s="653">
        <f t="shared" si="1021"/>
        <v>0</v>
      </c>
      <c r="S1003" s="654">
        <f t="shared" si="1021"/>
        <v>0</v>
      </c>
      <c r="T1003" s="656" t="e">
        <f>+VLOOKUP($L1003,Data_Validation!$A:$D,1,0)</f>
        <v>#N/A</v>
      </c>
      <c r="U1003" s="656" t="e">
        <f>+VLOOKUP($L1003,Data_Validation!$A:$D,3,0)</f>
        <v>#N/A</v>
      </c>
      <c r="V1003" s="656" t="e">
        <f>+VLOOKUP($L1003,Data_Validation!$A:$D,4,0)</f>
        <v>#N/A</v>
      </c>
      <c r="W1003" s="656" t="e">
        <f>+VLOOKUP($L1003,Data_Validation!$A:$E,5,0)</f>
        <v>#N/A</v>
      </c>
    </row>
    <row r="1004" spans="1:23" ht="15.75" customHeight="1">
      <c r="A1004" s="716"/>
      <c r="B1004" s="654"/>
      <c r="C1004" s="717"/>
      <c r="D1004" s="716"/>
      <c r="E1004" s="716"/>
      <c r="F1004" s="716"/>
      <c r="G1004" s="716"/>
      <c r="H1004" s="716"/>
      <c r="I1004" s="716"/>
      <c r="J1004" s="716"/>
      <c r="K1004" s="716"/>
      <c r="L1004" s="653" t="str">
        <f t="shared" si="980"/>
        <v>0</v>
      </c>
      <c r="M1004" s="654">
        <f t="shared" si="780"/>
        <v>0</v>
      </c>
      <c r="N1004" s="655">
        <f>+IF(OR($Q1004=Parametres!$G$2,$Q1004=Parametres!$G$3),I1004,C1004)</f>
        <v>0</v>
      </c>
      <c r="O1004" s="655">
        <f>+IF(OR($Q1004=Parametres!$G$2,$Q1004=Parametres!$G$3),J1004,D1004)</f>
        <v>0</v>
      </c>
      <c r="P1004" s="655">
        <f>+IF(OR($Q1004=Parametres!$G$2,$Q1004=Parametres!$G$3),K1004,E1004)</f>
        <v>0</v>
      </c>
      <c r="Q1004" s="654">
        <f t="shared" ref="Q1004:S1004" si="1022">+F1004</f>
        <v>0</v>
      </c>
      <c r="R1004" s="653">
        <f t="shared" si="1022"/>
        <v>0</v>
      </c>
      <c r="S1004" s="654">
        <f t="shared" si="1022"/>
        <v>0</v>
      </c>
      <c r="T1004" s="656" t="e">
        <f>+VLOOKUP($L1004,Data_Validation!$A:$D,1,0)</f>
        <v>#N/A</v>
      </c>
      <c r="U1004" s="656" t="e">
        <f>+VLOOKUP($L1004,Data_Validation!$A:$D,3,0)</f>
        <v>#N/A</v>
      </c>
      <c r="V1004" s="656" t="e">
        <f>+VLOOKUP($L1004,Data_Validation!$A:$D,4,0)</f>
        <v>#N/A</v>
      </c>
      <c r="W1004" s="656" t="e">
        <f>+VLOOKUP($L1004,Data_Validation!$A:$E,5,0)</f>
        <v>#N/A</v>
      </c>
    </row>
    <row r="1005" spans="1:23" ht="15.75" customHeight="1">
      <c r="A1005" s="716"/>
      <c r="B1005" s="654"/>
      <c r="C1005" s="717"/>
      <c r="D1005" s="716"/>
      <c r="E1005" s="716"/>
      <c r="F1005" s="716"/>
      <c r="G1005" s="716"/>
      <c r="H1005" s="716"/>
      <c r="I1005" s="716"/>
      <c r="J1005" s="716"/>
      <c r="K1005" s="716"/>
      <c r="L1005" s="653" t="str">
        <f t="shared" si="980"/>
        <v>0</v>
      </c>
      <c r="M1005" s="654">
        <f t="shared" si="780"/>
        <v>0</v>
      </c>
      <c r="N1005" s="655">
        <f>+IF(OR($Q1005=Parametres!$G$2,$Q1005=Parametres!$G$3),I1005,C1005)</f>
        <v>0</v>
      </c>
      <c r="O1005" s="655">
        <f>+IF(OR($Q1005=Parametres!$G$2,$Q1005=Parametres!$G$3),J1005,D1005)</f>
        <v>0</v>
      </c>
      <c r="P1005" s="655">
        <f>+IF(OR($Q1005=Parametres!$G$2,$Q1005=Parametres!$G$3),K1005,E1005)</f>
        <v>0</v>
      </c>
      <c r="Q1005" s="654">
        <f t="shared" ref="Q1005:S1005" si="1023">+F1005</f>
        <v>0</v>
      </c>
      <c r="R1005" s="653">
        <f t="shared" si="1023"/>
        <v>0</v>
      </c>
      <c r="S1005" s="654">
        <f t="shared" si="1023"/>
        <v>0</v>
      </c>
      <c r="T1005" s="656" t="e">
        <f>+VLOOKUP($L1005,Data_Validation!$A:$D,1,0)</f>
        <v>#N/A</v>
      </c>
      <c r="U1005" s="656" t="e">
        <f>+VLOOKUP($L1005,Data_Validation!$A:$D,3,0)</f>
        <v>#N/A</v>
      </c>
      <c r="V1005" s="656" t="e">
        <f>+VLOOKUP($L1005,Data_Validation!$A:$D,4,0)</f>
        <v>#N/A</v>
      </c>
      <c r="W1005" s="656" t="e">
        <f>+VLOOKUP($L1005,Data_Validation!$A:$E,5,0)</f>
        <v>#N/A</v>
      </c>
    </row>
    <row r="1006" spans="1:23" ht="15.75" customHeight="1">
      <c r="A1006" s="716"/>
      <c r="B1006" s="654"/>
      <c r="C1006" s="717"/>
      <c r="D1006" s="716"/>
      <c r="E1006" s="716"/>
      <c r="F1006" s="716"/>
      <c r="G1006" s="716"/>
      <c r="H1006" s="716"/>
      <c r="I1006" s="716"/>
      <c r="J1006" s="716"/>
      <c r="K1006" s="716"/>
      <c r="L1006" s="653" t="str">
        <f t="shared" si="980"/>
        <v>0</v>
      </c>
      <c r="M1006" s="654">
        <f t="shared" si="780"/>
        <v>0</v>
      </c>
      <c r="N1006" s="655">
        <f>+IF(OR($Q1006=Parametres!$G$2,$Q1006=Parametres!$G$3),I1006,C1006)</f>
        <v>0</v>
      </c>
      <c r="O1006" s="655">
        <f>+IF(OR($Q1006=Parametres!$G$2,$Q1006=Parametres!$G$3),J1006,D1006)</f>
        <v>0</v>
      </c>
      <c r="P1006" s="655">
        <f>+IF(OR($Q1006=Parametres!$G$2,$Q1006=Parametres!$G$3),K1006,E1006)</f>
        <v>0</v>
      </c>
      <c r="Q1006" s="654">
        <f t="shared" ref="Q1006:S1006" si="1024">+F1006</f>
        <v>0</v>
      </c>
      <c r="R1006" s="653">
        <f t="shared" si="1024"/>
        <v>0</v>
      </c>
      <c r="S1006" s="654">
        <f t="shared" si="1024"/>
        <v>0</v>
      </c>
      <c r="T1006" s="656" t="e">
        <f>+VLOOKUP($L1006,Data_Validation!$A:$D,1,0)</f>
        <v>#N/A</v>
      </c>
      <c r="U1006" s="656" t="e">
        <f>+VLOOKUP($L1006,Data_Validation!$A:$D,3,0)</f>
        <v>#N/A</v>
      </c>
      <c r="V1006" s="656" t="e">
        <f>+VLOOKUP($L1006,Data_Validation!$A:$D,4,0)</f>
        <v>#N/A</v>
      </c>
      <c r="W1006" s="656" t="e">
        <f>+VLOOKUP($L1006,Data_Validation!$A:$E,5,0)</f>
        <v>#N/A</v>
      </c>
    </row>
    <row r="1007" spans="1:23" ht="15.75" customHeight="1">
      <c r="A1007" s="716"/>
      <c r="B1007" s="654"/>
      <c r="C1007" s="717"/>
      <c r="D1007" s="716"/>
      <c r="E1007" s="716"/>
      <c r="F1007" s="716"/>
      <c r="G1007" s="716"/>
      <c r="H1007" s="716"/>
      <c r="I1007" s="716"/>
      <c r="J1007" s="716"/>
      <c r="K1007" s="716"/>
      <c r="L1007" s="653" t="str">
        <f t="shared" si="980"/>
        <v>0</v>
      </c>
      <c r="M1007" s="654">
        <f t="shared" si="780"/>
        <v>0</v>
      </c>
      <c r="N1007" s="655">
        <f>+IF(OR($Q1007=Parametres!$G$2,$Q1007=Parametres!$G$3),I1007,C1007)</f>
        <v>0</v>
      </c>
      <c r="O1007" s="655">
        <f>+IF(OR($Q1007=Parametres!$G$2,$Q1007=Parametres!$G$3),J1007,D1007)</f>
        <v>0</v>
      </c>
      <c r="P1007" s="655">
        <f>+IF(OR($Q1007=Parametres!$G$2,$Q1007=Parametres!$G$3),K1007,E1007)</f>
        <v>0</v>
      </c>
      <c r="Q1007" s="654">
        <f t="shared" ref="Q1007:S1007" si="1025">+F1007</f>
        <v>0</v>
      </c>
      <c r="R1007" s="653">
        <f t="shared" si="1025"/>
        <v>0</v>
      </c>
      <c r="S1007" s="654">
        <f t="shared" si="1025"/>
        <v>0</v>
      </c>
      <c r="T1007" s="656" t="e">
        <f>+VLOOKUP($L1007,Data_Validation!$A:$D,1,0)</f>
        <v>#N/A</v>
      </c>
      <c r="U1007" s="656" t="e">
        <f>+VLOOKUP($L1007,Data_Validation!$A:$D,3,0)</f>
        <v>#N/A</v>
      </c>
      <c r="V1007" s="656" t="e">
        <f>+VLOOKUP($L1007,Data_Validation!$A:$D,4,0)</f>
        <v>#N/A</v>
      </c>
      <c r="W1007" s="656" t="e">
        <f>+VLOOKUP($L1007,Data_Validation!$A:$E,5,0)</f>
        <v>#N/A</v>
      </c>
    </row>
    <row r="1008" spans="1:23" ht="15.75" customHeight="1">
      <c r="A1008" s="716"/>
      <c r="B1008" s="654"/>
      <c r="C1008" s="717"/>
      <c r="D1008" s="716"/>
      <c r="E1008" s="716"/>
      <c r="F1008" s="716"/>
      <c r="G1008" s="716"/>
      <c r="H1008" s="716"/>
      <c r="I1008" s="716"/>
      <c r="J1008" s="716"/>
      <c r="K1008" s="716"/>
      <c r="L1008" s="653" t="str">
        <f t="shared" si="980"/>
        <v>0</v>
      </c>
      <c r="M1008" s="654">
        <f t="shared" si="780"/>
        <v>0</v>
      </c>
      <c r="N1008" s="655">
        <f>+IF(OR($Q1008=Parametres!$G$2,$Q1008=Parametres!$G$3),I1008,C1008)</f>
        <v>0</v>
      </c>
      <c r="O1008" s="655">
        <f>+IF(OR($Q1008=Parametres!$G$2,$Q1008=Parametres!$G$3),J1008,D1008)</f>
        <v>0</v>
      </c>
      <c r="P1008" s="655">
        <f>+IF(OR($Q1008=Parametres!$G$2,$Q1008=Parametres!$G$3),K1008,E1008)</f>
        <v>0</v>
      </c>
      <c r="Q1008" s="654">
        <f t="shared" ref="Q1008:S1008" si="1026">+F1008</f>
        <v>0</v>
      </c>
      <c r="R1008" s="653">
        <f t="shared" si="1026"/>
        <v>0</v>
      </c>
      <c r="S1008" s="654">
        <f t="shared" si="1026"/>
        <v>0</v>
      </c>
      <c r="T1008" s="656" t="e">
        <f>+VLOOKUP($L1008,Data_Validation!$A:$D,1,0)</f>
        <v>#N/A</v>
      </c>
      <c r="U1008" s="656" t="e">
        <f>+VLOOKUP($L1008,Data_Validation!$A:$D,3,0)</f>
        <v>#N/A</v>
      </c>
      <c r="V1008" s="656" t="e">
        <f>+VLOOKUP($L1008,Data_Validation!$A:$D,4,0)</f>
        <v>#N/A</v>
      </c>
      <c r="W1008" s="656" t="e">
        <f>+VLOOKUP($L1008,Data_Validation!$A:$E,5,0)</f>
        <v>#N/A</v>
      </c>
    </row>
    <row r="1009" spans="1:23" ht="15.75" customHeight="1">
      <c r="A1009" s="716"/>
      <c r="B1009" s="654"/>
      <c r="C1009" s="717"/>
      <c r="D1009" s="716"/>
      <c r="E1009" s="716"/>
      <c r="F1009" s="716"/>
      <c r="G1009" s="716"/>
      <c r="H1009" s="716"/>
      <c r="I1009" s="716"/>
      <c r="J1009" s="716"/>
      <c r="K1009" s="716"/>
      <c r="L1009" s="653" t="str">
        <f t="shared" si="980"/>
        <v>0</v>
      </c>
      <c r="M1009" s="654">
        <f t="shared" si="780"/>
        <v>0</v>
      </c>
      <c r="N1009" s="655">
        <f>+IF(OR($Q1009=Parametres!$G$2,$Q1009=Parametres!$G$3),I1009,C1009)</f>
        <v>0</v>
      </c>
      <c r="O1009" s="655">
        <f>+IF(OR($Q1009=Parametres!$G$2,$Q1009=Parametres!$G$3),J1009,D1009)</f>
        <v>0</v>
      </c>
      <c r="P1009" s="655">
        <f>+IF(OR($Q1009=Parametres!$G$2,$Q1009=Parametres!$G$3),K1009,E1009)</f>
        <v>0</v>
      </c>
      <c r="Q1009" s="654">
        <f t="shared" ref="Q1009:S1009" si="1027">+F1009</f>
        <v>0</v>
      </c>
      <c r="R1009" s="653">
        <f t="shared" si="1027"/>
        <v>0</v>
      </c>
      <c r="S1009" s="654">
        <f t="shared" si="1027"/>
        <v>0</v>
      </c>
      <c r="T1009" s="656" t="e">
        <f>+VLOOKUP($L1009,Data_Validation!$A:$D,1,0)</f>
        <v>#N/A</v>
      </c>
      <c r="U1009" s="656" t="e">
        <f>+VLOOKUP($L1009,Data_Validation!$A:$D,3,0)</f>
        <v>#N/A</v>
      </c>
      <c r="V1009" s="656" t="e">
        <f>+VLOOKUP($L1009,Data_Validation!$A:$D,4,0)</f>
        <v>#N/A</v>
      </c>
      <c r="W1009" s="656" t="e">
        <f>+VLOOKUP($L1009,Data_Validation!$A:$E,5,0)</f>
        <v>#N/A</v>
      </c>
    </row>
    <row r="1010" spans="1:23" ht="15.75" customHeight="1">
      <c r="A1010" s="716"/>
      <c r="B1010" s="654"/>
      <c r="C1010" s="717"/>
      <c r="D1010" s="716"/>
      <c r="E1010" s="716"/>
      <c r="F1010" s="716"/>
      <c r="G1010" s="716"/>
      <c r="H1010" s="716"/>
      <c r="I1010" s="716"/>
      <c r="J1010" s="716"/>
      <c r="K1010" s="716"/>
      <c r="L1010" s="653" t="str">
        <f t="shared" si="980"/>
        <v>0</v>
      </c>
      <c r="M1010" s="654">
        <f t="shared" si="780"/>
        <v>0</v>
      </c>
      <c r="N1010" s="655">
        <f>+IF(OR($Q1010=Parametres!$G$2,$Q1010=Parametres!$G$3),I1010,C1010)</f>
        <v>0</v>
      </c>
      <c r="O1010" s="655">
        <f>+IF(OR($Q1010=Parametres!$G$2,$Q1010=Parametres!$G$3),J1010,D1010)</f>
        <v>0</v>
      </c>
      <c r="P1010" s="655">
        <f>+IF(OR($Q1010=Parametres!$G$2,$Q1010=Parametres!$G$3),K1010,E1010)</f>
        <v>0</v>
      </c>
      <c r="Q1010" s="654">
        <f t="shared" ref="Q1010:S1010" si="1028">+F1010</f>
        <v>0</v>
      </c>
      <c r="R1010" s="653">
        <f t="shared" si="1028"/>
        <v>0</v>
      </c>
      <c r="S1010" s="654">
        <f t="shared" si="1028"/>
        <v>0</v>
      </c>
      <c r="T1010" s="656" t="e">
        <f>+VLOOKUP($L1010,Data_Validation!$A:$D,1,0)</f>
        <v>#N/A</v>
      </c>
      <c r="U1010" s="656" t="e">
        <f>+VLOOKUP($L1010,Data_Validation!$A:$D,3,0)</f>
        <v>#N/A</v>
      </c>
      <c r="V1010" s="656" t="e">
        <f>+VLOOKUP($L1010,Data_Validation!$A:$D,4,0)</f>
        <v>#N/A</v>
      </c>
      <c r="W1010" s="656" t="e">
        <f>+VLOOKUP($L1010,Data_Validation!$A:$E,5,0)</f>
        <v>#N/A</v>
      </c>
    </row>
    <row r="1011" spans="1:23" ht="15.75" customHeight="1">
      <c r="A1011" s="716"/>
      <c r="B1011" s="654"/>
      <c r="C1011" s="717"/>
      <c r="D1011" s="716"/>
      <c r="E1011" s="716"/>
      <c r="F1011" s="716"/>
      <c r="G1011" s="716"/>
      <c r="H1011" s="716"/>
      <c r="I1011" s="716"/>
      <c r="J1011" s="716"/>
      <c r="K1011" s="716"/>
      <c r="L1011" s="653" t="str">
        <f t="shared" si="980"/>
        <v>0</v>
      </c>
      <c r="M1011" s="654">
        <f t="shared" si="780"/>
        <v>0</v>
      </c>
      <c r="N1011" s="655">
        <f>+IF(OR($Q1011=Parametres!$G$2,$Q1011=Parametres!$G$3),I1011,C1011)</f>
        <v>0</v>
      </c>
      <c r="O1011" s="655">
        <f>+IF(OR($Q1011=Parametres!$G$2,$Q1011=Parametres!$G$3),J1011,D1011)</f>
        <v>0</v>
      </c>
      <c r="P1011" s="655">
        <f>+IF(OR($Q1011=Parametres!$G$2,$Q1011=Parametres!$G$3),K1011,E1011)</f>
        <v>0</v>
      </c>
      <c r="Q1011" s="654">
        <f t="shared" ref="Q1011:S1011" si="1029">+F1011</f>
        <v>0</v>
      </c>
      <c r="R1011" s="653">
        <f t="shared" si="1029"/>
        <v>0</v>
      </c>
      <c r="S1011" s="654">
        <f t="shared" si="1029"/>
        <v>0</v>
      </c>
      <c r="T1011" s="656" t="e">
        <f>+VLOOKUP($L1011,Data_Validation!$A:$D,1,0)</f>
        <v>#N/A</v>
      </c>
      <c r="U1011" s="656" t="e">
        <f>+VLOOKUP($L1011,Data_Validation!$A:$D,3,0)</f>
        <v>#N/A</v>
      </c>
      <c r="V1011" s="656" t="e">
        <f>+VLOOKUP($L1011,Data_Validation!$A:$D,4,0)</f>
        <v>#N/A</v>
      </c>
      <c r="W1011" s="656" t="e">
        <f>+VLOOKUP($L1011,Data_Validation!$A:$E,5,0)</f>
        <v>#N/A</v>
      </c>
    </row>
    <row r="1012" spans="1:23" ht="15.75" customHeight="1">
      <c r="A1012" s="716"/>
      <c r="B1012" s="654"/>
      <c r="C1012" s="717"/>
      <c r="D1012" s="716"/>
      <c r="E1012" s="716"/>
      <c r="F1012" s="716"/>
      <c r="G1012" s="716"/>
      <c r="H1012" s="716"/>
      <c r="I1012" s="716"/>
      <c r="J1012" s="716"/>
      <c r="K1012" s="716"/>
      <c r="L1012" s="653" t="str">
        <f t="shared" si="980"/>
        <v>0</v>
      </c>
      <c r="M1012" s="654">
        <f t="shared" si="780"/>
        <v>0</v>
      </c>
      <c r="N1012" s="655">
        <f>+IF(OR($Q1012=Parametres!$G$2,$Q1012=Parametres!$G$3),I1012,C1012)</f>
        <v>0</v>
      </c>
      <c r="O1012" s="655">
        <f>+IF(OR($Q1012=Parametres!$G$2,$Q1012=Parametres!$G$3),J1012,D1012)</f>
        <v>0</v>
      </c>
      <c r="P1012" s="655">
        <f>+IF(OR($Q1012=Parametres!$G$2,$Q1012=Parametres!$G$3),K1012,E1012)</f>
        <v>0</v>
      </c>
      <c r="Q1012" s="654">
        <f t="shared" ref="Q1012:S1012" si="1030">+F1012</f>
        <v>0</v>
      </c>
      <c r="R1012" s="653">
        <f t="shared" si="1030"/>
        <v>0</v>
      </c>
      <c r="S1012" s="654">
        <f t="shared" si="1030"/>
        <v>0</v>
      </c>
      <c r="T1012" s="656" t="e">
        <f>+VLOOKUP($L1012,Data_Validation!$A:$D,1,0)</f>
        <v>#N/A</v>
      </c>
      <c r="U1012" s="656" t="e">
        <f>+VLOOKUP($L1012,Data_Validation!$A:$D,3,0)</f>
        <v>#N/A</v>
      </c>
      <c r="V1012" s="656" t="e">
        <f>+VLOOKUP($L1012,Data_Validation!$A:$D,4,0)</f>
        <v>#N/A</v>
      </c>
      <c r="W1012" s="656" t="e">
        <f>+VLOOKUP($L1012,Data_Validation!$A:$E,5,0)</f>
        <v>#N/A</v>
      </c>
    </row>
    <row r="1013" spans="1:23" ht="15.75" customHeight="1">
      <c r="A1013" s="716"/>
      <c r="B1013" s="654"/>
      <c r="C1013" s="717"/>
      <c r="D1013" s="716"/>
      <c r="E1013" s="716"/>
      <c r="F1013" s="716"/>
      <c r="G1013" s="716"/>
      <c r="H1013" s="716"/>
      <c r="I1013" s="716"/>
      <c r="J1013" s="716"/>
      <c r="K1013" s="716"/>
      <c r="L1013" s="653" t="str">
        <f t="shared" si="980"/>
        <v>0</v>
      </c>
      <c r="M1013" s="654">
        <f t="shared" si="780"/>
        <v>0</v>
      </c>
      <c r="N1013" s="655">
        <f>+IF(OR($Q1013=Parametres!$G$2,$Q1013=Parametres!$G$3),I1013,C1013)</f>
        <v>0</v>
      </c>
      <c r="O1013" s="655">
        <f>+IF(OR($Q1013=Parametres!$G$2,$Q1013=Parametres!$G$3),J1013,D1013)</f>
        <v>0</v>
      </c>
      <c r="P1013" s="655">
        <f>+IF(OR($Q1013=Parametres!$G$2,$Q1013=Parametres!$G$3),K1013,E1013)</f>
        <v>0</v>
      </c>
      <c r="Q1013" s="654">
        <f t="shared" ref="Q1013:S1013" si="1031">+F1013</f>
        <v>0</v>
      </c>
      <c r="R1013" s="653">
        <f t="shared" si="1031"/>
        <v>0</v>
      </c>
      <c r="S1013" s="654">
        <f t="shared" si="1031"/>
        <v>0</v>
      </c>
      <c r="T1013" s="656" t="e">
        <f>+VLOOKUP($L1013,Data_Validation!$A:$D,1,0)</f>
        <v>#N/A</v>
      </c>
      <c r="U1013" s="656" t="e">
        <f>+VLOOKUP($L1013,Data_Validation!$A:$D,3,0)</f>
        <v>#N/A</v>
      </c>
      <c r="V1013" s="656" t="e">
        <f>+VLOOKUP($L1013,Data_Validation!$A:$D,4,0)</f>
        <v>#N/A</v>
      </c>
      <c r="W1013" s="656" t="e">
        <f>+VLOOKUP($L1013,Data_Validation!$A:$E,5,0)</f>
        <v>#N/A</v>
      </c>
    </row>
    <row r="1014" spans="1:23" ht="15.75" customHeight="1">
      <c r="A1014" s="716"/>
      <c r="B1014" s="654"/>
      <c r="C1014" s="717"/>
      <c r="D1014" s="716"/>
      <c r="E1014" s="716"/>
      <c r="F1014" s="716"/>
      <c r="G1014" s="716"/>
      <c r="H1014" s="716"/>
      <c r="I1014" s="716"/>
      <c r="J1014" s="716"/>
      <c r="K1014" s="716"/>
      <c r="L1014" s="653" t="str">
        <f t="shared" si="980"/>
        <v>0</v>
      </c>
      <c r="M1014" s="654">
        <f t="shared" si="780"/>
        <v>0</v>
      </c>
      <c r="N1014" s="655">
        <f>+IF(OR($Q1014=Parametres!$G$2,$Q1014=Parametres!$G$3),I1014,C1014)</f>
        <v>0</v>
      </c>
      <c r="O1014" s="655">
        <f>+IF(OR($Q1014=Parametres!$G$2,$Q1014=Parametres!$G$3),J1014,D1014)</f>
        <v>0</v>
      </c>
      <c r="P1014" s="655">
        <f>+IF(OR($Q1014=Parametres!$G$2,$Q1014=Parametres!$G$3),K1014,E1014)</f>
        <v>0</v>
      </c>
      <c r="Q1014" s="654">
        <f t="shared" ref="Q1014:S1014" si="1032">+F1014</f>
        <v>0</v>
      </c>
      <c r="R1014" s="653">
        <f t="shared" si="1032"/>
        <v>0</v>
      </c>
      <c r="S1014" s="654">
        <f t="shared" si="1032"/>
        <v>0</v>
      </c>
      <c r="T1014" s="656" t="e">
        <f>+VLOOKUP($L1014,Data_Validation!$A:$D,1,0)</f>
        <v>#N/A</v>
      </c>
      <c r="U1014" s="656" t="e">
        <f>+VLOOKUP($L1014,Data_Validation!$A:$D,3,0)</f>
        <v>#N/A</v>
      </c>
      <c r="V1014" s="656" t="e">
        <f>+VLOOKUP($L1014,Data_Validation!$A:$D,4,0)</f>
        <v>#N/A</v>
      </c>
      <c r="W1014" s="656" t="e">
        <f>+VLOOKUP($L1014,Data_Validation!$A:$E,5,0)</f>
        <v>#N/A</v>
      </c>
    </row>
    <row r="1015" spans="1:23" ht="15.75" customHeight="1">
      <c r="A1015" s="716"/>
      <c r="B1015" s="654"/>
      <c r="C1015" s="717"/>
      <c r="D1015" s="716"/>
      <c r="E1015" s="716"/>
      <c r="F1015" s="716"/>
      <c r="G1015" s="716"/>
      <c r="H1015" s="716"/>
      <c r="I1015" s="716"/>
      <c r="J1015" s="716"/>
      <c r="K1015" s="716"/>
      <c r="L1015" s="653" t="str">
        <f t="shared" si="980"/>
        <v>0</v>
      </c>
      <c r="M1015" s="654">
        <f t="shared" si="780"/>
        <v>0</v>
      </c>
      <c r="N1015" s="655">
        <f>+IF(OR($Q1015=Parametres!$G$2,$Q1015=Parametres!$G$3),I1015,C1015)</f>
        <v>0</v>
      </c>
      <c r="O1015" s="655">
        <f>+IF(OR($Q1015=Parametres!$G$2,$Q1015=Parametres!$G$3),J1015,D1015)</f>
        <v>0</v>
      </c>
      <c r="P1015" s="655">
        <f>+IF(OR($Q1015=Parametres!$G$2,$Q1015=Parametres!$G$3),K1015,E1015)</f>
        <v>0</v>
      </c>
      <c r="Q1015" s="654">
        <f t="shared" ref="Q1015:S1015" si="1033">+F1015</f>
        <v>0</v>
      </c>
      <c r="R1015" s="653">
        <f t="shared" si="1033"/>
        <v>0</v>
      </c>
      <c r="S1015" s="654">
        <f t="shared" si="1033"/>
        <v>0</v>
      </c>
      <c r="T1015" s="656" t="e">
        <f>+VLOOKUP($L1015,Data_Validation!$A:$D,1,0)</f>
        <v>#N/A</v>
      </c>
      <c r="U1015" s="656" t="e">
        <f>+VLOOKUP($L1015,Data_Validation!$A:$D,3,0)</f>
        <v>#N/A</v>
      </c>
      <c r="V1015" s="656" t="e">
        <f>+VLOOKUP($L1015,Data_Validation!$A:$D,4,0)</f>
        <v>#N/A</v>
      </c>
      <c r="W1015" s="656" t="e">
        <f>+VLOOKUP($L1015,Data_Validation!$A:$E,5,0)</f>
        <v>#N/A</v>
      </c>
    </row>
    <row r="1016" spans="1:23" ht="15.75" customHeight="1">
      <c r="A1016" s="716"/>
      <c r="B1016" s="654"/>
      <c r="C1016" s="717"/>
      <c r="D1016" s="716"/>
      <c r="E1016" s="716"/>
      <c r="F1016" s="716"/>
      <c r="G1016" s="716"/>
      <c r="H1016" s="716"/>
      <c r="I1016" s="716"/>
      <c r="J1016" s="716"/>
      <c r="K1016" s="716"/>
      <c r="L1016" s="653" t="str">
        <f t="shared" si="980"/>
        <v>0</v>
      </c>
      <c r="M1016" s="654">
        <f t="shared" si="780"/>
        <v>0</v>
      </c>
      <c r="N1016" s="655">
        <f>+IF(OR($Q1016=Parametres!$G$2,$Q1016=Parametres!$G$3),I1016,C1016)</f>
        <v>0</v>
      </c>
      <c r="O1016" s="655">
        <f>+IF(OR($Q1016=Parametres!$G$2,$Q1016=Parametres!$G$3),J1016,D1016)</f>
        <v>0</v>
      </c>
      <c r="P1016" s="655">
        <f>+IF(OR($Q1016=Parametres!$G$2,$Q1016=Parametres!$G$3),K1016,E1016)</f>
        <v>0</v>
      </c>
      <c r="Q1016" s="654">
        <f t="shared" ref="Q1016:S1016" si="1034">+F1016</f>
        <v>0</v>
      </c>
      <c r="R1016" s="653">
        <f t="shared" si="1034"/>
        <v>0</v>
      </c>
      <c r="S1016" s="654">
        <f t="shared" si="1034"/>
        <v>0</v>
      </c>
      <c r="T1016" s="656" t="e">
        <f>+VLOOKUP($L1016,Data_Validation!$A:$D,1,0)</f>
        <v>#N/A</v>
      </c>
      <c r="U1016" s="656" t="e">
        <f>+VLOOKUP($L1016,Data_Validation!$A:$D,3,0)</f>
        <v>#N/A</v>
      </c>
      <c r="V1016" s="656" t="e">
        <f>+VLOOKUP($L1016,Data_Validation!$A:$D,4,0)</f>
        <v>#N/A</v>
      </c>
      <c r="W1016" s="656" t="e">
        <f>+VLOOKUP($L1016,Data_Validation!$A:$E,5,0)</f>
        <v>#N/A</v>
      </c>
    </row>
    <row r="1017" spans="1:23" ht="15.75" customHeight="1">
      <c r="A1017" s="716"/>
      <c r="B1017" s="654"/>
      <c r="C1017" s="717"/>
      <c r="D1017" s="716"/>
      <c r="E1017" s="716"/>
      <c r="F1017" s="716"/>
      <c r="G1017" s="716"/>
      <c r="H1017" s="716"/>
      <c r="I1017" s="716"/>
      <c r="J1017" s="716"/>
      <c r="K1017" s="716"/>
      <c r="L1017" s="653" t="str">
        <f t="shared" si="980"/>
        <v>0</v>
      </c>
      <c r="M1017" s="654">
        <f t="shared" si="780"/>
        <v>0</v>
      </c>
      <c r="N1017" s="655">
        <f>+IF(OR($Q1017=Parametres!$G$2,$Q1017=Parametres!$G$3),I1017,C1017)</f>
        <v>0</v>
      </c>
      <c r="O1017" s="655">
        <f>+IF(OR($Q1017=Parametres!$G$2,$Q1017=Parametres!$G$3),J1017,D1017)</f>
        <v>0</v>
      </c>
      <c r="P1017" s="655">
        <f>+IF(OR($Q1017=Parametres!$G$2,$Q1017=Parametres!$G$3),K1017,E1017)</f>
        <v>0</v>
      </c>
      <c r="Q1017" s="654">
        <f t="shared" ref="Q1017:S1017" si="1035">+F1017</f>
        <v>0</v>
      </c>
      <c r="R1017" s="653">
        <f t="shared" si="1035"/>
        <v>0</v>
      </c>
      <c r="S1017" s="654">
        <f t="shared" si="1035"/>
        <v>0</v>
      </c>
      <c r="T1017" s="656" t="e">
        <f>+VLOOKUP($L1017,Data_Validation!$A:$D,1,0)</f>
        <v>#N/A</v>
      </c>
      <c r="U1017" s="656" t="e">
        <f>+VLOOKUP($L1017,Data_Validation!$A:$D,3,0)</f>
        <v>#N/A</v>
      </c>
      <c r="V1017" s="656" t="e">
        <f>+VLOOKUP($L1017,Data_Validation!$A:$D,4,0)</f>
        <v>#N/A</v>
      </c>
      <c r="W1017" s="656" t="e">
        <f>+VLOOKUP($L1017,Data_Validation!$A:$E,5,0)</f>
        <v>#N/A</v>
      </c>
    </row>
    <row r="1018" spans="1:23" ht="15.75" customHeight="1">
      <c r="A1018" s="716"/>
      <c r="B1018" s="654"/>
      <c r="C1018" s="717"/>
      <c r="D1018" s="716"/>
      <c r="E1018" s="716"/>
      <c r="F1018" s="716"/>
      <c r="G1018" s="716"/>
      <c r="H1018" s="716"/>
      <c r="I1018" s="716"/>
      <c r="J1018" s="716"/>
      <c r="K1018" s="716"/>
      <c r="L1018" s="653" t="str">
        <f t="shared" si="980"/>
        <v>0</v>
      </c>
      <c r="M1018" s="654">
        <f t="shared" si="780"/>
        <v>0</v>
      </c>
      <c r="N1018" s="655">
        <f>+IF(OR($Q1018=Parametres!$G$2,$Q1018=Parametres!$G$3),I1018,C1018)</f>
        <v>0</v>
      </c>
      <c r="O1018" s="655">
        <f>+IF(OR($Q1018=Parametres!$G$2,$Q1018=Parametres!$G$3),J1018,D1018)</f>
        <v>0</v>
      </c>
      <c r="P1018" s="655">
        <f>+IF(OR($Q1018=Parametres!$G$2,$Q1018=Parametres!$G$3),K1018,E1018)</f>
        <v>0</v>
      </c>
      <c r="Q1018" s="654">
        <f t="shared" ref="Q1018:S1018" si="1036">+F1018</f>
        <v>0</v>
      </c>
      <c r="R1018" s="653">
        <f t="shared" si="1036"/>
        <v>0</v>
      </c>
      <c r="S1018" s="654">
        <f t="shared" si="1036"/>
        <v>0</v>
      </c>
      <c r="T1018" s="656" t="e">
        <f>+VLOOKUP($L1018,Data_Validation!$A:$D,1,0)</f>
        <v>#N/A</v>
      </c>
      <c r="U1018" s="656" t="e">
        <f>+VLOOKUP($L1018,Data_Validation!$A:$D,3,0)</f>
        <v>#N/A</v>
      </c>
      <c r="V1018" s="656" t="e">
        <f>+VLOOKUP($L1018,Data_Validation!$A:$D,4,0)</f>
        <v>#N/A</v>
      </c>
      <c r="W1018" s="656" t="e">
        <f>+VLOOKUP($L1018,Data_Validation!$A:$E,5,0)</f>
        <v>#N/A</v>
      </c>
    </row>
    <row r="1019" spans="1:23" ht="15.75" customHeight="1">
      <c r="A1019" s="716"/>
      <c r="B1019" s="654"/>
      <c r="C1019" s="717"/>
      <c r="D1019" s="716"/>
      <c r="E1019" s="716"/>
      <c r="F1019" s="716"/>
      <c r="G1019" s="716"/>
      <c r="H1019" s="716"/>
      <c r="I1019" s="716"/>
      <c r="J1019" s="716"/>
      <c r="K1019" s="716"/>
      <c r="L1019" s="653" t="str">
        <f t="shared" si="980"/>
        <v>0</v>
      </c>
      <c r="M1019" s="654">
        <f t="shared" si="780"/>
        <v>0</v>
      </c>
      <c r="N1019" s="655">
        <f>+IF(OR($Q1019=Parametres!$G$2,$Q1019=Parametres!$G$3),I1019,C1019)</f>
        <v>0</v>
      </c>
      <c r="O1019" s="655">
        <f>+IF(OR($Q1019=Parametres!$G$2,$Q1019=Parametres!$G$3),J1019,D1019)</f>
        <v>0</v>
      </c>
      <c r="P1019" s="655">
        <f>+IF(OR($Q1019=Parametres!$G$2,$Q1019=Parametres!$G$3),K1019,E1019)</f>
        <v>0</v>
      </c>
      <c r="Q1019" s="654">
        <f t="shared" ref="Q1019:S1019" si="1037">+F1019</f>
        <v>0</v>
      </c>
      <c r="R1019" s="653">
        <f t="shared" si="1037"/>
        <v>0</v>
      </c>
      <c r="S1019" s="654">
        <f t="shared" si="1037"/>
        <v>0</v>
      </c>
      <c r="T1019" s="656" t="e">
        <f>+VLOOKUP($L1019,Data_Validation!$A:$D,1,0)</f>
        <v>#N/A</v>
      </c>
      <c r="U1019" s="656" t="e">
        <f>+VLOOKUP($L1019,Data_Validation!$A:$D,3,0)</f>
        <v>#N/A</v>
      </c>
      <c r="V1019" s="656" t="e">
        <f>+VLOOKUP($L1019,Data_Validation!$A:$D,4,0)</f>
        <v>#N/A</v>
      </c>
      <c r="W1019" s="656" t="e">
        <f>+VLOOKUP($L1019,Data_Validation!$A:$E,5,0)</f>
        <v>#N/A</v>
      </c>
    </row>
    <row r="1020" spans="1:23" ht="15.75" customHeight="1">
      <c r="A1020" s="716"/>
      <c r="B1020" s="654"/>
      <c r="C1020" s="717"/>
      <c r="D1020" s="716"/>
      <c r="E1020" s="716"/>
      <c r="F1020" s="716"/>
      <c r="G1020" s="716"/>
      <c r="H1020" s="716"/>
      <c r="I1020" s="716"/>
      <c r="J1020" s="716"/>
      <c r="K1020" s="716"/>
      <c r="L1020" s="653" t="str">
        <f t="shared" si="980"/>
        <v>0</v>
      </c>
      <c r="M1020" s="654">
        <f t="shared" si="780"/>
        <v>0</v>
      </c>
      <c r="N1020" s="655">
        <f>+IF(OR($Q1020=Parametres!$G$2,$Q1020=Parametres!$G$3),I1020,C1020)</f>
        <v>0</v>
      </c>
      <c r="O1020" s="655">
        <f>+IF(OR($Q1020=Parametres!$G$2,$Q1020=Parametres!$G$3),J1020,D1020)</f>
        <v>0</v>
      </c>
      <c r="P1020" s="655">
        <f>+IF(OR($Q1020=Parametres!$G$2,$Q1020=Parametres!$G$3),K1020,E1020)</f>
        <v>0</v>
      </c>
      <c r="Q1020" s="654">
        <f t="shared" ref="Q1020:S1020" si="1038">+F1020</f>
        <v>0</v>
      </c>
      <c r="R1020" s="653">
        <f t="shared" si="1038"/>
        <v>0</v>
      </c>
      <c r="S1020" s="654">
        <f t="shared" si="1038"/>
        <v>0</v>
      </c>
      <c r="T1020" s="656" t="e">
        <f>+VLOOKUP($L1020,Data_Validation!$A:$D,1,0)</f>
        <v>#N/A</v>
      </c>
      <c r="U1020" s="656" t="e">
        <f>+VLOOKUP($L1020,Data_Validation!$A:$D,3,0)</f>
        <v>#N/A</v>
      </c>
      <c r="V1020" s="656" t="e">
        <f>+VLOOKUP($L1020,Data_Validation!$A:$D,4,0)</f>
        <v>#N/A</v>
      </c>
      <c r="W1020" s="656" t="e">
        <f>+VLOOKUP($L1020,Data_Validation!$A:$E,5,0)</f>
        <v>#N/A</v>
      </c>
    </row>
    <row r="1021" spans="1:23" ht="15.75" customHeight="1">
      <c r="A1021" s="716"/>
      <c r="B1021" s="654"/>
      <c r="C1021" s="717"/>
      <c r="D1021" s="716"/>
      <c r="E1021" s="716"/>
      <c r="F1021" s="716"/>
      <c r="G1021" s="716"/>
      <c r="H1021" s="716"/>
      <c r="I1021" s="716"/>
      <c r="J1021" s="716"/>
      <c r="K1021" s="716"/>
      <c r="L1021" s="653" t="str">
        <f t="shared" si="980"/>
        <v>0</v>
      </c>
      <c r="M1021" s="654">
        <f t="shared" si="780"/>
        <v>0</v>
      </c>
      <c r="N1021" s="655">
        <f>+IF(OR($Q1021=Parametres!$G$2,$Q1021=Parametres!$G$3),I1021,C1021)</f>
        <v>0</v>
      </c>
      <c r="O1021" s="655">
        <f>+IF(OR($Q1021=Parametres!$G$2,$Q1021=Parametres!$G$3),J1021,D1021)</f>
        <v>0</v>
      </c>
      <c r="P1021" s="655">
        <f>+IF(OR($Q1021=Parametres!$G$2,$Q1021=Parametres!$G$3),K1021,E1021)</f>
        <v>0</v>
      </c>
      <c r="Q1021" s="654">
        <f t="shared" ref="Q1021:S1021" si="1039">+F1021</f>
        <v>0</v>
      </c>
      <c r="R1021" s="653">
        <f t="shared" si="1039"/>
        <v>0</v>
      </c>
      <c r="S1021" s="654">
        <f t="shared" si="1039"/>
        <v>0</v>
      </c>
      <c r="T1021" s="656" t="e">
        <f>+VLOOKUP($L1021,Data_Validation!$A:$D,1,0)</f>
        <v>#N/A</v>
      </c>
      <c r="U1021" s="656" t="e">
        <f>+VLOOKUP($L1021,Data_Validation!$A:$D,3,0)</f>
        <v>#N/A</v>
      </c>
      <c r="V1021" s="656" t="e">
        <f>+VLOOKUP($L1021,Data_Validation!$A:$D,4,0)</f>
        <v>#N/A</v>
      </c>
      <c r="W1021" s="656" t="e">
        <f>+VLOOKUP($L1021,Data_Validation!$A:$E,5,0)</f>
        <v>#N/A</v>
      </c>
    </row>
    <row r="1022" spans="1:23" ht="15.75" customHeight="1">
      <c r="A1022" s="716"/>
      <c r="B1022" s="654"/>
      <c r="C1022" s="717"/>
      <c r="D1022" s="716"/>
      <c r="E1022" s="716"/>
      <c r="F1022" s="716"/>
      <c r="G1022" s="716"/>
      <c r="H1022" s="716"/>
      <c r="I1022" s="716"/>
      <c r="J1022" s="716"/>
      <c r="K1022" s="716"/>
      <c r="L1022" s="653" t="str">
        <f t="shared" si="980"/>
        <v>0</v>
      </c>
      <c r="M1022" s="654">
        <f t="shared" ref="M1022:M1055" si="1040">+A1022</f>
        <v>0</v>
      </c>
      <c r="N1022" s="655">
        <f>+IF(OR($Q1022=Parametres!$G$2,$Q1022=Parametres!$G$3),I1022,C1022)</f>
        <v>0</v>
      </c>
      <c r="O1022" s="655">
        <f>+IF(OR($Q1022=Parametres!$G$2,$Q1022=Parametres!$G$3),J1022,D1022)</f>
        <v>0</v>
      </c>
      <c r="P1022" s="655">
        <f>+IF(OR($Q1022=Parametres!$G$2,$Q1022=Parametres!$G$3),K1022,E1022)</f>
        <v>0</v>
      </c>
      <c r="Q1022" s="654">
        <f t="shared" ref="Q1022:S1022" si="1041">+F1022</f>
        <v>0</v>
      </c>
      <c r="R1022" s="653">
        <f t="shared" si="1041"/>
        <v>0</v>
      </c>
      <c r="S1022" s="654">
        <f t="shared" si="1041"/>
        <v>0</v>
      </c>
      <c r="T1022" s="656" t="e">
        <f>+VLOOKUP($L1022,Data_Validation!$A:$D,1,0)</f>
        <v>#N/A</v>
      </c>
      <c r="U1022" s="656" t="e">
        <f>+VLOOKUP($L1022,Data_Validation!$A:$D,3,0)</f>
        <v>#N/A</v>
      </c>
      <c r="V1022" s="656" t="e">
        <f>+VLOOKUP($L1022,Data_Validation!$A:$D,4,0)</f>
        <v>#N/A</v>
      </c>
      <c r="W1022" s="656" t="e">
        <f>+VLOOKUP($L1022,Data_Validation!$A:$E,5,0)</f>
        <v>#N/A</v>
      </c>
    </row>
    <row r="1023" spans="1:23" ht="15.75" customHeight="1">
      <c r="A1023" s="716"/>
      <c r="B1023" s="654"/>
      <c r="C1023" s="717"/>
      <c r="D1023" s="716"/>
      <c r="E1023" s="716"/>
      <c r="F1023" s="716"/>
      <c r="G1023" s="716"/>
      <c r="H1023" s="716"/>
      <c r="I1023" s="716"/>
      <c r="J1023" s="716"/>
      <c r="K1023" s="716"/>
      <c r="L1023" s="653" t="str">
        <f t="shared" si="980"/>
        <v>0</v>
      </c>
      <c r="M1023" s="654">
        <f t="shared" si="1040"/>
        <v>0</v>
      </c>
      <c r="N1023" s="655">
        <f>+IF(OR($Q1023=Parametres!$G$2,$Q1023=Parametres!$G$3),I1023,C1023)</f>
        <v>0</v>
      </c>
      <c r="O1023" s="655">
        <f>+IF(OR($Q1023=Parametres!$G$2,$Q1023=Parametres!$G$3),J1023,D1023)</f>
        <v>0</v>
      </c>
      <c r="P1023" s="655">
        <f>+IF(OR($Q1023=Parametres!$G$2,$Q1023=Parametres!$G$3),K1023,E1023)</f>
        <v>0</v>
      </c>
      <c r="Q1023" s="654">
        <f t="shared" ref="Q1023:S1023" si="1042">+F1023</f>
        <v>0</v>
      </c>
      <c r="R1023" s="653">
        <f t="shared" si="1042"/>
        <v>0</v>
      </c>
      <c r="S1023" s="654">
        <f t="shared" si="1042"/>
        <v>0</v>
      </c>
      <c r="T1023" s="656" t="e">
        <f>+VLOOKUP($L1023,Data_Validation!$A:$D,1,0)</f>
        <v>#N/A</v>
      </c>
      <c r="U1023" s="656" t="e">
        <f>+VLOOKUP($L1023,Data_Validation!$A:$D,3,0)</f>
        <v>#N/A</v>
      </c>
      <c r="V1023" s="656" t="e">
        <f>+VLOOKUP($L1023,Data_Validation!$A:$D,4,0)</f>
        <v>#N/A</v>
      </c>
      <c r="W1023" s="656" t="e">
        <f>+VLOOKUP($L1023,Data_Validation!$A:$E,5,0)</f>
        <v>#N/A</v>
      </c>
    </row>
    <row r="1024" spans="1:23" ht="15.75" customHeight="1">
      <c r="A1024" s="716"/>
      <c r="B1024" s="654"/>
      <c r="C1024" s="717"/>
      <c r="D1024" s="716"/>
      <c r="E1024" s="716"/>
      <c r="F1024" s="716"/>
      <c r="G1024" s="716"/>
      <c r="H1024" s="716"/>
      <c r="I1024" s="716"/>
      <c r="J1024" s="716"/>
      <c r="K1024" s="716"/>
      <c r="L1024" s="653" t="str">
        <f t="shared" si="980"/>
        <v>0</v>
      </c>
      <c r="M1024" s="654">
        <f t="shared" si="1040"/>
        <v>0</v>
      </c>
      <c r="N1024" s="655">
        <f>+IF(OR($Q1024=Parametres!$G$2,$Q1024=Parametres!$G$3),I1024,C1024)</f>
        <v>0</v>
      </c>
      <c r="O1024" s="655">
        <f>+IF(OR($Q1024=Parametres!$G$2,$Q1024=Parametres!$G$3),J1024,D1024)</f>
        <v>0</v>
      </c>
      <c r="P1024" s="655">
        <f>+IF(OR($Q1024=Parametres!$G$2,$Q1024=Parametres!$G$3),K1024,E1024)</f>
        <v>0</v>
      </c>
      <c r="Q1024" s="654">
        <f t="shared" ref="Q1024:S1024" si="1043">+F1024</f>
        <v>0</v>
      </c>
      <c r="R1024" s="653">
        <f t="shared" si="1043"/>
        <v>0</v>
      </c>
      <c r="S1024" s="654">
        <f t="shared" si="1043"/>
        <v>0</v>
      </c>
      <c r="T1024" s="656" t="e">
        <f>+VLOOKUP($L1024,Data_Validation!$A:$D,1,0)</f>
        <v>#N/A</v>
      </c>
      <c r="U1024" s="656" t="e">
        <f>+VLOOKUP($L1024,Data_Validation!$A:$D,3,0)</f>
        <v>#N/A</v>
      </c>
      <c r="V1024" s="656" t="e">
        <f>+VLOOKUP($L1024,Data_Validation!$A:$D,4,0)</f>
        <v>#N/A</v>
      </c>
      <c r="W1024" s="656" t="e">
        <f>+VLOOKUP($L1024,Data_Validation!$A:$E,5,0)</f>
        <v>#N/A</v>
      </c>
    </row>
    <row r="1025" spans="1:23" ht="15.75" customHeight="1">
      <c r="A1025" s="716"/>
      <c r="B1025" s="654"/>
      <c r="C1025" s="717"/>
      <c r="D1025" s="716"/>
      <c r="E1025" s="716"/>
      <c r="F1025" s="716"/>
      <c r="G1025" s="716"/>
      <c r="H1025" s="716"/>
      <c r="I1025" s="716"/>
      <c r="J1025" s="716"/>
      <c r="K1025" s="716"/>
      <c r="L1025" s="653" t="str">
        <f t="shared" si="980"/>
        <v>0</v>
      </c>
      <c r="M1025" s="654">
        <f t="shared" si="1040"/>
        <v>0</v>
      </c>
      <c r="N1025" s="655">
        <f>+IF(OR($Q1025=Parametres!$G$2,$Q1025=Parametres!$G$3),I1025,C1025)</f>
        <v>0</v>
      </c>
      <c r="O1025" s="655">
        <f>+IF(OR($Q1025=Parametres!$G$2,$Q1025=Parametres!$G$3),J1025,D1025)</f>
        <v>0</v>
      </c>
      <c r="P1025" s="655">
        <f>+IF(OR($Q1025=Parametres!$G$2,$Q1025=Parametres!$G$3),K1025,E1025)</f>
        <v>0</v>
      </c>
      <c r="Q1025" s="654">
        <f t="shared" ref="Q1025:S1025" si="1044">+F1025</f>
        <v>0</v>
      </c>
      <c r="R1025" s="653">
        <f t="shared" si="1044"/>
        <v>0</v>
      </c>
      <c r="S1025" s="654">
        <f t="shared" si="1044"/>
        <v>0</v>
      </c>
      <c r="T1025" s="656" t="e">
        <f>+VLOOKUP($L1025,Data_Validation!$A:$D,1,0)</f>
        <v>#N/A</v>
      </c>
      <c r="U1025" s="656" t="e">
        <f>+VLOOKUP($L1025,Data_Validation!$A:$D,3,0)</f>
        <v>#N/A</v>
      </c>
      <c r="V1025" s="656" t="e">
        <f>+VLOOKUP($L1025,Data_Validation!$A:$D,4,0)</f>
        <v>#N/A</v>
      </c>
      <c r="W1025" s="656" t="e">
        <f>+VLOOKUP($L1025,Data_Validation!$A:$E,5,0)</f>
        <v>#N/A</v>
      </c>
    </row>
    <row r="1026" spans="1:23" ht="15.75" customHeight="1">
      <c r="A1026" s="716"/>
      <c r="B1026" s="654"/>
      <c r="C1026" s="717"/>
      <c r="D1026" s="716"/>
      <c r="E1026" s="716"/>
      <c r="F1026" s="716"/>
      <c r="G1026" s="716"/>
      <c r="H1026" s="716"/>
      <c r="I1026" s="716"/>
      <c r="J1026" s="716"/>
      <c r="K1026" s="716"/>
      <c r="L1026" s="653" t="str">
        <f t="shared" si="980"/>
        <v>0</v>
      </c>
      <c r="M1026" s="654">
        <f t="shared" si="1040"/>
        <v>0</v>
      </c>
      <c r="N1026" s="655">
        <f>+IF(OR($Q1026=Parametres!$G$2,$Q1026=Parametres!$G$3),I1026,C1026)</f>
        <v>0</v>
      </c>
      <c r="O1026" s="655">
        <f>+IF(OR($Q1026=Parametres!$G$2,$Q1026=Parametres!$G$3),J1026,D1026)</f>
        <v>0</v>
      </c>
      <c r="P1026" s="655">
        <f>+IF(OR($Q1026=Parametres!$G$2,$Q1026=Parametres!$G$3),K1026,E1026)</f>
        <v>0</v>
      </c>
      <c r="Q1026" s="654">
        <f t="shared" ref="Q1026:S1026" si="1045">+F1026</f>
        <v>0</v>
      </c>
      <c r="R1026" s="653">
        <f t="shared" si="1045"/>
        <v>0</v>
      </c>
      <c r="S1026" s="654">
        <f t="shared" si="1045"/>
        <v>0</v>
      </c>
      <c r="T1026" s="656" t="e">
        <f>+VLOOKUP($L1026,Data_Validation!$A:$D,1,0)</f>
        <v>#N/A</v>
      </c>
      <c r="U1026" s="656" t="e">
        <f>+VLOOKUP($L1026,Data_Validation!$A:$D,3,0)</f>
        <v>#N/A</v>
      </c>
      <c r="V1026" s="656" t="e">
        <f>+VLOOKUP($L1026,Data_Validation!$A:$D,4,0)</f>
        <v>#N/A</v>
      </c>
      <c r="W1026" s="656" t="e">
        <f>+VLOOKUP($L1026,Data_Validation!$A:$E,5,0)</f>
        <v>#N/A</v>
      </c>
    </row>
    <row r="1027" spans="1:23" ht="15.75" customHeight="1">
      <c r="A1027" s="716"/>
      <c r="B1027" s="654"/>
      <c r="C1027" s="717"/>
      <c r="D1027" s="716"/>
      <c r="E1027" s="716"/>
      <c r="F1027" s="716"/>
      <c r="G1027" s="716"/>
      <c r="H1027" s="716"/>
      <c r="I1027" s="716"/>
      <c r="J1027" s="716"/>
      <c r="K1027" s="716"/>
      <c r="L1027" s="653" t="str">
        <f t="shared" ref="L1027:L1055" si="1046">TEXT(B1027,0)</f>
        <v>0</v>
      </c>
      <c r="M1027" s="654">
        <f t="shared" si="1040"/>
        <v>0</v>
      </c>
      <c r="N1027" s="655">
        <f>+IF(OR($Q1027=Parametres!$G$2,$Q1027=Parametres!$G$3),I1027,C1027)</f>
        <v>0</v>
      </c>
      <c r="O1027" s="655">
        <f>+IF(OR($Q1027=Parametres!$G$2,$Q1027=Parametres!$G$3),J1027,D1027)</f>
        <v>0</v>
      </c>
      <c r="P1027" s="655">
        <f>+IF(OR($Q1027=Parametres!$G$2,$Q1027=Parametres!$G$3),K1027,E1027)</f>
        <v>0</v>
      </c>
      <c r="Q1027" s="654">
        <f t="shared" ref="Q1027:S1027" si="1047">+F1027</f>
        <v>0</v>
      </c>
      <c r="R1027" s="653">
        <f t="shared" si="1047"/>
        <v>0</v>
      </c>
      <c r="S1027" s="654">
        <f t="shared" si="1047"/>
        <v>0</v>
      </c>
      <c r="T1027" s="656" t="e">
        <f>+VLOOKUP($L1027,Data_Validation!$A:$D,1,0)</f>
        <v>#N/A</v>
      </c>
      <c r="U1027" s="656" t="e">
        <f>+VLOOKUP($L1027,Data_Validation!$A:$D,3,0)</f>
        <v>#N/A</v>
      </c>
      <c r="V1027" s="656" t="e">
        <f>+VLOOKUP($L1027,Data_Validation!$A:$D,4,0)</f>
        <v>#N/A</v>
      </c>
      <c r="W1027" s="656" t="e">
        <f>+VLOOKUP($L1027,Data_Validation!$A:$E,5,0)</f>
        <v>#N/A</v>
      </c>
    </row>
    <row r="1028" spans="1:23" ht="15.75" customHeight="1">
      <c r="A1028" s="716"/>
      <c r="B1028" s="654"/>
      <c r="C1028" s="717"/>
      <c r="D1028" s="716"/>
      <c r="E1028" s="716"/>
      <c r="F1028" s="716"/>
      <c r="G1028" s="716"/>
      <c r="H1028" s="716"/>
      <c r="I1028" s="716"/>
      <c r="J1028" s="716"/>
      <c r="K1028" s="716"/>
      <c r="L1028" s="653" t="str">
        <f t="shared" si="1046"/>
        <v>0</v>
      </c>
      <c r="M1028" s="654">
        <f t="shared" si="1040"/>
        <v>0</v>
      </c>
      <c r="N1028" s="655">
        <f>+IF(OR($Q1028=Parametres!$G$2,$Q1028=Parametres!$G$3),I1028,C1028)</f>
        <v>0</v>
      </c>
      <c r="O1028" s="655">
        <f>+IF(OR($Q1028=Parametres!$G$2,$Q1028=Parametres!$G$3),J1028,D1028)</f>
        <v>0</v>
      </c>
      <c r="P1028" s="655">
        <f>+IF(OR($Q1028=Parametres!$G$2,$Q1028=Parametres!$G$3),K1028,E1028)</f>
        <v>0</v>
      </c>
      <c r="Q1028" s="654">
        <f t="shared" ref="Q1028:S1028" si="1048">+F1028</f>
        <v>0</v>
      </c>
      <c r="R1028" s="653">
        <f t="shared" si="1048"/>
        <v>0</v>
      </c>
      <c r="S1028" s="654">
        <f t="shared" si="1048"/>
        <v>0</v>
      </c>
      <c r="T1028" s="656" t="e">
        <f>+VLOOKUP($L1028,Data_Validation!$A:$D,1,0)</f>
        <v>#N/A</v>
      </c>
      <c r="U1028" s="656" t="e">
        <f>+VLOOKUP($L1028,Data_Validation!$A:$D,3,0)</f>
        <v>#N/A</v>
      </c>
      <c r="V1028" s="656" t="e">
        <f>+VLOOKUP($L1028,Data_Validation!$A:$D,4,0)</f>
        <v>#N/A</v>
      </c>
      <c r="W1028" s="656" t="e">
        <f>+VLOOKUP($L1028,Data_Validation!$A:$E,5,0)</f>
        <v>#N/A</v>
      </c>
    </row>
    <row r="1029" spans="1:23" ht="15.75" customHeight="1">
      <c r="A1029" s="716"/>
      <c r="B1029" s="654"/>
      <c r="C1029" s="717"/>
      <c r="D1029" s="716"/>
      <c r="E1029" s="716"/>
      <c r="F1029" s="716"/>
      <c r="G1029" s="716"/>
      <c r="H1029" s="716"/>
      <c r="I1029" s="716"/>
      <c r="J1029" s="716"/>
      <c r="K1029" s="716"/>
      <c r="L1029" s="653" t="str">
        <f t="shared" si="1046"/>
        <v>0</v>
      </c>
      <c r="M1029" s="654">
        <f t="shared" si="1040"/>
        <v>0</v>
      </c>
      <c r="N1029" s="655">
        <f>+IF(OR($Q1029=Parametres!$G$2,$Q1029=Parametres!$G$3),I1029,C1029)</f>
        <v>0</v>
      </c>
      <c r="O1029" s="655">
        <f>+IF(OR($Q1029=Parametres!$G$2,$Q1029=Parametres!$G$3),J1029,D1029)</f>
        <v>0</v>
      </c>
      <c r="P1029" s="655">
        <f>+IF(OR($Q1029=Parametres!$G$2,$Q1029=Parametres!$G$3),K1029,E1029)</f>
        <v>0</v>
      </c>
      <c r="Q1029" s="654">
        <f t="shared" ref="Q1029:S1029" si="1049">+F1029</f>
        <v>0</v>
      </c>
      <c r="R1029" s="653">
        <f t="shared" si="1049"/>
        <v>0</v>
      </c>
      <c r="S1029" s="654">
        <f t="shared" si="1049"/>
        <v>0</v>
      </c>
      <c r="T1029" s="656" t="e">
        <f>+VLOOKUP($L1029,Data_Validation!$A:$D,1,0)</f>
        <v>#N/A</v>
      </c>
      <c r="U1029" s="656" t="e">
        <f>+VLOOKUP($L1029,Data_Validation!$A:$D,3,0)</f>
        <v>#N/A</v>
      </c>
      <c r="V1029" s="656" t="e">
        <f>+VLOOKUP($L1029,Data_Validation!$A:$D,4,0)</f>
        <v>#N/A</v>
      </c>
      <c r="W1029" s="656" t="e">
        <f>+VLOOKUP($L1029,Data_Validation!$A:$E,5,0)</f>
        <v>#N/A</v>
      </c>
    </row>
    <row r="1030" spans="1:23" ht="15.75" customHeight="1">
      <c r="A1030" s="716"/>
      <c r="B1030" s="654"/>
      <c r="C1030" s="717"/>
      <c r="D1030" s="716"/>
      <c r="E1030" s="716"/>
      <c r="F1030" s="716"/>
      <c r="G1030" s="716"/>
      <c r="H1030" s="716"/>
      <c r="I1030" s="716"/>
      <c r="J1030" s="716"/>
      <c r="K1030" s="716"/>
      <c r="L1030" s="653" t="str">
        <f t="shared" si="1046"/>
        <v>0</v>
      </c>
      <c r="M1030" s="654">
        <f t="shared" si="1040"/>
        <v>0</v>
      </c>
      <c r="N1030" s="655">
        <f>+IF(OR($Q1030=Parametres!$G$2,$Q1030=Parametres!$G$3),I1030,C1030)</f>
        <v>0</v>
      </c>
      <c r="O1030" s="655">
        <f>+IF(OR($Q1030=Parametres!$G$2,$Q1030=Parametres!$G$3),J1030,D1030)</f>
        <v>0</v>
      </c>
      <c r="P1030" s="655">
        <f>+IF(OR($Q1030=Parametres!$G$2,$Q1030=Parametres!$G$3),K1030,E1030)</f>
        <v>0</v>
      </c>
      <c r="Q1030" s="654">
        <f t="shared" ref="Q1030:S1030" si="1050">+F1030</f>
        <v>0</v>
      </c>
      <c r="R1030" s="653">
        <f t="shared" si="1050"/>
        <v>0</v>
      </c>
      <c r="S1030" s="654">
        <f t="shared" si="1050"/>
        <v>0</v>
      </c>
      <c r="T1030" s="656" t="e">
        <f>+VLOOKUP($L1030,Data_Validation!$A:$D,1,0)</f>
        <v>#N/A</v>
      </c>
      <c r="U1030" s="656" t="e">
        <f>+VLOOKUP($L1030,Data_Validation!$A:$D,3,0)</f>
        <v>#N/A</v>
      </c>
      <c r="V1030" s="656" t="e">
        <f>+VLOOKUP($L1030,Data_Validation!$A:$D,4,0)</f>
        <v>#N/A</v>
      </c>
      <c r="W1030" s="656" t="e">
        <f>+VLOOKUP($L1030,Data_Validation!$A:$E,5,0)</f>
        <v>#N/A</v>
      </c>
    </row>
    <row r="1031" spans="1:23" ht="15.75" customHeight="1">
      <c r="A1031" s="716"/>
      <c r="B1031" s="654"/>
      <c r="C1031" s="717"/>
      <c r="D1031" s="716"/>
      <c r="E1031" s="716"/>
      <c r="F1031" s="716"/>
      <c r="G1031" s="716"/>
      <c r="H1031" s="716"/>
      <c r="I1031" s="716"/>
      <c r="J1031" s="716"/>
      <c r="K1031" s="716"/>
      <c r="L1031" s="653" t="str">
        <f t="shared" si="1046"/>
        <v>0</v>
      </c>
      <c r="M1031" s="654">
        <f t="shared" si="1040"/>
        <v>0</v>
      </c>
      <c r="N1031" s="655">
        <f>+IF(OR($Q1031=Parametres!$G$2,$Q1031=Parametres!$G$3),I1031,C1031)</f>
        <v>0</v>
      </c>
      <c r="O1031" s="655">
        <f>+IF(OR($Q1031=Parametres!$G$2,$Q1031=Parametres!$G$3),J1031,D1031)</f>
        <v>0</v>
      </c>
      <c r="P1031" s="655">
        <f>+IF(OR($Q1031=Parametres!$G$2,$Q1031=Parametres!$G$3),K1031,E1031)</f>
        <v>0</v>
      </c>
      <c r="Q1031" s="654">
        <f t="shared" ref="Q1031:S1031" si="1051">+F1031</f>
        <v>0</v>
      </c>
      <c r="R1031" s="653">
        <f t="shared" si="1051"/>
        <v>0</v>
      </c>
      <c r="S1031" s="654">
        <f t="shared" si="1051"/>
        <v>0</v>
      </c>
      <c r="T1031" s="656" t="e">
        <f>+VLOOKUP($L1031,Data_Validation!$A:$D,1,0)</f>
        <v>#N/A</v>
      </c>
      <c r="U1031" s="656" t="e">
        <f>+VLOOKUP($L1031,Data_Validation!$A:$D,3,0)</f>
        <v>#N/A</v>
      </c>
      <c r="V1031" s="656" t="e">
        <f>+VLOOKUP($L1031,Data_Validation!$A:$D,4,0)</f>
        <v>#N/A</v>
      </c>
      <c r="W1031" s="656" t="e">
        <f>+VLOOKUP($L1031,Data_Validation!$A:$E,5,0)</f>
        <v>#N/A</v>
      </c>
    </row>
    <row r="1032" spans="1:23" ht="15.75" customHeight="1">
      <c r="A1032" s="716"/>
      <c r="B1032" s="654"/>
      <c r="C1032" s="717"/>
      <c r="D1032" s="716"/>
      <c r="E1032" s="716"/>
      <c r="F1032" s="716"/>
      <c r="G1032" s="716"/>
      <c r="H1032" s="716"/>
      <c r="I1032" s="716"/>
      <c r="J1032" s="716"/>
      <c r="K1032" s="716"/>
      <c r="L1032" s="653" t="str">
        <f t="shared" si="1046"/>
        <v>0</v>
      </c>
      <c r="M1032" s="654">
        <f t="shared" si="1040"/>
        <v>0</v>
      </c>
      <c r="N1032" s="655">
        <f>+IF(OR($Q1032=Parametres!$G$2,$Q1032=Parametres!$G$3),I1032,C1032)</f>
        <v>0</v>
      </c>
      <c r="O1032" s="655">
        <f>+IF(OR($Q1032=Parametres!$G$2,$Q1032=Parametres!$G$3),J1032,D1032)</f>
        <v>0</v>
      </c>
      <c r="P1032" s="655">
        <f>+IF(OR($Q1032=Parametres!$G$2,$Q1032=Parametres!$G$3),K1032,E1032)</f>
        <v>0</v>
      </c>
      <c r="Q1032" s="654">
        <f t="shared" ref="Q1032:S1032" si="1052">+F1032</f>
        <v>0</v>
      </c>
      <c r="R1032" s="653">
        <f t="shared" si="1052"/>
        <v>0</v>
      </c>
      <c r="S1032" s="654">
        <f t="shared" si="1052"/>
        <v>0</v>
      </c>
      <c r="T1032" s="656" t="e">
        <f>+VLOOKUP($L1032,Data_Validation!$A:$D,1,0)</f>
        <v>#N/A</v>
      </c>
      <c r="U1032" s="656" t="e">
        <f>+VLOOKUP($L1032,Data_Validation!$A:$D,3,0)</f>
        <v>#N/A</v>
      </c>
      <c r="V1032" s="656" t="e">
        <f>+VLOOKUP($L1032,Data_Validation!$A:$D,4,0)</f>
        <v>#N/A</v>
      </c>
      <c r="W1032" s="656" t="e">
        <f>+VLOOKUP($L1032,Data_Validation!$A:$E,5,0)</f>
        <v>#N/A</v>
      </c>
    </row>
    <row r="1033" spans="1:23" ht="15.75" customHeight="1">
      <c r="A1033" s="716"/>
      <c r="B1033" s="654"/>
      <c r="C1033" s="717"/>
      <c r="D1033" s="716"/>
      <c r="E1033" s="716"/>
      <c r="F1033" s="716"/>
      <c r="G1033" s="716"/>
      <c r="H1033" s="716"/>
      <c r="I1033" s="716"/>
      <c r="J1033" s="716"/>
      <c r="K1033" s="716"/>
      <c r="L1033" s="653" t="str">
        <f t="shared" si="1046"/>
        <v>0</v>
      </c>
      <c r="M1033" s="654">
        <f t="shared" si="1040"/>
        <v>0</v>
      </c>
      <c r="N1033" s="655">
        <f>+IF(OR($Q1033=Parametres!$G$2,$Q1033=Parametres!$G$3),I1033,C1033)</f>
        <v>0</v>
      </c>
      <c r="O1033" s="655">
        <f>+IF(OR($Q1033=Parametres!$G$2,$Q1033=Parametres!$G$3),J1033,D1033)</f>
        <v>0</v>
      </c>
      <c r="P1033" s="655">
        <f>+IF(OR($Q1033=Parametres!$G$2,$Q1033=Parametres!$G$3),K1033,E1033)</f>
        <v>0</v>
      </c>
      <c r="Q1033" s="654">
        <f t="shared" ref="Q1033:S1033" si="1053">+F1033</f>
        <v>0</v>
      </c>
      <c r="R1033" s="653">
        <f t="shared" si="1053"/>
        <v>0</v>
      </c>
      <c r="S1033" s="654">
        <f t="shared" si="1053"/>
        <v>0</v>
      </c>
      <c r="T1033" s="656" t="e">
        <f>+VLOOKUP($L1033,Data_Validation!$A:$D,1,0)</f>
        <v>#N/A</v>
      </c>
      <c r="U1033" s="656" t="e">
        <f>+VLOOKUP($L1033,Data_Validation!$A:$D,3,0)</f>
        <v>#N/A</v>
      </c>
      <c r="V1033" s="656" t="e">
        <f>+VLOOKUP($L1033,Data_Validation!$A:$D,4,0)</f>
        <v>#N/A</v>
      </c>
      <c r="W1033" s="656" t="e">
        <f>+VLOOKUP($L1033,Data_Validation!$A:$E,5,0)</f>
        <v>#N/A</v>
      </c>
    </row>
    <row r="1034" spans="1:23" ht="15.75" customHeight="1">
      <c r="A1034" s="716"/>
      <c r="B1034" s="654"/>
      <c r="C1034" s="717"/>
      <c r="D1034" s="716"/>
      <c r="E1034" s="716"/>
      <c r="F1034" s="716"/>
      <c r="G1034" s="716"/>
      <c r="H1034" s="716"/>
      <c r="I1034" s="716"/>
      <c r="J1034" s="716"/>
      <c r="K1034" s="716"/>
      <c r="L1034" s="653" t="str">
        <f t="shared" si="1046"/>
        <v>0</v>
      </c>
      <c r="M1034" s="654">
        <f t="shared" si="1040"/>
        <v>0</v>
      </c>
      <c r="N1034" s="655">
        <f>+IF(OR($Q1034=Parametres!$G$2,$Q1034=Parametres!$G$3),I1034,C1034)</f>
        <v>0</v>
      </c>
      <c r="O1034" s="655">
        <f>+IF(OR($Q1034=Parametres!$G$2,$Q1034=Parametres!$G$3),J1034,D1034)</f>
        <v>0</v>
      </c>
      <c r="P1034" s="655">
        <f>+IF(OR($Q1034=Parametres!$G$2,$Q1034=Parametres!$G$3),K1034,E1034)</f>
        <v>0</v>
      </c>
      <c r="Q1034" s="654">
        <f t="shared" ref="Q1034:S1034" si="1054">+F1034</f>
        <v>0</v>
      </c>
      <c r="R1034" s="653">
        <f t="shared" si="1054"/>
        <v>0</v>
      </c>
      <c r="S1034" s="654">
        <f t="shared" si="1054"/>
        <v>0</v>
      </c>
      <c r="T1034" s="656" t="e">
        <f>+VLOOKUP($L1034,Data_Validation!$A:$D,1,0)</f>
        <v>#N/A</v>
      </c>
      <c r="U1034" s="656" t="e">
        <f>+VLOOKUP($L1034,Data_Validation!$A:$D,3,0)</f>
        <v>#N/A</v>
      </c>
      <c r="V1034" s="656" t="e">
        <f>+VLOOKUP($L1034,Data_Validation!$A:$D,4,0)</f>
        <v>#N/A</v>
      </c>
      <c r="W1034" s="656" t="e">
        <f>+VLOOKUP($L1034,Data_Validation!$A:$E,5,0)</f>
        <v>#N/A</v>
      </c>
    </row>
    <row r="1035" spans="1:23" ht="15.75" customHeight="1">
      <c r="A1035" s="716"/>
      <c r="B1035" s="654"/>
      <c r="C1035" s="717"/>
      <c r="D1035" s="716"/>
      <c r="E1035" s="716"/>
      <c r="F1035" s="716"/>
      <c r="G1035" s="716"/>
      <c r="H1035" s="716"/>
      <c r="I1035" s="716"/>
      <c r="J1035" s="716"/>
      <c r="K1035" s="716"/>
      <c r="L1035" s="653" t="str">
        <f t="shared" si="1046"/>
        <v>0</v>
      </c>
      <c r="M1035" s="654">
        <f t="shared" si="1040"/>
        <v>0</v>
      </c>
      <c r="N1035" s="655">
        <f>+IF(OR($Q1035=Parametres!$G$2,$Q1035=Parametres!$G$3),I1035,C1035)</f>
        <v>0</v>
      </c>
      <c r="O1035" s="655">
        <f>+IF(OR($Q1035=Parametres!$G$2,$Q1035=Parametres!$G$3),J1035,D1035)</f>
        <v>0</v>
      </c>
      <c r="P1035" s="655">
        <f>+IF(OR($Q1035=Parametres!$G$2,$Q1035=Parametres!$G$3),K1035,E1035)</f>
        <v>0</v>
      </c>
      <c r="Q1035" s="654">
        <f t="shared" ref="Q1035:S1035" si="1055">+F1035</f>
        <v>0</v>
      </c>
      <c r="R1035" s="653">
        <f t="shared" si="1055"/>
        <v>0</v>
      </c>
      <c r="S1035" s="654">
        <f t="shared" si="1055"/>
        <v>0</v>
      </c>
      <c r="T1035" s="656" t="e">
        <f>+VLOOKUP($L1035,Data_Validation!$A:$D,1,0)</f>
        <v>#N/A</v>
      </c>
      <c r="U1035" s="656" t="e">
        <f>+VLOOKUP($L1035,Data_Validation!$A:$D,3,0)</f>
        <v>#N/A</v>
      </c>
      <c r="V1035" s="656" t="e">
        <f>+VLOOKUP($L1035,Data_Validation!$A:$D,4,0)</f>
        <v>#N/A</v>
      </c>
      <c r="W1035" s="656" t="e">
        <f>+VLOOKUP($L1035,Data_Validation!$A:$E,5,0)</f>
        <v>#N/A</v>
      </c>
    </row>
    <row r="1036" spans="1:23" ht="15.75" customHeight="1">
      <c r="A1036" s="716"/>
      <c r="B1036" s="654"/>
      <c r="C1036" s="717"/>
      <c r="D1036" s="716"/>
      <c r="E1036" s="716"/>
      <c r="F1036" s="716"/>
      <c r="G1036" s="716"/>
      <c r="H1036" s="716"/>
      <c r="I1036" s="716"/>
      <c r="J1036" s="716"/>
      <c r="K1036" s="716"/>
      <c r="L1036" s="653" t="str">
        <f t="shared" si="1046"/>
        <v>0</v>
      </c>
      <c r="M1036" s="654">
        <f t="shared" si="1040"/>
        <v>0</v>
      </c>
      <c r="N1036" s="655">
        <f>+IF(OR($Q1036=Parametres!$G$2,$Q1036=Parametres!$G$3),I1036,C1036)</f>
        <v>0</v>
      </c>
      <c r="O1036" s="655">
        <f>+IF(OR($Q1036=Parametres!$G$2,$Q1036=Parametres!$G$3),J1036,D1036)</f>
        <v>0</v>
      </c>
      <c r="P1036" s="655">
        <f>+IF(OR($Q1036=Parametres!$G$2,$Q1036=Parametres!$G$3),K1036,E1036)</f>
        <v>0</v>
      </c>
      <c r="Q1036" s="654">
        <f t="shared" ref="Q1036:S1036" si="1056">+F1036</f>
        <v>0</v>
      </c>
      <c r="R1036" s="653">
        <f t="shared" si="1056"/>
        <v>0</v>
      </c>
      <c r="S1036" s="654">
        <f t="shared" si="1056"/>
        <v>0</v>
      </c>
      <c r="T1036" s="656" t="e">
        <f>+VLOOKUP($L1036,Data_Validation!$A:$D,1,0)</f>
        <v>#N/A</v>
      </c>
      <c r="U1036" s="656" t="e">
        <f>+VLOOKUP($L1036,Data_Validation!$A:$D,3,0)</f>
        <v>#N/A</v>
      </c>
      <c r="V1036" s="656" t="e">
        <f>+VLOOKUP($L1036,Data_Validation!$A:$D,4,0)</f>
        <v>#N/A</v>
      </c>
      <c r="W1036" s="656" t="e">
        <f>+VLOOKUP($L1036,Data_Validation!$A:$E,5,0)</f>
        <v>#N/A</v>
      </c>
    </row>
    <row r="1037" spans="1:23" ht="15.75" customHeight="1">
      <c r="A1037" s="716"/>
      <c r="B1037" s="654"/>
      <c r="C1037" s="717"/>
      <c r="D1037" s="716"/>
      <c r="E1037" s="716"/>
      <c r="F1037" s="716"/>
      <c r="G1037" s="716"/>
      <c r="H1037" s="716"/>
      <c r="I1037" s="716"/>
      <c r="J1037" s="716"/>
      <c r="K1037" s="716"/>
      <c r="L1037" s="653" t="str">
        <f t="shared" si="1046"/>
        <v>0</v>
      </c>
      <c r="M1037" s="654">
        <f t="shared" si="1040"/>
        <v>0</v>
      </c>
      <c r="N1037" s="655">
        <f>+IF(OR($Q1037=Parametres!$G$2,$Q1037=Parametres!$G$3),I1037,C1037)</f>
        <v>0</v>
      </c>
      <c r="O1037" s="655">
        <f>+IF(OR($Q1037=Parametres!$G$2,$Q1037=Parametres!$G$3),J1037,D1037)</f>
        <v>0</v>
      </c>
      <c r="P1037" s="655">
        <f>+IF(OR($Q1037=Parametres!$G$2,$Q1037=Parametres!$G$3),K1037,E1037)</f>
        <v>0</v>
      </c>
      <c r="Q1037" s="654">
        <f t="shared" ref="Q1037:S1037" si="1057">+F1037</f>
        <v>0</v>
      </c>
      <c r="R1037" s="653">
        <f t="shared" si="1057"/>
        <v>0</v>
      </c>
      <c r="S1037" s="654">
        <f t="shared" si="1057"/>
        <v>0</v>
      </c>
      <c r="T1037" s="656" t="e">
        <f>+VLOOKUP($L1037,Data_Validation!$A:$D,1,0)</f>
        <v>#N/A</v>
      </c>
      <c r="U1037" s="656" t="e">
        <f>+VLOOKUP($L1037,Data_Validation!$A:$D,3,0)</f>
        <v>#N/A</v>
      </c>
      <c r="V1037" s="656" t="e">
        <f>+VLOOKUP($L1037,Data_Validation!$A:$D,4,0)</f>
        <v>#N/A</v>
      </c>
      <c r="W1037" s="656" t="e">
        <f>+VLOOKUP($L1037,Data_Validation!$A:$E,5,0)</f>
        <v>#N/A</v>
      </c>
    </row>
    <row r="1038" spans="1:23" ht="15.75" customHeight="1">
      <c r="A1038" s="716"/>
      <c r="B1038" s="654"/>
      <c r="C1038" s="717"/>
      <c r="D1038" s="716"/>
      <c r="E1038" s="716"/>
      <c r="F1038" s="716"/>
      <c r="G1038" s="716"/>
      <c r="H1038" s="716"/>
      <c r="I1038" s="716"/>
      <c r="J1038" s="716"/>
      <c r="K1038" s="716"/>
      <c r="L1038" s="653" t="str">
        <f t="shared" si="1046"/>
        <v>0</v>
      </c>
      <c r="M1038" s="654">
        <f t="shared" si="1040"/>
        <v>0</v>
      </c>
      <c r="N1038" s="655">
        <f>+IF(OR($Q1038=Parametres!$G$2,$Q1038=Parametres!$G$3),I1038,C1038)</f>
        <v>0</v>
      </c>
      <c r="O1038" s="655">
        <f>+IF(OR($Q1038=Parametres!$G$2,$Q1038=Parametres!$G$3),J1038,D1038)</f>
        <v>0</v>
      </c>
      <c r="P1038" s="655">
        <f>+IF(OR($Q1038=Parametres!$G$2,$Q1038=Parametres!$G$3),K1038,E1038)</f>
        <v>0</v>
      </c>
      <c r="Q1038" s="654">
        <f t="shared" ref="Q1038:S1038" si="1058">+F1038</f>
        <v>0</v>
      </c>
      <c r="R1038" s="653">
        <f t="shared" si="1058"/>
        <v>0</v>
      </c>
      <c r="S1038" s="654">
        <f t="shared" si="1058"/>
        <v>0</v>
      </c>
      <c r="T1038" s="656" t="e">
        <f>+VLOOKUP($L1038,Data_Validation!$A:$D,1,0)</f>
        <v>#N/A</v>
      </c>
      <c r="U1038" s="656" t="e">
        <f>+VLOOKUP($L1038,Data_Validation!$A:$D,3,0)</f>
        <v>#N/A</v>
      </c>
      <c r="V1038" s="656" t="e">
        <f>+VLOOKUP($L1038,Data_Validation!$A:$D,4,0)</f>
        <v>#N/A</v>
      </c>
      <c r="W1038" s="656" t="e">
        <f>+VLOOKUP($L1038,Data_Validation!$A:$E,5,0)</f>
        <v>#N/A</v>
      </c>
    </row>
    <row r="1039" spans="1:23" ht="15.75" customHeight="1">
      <c r="A1039" s="716"/>
      <c r="B1039" s="654"/>
      <c r="C1039" s="717"/>
      <c r="D1039" s="716"/>
      <c r="E1039" s="716"/>
      <c r="F1039" s="716"/>
      <c r="G1039" s="716"/>
      <c r="H1039" s="716"/>
      <c r="I1039" s="716"/>
      <c r="J1039" s="716"/>
      <c r="K1039" s="716"/>
      <c r="L1039" s="653" t="str">
        <f t="shared" si="1046"/>
        <v>0</v>
      </c>
      <c r="M1039" s="654">
        <f t="shared" si="1040"/>
        <v>0</v>
      </c>
      <c r="N1039" s="655">
        <f>+IF(OR($Q1039=Parametres!$G$2,$Q1039=Parametres!$G$3),I1039,C1039)</f>
        <v>0</v>
      </c>
      <c r="O1039" s="655">
        <f>+IF(OR($Q1039=Parametres!$G$2,$Q1039=Parametres!$G$3),J1039,D1039)</f>
        <v>0</v>
      </c>
      <c r="P1039" s="655">
        <f>+IF(OR($Q1039=Parametres!$G$2,$Q1039=Parametres!$G$3),K1039,E1039)</f>
        <v>0</v>
      </c>
      <c r="Q1039" s="654">
        <f t="shared" ref="Q1039:S1039" si="1059">+F1039</f>
        <v>0</v>
      </c>
      <c r="R1039" s="653">
        <f t="shared" si="1059"/>
        <v>0</v>
      </c>
      <c r="S1039" s="654">
        <f t="shared" si="1059"/>
        <v>0</v>
      </c>
      <c r="T1039" s="656" t="e">
        <f>+VLOOKUP($L1039,Data_Validation!$A:$D,1,0)</f>
        <v>#N/A</v>
      </c>
      <c r="U1039" s="656" t="e">
        <f>+VLOOKUP($L1039,Data_Validation!$A:$D,3,0)</f>
        <v>#N/A</v>
      </c>
      <c r="V1039" s="656" t="e">
        <f>+VLOOKUP($L1039,Data_Validation!$A:$D,4,0)</f>
        <v>#N/A</v>
      </c>
      <c r="W1039" s="656" t="e">
        <f>+VLOOKUP($L1039,Data_Validation!$A:$E,5,0)</f>
        <v>#N/A</v>
      </c>
    </row>
    <row r="1040" spans="1:23" ht="15.75" customHeight="1">
      <c r="A1040" s="716"/>
      <c r="B1040" s="654"/>
      <c r="C1040" s="717"/>
      <c r="D1040" s="716"/>
      <c r="E1040" s="716"/>
      <c r="F1040" s="716"/>
      <c r="G1040" s="716"/>
      <c r="H1040" s="716"/>
      <c r="I1040" s="716"/>
      <c r="J1040" s="716"/>
      <c r="K1040" s="716"/>
      <c r="L1040" s="653" t="str">
        <f t="shared" si="1046"/>
        <v>0</v>
      </c>
      <c r="M1040" s="654">
        <f t="shared" si="1040"/>
        <v>0</v>
      </c>
      <c r="N1040" s="655">
        <f>+IF(OR($Q1040=Parametres!$G$2,$Q1040=Parametres!$G$3),I1040,C1040)</f>
        <v>0</v>
      </c>
      <c r="O1040" s="655">
        <f>+IF(OR($Q1040=Parametres!$G$2,$Q1040=Parametres!$G$3),J1040,D1040)</f>
        <v>0</v>
      </c>
      <c r="P1040" s="655">
        <f>+IF(OR($Q1040=Parametres!$G$2,$Q1040=Parametres!$G$3),K1040,E1040)</f>
        <v>0</v>
      </c>
      <c r="Q1040" s="654">
        <f t="shared" ref="Q1040:S1040" si="1060">+F1040</f>
        <v>0</v>
      </c>
      <c r="R1040" s="653">
        <f t="shared" si="1060"/>
        <v>0</v>
      </c>
      <c r="S1040" s="654">
        <f t="shared" si="1060"/>
        <v>0</v>
      </c>
      <c r="T1040" s="656" t="e">
        <f>+VLOOKUP($L1040,Data_Validation!$A:$D,1,0)</f>
        <v>#N/A</v>
      </c>
      <c r="U1040" s="656" t="e">
        <f>+VLOOKUP($L1040,Data_Validation!$A:$D,3,0)</f>
        <v>#N/A</v>
      </c>
      <c r="V1040" s="656" t="e">
        <f>+VLOOKUP($L1040,Data_Validation!$A:$D,4,0)</f>
        <v>#N/A</v>
      </c>
      <c r="W1040" s="656" t="e">
        <f>+VLOOKUP($L1040,Data_Validation!$A:$E,5,0)</f>
        <v>#N/A</v>
      </c>
    </row>
    <row r="1041" spans="1:23" ht="15.75" customHeight="1">
      <c r="A1041" s="716"/>
      <c r="B1041" s="654"/>
      <c r="C1041" s="717"/>
      <c r="D1041" s="716"/>
      <c r="E1041" s="716"/>
      <c r="F1041" s="716"/>
      <c r="G1041" s="716"/>
      <c r="H1041" s="716"/>
      <c r="I1041" s="716"/>
      <c r="J1041" s="716"/>
      <c r="K1041" s="716"/>
      <c r="L1041" s="653" t="str">
        <f t="shared" si="1046"/>
        <v>0</v>
      </c>
      <c r="M1041" s="654">
        <f t="shared" si="1040"/>
        <v>0</v>
      </c>
      <c r="N1041" s="655">
        <f>+IF(OR($Q1041=Parametres!$G$2,$Q1041=Parametres!$G$3),I1041,C1041)</f>
        <v>0</v>
      </c>
      <c r="O1041" s="655">
        <f>+IF(OR($Q1041=Parametres!$G$2,$Q1041=Parametres!$G$3),J1041,D1041)</f>
        <v>0</v>
      </c>
      <c r="P1041" s="655">
        <f>+IF(OR($Q1041=Parametres!$G$2,$Q1041=Parametres!$G$3),K1041,E1041)</f>
        <v>0</v>
      </c>
      <c r="Q1041" s="654">
        <f t="shared" ref="Q1041:S1041" si="1061">+F1041</f>
        <v>0</v>
      </c>
      <c r="R1041" s="653">
        <f t="shared" si="1061"/>
        <v>0</v>
      </c>
      <c r="S1041" s="654">
        <f t="shared" si="1061"/>
        <v>0</v>
      </c>
      <c r="T1041" s="656" t="e">
        <f>+VLOOKUP($L1041,Data_Validation!$A:$D,1,0)</f>
        <v>#N/A</v>
      </c>
      <c r="U1041" s="656" t="e">
        <f>+VLOOKUP($L1041,Data_Validation!$A:$D,3,0)</f>
        <v>#N/A</v>
      </c>
      <c r="V1041" s="656" t="e">
        <f>+VLOOKUP($L1041,Data_Validation!$A:$D,4,0)</f>
        <v>#N/A</v>
      </c>
      <c r="W1041" s="656" t="e">
        <f>+VLOOKUP($L1041,Data_Validation!$A:$E,5,0)</f>
        <v>#N/A</v>
      </c>
    </row>
    <row r="1042" spans="1:23" ht="15.75" customHeight="1">
      <c r="A1042" s="716"/>
      <c r="B1042" s="654"/>
      <c r="C1042" s="717"/>
      <c r="D1042" s="716"/>
      <c r="E1042" s="716"/>
      <c r="F1042" s="716"/>
      <c r="G1042" s="716"/>
      <c r="H1042" s="716"/>
      <c r="I1042" s="716"/>
      <c r="J1042" s="716"/>
      <c r="K1042" s="716"/>
      <c r="L1042" s="653" t="str">
        <f t="shared" si="1046"/>
        <v>0</v>
      </c>
      <c r="M1042" s="654">
        <f t="shared" si="1040"/>
        <v>0</v>
      </c>
      <c r="N1042" s="655">
        <f>+IF(OR($Q1042=Parametres!$G$2,$Q1042=Parametres!$G$3),I1042,C1042)</f>
        <v>0</v>
      </c>
      <c r="O1042" s="655">
        <f>+IF(OR($Q1042=Parametres!$G$2,$Q1042=Parametres!$G$3),J1042,D1042)</f>
        <v>0</v>
      </c>
      <c r="P1042" s="655">
        <f>+IF(OR($Q1042=Parametres!$G$2,$Q1042=Parametres!$G$3),K1042,E1042)</f>
        <v>0</v>
      </c>
      <c r="Q1042" s="654">
        <f t="shared" ref="Q1042:S1042" si="1062">+F1042</f>
        <v>0</v>
      </c>
      <c r="R1042" s="653">
        <f t="shared" si="1062"/>
        <v>0</v>
      </c>
      <c r="S1042" s="654">
        <f t="shared" si="1062"/>
        <v>0</v>
      </c>
      <c r="T1042" s="656" t="e">
        <f>+VLOOKUP($L1042,Data_Validation!$A:$D,1,0)</f>
        <v>#N/A</v>
      </c>
      <c r="U1042" s="656" t="e">
        <f>+VLOOKUP($L1042,Data_Validation!$A:$D,3,0)</f>
        <v>#N/A</v>
      </c>
      <c r="V1042" s="656" t="e">
        <f>+VLOOKUP($L1042,Data_Validation!$A:$D,4,0)</f>
        <v>#N/A</v>
      </c>
      <c r="W1042" s="656" t="e">
        <f>+VLOOKUP($L1042,Data_Validation!$A:$E,5,0)</f>
        <v>#N/A</v>
      </c>
    </row>
    <row r="1043" spans="1:23" ht="15.75" customHeight="1">
      <c r="A1043" s="716"/>
      <c r="B1043" s="654"/>
      <c r="C1043" s="717"/>
      <c r="D1043" s="716"/>
      <c r="E1043" s="716"/>
      <c r="F1043" s="716"/>
      <c r="G1043" s="716"/>
      <c r="H1043" s="716"/>
      <c r="I1043" s="716"/>
      <c r="J1043" s="716"/>
      <c r="K1043" s="716"/>
      <c r="L1043" s="653" t="str">
        <f t="shared" si="1046"/>
        <v>0</v>
      </c>
      <c r="M1043" s="654">
        <f t="shared" si="1040"/>
        <v>0</v>
      </c>
      <c r="N1043" s="655">
        <f>+IF(OR($Q1043=Parametres!$G$2,$Q1043=Parametres!$G$3),I1043,C1043)</f>
        <v>0</v>
      </c>
      <c r="O1043" s="655">
        <f>+IF(OR($Q1043=Parametres!$G$2,$Q1043=Parametres!$G$3),J1043,D1043)</f>
        <v>0</v>
      </c>
      <c r="P1043" s="655">
        <f>+IF(OR($Q1043=Parametres!$G$2,$Q1043=Parametres!$G$3),K1043,E1043)</f>
        <v>0</v>
      </c>
      <c r="Q1043" s="654">
        <f t="shared" ref="Q1043:S1043" si="1063">+F1043</f>
        <v>0</v>
      </c>
      <c r="R1043" s="653">
        <f t="shared" si="1063"/>
        <v>0</v>
      </c>
      <c r="S1043" s="654">
        <f t="shared" si="1063"/>
        <v>0</v>
      </c>
      <c r="T1043" s="656" t="e">
        <f>+VLOOKUP($L1043,Data_Validation!$A:$D,1,0)</f>
        <v>#N/A</v>
      </c>
      <c r="U1043" s="656" t="e">
        <f>+VLOOKUP($L1043,Data_Validation!$A:$D,3,0)</f>
        <v>#N/A</v>
      </c>
      <c r="V1043" s="656" t="e">
        <f>+VLOOKUP($L1043,Data_Validation!$A:$D,4,0)</f>
        <v>#N/A</v>
      </c>
      <c r="W1043" s="656" t="e">
        <f>+VLOOKUP($L1043,Data_Validation!$A:$E,5,0)</f>
        <v>#N/A</v>
      </c>
    </row>
    <row r="1044" spans="1:23" ht="15.75" customHeight="1">
      <c r="A1044" s="716"/>
      <c r="B1044" s="654"/>
      <c r="C1044" s="717"/>
      <c r="D1044" s="716"/>
      <c r="E1044" s="716"/>
      <c r="F1044" s="716"/>
      <c r="G1044" s="716"/>
      <c r="H1044" s="716"/>
      <c r="I1044" s="716"/>
      <c r="J1044" s="716"/>
      <c r="K1044" s="716"/>
      <c r="L1044" s="653" t="str">
        <f t="shared" si="1046"/>
        <v>0</v>
      </c>
      <c r="M1044" s="654">
        <f t="shared" si="1040"/>
        <v>0</v>
      </c>
      <c r="N1044" s="655">
        <f>+IF(OR($Q1044=Parametres!$G$2,$Q1044=Parametres!$G$3),I1044,C1044)</f>
        <v>0</v>
      </c>
      <c r="O1044" s="655">
        <f>+IF(OR($Q1044=Parametres!$G$2,$Q1044=Parametres!$G$3),J1044,D1044)</f>
        <v>0</v>
      </c>
      <c r="P1044" s="655">
        <f>+IF(OR($Q1044=Parametres!$G$2,$Q1044=Parametres!$G$3),K1044,E1044)</f>
        <v>0</v>
      </c>
      <c r="Q1044" s="654">
        <f t="shared" ref="Q1044:S1044" si="1064">+F1044</f>
        <v>0</v>
      </c>
      <c r="R1044" s="653">
        <f t="shared" si="1064"/>
        <v>0</v>
      </c>
      <c r="S1044" s="654">
        <f t="shared" si="1064"/>
        <v>0</v>
      </c>
      <c r="T1044" s="656" t="e">
        <f>+VLOOKUP($L1044,Data_Validation!$A:$D,1,0)</f>
        <v>#N/A</v>
      </c>
      <c r="U1044" s="656" t="e">
        <f>+VLOOKUP($L1044,Data_Validation!$A:$D,3,0)</f>
        <v>#N/A</v>
      </c>
      <c r="V1044" s="656" t="e">
        <f>+VLOOKUP($L1044,Data_Validation!$A:$D,4,0)</f>
        <v>#N/A</v>
      </c>
      <c r="W1044" s="656" t="e">
        <f>+VLOOKUP($L1044,Data_Validation!$A:$E,5,0)</f>
        <v>#N/A</v>
      </c>
    </row>
    <row r="1045" spans="1:23" ht="15.75" customHeight="1">
      <c r="A1045" s="716"/>
      <c r="B1045" s="654"/>
      <c r="C1045" s="717"/>
      <c r="D1045" s="716"/>
      <c r="E1045" s="716"/>
      <c r="F1045" s="716"/>
      <c r="G1045" s="716"/>
      <c r="H1045" s="716"/>
      <c r="I1045" s="716"/>
      <c r="J1045" s="716"/>
      <c r="K1045" s="716"/>
      <c r="L1045" s="653" t="str">
        <f t="shared" si="1046"/>
        <v>0</v>
      </c>
      <c r="M1045" s="654">
        <f t="shared" si="1040"/>
        <v>0</v>
      </c>
      <c r="N1045" s="655">
        <f>+IF(OR($Q1045=Parametres!$G$2,$Q1045=Parametres!$G$3),I1045,C1045)</f>
        <v>0</v>
      </c>
      <c r="O1045" s="655">
        <f>+IF(OR($Q1045=Parametres!$G$2,$Q1045=Parametres!$G$3),J1045,D1045)</f>
        <v>0</v>
      </c>
      <c r="P1045" s="655">
        <f>+IF(OR($Q1045=Parametres!$G$2,$Q1045=Parametres!$G$3),K1045,E1045)</f>
        <v>0</v>
      </c>
      <c r="Q1045" s="654">
        <f t="shared" ref="Q1045:S1045" si="1065">+F1045</f>
        <v>0</v>
      </c>
      <c r="R1045" s="653">
        <f t="shared" si="1065"/>
        <v>0</v>
      </c>
      <c r="S1045" s="654">
        <f t="shared" si="1065"/>
        <v>0</v>
      </c>
      <c r="T1045" s="656" t="e">
        <f>+VLOOKUP($L1045,Data_Validation!$A:$D,1,0)</f>
        <v>#N/A</v>
      </c>
      <c r="U1045" s="656" t="e">
        <f>+VLOOKUP($L1045,Data_Validation!$A:$D,3,0)</f>
        <v>#N/A</v>
      </c>
      <c r="V1045" s="656" t="e">
        <f>+VLOOKUP($L1045,Data_Validation!$A:$D,4,0)</f>
        <v>#N/A</v>
      </c>
      <c r="W1045" s="656" t="e">
        <f>+VLOOKUP($L1045,Data_Validation!$A:$E,5,0)</f>
        <v>#N/A</v>
      </c>
    </row>
    <row r="1046" spans="1:23" ht="15.75" customHeight="1">
      <c r="A1046" s="716"/>
      <c r="B1046" s="654"/>
      <c r="C1046" s="717"/>
      <c r="D1046" s="716"/>
      <c r="E1046" s="716"/>
      <c r="F1046" s="716"/>
      <c r="G1046" s="716"/>
      <c r="H1046" s="716"/>
      <c r="I1046" s="716"/>
      <c r="J1046" s="716"/>
      <c r="K1046" s="716"/>
      <c r="L1046" s="653" t="str">
        <f t="shared" si="1046"/>
        <v>0</v>
      </c>
      <c r="M1046" s="654">
        <f t="shared" si="1040"/>
        <v>0</v>
      </c>
      <c r="N1046" s="655">
        <f>+IF(OR($Q1046=Parametres!$G$2,$Q1046=Parametres!$G$3),I1046,C1046)</f>
        <v>0</v>
      </c>
      <c r="O1046" s="655">
        <f>+IF(OR($Q1046=Parametres!$G$2,$Q1046=Parametres!$G$3),J1046,D1046)</f>
        <v>0</v>
      </c>
      <c r="P1046" s="655">
        <f>+IF(OR($Q1046=Parametres!$G$2,$Q1046=Parametres!$G$3),K1046,E1046)</f>
        <v>0</v>
      </c>
      <c r="Q1046" s="654">
        <f t="shared" ref="Q1046:S1046" si="1066">+F1046</f>
        <v>0</v>
      </c>
      <c r="R1046" s="653">
        <f t="shared" si="1066"/>
        <v>0</v>
      </c>
      <c r="S1046" s="654">
        <f t="shared" si="1066"/>
        <v>0</v>
      </c>
      <c r="T1046" s="656" t="e">
        <f>+VLOOKUP($L1046,Data_Validation!$A:$D,1,0)</f>
        <v>#N/A</v>
      </c>
      <c r="U1046" s="656" t="e">
        <f>+VLOOKUP($L1046,Data_Validation!$A:$D,3,0)</f>
        <v>#N/A</v>
      </c>
      <c r="V1046" s="656" t="e">
        <f>+VLOOKUP($L1046,Data_Validation!$A:$D,4,0)</f>
        <v>#N/A</v>
      </c>
      <c r="W1046" s="656" t="e">
        <f>+VLOOKUP($L1046,Data_Validation!$A:$E,5,0)</f>
        <v>#N/A</v>
      </c>
    </row>
    <row r="1047" spans="1:23" ht="15.75" customHeight="1">
      <c r="A1047" s="716"/>
      <c r="B1047" s="654"/>
      <c r="C1047" s="717"/>
      <c r="D1047" s="716"/>
      <c r="E1047" s="716"/>
      <c r="F1047" s="716"/>
      <c r="G1047" s="716"/>
      <c r="H1047" s="716"/>
      <c r="I1047" s="716"/>
      <c r="J1047" s="716"/>
      <c r="K1047" s="716"/>
      <c r="L1047" s="653" t="str">
        <f t="shared" si="1046"/>
        <v>0</v>
      </c>
      <c r="M1047" s="654">
        <f t="shared" si="1040"/>
        <v>0</v>
      </c>
      <c r="N1047" s="655">
        <f>+IF(OR($Q1047=Parametres!$G$2,$Q1047=Parametres!$G$3),I1047,C1047)</f>
        <v>0</v>
      </c>
      <c r="O1047" s="655">
        <f>+IF(OR($Q1047=Parametres!$G$2,$Q1047=Parametres!$G$3),J1047,D1047)</f>
        <v>0</v>
      </c>
      <c r="P1047" s="655">
        <f>+IF(OR($Q1047=Parametres!$G$2,$Q1047=Parametres!$G$3),K1047,E1047)</f>
        <v>0</v>
      </c>
      <c r="Q1047" s="654">
        <f t="shared" ref="Q1047:S1047" si="1067">+F1047</f>
        <v>0</v>
      </c>
      <c r="R1047" s="653">
        <f t="shared" si="1067"/>
        <v>0</v>
      </c>
      <c r="S1047" s="654">
        <f t="shared" si="1067"/>
        <v>0</v>
      </c>
      <c r="T1047" s="656" t="e">
        <f>+VLOOKUP($L1047,Data_Validation!$A:$D,1,0)</f>
        <v>#N/A</v>
      </c>
      <c r="U1047" s="656" t="e">
        <f>+VLOOKUP($L1047,Data_Validation!$A:$D,3,0)</f>
        <v>#N/A</v>
      </c>
      <c r="V1047" s="656" t="e">
        <f>+VLOOKUP($L1047,Data_Validation!$A:$D,4,0)</f>
        <v>#N/A</v>
      </c>
      <c r="W1047" s="656" t="e">
        <f>+VLOOKUP($L1047,Data_Validation!$A:$E,5,0)</f>
        <v>#N/A</v>
      </c>
    </row>
    <row r="1048" spans="1:23" ht="15.75" customHeight="1">
      <c r="A1048" s="716"/>
      <c r="B1048" s="654"/>
      <c r="C1048" s="717"/>
      <c r="D1048" s="716"/>
      <c r="E1048" s="716"/>
      <c r="F1048" s="716"/>
      <c r="G1048" s="716"/>
      <c r="H1048" s="716"/>
      <c r="I1048" s="716"/>
      <c r="J1048" s="716"/>
      <c r="K1048" s="716"/>
      <c r="L1048" s="653" t="str">
        <f t="shared" si="1046"/>
        <v>0</v>
      </c>
      <c r="M1048" s="654">
        <f t="shared" si="1040"/>
        <v>0</v>
      </c>
      <c r="N1048" s="655">
        <f>+IF(OR($Q1048=Parametres!$G$2,$Q1048=Parametres!$G$3),I1048,C1048)</f>
        <v>0</v>
      </c>
      <c r="O1048" s="655">
        <f>+IF(OR($Q1048=Parametres!$G$2,$Q1048=Parametres!$G$3),J1048,D1048)</f>
        <v>0</v>
      </c>
      <c r="P1048" s="655">
        <f>+IF(OR($Q1048=Parametres!$G$2,$Q1048=Parametres!$G$3),K1048,E1048)</f>
        <v>0</v>
      </c>
      <c r="Q1048" s="654">
        <f t="shared" ref="Q1048:S1048" si="1068">+F1048</f>
        <v>0</v>
      </c>
      <c r="R1048" s="653">
        <f t="shared" si="1068"/>
        <v>0</v>
      </c>
      <c r="S1048" s="654">
        <f t="shared" si="1068"/>
        <v>0</v>
      </c>
      <c r="T1048" s="656" t="e">
        <f>+VLOOKUP($L1048,Data_Validation!$A:$D,1,0)</f>
        <v>#N/A</v>
      </c>
      <c r="U1048" s="656" t="e">
        <f>+VLOOKUP($L1048,Data_Validation!$A:$D,3,0)</f>
        <v>#N/A</v>
      </c>
      <c r="V1048" s="656" t="e">
        <f>+VLOOKUP($L1048,Data_Validation!$A:$D,4,0)</f>
        <v>#N/A</v>
      </c>
      <c r="W1048" s="656" t="e">
        <f>+VLOOKUP($L1048,Data_Validation!$A:$E,5,0)</f>
        <v>#N/A</v>
      </c>
    </row>
    <row r="1049" spans="1:23" ht="15.75" customHeight="1">
      <c r="A1049" s="716"/>
      <c r="B1049" s="654"/>
      <c r="C1049" s="717"/>
      <c r="D1049" s="716"/>
      <c r="E1049" s="716"/>
      <c r="F1049" s="716"/>
      <c r="G1049" s="716"/>
      <c r="H1049" s="716"/>
      <c r="I1049" s="716"/>
      <c r="J1049" s="716"/>
      <c r="K1049" s="716"/>
      <c r="L1049" s="653" t="str">
        <f t="shared" si="1046"/>
        <v>0</v>
      </c>
      <c r="M1049" s="654">
        <f t="shared" si="1040"/>
        <v>0</v>
      </c>
      <c r="N1049" s="655">
        <f>+IF(OR($Q1049=Parametres!$G$2,$Q1049=Parametres!$G$3),I1049,C1049)</f>
        <v>0</v>
      </c>
      <c r="O1049" s="655">
        <f>+IF(OR($Q1049=Parametres!$G$2,$Q1049=Parametres!$G$3),J1049,D1049)</f>
        <v>0</v>
      </c>
      <c r="P1049" s="655">
        <f>+IF(OR($Q1049=Parametres!$G$2,$Q1049=Parametres!$G$3),K1049,E1049)</f>
        <v>0</v>
      </c>
      <c r="Q1049" s="654">
        <f t="shared" ref="Q1049:S1049" si="1069">+F1049</f>
        <v>0</v>
      </c>
      <c r="R1049" s="653">
        <f t="shared" si="1069"/>
        <v>0</v>
      </c>
      <c r="S1049" s="654">
        <f t="shared" si="1069"/>
        <v>0</v>
      </c>
      <c r="T1049" s="656" t="e">
        <f>+VLOOKUP($L1049,Data_Validation!$A:$D,1,0)</f>
        <v>#N/A</v>
      </c>
      <c r="U1049" s="656" t="e">
        <f>+VLOOKUP($L1049,Data_Validation!$A:$D,3,0)</f>
        <v>#N/A</v>
      </c>
      <c r="V1049" s="656" t="e">
        <f>+VLOOKUP($L1049,Data_Validation!$A:$D,4,0)</f>
        <v>#N/A</v>
      </c>
      <c r="W1049" s="656" t="e">
        <f>+VLOOKUP($L1049,Data_Validation!$A:$E,5,0)</f>
        <v>#N/A</v>
      </c>
    </row>
    <row r="1050" spans="1:23" ht="15.75" customHeight="1">
      <c r="A1050" s="716"/>
      <c r="B1050" s="654"/>
      <c r="C1050" s="717"/>
      <c r="D1050" s="716"/>
      <c r="E1050" s="716"/>
      <c r="F1050" s="716"/>
      <c r="G1050" s="716"/>
      <c r="H1050" s="716"/>
      <c r="I1050" s="716"/>
      <c r="J1050" s="716"/>
      <c r="K1050" s="716"/>
      <c r="L1050" s="653" t="str">
        <f t="shared" si="1046"/>
        <v>0</v>
      </c>
      <c r="M1050" s="654">
        <f t="shared" si="1040"/>
        <v>0</v>
      </c>
      <c r="N1050" s="655">
        <f>+IF(OR($Q1050=Parametres!$G$2,$Q1050=Parametres!$G$3),I1050,C1050)</f>
        <v>0</v>
      </c>
      <c r="O1050" s="655">
        <f>+IF(OR($Q1050=Parametres!$G$2,$Q1050=Parametres!$G$3),J1050,D1050)</f>
        <v>0</v>
      </c>
      <c r="P1050" s="655">
        <f>+IF(OR($Q1050=Parametres!$G$2,$Q1050=Parametres!$G$3),K1050,E1050)</f>
        <v>0</v>
      </c>
      <c r="Q1050" s="654">
        <f t="shared" ref="Q1050:S1050" si="1070">+F1050</f>
        <v>0</v>
      </c>
      <c r="R1050" s="653">
        <f t="shared" si="1070"/>
        <v>0</v>
      </c>
      <c r="S1050" s="654">
        <f t="shared" si="1070"/>
        <v>0</v>
      </c>
      <c r="T1050" s="656" t="e">
        <f>+VLOOKUP($L1050,Data_Validation!$A:$D,1,0)</f>
        <v>#N/A</v>
      </c>
      <c r="U1050" s="656" t="e">
        <f>+VLOOKUP($L1050,Data_Validation!$A:$D,3,0)</f>
        <v>#N/A</v>
      </c>
      <c r="V1050" s="656" t="e">
        <f>+VLOOKUP($L1050,Data_Validation!$A:$D,4,0)</f>
        <v>#N/A</v>
      </c>
      <c r="W1050" s="656" t="e">
        <f>+VLOOKUP($L1050,Data_Validation!$A:$E,5,0)</f>
        <v>#N/A</v>
      </c>
    </row>
    <row r="1051" spans="1:23" ht="15.75" customHeight="1">
      <c r="A1051" s="716"/>
      <c r="B1051" s="654"/>
      <c r="C1051" s="717"/>
      <c r="D1051" s="716"/>
      <c r="E1051" s="716"/>
      <c r="F1051" s="716"/>
      <c r="G1051" s="716"/>
      <c r="H1051" s="716"/>
      <c r="I1051" s="716"/>
      <c r="J1051" s="716"/>
      <c r="K1051" s="716"/>
      <c r="L1051" s="653" t="str">
        <f t="shared" si="1046"/>
        <v>0</v>
      </c>
      <c r="M1051" s="654">
        <f t="shared" si="1040"/>
        <v>0</v>
      </c>
      <c r="N1051" s="655">
        <f>+IF(OR($Q1051=Parametres!$G$2,$Q1051=Parametres!$G$3),I1051,C1051)</f>
        <v>0</v>
      </c>
      <c r="O1051" s="655">
        <f>+IF(OR($Q1051=Parametres!$G$2,$Q1051=Parametres!$G$3),J1051,D1051)</f>
        <v>0</v>
      </c>
      <c r="P1051" s="655">
        <f>+IF(OR($Q1051=Parametres!$G$2,$Q1051=Parametres!$G$3),K1051,E1051)</f>
        <v>0</v>
      </c>
      <c r="Q1051" s="654">
        <f t="shared" ref="Q1051:S1051" si="1071">+F1051</f>
        <v>0</v>
      </c>
      <c r="R1051" s="653">
        <f t="shared" si="1071"/>
        <v>0</v>
      </c>
      <c r="S1051" s="654">
        <f t="shared" si="1071"/>
        <v>0</v>
      </c>
      <c r="T1051" s="656" t="e">
        <f>+VLOOKUP($L1051,Data_Validation!$A:$D,1,0)</f>
        <v>#N/A</v>
      </c>
      <c r="U1051" s="656" t="e">
        <f>+VLOOKUP($L1051,Data_Validation!$A:$D,3,0)</f>
        <v>#N/A</v>
      </c>
      <c r="V1051" s="656" t="e">
        <f>+VLOOKUP($L1051,Data_Validation!$A:$D,4,0)</f>
        <v>#N/A</v>
      </c>
      <c r="W1051" s="656" t="e">
        <f>+VLOOKUP($L1051,Data_Validation!$A:$E,5,0)</f>
        <v>#N/A</v>
      </c>
    </row>
    <row r="1052" spans="1:23" ht="15.75" customHeight="1">
      <c r="A1052" s="716"/>
      <c r="B1052" s="654"/>
      <c r="C1052" s="717"/>
      <c r="D1052" s="716"/>
      <c r="E1052" s="716"/>
      <c r="F1052" s="716"/>
      <c r="G1052" s="716"/>
      <c r="H1052" s="716"/>
      <c r="I1052" s="716"/>
      <c r="J1052" s="716"/>
      <c r="K1052" s="716"/>
      <c r="L1052" s="653" t="str">
        <f t="shared" si="1046"/>
        <v>0</v>
      </c>
      <c r="M1052" s="654">
        <f t="shared" si="1040"/>
        <v>0</v>
      </c>
      <c r="N1052" s="655">
        <f>+IF(OR($Q1052=Parametres!$G$2,$Q1052=Parametres!$G$3),I1052,C1052)</f>
        <v>0</v>
      </c>
      <c r="O1052" s="655">
        <f>+IF(OR($Q1052=Parametres!$G$2,$Q1052=Parametres!$G$3),J1052,D1052)</f>
        <v>0</v>
      </c>
      <c r="P1052" s="655">
        <f>+IF(OR($Q1052=Parametres!$G$2,$Q1052=Parametres!$G$3),K1052,E1052)</f>
        <v>0</v>
      </c>
      <c r="Q1052" s="654">
        <f t="shared" ref="Q1052:S1052" si="1072">+F1052</f>
        <v>0</v>
      </c>
      <c r="R1052" s="653">
        <f t="shared" si="1072"/>
        <v>0</v>
      </c>
      <c r="S1052" s="654">
        <f t="shared" si="1072"/>
        <v>0</v>
      </c>
      <c r="T1052" s="656" t="e">
        <f>+VLOOKUP($L1052,Data_Validation!$A:$D,1,0)</f>
        <v>#N/A</v>
      </c>
      <c r="U1052" s="656" t="e">
        <f>+VLOOKUP($L1052,Data_Validation!$A:$D,3,0)</f>
        <v>#N/A</v>
      </c>
      <c r="V1052" s="656" t="e">
        <f>+VLOOKUP($L1052,Data_Validation!$A:$D,4,0)</f>
        <v>#N/A</v>
      </c>
      <c r="W1052" s="656" t="e">
        <f>+VLOOKUP($L1052,Data_Validation!$A:$E,5,0)</f>
        <v>#N/A</v>
      </c>
    </row>
    <row r="1053" spans="1:23" ht="15.75" customHeight="1">
      <c r="A1053" s="716"/>
      <c r="B1053" s="654"/>
      <c r="C1053" s="717"/>
      <c r="D1053" s="716"/>
      <c r="E1053" s="716"/>
      <c r="F1053" s="716"/>
      <c r="G1053" s="716"/>
      <c r="H1053" s="716"/>
      <c r="I1053" s="716"/>
      <c r="J1053" s="716"/>
      <c r="K1053" s="716"/>
      <c r="L1053" s="653" t="str">
        <f t="shared" si="1046"/>
        <v>0</v>
      </c>
      <c r="M1053" s="654">
        <f t="shared" si="1040"/>
        <v>0</v>
      </c>
      <c r="N1053" s="655">
        <f>+IF(OR($Q1053=Parametres!$G$2,$Q1053=Parametres!$G$3),I1053,C1053)</f>
        <v>0</v>
      </c>
      <c r="O1053" s="655">
        <f>+IF(OR($Q1053=Parametres!$G$2,$Q1053=Parametres!$G$3),J1053,D1053)</f>
        <v>0</v>
      </c>
      <c r="P1053" s="655">
        <f>+IF(OR($Q1053=Parametres!$G$2,$Q1053=Parametres!$G$3),K1053,E1053)</f>
        <v>0</v>
      </c>
      <c r="Q1053" s="654">
        <f t="shared" ref="Q1053:S1053" si="1073">+F1053</f>
        <v>0</v>
      </c>
      <c r="R1053" s="653">
        <f t="shared" si="1073"/>
        <v>0</v>
      </c>
      <c r="S1053" s="654">
        <f t="shared" si="1073"/>
        <v>0</v>
      </c>
      <c r="T1053" s="656" t="e">
        <f>+VLOOKUP($L1053,Data_Validation!$A:$D,1,0)</f>
        <v>#N/A</v>
      </c>
      <c r="U1053" s="656" t="e">
        <f>+VLOOKUP($L1053,Data_Validation!$A:$D,3,0)</f>
        <v>#N/A</v>
      </c>
      <c r="V1053" s="656" t="e">
        <f>+VLOOKUP($L1053,Data_Validation!$A:$D,4,0)</f>
        <v>#N/A</v>
      </c>
      <c r="W1053" s="656" t="e">
        <f>+VLOOKUP($L1053,Data_Validation!$A:$E,5,0)</f>
        <v>#N/A</v>
      </c>
    </row>
    <row r="1054" spans="1:23" ht="15.75" customHeight="1">
      <c r="A1054" s="716"/>
      <c r="B1054" s="654"/>
      <c r="C1054" s="717"/>
      <c r="D1054" s="716"/>
      <c r="E1054" s="716"/>
      <c r="F1054" s="716"/>
      <c r="G1054" s="716"/>
      <c r="H1054" s="716"/>
      <c r="I1054" s="716"/>
      <c r="J1054" s="716"/>
      <c r="K1054" s="716"/>
      <c r="L1054" s="653" t="str">
        <f t="shared" si="1046"/>
        <v>0</v>
      </c>
      <c r="M1054" s="654">
        <f t="shared" si="1040"/>
        <v>0</v>
      </c>
      <c r="N1054" s="655">
        <f>+IF(OR($Q1054=Parametres!$G$2,$Q1054=Parametres!$G$3),I1054,C1054)</f>
        <v>0</v>
      </c>
      <c r="O1054" s="655">
        <f>+IF(OR($Q1054=Parametres!$G$2,$Q1054=Parametres!$G$3),J1054,D1054)</f>
        <v>0</v>
      </c>
      <c r="P1054" s="655">
        <f>+IF(OR($Q1054=Parametres!$G$2,$Q1054=Parametres!$G$3),K1054,E1054)</f>
        <v>0</v>
      </c>
      <c r="Q1054" s="654">
        <f t="shared" ref="Q1054:S1054" si="1074">+F1054</f>
        <v>0</v>
      </c>
      <c r="R1054" s="653">
        <f t="shared" si="1074"/>
        <v>0</v>
      </c>
      <c r="S1054" s="654">
        <f t="shared" si="1074"/>
        <v>0</v>
      </c>
      <c r="T1054" s="656" t="e">
        <f>+VLOOKUP($L1054,Data_Validation!$A:$D,1,0)</f>
        <v>#N/A</v>
      </c>
      <c r="U1054" s="656" t="e">
        <f>+VLOOKUP($L1054,Data_Validation!$A:$D,3,0)</f>
        <v>#N/A</v>
      </c>
      <c r="V1054" s="656" t="e">
        <f>+VLOOKUP($L1054,Data_Validation!$A:$D,4,0)</f>
        <v>#N/A</v>
      </c>
      <c r="W1054" s="656" t="e">
        <f>+VLOOKUP($L1054,Data_Validation!$A:$E,5,0)</f>
        <v>#N/A</v>
      </c>
    </row>
    <row r="1055" spans="1:23" ht="15.75" customHeight="1">
      <c r="A1055" s="716"/>
      <c r="B1055" s="654"/>
      <c r="C1055" s="717"/>
      <c r="D1055" s="716"/>
      <c r="E1055" s="716"/>
      <c r="F1055" s="716"/>
      <c r="G1055" s="716"/>
      <c r="H1055" s="716"/>
      <c r="I1055" s="716"/>
      <c r="J1055" s="716"/>
      <c r="K1055" s="716"/>
      <c r="L1055" s="653" t="str">
        <f t="shared" si="1046"/>
        <v>0</v>
      </c>
      <c r="M1055" s="654">
        <f t="shared" si="1040"/>
        <v>0</v>
      </c>
      <c r="N1055" s="655">
        <f>+IF(OR($Q1055=Parametres!$G$2,$Q1055=Parametres!$G$3),I1055,C1055)</f>
        <v>0</v>
      </c>
      <c r="O1055" s="655">
        <f>+IF(OR($Q1055=Parametres!$G$2,$Q1055=Parametres!$G$3),J1055,D1055)</f>
        <v>0</v>
      </c>
      <c r="P1055" s="655">
        <f>+IF(OR($Q1055=Parametres!$G$2,$Q1055=Parametres!$G$3),K1055,E1055)</f>
        <v>0</v>
      </c>
      <c r="Q1055" s="654">
        <f t="shared" ref="Q1055:S1055" si="1075">+F1055</f>
        <v>0</v>
      </c>
      <c r="R1055" s="653">
        <f t="shared" si="1075"/>
        <v>0</v>
      </c>
      <c r="S1055" s="654">
        <f t="shared" si="1075"/>
        <v>0</v>
      </c>
      <c r="T1055" s="656" t="e">
        <f>+VLOOKUP($L1055,Data_Validation!$A:$D,1,0)</f>
        <v>#N/A</v>
      </c>
      <c r="U1055" s="656" t="e">
        <f>+VLOOKUP($L1055,Data_Validation!$A:$D,3,0)</f>
        <v>#N/A</v>
      </c>
      <c r="V1055" s="656" t="e">
        <f>+VLOOKUP($L1055,Data_Validation!$A:$D,4,0)</f>
        <v>#N/A</v>
      </c>
      <c r="W1055" s="656" t="e">
        <f>+VLOOKUP($L1055,Data_Validation!$A:$E,5,0)</f>
        <v>#N/A</v>
      </c>
    </row>
    <row r="1056" spans="1:23" ht="15.75" customHeight="1">
      <c r="O1056" s="673"/>
    </row>
    <row r="1057" spans="2:15" ht="15.75" customHeight="1">
      <c r="O1057" s="673"/>
    </row>
    <row r="1058" spans="2:15" ht="15.75" customHeight="1">
      <c r="O1058" s="673"/>
    </row>
    <row r="1059" spans="2:15" ht="15.75" customHeight="1">
      <c r="O1059" s="673"/>
    </row>
    <row r="1060" spans="2:15" ht="15.75" customHeight="1">
      <c r="O1060" s="673"/>
    </row>
    <row r="1061" spans="2:15" ht="15.75" customHeight="1">
      <c r="O1061" s="673"/>
    </row>
    <row r="1062" spans="2:15" ht="15.75" customHeight="1">
      <c r="O1062" s="673"/>
    </row>
    <row r="1063" spans="2:15" ht="15.75" customHeight="1">
      <c r="O1063" s="673"/>
    </row>
    <row r="1064" spans="2:15" ht="15.75" customHeight="1">
      <c r="O1064" s="673"/>
    </row>
    <row r="1065" spans="2:15" ht="15.75" customHeight="1">
      <c r="O1065" s="673"/>
    </row>
    <row r="1066" spans="2:15" ht="15" customHeight="1">
      <c r="B1066" s="5"/>
      <c r="C1066" s="5"/>
      <c r="O1066" s="673"/>
    </row>
    <row r="1067" spans="2:15" ht="15" customHeight="1">
      <c r="B1067" s="5"/>
      <c r="O1067" s="673"/>
    </row>
    <row r="1068" spans="2:15" ht="15" customHeight="1">
      <c r="B1068" s="5"/>
      <c r="C1068" s="5"/>
      <c r="D1068" s="5"/>
      <c r="E1068" s="5"/>
      <c r="F1068" s="5"/>
      <c r="O1068" s="673"/>
    </row>
    <row r="1069" spans="2:15" ht="15" customHeight="1">
      <c r="B1069" s="5"/>
      <c r="O1069" s="673"/>
    </row>
    <row r="1070" spans="2:15" ht="15" customHeight="1">
      <c r="B1070" s="5"/>
      <c r="C1070" s="5"/>
      <c r="D1070" s="5"/>
      <c r="E1070" s="5"/>
      <c r="F1070" s="5"/>
      <c r="O1070" s="673"/>
    </row>
    <row r="1071" spans="2:15" ht="15" customHeight="1">
      <c r="B1071" s="5"/>
      <c r="O1071" s="673"/>
    </row>
    <row r="1072" spans="2:15" ht="15" customHeight="1">
      <c r="B1072" s="5"/>
      <c r="C1072" s="5"/>
      <c r="D1072" s="5"/>
      <c r="E1072" s="5"/>
      <c r="F1072" s="5"/>
      <c r="O1072" s="673"/>
    </row>
    <row r="1073" spans="2:15" ht="15" customHeight="1">
      <c r="B1073" s="5"/>
      <c r="O1073" s="673"/>
    </row>
    <row r="1074" spans="2:15" ht="15" customHeight="1">
      <c r="B1074" s="5"/>
      <c r="C1074" s="5"/>
      <c r="D1074" s="5"/>
      <c r="E1074" s="5"/>
      <c r="F1074" s="5"/>
      <c r="O1074" s="673"/>
    </row>
    <row r="1075" spans="2:15" ht="15" customHeight="1">
      <c r="B1075" s="5"/>
      <c r="O1075" s="673"/>
    </row>
    <row r="1076" spans="2:15" ht="15" customHeight="1">
      <c r="B1076" s="5"/>
      <c r="C1076" s="5"/>
      <c r="D1076" s="5"/>
      <c r="E1076" s="5"/>
      <c r="F1076" s="5"/>
      <c r="O1076" s="673"/>
    </row>
    <row r="1077" spans="2:15" ht="15" customHeight="1">
      <c r="B1077" s="5"/>
      <c r="O1077" s="673"/>
    </row>
    <row r="1078" spans="2:15" ht="15" customHeight="1">
      <c r="B1078" s="5"/>
      <c r="C1078" s="5"/>
      <c r="D1078" s="5"/>
      <c r="E1078" s="5"/>
      <c r="F1078" s="5"/>
      <c r="O1078" s="673"/>
    </row>
    <row r="1079" spans="2:15" ht="15" customHeight="1">
      <c r="B1079" s="5"/>
      <c r="O1079" s="673"/>
    </row>
    <row r="1080" spans="2:15" ht="15" customHeight="1">
      <c r="B1080" s="5"/>
      <c r="C1080" s="5"/>
      <c r="D1080" s="5"/>
      <c r="E1080" s="5"/>
      <c r="F1080" s="5"/>
      <c r="O1080" s="673"/>
    </row>
    <row r="1081" spans="2:15" ht="15" customHeight="1">
      <c r="B1081" s="5"/>
      <c r="O1081" s="673"/>
    </row>
    <row r="1082" spans="2:15" ht="15" customHeight="1">
      <c r="B1082" s="5"/>
      <c r="C1082" s="5"/>
      <c r="D1082" s="5"/>
      <c r="O1082" s="673"/>
    </row>
    <row r="1083" spans="2:15" ht="15" customHeight="1">
      <c r="B1083" s="5"/>
      <c r="O1083" s="673"/>
    </row>
    <row r="1084" spans="2:15" ht="15" customHeight="1">
      <c r="B1084" s="5"/>
      <c r="C1084" s="5"/>
      <c r="D1084" s="5"/>
      <c r="E1084" s="5"/>
      <c r="F1084" s="5"/>
      <c r="O1084" s="673"/>
    </row>
    <row r="1085" spans="2:15" ht="15" customHeight="1">
      <c r="B1085" s="5"/>
      <c r="O1085" s="673"/>
    </row>
    <row r="1086" spans="2:15" ht="15" customHeight="1">
      <c r="C1086" s="5"/>
      <c r="D1086" s="5"/>
      <c r="O1086" s="673"/>
    </row>
    <row r="1087" spans="2:15" ht="15" customHeight="1">
      <c r="E1087" s="5"/>
      <c r="F1087" s="5"/>
      <c r="O1087" s="673"/>
    </row>
  </sheetData>
  <autoFilter ref="A1:X1055"/>
  <dataValidations disablePrompts="1" count="1">
    <dataValidation type="list" allowBlank="1" showErrorMessage="1" sqref="U1">
      <formula1>$D$1:$D$26</formula1>
    </dataValidation>
  </dataValidations>
  <pageMargins left="0.7" right="0.7" top="0.75" bottom="0.75" header="0" footer="0"/>
  <pageSetup scale="63" orientation="landscape" r:id="rId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00"/>
  <sheetViews>
    <sheetView workbookViewId="0"/>
  </sheetViews>
  <sheetFormatPr baseColWidth="10" defaultColWidth="12.58203125" defaultRowHeight="15" customHeight="1"/>
  <cols>
    <col min="1" max="1" width="19.1640625" customWidth="1"/>
    <col min="2" max="2" width="42.5" customWidth="1"/>
    <col min="3" max="3" width="13.08203125" customWidth="1"/>
    <col min="4" max="4" width="33.4140625" customWidth="1"/>
    <col min="5" max="6" width="10.58203125" customWidth="1"/>
    <col min="7" max="7" width="43.9140625" customWidth="1"/>
    <col min="8" max="26" width="10.58203125" customWidth="1"/>
  </cols>
  <sheetData>
    <row r="1" spans="1:8" ht="14.25" customHeight="1">
      <c r="A1" s="674" t="s">
        <v>1317</v>
      </c>
      <c r="B1" s="674" t="s">
        <v>251</v>
      </c>
      <c r="C1" s="674" t="s">
        <v>1318</v>
      </c>
      <c r="D1" s="674" t="s">
        <v>718</v>
      </c>
    </row>
    <row r="2" spans="1:8" ht="14.25" customHeight="1">
      <c r="A2" s="689" t="s">
        <v>1436</v>
      </c>
      <c r="B2" s="678" t="s">
        <v>1437</v>
      </c>
      <c r="C2" s="679" t="s">
        <v>92</v>
      </c>
      <c r="D2" s="679" t="s">
        <v>46</v>
      </c>
      <c r="G2" s="650" t="s">
        <v>720</v>
      </c>
      <c r="H2" s="650" t="s">
        <v>1438</v>
      </c>
    </row>
    <row r="3" spans="1:8" ht="14.25" customHeight="1">
      <c r="A3" s="689" t="s">
        <v>1439</v>
      </c>
      <c r="B3" s="678" t="s">
        <v>1440</v>
      </c>
      <c r="C3" s="679" t="s">
        <v>152</v>
      </c>
      <c r="D3" s="679" t="s">
        <v>48</v>
      </c>
      <c r="G3" s="650" t="s">
        <v>729</v>
      </c>
      <c r="H3" s="650" t="s">
        <v>1441</v>
      </c>
    </row>
    <row r="4" spans="1:8" ht="14.25" customHeight="1">
      <c r="A4" s="689" t="s">
        <v>1442</v>
      </c>
      <c r="B4" s="678" t="s">
        <v>1443</v>
      </c>
      <c r="C4" s="679" t="s">
        <v>92</v>
      </c>
      <c r="D4" s="679" t="s">
        <v>46</v>
      </c>
      <c r="G4" s="650" t="s">
        <v>730</v>
      </c>
      <c r="H4" s="650" t="s">
        <v>1444</v>
      </c>
    </row>
    <row r="5" spans="1:8" ht="14.25" customHeight="1">
      <c r="A5" s="689" t="s">
        <v>1445</v>
      </c>
      <c r="B5" s="678" t="s">
        <v>1446</v>
      </c>
      <c r="C5" s="679" t="s">
        <v>152</v>
      </c>
      <c r="D5" s="679" t="s">
        <v>48</v>
      </c>
      <c r="G5" s="650" t="s">
        <v>815</v>
      </c>
      <c r="H5" s="650" t="s">
        <v>817</v>
      </c>
    </row>
    <row r="6" spans="1:8" ht="14.25" customHeight="1">
      <c r="A6" s="689" t="s">
        <v>1447</v>
      </c>
      <c r="B6" s="678" t="s">
        <v>1448</v>
      </c>
      <c r="C6" s="679" t="s">
        <v>92</v>
      </c>
      <c r="D6" s="679" t="s">
        <v>46</v>
      </c>
      <c r="G6" s="650" t="s">
        <v>1342</v>
      </c>
      <c r="H6" s="650" t="s">
        <v>1449</v>
      </c>
    </row>
    <row r="7" spans="1:8" ht="14.25" customHeight="1">
      <c r="A7" s="689" t="s">
        <v>1450</v>
      </c>
      <c r="B7" s="678" t="s">
        <v>1451</v>
      </c>
      <c r="C7" s="679" t="s">
        <v>152</v>
      </c>
      <c r="D7" s="679" t="s">
        <v>48</v>
      </c>
      <c r="G7" s="650" t="s">
        <v>820</v>
      </c>
      <c r="H7" s="650" t="s">
        <v>1452</v>
      </c>
    </row>
    <row r="8" spans="1:8" ht="14.25" customHeight="1">
      <c r="A8" s="689" t="s">
        <v>1453</v>
      </c>
      <c r="B8" s="678" t="s">
        <v>1454</v>
      </c>
      <c r="C8" s="679" t="s">
        <v>92</v>
      </c>
      <c r="D8" s="679" t="s">
        <v>46</v>
      </c>
      <c r="G8" s="650" t="s">
        <v>822</v>
      </c>
      <c r="H8" s="650" t="s">
        <v>823</v>
      </c>
    </row>
    <row r="9" spans="1:8" ht="14.25" customHeight="1">
      <c r="A9" s="689" t="s">
        <v>1455</v>
      </c>
      <c r="B9" s="678" t="s">
        <v>1456</v>
      </c>
      <c r="C9" s="679" t="s">
        <v>152</v>
      </c>
      <c r="D9" s="679" t="s">
        <v>48</v>
      </c>
      <c r="G9" s="650" t="s">
        <v>824</v>
      </c>
      <c r="H9" s="650" t="s">
        <v>825</v>
      </c>
    </row>
    <row r="10" spans="1:8" ht="14.25" customHeight="1">
      <c r="A10" s="689" t="s">
        <v>1457</v>
      </c>
      <c r="B10" s="678" t="s">
        <v>1458</v>
      </c>
      <c r="C10" s="679" t="s">
        <v>92</v>
      </c>
      <c r="D10" s="679" t="s">
        <v>46</v>
      </c>
      <c r="G10" s="650" t="s">
        <v>826</v>
      </c>
      <c r="H10" s="650" t="s">
        <v>1459</v>
      </c>
    </row>
    <row r="11" spans="1:8" ht="14.25" customHeight="1">
      <c r="A11" s="689" t="s">
        <v>1460</v>
      </c>
      <c r="B11" s="678" t="s">
        <v>1461</v>
      </c>
      <c r="C11" s="679" t="s">
        <v>152</v>
      </c>
      <c r="D11" s="679" t="s">
        <v>48</v>
      </c>
      <c r="G11" s="650" t="s">
        <v>827</v>
      </c>
      <c r="H11" s="650" t="s">
        <v>828</v>
      </c>
    </row>
    <row r="12" spans="1:8" ht="14.25" customHeight="1">
      <c r="A12" s="689" t="s">
        <v>1462</v>
      </c>
      <c r="B12" s="678" t="s">
        <v>1463</v>
      </c>
      <c r="C12" s="679" t="s">
        <v>92</v>
      </c>
      <c r="D12" s="679" t="s">
        <v>46</v>
      </c>
      <c r="G12" s="650" t="s">
        <v>829</v>
      </c>
      <c r="H12" s="650" t="s">
        <v>1464</v>
      </c>
    </row>
    <row r="13" spans="1:8" ht="14.25" customHeight="1">
      <c r="A13" s="689" t="s">
        <v>1465</v>
      </c>
      <c r="B13" s="678" t="s">
        <v>1466</v>
      </c>
      <c r="C13" s="679" t="s">
        <v>152</v>
      </c>
      <c r="D13" s="679" t="s">
        <v>48</v>
      </c>
      <c r="G13" s="650" t="s">
        <v>832</v>
      </c>
      <c r="H13" s="650" t="s">
        <v>1467</v>
      </c>
    </row>
    <row r="14" spans="1:8" ht="14.25" customHeight="1">
      <c r="A14" s="689" t="s">
        <v>1468</v>
      </c>
      <c r="B14" s="678" t="s">
        <v>1469</v>
      </c>
      <c r="C14" s="679" t="s">
        <v>92</v>
      </c>
      <c r="D14" s="679" t="s">
        <v>46</v>
      </c>
      <c r="G14" s="650" t="s">
        <v>834</v>
      </c>
      <c r="H14" s="650" t="s">
        <v>835</v>
      </c>
    </row>
    <row r="15" spans="1:8" ht="14.25" customHeight="1">
      <c r="A15" s="689" t="s">
        <v>1470</v>
      </c>
      <c r="B15" s="678" t="s">
        <v>1471</v>
      </c>
      <c r="C15" s="679" t="s">
        <v>152</v>
      </c>
      <c r="D15" s="679" t="s">
        <v>48</v>
      </c>
      <c r="G15" s="650" t="s">
        <v>836</v>
      </c>
      <c r="H15" s="650" t="s">
        <v>1472</v>
      </c>
    </row>
    <row r="16" spans="1:8" ht="14.25" customHeight="1">
      <c r="A16" s="689" t="s">
        <v>1473</v>
      </c>
      <c r="B16" s="678" t="s">
        <v>1474</v>
      </c>
      <c r="C16" s="679" t="s">
        <v>92</v>
      </c>
      <c r="D16" s="679" t="s">
        <v>46</v>
      </c>
      <c r="G16" s="650" t="s">
        <v>837</v>
      </c>
      <c r="H16" s="650" t="s">
        <v>1475</v>
      </c>
    </row>
    <row r="17" spans="1:8" ht="14.25" customHeight="1">
      <c r="A17" s="689" t="s">
        <v>1476</v>
      </c>
      <c r="B17" s="678" t="s">
        <v>1477</v>
      </c>
      <c r="C17" s="679" t="s">
        <v>152</v>
      </c>
      <c r="D17" s="679" t="s">
        <v>48</v>
      </c>
      <c r="G17" s="650" t="s">
        <v>1346</v>
      </c>
      <c r="H17" s="650" t="s">
        <v>1478</v>
      </c>
    </row>
    <row r="18" spans="1:8" ht="14.25" customHeight="1">
      <c r="A18" s="689" t="s">
        <v>1479</v>
      </c>
      <c r="B18" s="678" t="s">
        <v>1480</v>
      </c>
      <c r="C18" s="679" t="s">
        <v>1321</v>
      </c>
      <c r="D18" s="679"/>
      <c r="G18" s="650" t="s">
        <v>1347</v>
      </c>
      <c r="H18" s="650" t="s">
        <v>1429</v>
      </c>
    </row>
    <row r="19" spans="1:8" ht="14.25" customHeight="1">
      <c r="A19" s="689" t="s">
        <v>1481</v>
      </c>
      <c r="B19" s="678" t="s">
        <v>1482</v>
      </c>
      <c r="C19" s="679" t="s">
        <v>1321</v>
      </c>
      <c r="D19" s="679"/>
      <c r="G19" s="650" t="s">
        <v>840</v>
      </c>
      <c r="H19" s="650" t="s">
        <v>841</v>
      </c>
    </row>
    <row r="20" spans="1:8" ht="14.25" customHeight="1">
      <c r="A20" s="689" t="s">
        <v>1483</v>
      </c>
      <c r="B20" s="678" t="s">
        <v>1484</v>
      </c>
      <c r="C20" s="679" t="s">
        <v>1321</v>
      </c>
      <c r="D20" s="679"/>
      <c r="G20" s="650" t="s">
        <v>842</v>
      </c>
      <c r="H20" s="650" t="s">
        <v>843</v>
      </c>
    </row>
    <row r="21" spans="1:8" ht="14.25" customHeight="1">
      <c r="A21" s="689" t="s">
        <v>1485</v>
      </c>
      <c r="B21" s="678" t="s">
        <v>1486</v>
      </c>
      <c r="C21" s="679" t="s">
        <v>1321</v>
      </c>
      <c r="D21" s="679"/>
      <c r="G21" s="650" t="s">
        <v>844</v>
      </c>
      <c r="H21" s="650" t="s">
        <v>1487</v>
      </c>
    </row>
    <row r="22" spans="1:8" ht="14.25" customHeight="1">
      <c r="A22" s="689" t="s">
        <v>1488</v>
      </c>
      <c r="B22" s="678" t="s">
        <v>1489</v>
      </c>
      <c r="C22" s="679" t="s">
        <v>1321</v>
      </c>
      <c r="D22" s="679"/>
      <c r="G22" s="650" t="s">
        <v>845</v>
      </c>
      <c r="H22" s="650" t="s">
        <v>846</v>
      </c>
    </row>
    <row r="23" spans="1:8" ht="14.25" customHeight="1">
      <c r="A23" s="689" t="s">
        <v>1490</v>
      </c>
      <c r="B23" s="678" t="s">
        <v>1491</v>
      </c>
      <c r="C23" s="679" t="s">
        <v>1321</v>
      </c>
      <c r="D23" s="679"/>
      <c r="G23" s="650" t="s">
        <v>847</v>
      </c>
      <c r="H23" s="650" t="s">
        <v>848</v>
      </c>
    </row>
    <row r="24" spans="1:8" ht="14.25" customHeight="1">
      <c r="A24" s="689" t="s">
        <v>1492</v>
      </c>
      <c r="B24" s="678" t="s">
        <v>1493</v>
      </c>
      <c r="C24" s="679" t="s">
        <v>1321</v>
      </c>
      <c r="D24" s="679"/>
      <c r="G24" s="650" t="s">
        <v>849</v>
      </c>
      <c r="H24" s="650" t="s">
        <v>850</v>
      </c>
    </row>
    <row r="25" spans="1:8" ht="14.25" customHeight="1">
      <c r="A25" s="689" t="s">
        <v>1494</v>
      </c>
      <c r="B25" s="678" t="s">
        <v>1495</v>
      </c>
      <c r="C25" s="679" t="s">
        <v>1321</v>
      </c>
      <c r="D25" s="679"/>
      <c r="G25" s="650" t="s">
        <v>855</v>
      </c>
      <c r="H25" s="650" t="s">
        <v>856</v>
      </c>
    </row>
    <row r="26" spans="1:8" ht="14.25" customHeight="1">
      <c r="A26" s="689" t="s">
        <v>1496</v>
      </c>
      <c r="B26" s="678" t="s">
        <v>1497</v>
      </c>
      <c r="C26" s="679" t="s">
        <v>1321</v>
      </c>
      <c r="D26" s="679"/>
      <c r="G26" s="650" t="s">
        <v>858</v>
      </c>
      <c r="H26" s="650" t="s">
        <v>1498</v>
      </c>
    </row>
    <row r="27" spans="1:8" ht="14.25" customHeight="1">
      <c r="A27" s="689" t="s">
        <v>1499</v>
      </c>
      <c r="B27" s="678" t="s">
        <v>1500</v>
      </c>
      <c r="C27" s="679" t="s">
        <v>1321</v>
      </c>
      <c r="D27" s="679"/>
      <c r="G27" s="650" t="s">
        <v>859</v>
      </c>
      <c r="H27" s="650" t="s">
        <v>860</v>
      </c>
    </row>
    <row r="28" spans="1:8" ht="14.25" customHeight="1">
      <c r="A28" s="689" t="s">
        <v>1501</v>
      </c>
      <c r="B28" s="678" t="s">
        <v>1502</v>
      </c>
      <c r="C28" s="679" t="s">
        <v>1321</v>
      </c>
      <c r="D28" s="679"/>
      <c r="G28" s="650" t="s">
        <v>861</v>
      </c>
      <c r="H28" s="650" t="s">
        <v>862</v>
      </c>
    </row>
    <row r="29" spans="1:8" ht="14.25" customHeight="1">
      <c r="A29" s="689" t="s">
        <v>1503</v>
      </c>
      <c r="B29" s="678" t="s">
        <v>1504</v>
      </c>
      <c r="C29" s="679" t="s">
        <v>1321</v>
      </c>
      <c r="D29" s="679"/>
      <c r="G29" s="650" t="s">
        <v>863</v>
      </c>
      <c r="H29" s="650" t="s">
        <v>1505</v>
      </c>
    </row>
    <row r="30" spans="1:8" ht="14.25" customHeight="1">
      <c r="A30" s="689" t="s">
        <v>1506</v>
      </c>
      <c r="B30" s="678" t="s">
        <v>1507</v>
      </c>
      <c r="C30" s="679" t="s">
        <v>1321</v>
      </c>
      <c r="D30" s="679"/>
      <c r="G30" s="650" t="s">
        <v>864</v>
      </c>
      <c r="H30" s="650" t="s">
        <v>1508</v>
      </c>
    </row>
    <row r="31" spans="1:8" ht="14.25" customHeight="1">
      <c r="A31" s="689" t="s">
        <v>1509</v>
      </c>
      <c r="B31" s="678" t="s">
        <v>1510</v>
      </c>
      <c r="C31" s="679" t="s">
        <v>1321</v>
      </c>
      <c r="D31" s="679"/>
      <c r="G31" s="650" t="s">
        <v>865</v>
      </c>
      <c r="H31" s="650" t="s">
        <v>866</v>
      </c>
    </row>
    <row r="32" spans="1:8" ht="14.25" customHeight="1">
      <c r="A32" s="689" t="s">
        <v>1511</v>
      </c>
      <c r="B32" s="678" t="s">
        <v>1512</v>
      </c>
      <c r="C32" s="679" t="s">
        <v>1321</v>
      </c>
      <c r="D32" s="679"/>
      <c r="G32" s="650" t="s">
        <v>867</v>
      </c>
      <c r="H32" s="650" t="s">
        <v>1513</v>
      </c>
    </row>
    <row r="33" spans="1:8" ht="14.25" customHeight="1">
      <c r="A33" s="689" t="s">
        <v>1514</v>
      </c>
      <c r="B33" s="678" t="s">
        <v>1515</v>
      </c>
      <c r="C33" s="679" t="s">
        <v>1321</v>
      </c>
      <c r="D33" s="679"/>
      <c r="G33" s="650" t="s">
        <v>869</v>
      </c>
      <c r="H33" s="650" t="s">
        <v>1516</v>
      </c>
    </row>
    <row r="34" spans="1:8" ht="14.25" customHeight="1">
      <c r="A34" s="688" t="s">
        <v>1517</v>
      </c>
      <c r="B34" s="688" t="s">
        <v>1518</v>
      </c>
      <c r="C34" s="679" t="s">
        <v>1325</v>
      </c>
      <c r="D34" s="679"/>
      <c r="G34" s="650" t="s">
        <v>870</v>
      </c>
      <c r="H34" s="650" t="s">
        <v>1519</v>
      </c>
    </row>
    <row r="35" spans="1:8" ht="14.25" customHeight="1">
      <c r="A35" s="688" t="s">
        <v>1520</v>
      </c>
      <c r="B35" s="688" t="s">
        <v>1521</v>
      </c>
      <c r="C35" s="679" t="s">
        <v>1325</v>
      </c>
      <c r="D35" s="679"/>
      <c r="G35" s="650" t="s">
        <v>1351</v>
      </c>
      <c r="H35" s="650" t="s">
        <v>1522</v>
      </c>
    </row>
    <row r="36" spans="1:8" ht="14.25" customHeight="1">
      <c r="A36" s="688" t="s">
        <v>1523</v>
      </c>
      <c r="B36" s="688" t="s">
        <v>1524</v>
      </c>
      <c r="C36" s="679" t="s">
        <v>1325</v>
      </c>
      <c r="D36" s="679"/>
      <c r="G36" s="650" t="s">
        <v>871</v>
      </c>
      <c r="H36" s="650" t="s">
        <v>1525</v>
      </c>
    </row>
    <row r="37" spans="1:8" ht="14.25" customHeight="1">
      <c r="A37" s="689" t="s">
        <v>1526</v>
      </c>
      <c r="B37" s="678" t="s">
        <v>1527</v>
      </c>
      <c r="C37" s="679" t="s">
        <v>1325</v>
      </c>
      <c r="D37" s="679"/>
      <c r="G37" s="650" t="s">
        <v>872</v>
      </c>
      <c r="H37" s="650" t="s">
        <v>1528</v>
      </c>
    </row>
    <row r="38" spans="1:8" ht="14.25" customHeight="1">
      <c r="A38" s="689" t="s">
        <v>1529</v>
      </c>
      <c r="B38" s="678" t="s">
        <v>1530</v>
      </c>
      <c r="C38" s="679" t="s">
        <v>1325</v>
      </c>
      <c r="D38" s="679"/>
      <c r="G38" s="650" t="s">
        <v>1352</v>
      </c>
      <c r="H38" s="650" t="s">
        <v>1531</v>
      </c>
    </row>
    <row r="39" spans="1:8" ht="14.25" customHeight="1">
      <c r="A39" s="689" t="s">
        <v>1532</v>
      </c>
      <c r="B39" s="678" t="s">
        <v>1533</v>
      </c>
      <c r="C39" s="679" t="s">
        <v>1325</v>
      </c>
      <c r="D39" s="679"/>
      <c r="G39" s="650" t="s">
        <v>1354</v>
      </c>
      <c r="H39" s="650" t="s">
        <v>1534</v>
      </c>
    </row>
    <row r="40" spans="1:8" ht="14.25" customHeight="1">
      <c r="A40" s="689" t="s">
        <v>1535</v>
      </c>
      <c r="B40" s="678" t="s">
        <v>1536</v>
      </c>
      <c r="C40" s="679" t="s">
        <v>1325</v>
      </c>
      <c r="D40" s="679"/>
      <c r="G40" s="650" t="s">
        <v>1355</v>
      </c>
      <c r="H40" s="650" t="s">
        <v>1537</v>
      </c>
    </row>
    <row r="41" spans="1:8" ht="14.25" customHeight="1">
      <c r="A41" s="689" t="s">
        <v>1538</v>
      </c>
      <c r="B41" s="678" t="s">
        <v>1539</v>
      </c>
      <c r="C41" s="679" t="s">
        <v>1325</v>
      </c>
      <c r="D41" s="679"/>
      <c r="G41" s="650" t="s">
        <v>873</v>
      </c>
      <c r="H41" s="650" t="s">
        <v>1540</v>
      </c>
    </row>
    <row r="42" spans="1:8" ht="14.25" customHeight="1">
      <c r="A42" s="689" t="s">
        <v>1541</v>
      </c>
      <c r="B42" s="678" t="s">
        <v>1542</v>
      </c>
      <c r="C42" s="679" t="s">
        <v>161</v>
      </c>
      <c r="D42" s="679"/>
      <c r="G42" s="650" t="s">
        <v>874</v>
      </c>
      <c r="H42" s="650" t="s">
        <v>1543</v>
      </c>
    </row>
    <row r="43" spans="1:8" ht="14.25" customHeight="1">
      <c r="A43" s="689" t="s">
        <v>1544</v>
      </c>
      <c r="B43" s="678" t="s">
        <v>1545</v>
      </c>
      <c r="C43" s="679" t="s">
        <v>161</v>
      </c>
      <c r="D43" s="679"/>
      <c r="G43" s="650" t="s">
        <v>1356</v>
      </c>
      <c r="H43" s="650" t="s">
        <v>1546</v>
      </c>
    </row>
    <row r="44" spans="1:8" ht="14.25" customHeight="1">
      <c r="A44" s="689" t="s">
        <v>1547</v>
      </c>
      <c r="B44" s="678" t="s">
        <v>1548</v>
      </c>
      <c r="C44" s="679" t="s">
        <v>161</v>
      </c>
      <c r="D44" s="679"/>
      <c r="G44" s="650" t="s">
        <v>1357</v>
      </c>
      <c r="H44" s="650" t="s">
        <v>1549</v>
      </c>
    </row>
    <row r="45" spans="1:8" ht="14.25" customHeight="1">
      <c r="A45" s="689" t="s">
        <v>1550</v>
      </c>
      <c r="B45" s="678" t="s">
        <v>1551</v>
      </c>
      <c r="C45" s="679" t="s">
        <v>1325</v>
      </c>
      <c r="D45" s="679" t="s">
        <v>164</v>
      </c>
      <c r="G45" s="650" t="s">
        <v>875</v>
      </c>
      <c r="H45" s="650" t="s">
        <v>1552</v>
      </c>
    </row>
    <row r="46" spans="1:8" ht="14.25" customHeight="1">
      <c r="A46" s="689" t="s">
        <v>1553</v>
      </c>
      <c r="B46" s="678" t="s">
        <v>1554</v>
      </c>
      <c r="C46" s="679" t="s">
        <v>1325</v>
      </c>
      <c r="D46" s="679" t="s">
        <v>166</v>
      </c>
      <c r="G46" s="650" t="s">
        <v>876</v>
      </c>
      <c r="H46" s="650" t="s">
        <v>1555</v>
      </c>
    </row>
    <row r="47" spans="1:8" ht="14.25" customHeight="1">
      <c r="A47" s="689" t="s">
        <v>1556</v>
      </c>
      <c r="B47" s="678" t="s">
        <v>1557</v>
      </c>
      <c r="C47" s="679" t="s">
        <v>161</v>
      </c>
      <c r="D47" s="679" t="s">
        <v>167</v>
      </c>
      <c r="G47" s="650" t="s">
        <v>877</v>
      </c>
      <c r="H47" s="650" t="s">
        <v>1558</v>
      </c>
    </row>
    <row r="48" spans="1:8" ht="14.25" customHeight="1">
      <c r="A48" s="689" t="s">
        <v>1559</v>
      </c>
      <c r="B48" s="678" t="s">
        <v>1560</v>
      </c>
      <c r="C48" s="679" t="s">
        <v>176</v>
      </c>
      <c r="D48" s="679" t="s">
        <v>178</v>
      </c>
      <c r="G48" s="650" t="s">
        <v>878</v>
      </c>
      <c r="H48" s="650" t="s">
        <v>1561</v>
      </c>
    </row>
    <row r="49" spans="1:8" ht="14.25" customHeight="1">
      <c r="A49" s="689" t="s">
        <v>1562</v>
      </c>
      <c r="B49" s="678" t="s">
        <v>1563</v>
      </c>
      <c r="C49" s="679" t="s">
        <v>161</v>
      </c>
      <c r="D49" s="679"/>
      <c r="G49" s="650" t="s">
        <v>880</v>
      </c>
      <c r="H49" s="650" t="s">
        <v>1564</v>
      </c>
    </row>
    <row r="50" spans="1:8" ht="14.25" customHeight="1">
      <c r="A50" s="689" t="s">
        <v>1565</v>
      </c>
      <c r="B50" s="678" t="s">
        <v>1566</v>
      </c>
      <c r="C50" s="679" t="s">
        <v>1325</v>
      </c>
      <c r="D50" s="679"/>
      <c r="G50" s="650" t="s">
        <v>1358</v>
      </c>
      <c r="H50" s="650" t="s">
        <v>1567</v>
      </c>
    </row>
    <row r="51" spans="1:8" ht="14.25" customHeight="1">
      <c r="A51" s="689" t="s">
        <v>1568</v>
      </c>
      <c r="B51" s="678" t="s">
        <v>1569</v>
      </c>
      <c r="C51" s="679" t="s">
        <v>1321</v>
      </c>
      <c r="D51" s="679"/>
      <c r="G51" s="650" t="s">
        <v>881</v>
      </c>
      <c r="H51" s="650" t="s">
        <v>1570</v>
      </c>
    </row>
    <row r="52" spans="1:8" ht="14.25" customHeight="1">
      <c r="A52" s="689" t="s">
        <v>1571</v>
      </c>
      <c r="B52" s="678" t="s">
        <v>1572</v>
      </c>
      <c r="C52" s="679" t="s">
        <v>1321</v>
      </c>
      <c r="D52" s="679"/>
      <c r="G52" s="650" t="s">
        <v>883</v>
      </c>
      <c r="H52" s="650" t="s">
        <v>1573</v>
      </c>
    </row>
    <row r="53" spans="1:8" ht="14.25" customHeight="1">
      <c r="A53" s="689" t="s">
        <v>1574</v>
      </c>
      <c r="B53" s="678" t="s">
        <v>1575</v>
      </c>
      <c r="C53" s="679" t="s">
        <v>1325</v>
      </c>
      <c r="D53" s="679"/>
      <c r="G53" s="650" t="s">
        <v>1359</v>
      </c>
      <c r="H53" s="650" t="s">
        <v>1576</v>
      </c>
    </row>
    <row r="54" spans="1:8" ht="14.25" customHeight="1">
      <c r="A54" s="689" t="s">
        <v>1577</v>
      </c>
      <c r="B54" s="678" t="s">
        <v>1578</v>
      </c>
      <c r="C54" s="679" t="s">
        <v>1321</v>
      </c>
      <c r="D54" s="679"/>
      <c r="G54" s="650" t="s">
        <v>1360</v>
      </c>
      <c r="H54" s="650" t="s">
        <v>1579</v>
      </c>
    </row>
    <row r="55" spans="1:8" ht="14.25" customHeight="1">
      <c r="A55" s="689" t="s">
        <v>1580</v>
      </c>
      <c r="B55" s="678" t="s">
        <v>1581</v>
      </c>
      <c r="C55" s="679" t="s">
        <v>1321</v>
      </c>
      <c r="D55" s="679"/>
      <c r="G55" s="650" t="s">
        <v>1361</v>
      </c>
      <c r="H55" s="650" t="s">
        <v>1582</v>
      </c>
    </row>
    <row r="56" spans="1:8" ht="14.25" customHeight="1">
      <c r="A56" s="689" t="s">
        <v>1583</v>
      </c>
      <c r="B56" s="678" t="s">
        <v>1584</v>
      </c>
      <c r="C56" s="679" t="s">
        <v>1325</v>
      </c>
      <c r="D56" s="679"/>
      <c r="G56" s="650" t="s">
        <v>884</v>
      </c>
      <c r="H56" s="650" t="s">
        <v>1585</v>
      </c>
    </row>
    <row r="57" spans="1:8" ht="14.25" customHeight="1">
      <c r="A57" s="689" t="s">
        <v>1586</v>
      </c>
      <c r="B57" s="678" t="s">
        <v>1587</v>
      </c>
      <c r="C57" s="679" t="s">
        <v>1321</v>
      </c>
      <c r="D57" s="679"/>
      <c r="G57" s="650" t="s">
        <v>886</v>
      </c>
      <c r="H57" s="650" t="s">
        <v>1588</v>
      </c>
    </row>
    <row r="58" spans="1:8" ht="14.25" customHeight="1">
      <c r="A58" s="689" t="s">
        <v>1589</v>
      </c>
      <c r="B58" s="678" t="s">
        <v>1590</v>
      </c>
      <c r="C58" s="679" t="s">
        <v>152</v>
      </c>
      <c r="D58" s="679"/>
      <c r="G58" s="650" t="s">
        <v>887</v>
      </c>
      <c r="H58" s="650" t="s">
        <v>1591</v>
      </c>
    </row>
    <row r="59" spans="1:8" ht="14.25" customHeight="1">
      <c r="A59" s="689" t="s">
        <v>1592</v>
      </c>
      <c r="B59" s="678" t="s">
        <v>1593</v>
      </c>
      <c r="C59" s="679" t="s">
        <v>152</v>
      </c>
      <c r="D59" s="679"/>
      <c r="G59" s="650" t="s">
        <v>888</v>
      </c>
      <c r="H59" s="650" t="s">
        <v>1594</v>
      </c>
    </row>
    <row r="60" spans="1:8" ht="14.25" customHeight="1">
      <c r="A60" s="689" t="s">
        <v>1595</v>
      </c>
      <c r="B60" s="678" t="s">
        <v>1596</v>
      </c>
      <c r="C60" s="679" t="s">
        <v>1325</v>
      </c>
      <c r="D60" s="679"/>
      <c r="G60" s="650" t="s">
        <v>889</v>
      </c>
      <c r="H60" s="650" t="s">
        <v>1597</v>
      </c>
    </row>
    <row r="61" spans="1:8" ht="14.25" customHeight="1">
      <c r="A61" s="689" t="s">
        <v>1598</v>
      </c>
      <c r="B61" s="678" t="s">
        <v>1599</v>
      </c>
      <c r="C61" s="679" t="s">
        <v>1325</v>
      </c>
      <c r="D61" s="679"/>
      <c r="G61" s="650" t="s">
        <v>890</v>
      </c>
      <c r="H61" s="650" t="s">
        <v>1600</v>
      </c>
    </row>
    <row r="62" spans="1:8" ht="14.25" customHeight="1">
      <c r="A62" s="689" t="s">
        <v>1601</v>
      </c>
      <c r="B62" s="678" t="s">
        <v>1602</v>
      </c>
      <c r="C62" s="679" t="s">
        <v>92</v>
      </c>
      <c r="D62" s="679" t="s">
        <v>186</v>
      </c>
      <c r="G62" s="650" t="s">
        <v>1362</v>
      </c>
      <c r="H62" s="650" t="s">
        <v>1603</v>
      </c>
    </row>
    <row r="63" spans="1:8" ht="14.25" customHeight="1">
      <c r="A63" s="689" t="s">
        <v>1604</v>
      </c>
      <c r="B63" s="678" t="s">
        <v>1605</v>
      </c>
      <c r="C63" s="679" t="s">
        <v>92</v>
      </c>
      <c r="D63" s="679" t="s">
        <v>186</v>
      </c>
      <c r="G63" s="650" t="s">
        <v>1363</v>
      </c>
      <c r="H63" s="650" t="s">
        <v>1606</v>
      </c>
    </row>
    <row r="64" spans="1:8" ht="14.25" customHeight="1">
      <c r="A64" s="689" t="s">
        <v>1607</v>
      </c>
      <c r="B64" s="678" t="s">
        <v>1608</v>
      </c>
      <c r="C64" s="679" t="s">
        <v>92</v>
      </c>
      <c r="D64" s="679" t="s">
        <v>186</v>
      </c>
      <c r="G64" s="650" t="s">
        <v>891</v>
      </c>
      <c r="H64" s="650" t="s">
        <v>1609</v>
      </c>
    </row>
    <row r="65" spans="1:8" ht="14.25" customHeight="1">
      <c r="A65" s="689" t="s">
        <v>1610</v>
      </c>
      <c r="B65" s="678" t="s">
        <v>1611</v>
      </c>
      <c r="C65" s="679" t="s">
        <v>92</v>
      </c>
      <c r="D65" s="679" t="s">
        <v>186</v>
      </c>
      <c r="G65" s="650" t="s">
        <v>892</v>
      </c>
      <c r="H65" s="650" t="s">
        <v>1612</v>
      </c>
    </row>
    <row r="66" spans="1:8" ht="14.25" customHeight="1">
      <c r="A66" s="689" t="s">
        <v>1613</v>
      </c>
      <c r="B66" s="678" t="s">
        <v>1614</v>
      </c>
      <c r="C66" s="679" t="s">
        <v>92</v>
      </c>
      <c r="D66" s="679" t="s">
        <v>186</v>
      </c>
      <c r="G66" s="650" t="s">
        <v>893</v>
      </c>
      <c r="H66" s="650" t="s">
        <v>1615</v>
      </c>
    </row>
    <row r="67" spans="1:8" ht="14.25" customHeight="1">
      <c r="A67" s="689" t="s">
        <v>1616</v>
      </c>
      <c r="B67" s="678" t="s">
        <v>1617</v>
      </c>
      <c r="C67" s="679" t="s">
        <v>92</v>
      </c>
      <c r="D67" s="679" t="s">
        <v>186</v>
      </c>
      <c r="G67" s="650" t="s">
        <v>894</v>
      </c>
      <c r="H67" s="650" t="s">
        <v>1618</v>
      </c>
    </row>
    <row r="68" spans="1:8" ht="14.25" customHeight="1">
      <c r="A68" s="689" t="s">
        <v>1619</v>
      </c>
      <c r="B68" s="678" t="s">
        <v>1620</v>
      </c>
      <c r="C68" s="679" t="s">
        <v>92</v>
      </c>
      <c r="D68" s="679" t="s">
        <v>186</v>
      </c>
      <c r="G68" s="650" t="s">
        <v>895</v>
      </c>
      <c r="H68" s="650" t="s">
        <v>1621</v>
      </c>
    </row>
    <row r="69" spans="1:8" ht="14.25" customHeight="1">
      <c r="A69" s="689" t="s">
        <v>1622</v>
      </c>
      <c r="B69" s="678" t="s">
        <v>1623</v>
      </c>
      <c r="C69" s="679" t="s">
        <v>92</v>
      </c>
      <c r="D69" s="679" t="s">
        <v>186</v>
      </c>
      <c r="G69" s="650" t="s">
        <v>896</v>
      </c>
      <c r="H69" s="650" t="s">
        <v>1624</v>
      </c>
    </row>
    <row r="70" spans="1:8" ht="14.25" customHeight="1">
      <c r="A70" s="689" t="s">
        <v>1625</v>
      </c>
      <c r="B70" s="678" t="s">
        <v>1626</v>
      </c>
      <c r="C70" s="679" t="s">
        <v>152</v>
      </c>
      <c r="D70" s="679" t="s">
        <v>186</v>
      </c>
      <c r="G70" s="650" t="s">
        <v>897</v>
      </c>
      <c r="H70" s="650" t="s">
        <v>1627</v>
      </c>
    </row>
    <row r="71" spans="1:8" ht="14.25" customHeight="1">
      <c r="A71" s="689" t="s">
        <v>1628</v>
      </c>
      <c r="B71" s="678" t="s">
        <v>1629</v>
      </c>
      <c r="C71" s="679" t="s">
        <v>152</v>
      </c>
      <c r="D71" s="679" t="s">
        <v>186</v>
      </c>
      <c r="G71" s="650" t="s">
        <v>898</v>
      </c>
      <c r="H71" s="650" t="s">
        <v>1630</v>
      </c>
    </row>
    <row r="72" spans="1:8" ht="14.25" customHeight="1">
      <c r="A72" s="689" t="s">
        <v>1631</v>
      </c>
      <c r="B72" s="678" t="s">
        <v>1632</v>
      </c>
      <c r="C72" s="679" t="s">
        <v>152</v>
      </c>
      <c r="D72" s="679" t="s">
        <v>186</v>
      </c>
      <c r="G72" s="650" t="s">
        <v>1364</v>
      </c>
      <c r="H72" s="650" t="s">
        <v>899</v>
      </c>
    </row>
    <row r="73" spans="1:8" ht="14.25" customHeight="1">
      <c r="A73" s="689" t="s">
        <v>1633</v>
      </c>
      <c r="B73" s="678" t="s">
        <v>1634</v>
      </c>
      <c r="C73" s="679" t="s">
        <v>152</v>
      </c>
      <c r="D73" s="679" t="s">
        <v>186</v>
      </c>
      <c r="G73" s="650" t="s">
        <v>900</v>
      </c>
      <c r="H73" s="650" t="s">
        <v>1635</v>
      </c>
    </row>
    <row r="74" spans="1:8" ht="14.25" customHeight="1">
      <c r="A74" s="689" t="s">
        <v>1636</v>
      </c>
      <c r="B74" s="678" t="s">
        <v>1637</v>
      </c>
      <c r="C74" s="679" t="s">
        <v>152</v>
      </c>
      <c r="D74" s="679" t="s">
        <v>186</v>
      </c>
      <c r="G74" s="650" t="s">
        <v>721</v>
      </c>
      <c r="H74" s="650" t="s">
        <v>1638</v>
      </c>
    </row>
    <row r="75" spans="1:8" ht="14.25" customHeight="1">
      <c r="A75" s="689" t="s">
        <v>1639</v>
      </c>
      <c r="B75" s="678" t="s">
        <v>1640</v>
      </c>
      <c r="C75" s="679" t="s">
        <v>152</v>
      </c>
      <c r="D75" s="679" t="s">
        <v>186</v>
      </c>
      <c r="G75" s="650" t="s">
        <v>901</v>
      </c>
      <c r="H75" s="650" t="s">
        <v>903</v>
      </c>
    </row>
    <row r="76" spans="1:8" ht="14.25" customHeight="1">
      <c r="A76" s="689" t="s">
        <v>1641</v>
      </c>
      <c r="B76" s="678" t="s">
        <v>1642</v>
      </c>
      <c r="C76" s="679" t="s">
        <v>152</v>
      </c>
      <c r="D76" s="679" t="s">
        <v>186</v>
      </c>
      <c r="G76" s="650" t="s">
        <v>904</v>
      </c>
      <c r="H76" s="650" t="s">
        <v>905</v>
      </c>
    </row>
    <row r="77" spans="1:8" ht="14.25" customHeight="1">
      <c r="A77" s="689" t="s">
        <v>1643</v>
      </c>
      <c r="B77" s="678" t="s">
        <v>1644</v>
      </c>
      <c r="C77" s="679" t="s">
        <v>152</v>
      </c>
      <c r="D77" s="679" t="s">
        <v>186</v>
      </c>
      <c r="G77" s="650" t="s">
        <v>906</v>
      </c>
      <c r="H77" s="650" t="s">
        <v>907</v>
      </c>
    </row>
    <row r="78" spans="1:8" ht="14.25" customHeight="1">
      <c r="A78" s="678" t="s">
        <v>1645</v>
      </c>
      <c r="B78" s="678" t="s">
        <v>1646</v>
      </c>
      <c r="C78" s="679" t="s">
        <v>92</v>
      </c>
      <c r="D78" s="679" t="s">
        <v>1647</v>
      </c>
      <c r="G78" s="650" t="s">
        <v>908</v>
      </c>
      <c r="H78" s="650" t="s">
        <v>909</v>
      </c>
    </row>
    <row r="79" spans="1:8" ht="14.25" customHeight="1">
      <c r="A79" s="678" t="s">
        <v>1648</v>
      </c>
      <c r="B79" s="678" t="s">
        <v>1649</v>
      </c>
      <c r="C79" s="679" t="s">
        <v>92</v>
      </c>
      <c r="D79" s="679" t="s">
        <v>1647</v>
      </c>
      <c r="G79" s="650" t="s">
        <v>910</v>
      </c>
      <c r="H79" s="650" t="s">
        <v>911</v>
      </c>
    </row>
    <row r="80" spans="1:8" ht="14.25" customHeight="1">
      <c r="A80" s="678" t="s">
        <v>1650</v>
      </c>
      <c r="B80" s="678" t="s">
        <v>1651</v>
      </c>
      <c r="C80" s="679" t="s">
        <v>92</v>
      </c>
      <c r="D80" s="679" t="s">
        <v>1647</v>
      </c>
      <c r="G80" s="650" t="s">
        <v>912</v>
      </c>
      <c r="H80" s="650" t="s">
        <v>1652</v>
      </c>
    </row>
    <row r="81" spans="1:8" ht="14.25" customHeight="1">
      <c r="A81" s="678" t="s">
        <v>1653</v>
      </c>
      <c r="B81" s="678" t="s">
        <v>1654</v>
      </c>
      <c r="C81" s="679" t="s">
        <v>92</v>
      </c>
      <c r="D81" s="679" t="s">
        <v>1647</v>
      </c>
      <c r="G81" s="650" t="s">
        <v>913</v>
      </c>
      <c r="H81" s="650" t="s">
        <v>914</v>
      </c>
    </row>
    <row r="82" spans="1:8" ht="14.25" customHeight="1">
      <c r="A82" s="678" t="s">
        <v>1655</v>
      </c>
      <c r="B82" s="678" t="s">
        <v>1656</v>
      </c>
      <c r="C82" s="679" t="s">
        <v>92</v>
      </c>
      <c r="D82" s="679" t="s">
        <v>1647</v>
      </c>
      <c r="G82" s="650" t="s">
        <v>915</v>
      </c>
      <c r="H82" s="650" t="s">
        <v>1657</v>
      </c>
    </row>
    <row r="83" spans="1:8" ht="14.25" customHeight="1">
      <c r="A83" s="678" t="s">
        <v>1658</v>
      </c>
      <c r="B83" s="678" t="s">
        <v>1659</v>
      </c>
      <c r="C83" s="679" t="s">
        <v>92</v>
      </c>
      <c r="D83" s="679" t="s">
        <v>1647</v>
      </c>
      <c r="G83" s="650" t="s">
        <v>916</v>
      </c>
      <c r="H83" s="650" t="s">
        <v>1660</v>
      </c>
    </row>
    <row r="84" spans="1:8" ht="14.25" customHeight="1">
      <c r="A84" s="678" t="s">
        <v>1661</v>
      </c>
      <c r="B84" s="678" t="s">
        <v>1662</v>
      </c>
      <c r="C84" s="679" t="s">
        <v>92</v>
      </c>
      <c r="D84" s="679" t="s">
        <v>1647</v>
      </c>
      <c r="G84" s="650" t="s">
        <v>917</v>
      </c>
      <c r="H84" s="650" t="s">
        <v>1663</v>
      </c>
    </row>
    <row r="85" spans="1:8" ht="14.25" customHeight="1">
      <c r="A85" s="678" t="s">
        <v>1664</v>
      </c>
      <c r="B85" s="678" t="s">
        <v>1665</v>
      </c>
      <c r="C85" s="679" t="s">
        <v>92</v>
      </c>
      <c r="D85" s="679" t="s">
        <v>1647</v>
      </c>
      <c r="G85" s="650" t="s">
        <v>919</v>
      </c>
      <c r="H85" s="650" t="s">
        <v>918</v>
      </c>
    </row>
    <row r="86" spans="1:8" ht="14.25" customHeight="1">
      <c r="A86" s="689" t="s">
        <v>1666</v>
      </c>
      <c r="B86" s="678" t="s">
        <v>1667</v>
      </c>
      <c r="C86" s="679" t="s">
        <v>92</v>
      </c>
      <c r="D86" s="679"/>
      <c r="G86" s="650" t="s">
        <v>920</v>
      </c>
      <c r="H86" s="650" t="s">
        <v>1668</v>
      </c>
    </row>
    <row r="87" spans="1:8" ht="14.25" customHeight="1">
      <c r="A87" s="689" t="s">
        <v>1669</v>
      </c>
      <c r="B87" s="678" t="s">
        <v>1670</v>
      </c>
      <c r="C87" s="679" t="s">
        <v>152</v>
      </c>
      <c r="D87" s="679"/>
      <c r="G87" s="650" t="s">
        <v>921</v>
      </c>
      <c r="H87" s="650" t="s">
        <v>1671</v>
      </c>
    </row>
    <row r="88" spans="1:8" ht="14.25" customHeight="1">
      <c r="A88" s="689" t="s">
        <v>1672</v>
      </c>
      <c r="B88" s="678" t="s">
        <v>1673</v>
      </c>
      <c r="C88" s="679" t="s">
        <v>161</v>
      </c>
      <c r="D88" s="679"/>
      <c r="G88" s="650" t="s">
        <v>732</v>
      </c>
      <c r="H88" s="650" t="s">
        <v>1674</v>
      </c>
    </row>
    <row r="89" spans="1:8" ht="14.25" customHeight="1">
      <c r="A89" s="689" t="s">
        <v>1675</v>
      </c>
      <c r="B89" s="678" t="s">
        <v>1676</v>
      </c>
      <c r="C89" s="679" t="s">
        <v>176</v>
      </c>
      <c r="D89" s="679"/>
      <c r="G89" s="650" t="s">
        <v>922</v>
      </c>
      <c r="H89" s="650" t="s">
        <v>923</v>
      </c>
    </row>
    <row r="90" spans="1:8" ht="14.25" customHeight="1">
      <c r="A90" s="689" t="s">
        <v>1677</v>
      </c>
      <c r="B90" s="678" t="s">
        <v>1678</v>
      </c>
      <c r="C90" s="679" t="s">
        <v>180</v>
      </c>
      <c r="D90" s="679"/>
      <c r="G90" s="650" t="s">
        <v>924</v>
      </c>
      <c r="H90" s="650" t="s">
        <v>1679</v>
      </c>
    </row>
    <row r="91" spans="1:8" ht="14.25" customHeight="1">
      <c r="A91" s="689" t="s">
        <v>1680</v>
      </c>
      <c r="B91" s="678" t="s">
        <v>1681</v>
      </c>
      <c r="C91" s="679" t="s">
        <v>92</v>
      </c>
      <c r="D91" s="679"/>
      <c r="G91" s="650" t="s">
        <v>925</v>
      </c>
      <c r="H91" s="650" t="s">
        <v>928</v>
      </c>
    </row>
    <row r="92" spans="1:8" ht="14.25" customHeight="1">
      <c r="A92" s="689" t="s">
        <v>1682</v>
      </c>
      <c r="B92" s="678" t="s">
        <v>1683</v>
      </c>
      <c r="C92" s="679" t="s">
        <v>152</v>
      </c>
      <c r="D92" s="679"/>
      <c r="G92" s="650" t="s">
        <v>927</v>
      </c>
      <c r="H92" s="650" t="s">
        <v>1684</v>
      </c>
    </row>
    <row r="93" spans="1:8" ht="14.25" customHeight="1">
      <c r="A93" s="689" t="s">
        <v>1685</v>
      </c>
      <c r="B93" s="678" t="s">
        <v>1686</v>
      </c>
      <c r="C93" s="679" t="s">
        <v>161</v>
      </c>
      <c r="D93" s="679"/>
      <c r="G93" s="650" t="s">
        <v>930</v>
      </c>
      <c r="H93" s="650" t="s">
        <v>1687</v>
      </c>
    </row>
    <row r="94" spans="1:8" ht="14.25" customHeight="1">
      <c r="A94" s="689" t="s">
        <v>1688</v>
      </c>
      <c r="B94" s="678" t="s">
        <v>1689</v>
      </c>
      <c r="C94" s="679" t="s">
        <v>180</v>
      </c>
      <c r="D94" s="679"/>
      <c r="G94" s="650" t="s">
        <v>733</v>
      </c>
      <c r="H94" s="650" t="s">
        <v>1690</v>
      </c>
    </row>
    <row r="95" spans="1:8" ht="14.25" customHeight="1">
      <c r="A95" s="689" t="s">
        <v>1691</v>
      </c>
      <c r="B95" s="678" t="s">
        <v>1692</v>
      </c>
      <c r="C95" s="679" t="s">
        <v>152</v>
      </c>
      <c r="D95" s="679"/>
      <c r="G95" s="650" t="s">
        <v>931</v>
      </c>
      <c r="H95" s="650" t="s">
        <v>932</v>
      </c>
    </row>
    <row r="96" spans="1:8" ht="14.25" customHeight="1">
      <c r="A96" s="689" t="s">
        <v>1693</v>
      </c>
      <c r="B96" s="678" t="s">
        <v>1694</v>
      </c>
      <c r="C96" s="679" t="s">
        <v>92</v>
      </c>
      <c r="D96" s="679" t="s">
        <v>168</v>
      </c>
      <c r="G96" s="650" t="s">
        <v>933</v>
      </c>
      <c r="H96" s="650" t="s">
        <v>1695</v>
      </c>
    </row>
    <row r="97" spans="1:8" ht="14.25" customHeight="1">
      <c r="A97" s="689" t="s">
        <v>1696</v>
      </c>
      <c r="B97" s="678" t="s">
        <v>1697</v>
      </c>
      <c r="C97" s="679" t="s">
        <v>92</v>
      </c>
      <c r="D97" s="679"/>
      <c r="G97" s="650" t="s">
        <v>734</v>
      </c>
      <c r="H97" s="650" t="s">
        <v>1698</v>
      </c>
    </row>
    <row r="98" spans="1:8" ht="14.25" customHeight="1">
      <c r="A98" s="689" t="s">
        <v>1699</v>
      </c>
      <c r="B98" s="678" t="s">
        <v>1700</v>
      </c>
      <c r="C98" s="679" t="s">
        <v>152</v>
      </c>
      <c r="D98" s="679"/>
      <c r="G98" s="650" t="s">
        <v>934</v>
      </c>
      <c r="H98" s="650" t="s">
        <v>1701</v>
      </c>
    </row>
    <row r="99" spans="1:8" ht="14.25" customHeight="1">
      <c r="A99" s="689" t="s">
        <v>1702</v>
      </c>
      <c r="B99" s="678" t="s">
        <v>1703</v>
      </c>
      <c r="C99" s="679" t="s">
        <v>92</v>
      </c>
      <c r="D99" s="679"/>
      <c r="G99" s="650" t="s">
        <v>935</v>
      </c>
      <c r="H99" s="650" t="s">
        <v>1704</v>
      </c>
    </row>
    <row r="100" spans="1:8" ht="14.25" customHeight="1">
      <c r="A100" s="689" t="s">
        <v>1705</v>
      </c>
      <c r="B100" s="678" t="s">
        <v>1706</v>
      </c>
      <c r="C100" s="679" t="s">
        <v>152</v>
      </c>
      <c r="D100" s="679"/>
      <c r="G100" s="650" t="s">
        <v>936</v>
      </c>
      <c r="H100" s="650" t="s">
        <v>1707</v>
      </c>
    </row>
    <row r="101" spans="1:8" ht="14.25" customHeight="1">
      <c r="A101" s="689" t="s">
        <v>1708</v>
      </c>
      <c r="B101" s="678" t="s">
        <v>1709</v>
      </c>
      <c r="C101" s="679" t="s">
        <v>161</v>
      </c>
      <c r="D101" s="679"/>
      <c r="G101" s="650" t="s">
        <v>735</v>
      </c>
      <c r="H101" s="650" t="s">
        <v>1710</v>
      </c>
    </row>
    <row r="102" spans="1:8" ht="14.25" customHeight="1">
      <c r="A102" s="689" t="s">
        <v>1711</v>
      </c>
      <c r="B102" s="678" t="s">
        <v>1712</v>
      </c>
      <c r="C102" s="679" t="s">
        <v>180</v>
      </c>
      <c r="D102" s="679"/>
      <c r="G102" s="650" t="s">
        <v>736</v>
      </c>
      <c r="H102" s="650" t="s">
        <v>1713</v>
      </c>
    </row>
    <row r="103" spans="1:8" ht="14.25" customHeight="1">
      <c r="A103" s="689" t="s">
        <v>1714</v>
      </c>
      <c r="B103" s="678" t="s">
        <v>1715</v>
      </c>
      <c r="C103" s="679" t="s">
        <v>92</v>
      </c>
      <c r="D103" s="679"/>
      <c r="G103" s="650" t="s">
        <v>937</v>
      </c>
      <c r="H103" s="650" t="s">
        <v>938</v>
      </c>
    </row>
    <row r="104" spans="1:8" ht="14.25" customHeight="1">
      <c r="A104" s="689" t="s">
        <v>1716</v>
      </c>
      <c r="B104" s="678" t="s">
        <v>1717</v>
      </c>
      <c r="C104" s="679" t="s">
        <v>152</v>
      </c>
      <c r="D104" s="679"/>
      <c r="G104" s="650" t="s">
        <v>737</v>
      </c>
      <c r="H104" s="650" t="s">
        <v>1718</v>
      </c>
    </row>
    <row r="105" spans="1:8" ht="14.25" customHeight="1">
      <c r="A105" s="689" t="s">
        <v>1719</v>
      </c>
      <c r="B105" s="678" t="s">
        <v>1720</v>
      </c>
      <c r="C105" s="679" t="s">
        <v>161</v>
      </c>
      <c r="D105" s="679"/>
      <c r="G105" s="650" t="s">
        <v>738</v>
      </c>
      <c r="H105" s="650" t="s">
        <v>1721</v>
      </c>
    </row>
    <row r="106" spans="1:8" ht="14.25" customHeight="1">
      <c r="A106" s="689" t="s">
        <v>1722</v>
      </c>
      <c r="B106" s="678" t="s">
        <v>1723</v>
      </c>
      <c r="C106" s="679" t="s">
        <v>161</v>
      </c>
      <c r="D106" s="679" t="s">
        <v>168</v>
      </c>
      <c r="G106" s="650" t="s">
        <v>739</v>
      </c>
      <c r="H106" s="650" t="s">
        <v>1724</v>
      </c>
    </row>
    <row r="107" spans="1:8" ht="14.25" customHeight="1">
      <c r="A107" s="689" t="s">
        <v>1725</v>
      </c>
      <c r="B107" s="678" t="s">
        <v>1726</v>
      </c>
      <c r="C107" s="679" t="s">
        <v>161</v>
      </c>
      <c r="D107" s="679"/>
      <c r="G107" s="650" t="s">
        <v>740</v>
      </c>
      <c r="H107" s="650" t="s">
        <v>1727</v>
      </c>
    </row>
    <row r="108" spans="1:8" ht="14.25" customHeight="1">
      <c r="A108" s="689" t="s">
        <v>1728</v>
      </c>
      <c r="B108" s="678" t="s">
        <v>1729</v>
      </c>
      <c r="C108" s="679" t="s">
        <v>92</v>
      </c>
      <c r="D108" s="679"/>
      <c r="G108" s="650" t="s">
        <v>939</v>
      </c>
      <c r="H108" s="650" t="s">
        <v>940</v>
      </c>
    </row>
    <row r="109" spans="1:8" ht="14.25" customHeight="1">
      <c r="A109" s="689" t="s">
        <v>1730</v>
      </c>
      <c r="B109" s="678" t="s">
        <v>1731</v>
      </c>
      <c r="C109" s="679" t="s">
        <v>152</v>
      </c>
      <c r="D109" s="679"/>
      <c r="G109" s="650" t="s">
        <v>943</v>
      </c>
      <c r="H109" s="650" t="s">
        <v>944</v>
      </c>
    </row>
    <row r="110" spans="1:8" ht="14.25" customHeight="1">
      <c r="A110" s="689" t="s">
        <v>1732</v>
      </c>
      <c r="B110" s="678" t="s">
        <v>1733</v>
      </c>
      <c r="C110" s="679" t="s">
        <v>161</v>
      </c>
      <c r="D110" s="679"/>
      <c r="G110" s="650" t="s">
        <v>945</v>
      </c>
      <c r="H110" s="650" t="s">
        <v>1734</v>
      </c>
    </row>
    <row r="111" spans="1:8" ht="14.25" customHeight="1">
      <c r="A111" s="689" t="s">
        <v>1735</v>
      </c>
      <c r="B111" s="678" t="s">
        <v>1736</v>
      </c>
      <c r="C111" s="679" t="s">
        <v>176</v>
      </c>
      <c r="D111" s="679"/>
      <c r="G111" s="650" t="s">
        <v>1367</v>
      </c>
      <c r="H111" s="650" t="s">
        <v>1737</v>
      </c>
    </row>
    <row r="112" spans="1:8" ht="14.25" customHeight="1">
      <c r="A112" s="689" t="s">
        <v>1738</v>
      </c>
      <c r="B112" s="678" t="s">
        <v>1739</v>
      </c>
      <c r="C112" s="679" t="s">
        <v>180</v>
      </c>
      <c r="D112" s="679"/>
      <c r="G112" s="650" t="s">
        <v>946</v>
      </c>
      <c r="H112" s="650" t="s">
        <v>1740</v>
      </c>
    </row>
    <row r="113" spans="1:8" ht="14.25" customHeight="1">
      <c r="A113" s="689" t="s">
        <v>1741</v>
      </c>
      <c r="B113" s="678" t="s">
        <v>1742</v>
      </c>
      <c r="C113" s="679" t="s">
        <v>1325</v>
      </c>
      <c r="D113" s="679" t="s">
        <v>121</v>
      </c>
      <c r="G113" s="650" t="s">
        <v>947</v>
      </c>
      <c r="H113" s="650" t="s">
        <v>1743</v>
      </c>
    </row>
    <row r="114" spans="1:8" ht="14.25" customHeight="1">
      <c r="A114" s="689" t="s">
        <v>1744</v>
      </c>
      <c r="B114" s="678" t="s">
        <v>1745</v>
      </c>
      <c r="C114" s="679" t="s">
        <v>1325</v>
      </c>
      <c r="D114" s="679" t="s">
        <v>121</v>
      </c>
      <c r="G114" s="650" t="s">
        <v>741</v>
      </c>
      <c r="H114" s="650" t="s">
        <v>742</v>
      </c>
    </row>
    <row r="115" spans="1:8" ht="14.25" customHeight="1">
      <c r="A115" s="689" t="s">
        <v>1746</v>
      </c>
      <c r="B115" s="678" t="s">
        <v>1747</v>
      </c>
      <c r="C115" s="679" t="s">
        <v>161</v>
      </c>
      <c r="D115" s="679" t="s">
        <v>121</v>
      </c>
      <c r="G115" s="650" t="s">
        <v>743</v>
      </c>
      <c r="H115" s="650" t="s">
        <v>744</v>
      </c>
    </row>
    <row r="116" spans="1:8" ht="14.25" customHeight="1">
      <c r="A116" s="689" t="s">
        <v>1748</v>
      </c>
      <c r="B116" s="678" t="s">
        <v>1749</v>
      </c>
      <c r="C116" s="679" t="s">
        <v>176</v>
      </c>
      <c r="D116" s="679" t="s">
        <v>121</v>
      </c>
      <c r="G116" s="650" t="s">
        <v>745</v>
      </c>
      <c r="H116" s="650" t="s">
        <v>1750</v>
      </c>
    </row>
    <row r="117" spans="1:8" ht="14.25" customHeight="1">
      <c r="A117" s="689" t="s">
        <v>1751</v>
      </c>
      <c r="B117" s="678" t="s">
        <v>1752</v>
      </c>
      <c r="C117" s="679" t="s">
        <v>180</v>
      </c>
      <c r="D117" s="679" t="s">
        <v>121</v>
      </c>
      <c r="G117" s="650" t="s">
        <v>746</v>
      </c>
      <c r="H117" s="650" t="s">
        <v>1753</v>
      </c>
    </row>
    <row r="118" spans="1:8" ht="14.25" customHeight="1">
      <c r="A118" s="689" t="s">
        <v>1754</v>
      </c>
      <c r="B118" s="678" t="s">
        <v>1755</v>
      </c>
      <c r="C118" s="679" t="s">
        <v>180</v>
      </c>
      <c r="D118" s="679"/>
      <c r="G118" s="650" t="s">
        <v>952</v>
      </c>
      <c r="H118" s="650" t="s">
        <v>953</v>
      </c>
    </row>
    <row r="119" spans="1:8" ht="14.25" customHeight="1">
      <c r="A119" s="689" t="s">
        <v>1756</v>
      </c>
      <c r="B119" s="678" t="s">
        <v>1757</v>
      </c>
      <c r="C119" s="679" t="s">
        <v>1321</v>
      </c>
      <c r="D119" s="679" t="s">
        <v>25</v>
      </c>
      <c r="G119" s="650" t="s">
        <v>954</v>
      </c>
      <c r="H119" s="650" t="s">
        <v>955</v>
      </c>
    </row>
    <row r="120" spans="1:8" ht="14.25" customHeight="1">
      <c r="A120" s="689" t="s">
        <v>1758</v>
      </c>
      <c r="B120" s="678" t="s">
        <v>1759</v>
      </c>
      <c r="C120" s="679" t="s">
        <v>1321</v>
      </c>
      <c r="D120" s="679" t="s">
        <v>25</v>
      </c>
      <c r="G120" s="650" t="s">
        <v>722</v>
      </c>
      <c r="H120" s="650" t="s">
        <v>748</v>
      </c>
    </row>
    <row r="121" spans="1:8" ht="14.25" customHeight="1">
      <c r="A121" s="689" t="s">
        <v>1760</v>
      </c>
      <c r="B121" s="678" t="s">
        <v>1761</v>
      </c>
      <c r="C121" s="679" t="s">
        <v>1321</v>
      </c>
      <c r="D121" s="679" t="s">
        <v>1762</v>
      </c>
      <c r="G121" s="650" t="s">
        <v>747</v>
      </c>
      <c r="H121" s="650" t="s">
        <v>1763</v>
      </c>
    </row>
    <row r="122" spans="1:8" ht="14.25" customHeight="1">
      <c r="A122" s="689" t="s">
        <v>1764</v>
      </c>
      <c r="B122" s="678" t="s">
        <v>1765</v>
      </c>
      <c r="C122" s="679" t="s">
        <v>1321</v>
      </c>
      <c r="D122" s="679" t="s">
        <v>25</v>
      </c>
      <c r="G122" s="650" t="s">
        <v>956</v>
      </c>
      <c r="H122" s="650" t="s">
        <v>958</v>
      </c>
    </row>
    <row r="123" spans="1:8" ht="14.25" customHeight="1">
      <c r="A123" s="689" t="s">
        <v>1766</v>
      </c>
      <c r="B123" s="678" t="s">
        <v>1767</v>
      </c>
      <c r="C123" s="679" t="s">
        <v>1321</v>
      </c>
      <c r="D123" s="679" t="s">
        <v>25</v>
      </c>
      <c r="G123" s="650" t="s">
        <v>959</v>
      </c>
      <c r="H123" s="650" t="s">
        <v>1768</v>
      </c>
    </row>
    <row r="124" spans="1:8" ht="14.25" customHeight="1">
      <c r="A124" s="689" t="s">
        <v>1769</v>
      </c>
      <c r="B124" s="678" t="s">
        <v>1770</v>
      </c>
      <c r="C124" s="679" t="s">
        <v>1321</v>
      </c>
      <c r="D124" s="679" t="s">
        <v>25</v>
      </c>
      <c r="G124" s="650" t="s">
        <v>960</v>
      </c>
      <c r="H124" s="650" t="s">
        <v>1771</v>
      </c>
    </row>
    <row r="125" spans="1:8" ht="14.25" customHeight="1">
      <c r="A125" s="689" t="s">
        <v>1772</v>
      </c>
      <c r="B125" s="678" t="s">
        <v>1773</v>
      </c>
      <c r="C125" s="679" t="s">
        <v>1321</v>
      </c>
      <c r="D125" s="679" t="s">
        <v>25</v>
      </c>
      <c r="G125" s="650" t="s">
        <v>749</v>
      </c>
      <c r="H125" s="650" t="s">
        <v>1774</v>
      </c>
    </row>
    <row r="126" spans="1:8" ht="14.25" customHeight="1">
      <c r="A126" s="689" t="s">
        <v>1775</v>
      </c>
      <c r="B126" s="678" t="s">
        <v>1776</v>
      </c>
      <c r="C126" s="679" t="s">
        <v>1321</v>
      </c>
      <c r="D126" s="679" t="s">
        <v>29</v>
      </c>
      <c r="G126" s="650" t="s">
        <v>750</v>
      </c>
      <c r="H126" s="650" t="s">
        <v>1777</v>
      </c>
    </row>
    <row r="127" spans="1:8" ht="14.25" customHeight="1">
      <c r="A127" s="689" t="s">
        <v>1778</v>
      </c>
      <c r="B127" s="678" t="s">
        <v>1779</v>
      </c>
      <c r="C127" s="679" t="s">
        <v>1321</v>
      </c>
      <c r="D127" s="679" t="s">
        <v>30</v>
      </c>
      <c r="G127" s="650" t="s">
        <v>751</v>
      </c>
      <c r="H127" s="650" t="s">
        <v>1780</v>
      </c>
    </row>
    <row r="128" spans="1:8" ht="14.25" customHeight="1">
      <c r="A128" s="689" t="s">
        <v>1781</v>
      </c>
      <c r="B128" s="678" t="s">
        <v>1782</v>
      </c>
      <c r="C128" s="679" t="s">
        <v>1321</v>
      </c>
      <c r="D128" s="679" t="s">
        <v>30</v>
      </c>
      <c r="G128" s="650" t="s">
        <v>752</v>
      </c>
      <c r="H128" s="650" t="s">
        <v>1783</v>
      </c>
    </row>
    <row r="129" spans="1:8" ht="14.25" customHeight="1">
      <c r="A129" s="689" t="s">
        <v>1784</v>
      </c>
      <c r="B129" s="678" t="s">
        <v>1785</v>
      </c>
      <c r="C129" s="679" t="s">
        <v>1321</v>
      </c>
      <c r="D129" s="679" t="s">
        <v>34</v>
      </c>
      <c r="G129" s="650" t="s">
        <v>753</v>
      </c>
      <c r="H129" s="650" t="s">
        <v>1786</v>
      </c>
    </row>
    <row r="130" spans="1:8" ht="14.25" customHeight="1">
      <c r="A130" s="689" t="s">
        <v>1787</v>
      </c>
      <c r="B130" s="678" t="s">
        <v>1788</v>
      </c>
      <c r="C130" s="679" t="s">
        <v>1321</v>
      </c>
      <c r="D130" s="679" t="s">
        <v>38</v>
      </c>
      <c r="G130" s="650" t="s">
        <v>754</v>
      </c>
      <c r="H130" s="650" t="s">
        <v>1789</v>
      </c>
    </row>
    <row r="131" spans="1:8" ht="14.25" customHeight="1">
      <c r="A131" s="689" t="s">
        <v>1790</v>
      </c>
      <c r="B131" s="678" t="s">
        <v>1791</v>
      </c>
      <c r="C131" s="679" t="s">
        <v>1321</v>
      </c>
      <c r="D131" s="679" t="s">
        <v>32</v>
      </c>
      <c r="G131" s="650" t="s">
        <v>755</v>
      </c>
      <c r="H131" s="650" t="s">
        <v>1792</v>
      </c>
    </row>
    <row r="132" spans="1:8" ht="14.25" customHeight="1">
      <c r="A132" s="689" t="s">
        <v>1793</v>
      </c>
      <c r="B132" s="678" t="s">
        <v>1794</v>
      </c>
      <c r="C132" s="679" t="s">
        <v>1321</v>
      </c>
      <c r="D132" s="679" t="s">
        <v>36</v>
      </c>
      <c r="G132" s="650" t="s">
        <v>961</v>
      </c>
      <c r="H132" s="650" t="s">
        <v>1795</v>
      </c>
    </row>
    <row r="133" spans="1:8" ht="14.25" customHeight="1">
      <c r="A133" s="689" t="s">
        <v>1796</v>
      </c>
      <c r="B133" s="678" t="s">
        <v>1797</v>
      </c>
      <c r="C133" s="679" t="s">
        <v>1321</v>
      </c>
      <c r="D133" s="679" t="s">
        <v>1344</v>
      </c>
      <c r="G133" s="650" t="s">
        <v>756</v>
      </c>
      <c r="H133" s="650" t="s">
        <v>1798</v>
      </c>
    </row>
    <row r="134" spans="1:8" ht="14.25" customHeight="1">
      <c r="A134" s="678" t="s">
        <v>1799</v>
      </c>
      <c r="B134" s="678" t="s">
        <v>1800</v>
      </c>
      <c r="C134" s="679" t="s">
        <v>1321</v>
      </c>
      <c r="D134" s="679" t="s">
        <v>1344</v>
      </c>
      <c r="G134" s="650" t="s">
        <v>757</v>
      </c>
      <c r="H134" s="650" t="s">
        <v>1801</v>
      </c>
    </row>
    <row r="135" spans="1:8" ht="14.25" customHeight="1">
      <c r="A135" s="689" t="s">
        <v>1802</v>
      </c>
      <c r="B135" s="678" t="s">
        <v>1803</v>
      </c>
      <c r="C135" s="679" t="s">
        <v>1321</v>
      </c>
      <c r="D135" s="679" t="s">
        <v>57</v>
      </c>
      <c r="G135" s="650" t="s">
        <v>758</v>
      </c>
      <c r="H135" s="650" t="s">
        <v>1804</v>
      </c>
    </row>
    <row r="136" spans="1:8" ht="14.25" customHeight="1">
      <c r="A136" s="689" t="s">
        <v>1805</v>
      </c>
      <c r="B136" s="678" t="s">
        <v>1806</v>
      </c>
      <c r="C136" s="679" t="s">
        <v>1321</v>
      </c>
      <c r="D136" s="679" t="s">
        <v>32</v>
      </c>
      <c r="G136" s="650" t="s">
        <v>759</v>
      </c>
      <c r="H136" s="650" t="s">
        <v>1807</v>
      </c>
    </row>
    <row r="137" spans="1:8" ht="14.25" customHeight="1">
      <c r="A137" s="689" t="s">
        <v>1808</v>
      </c>
      <c r="B137" s="678" t="s">
        <v>1809</v>
      </c>
      <c r="C137" s="679" t="s">
        <v>1321</v>
      </c>
      <c r="D137" s="679" t="s">
        <v>1344</v>
      </c>
      <c r="G137" s="650" t="s">
        <v>723</v>
      </c>
      <c r="H137" s="650" t="s">
        <v>761</v>
      </c>
    </row>
    <row r="138" spans="1:8" ht="14.25" customHeight="1">
      <c r="A138" s="689" t="s">
        <v>1810</v>
      </c>
      <c r="B138" s="678" t="s">
        <v>1811</v>
      </c>
      <c r="C138" s="679" t="s">
        <v>1321</v>
      </c>
      <c r="D138" s="679" t="s">
        <v>42</v>
      </c>
      <c r="G138" s="650" t="s">
        <v>760</v>
      </c>
      <c r="H138" s="650" t="s">
        <v>1812</v>
      </c>
    </row>
    <row r="139" spans="1:8" ht="14.25" customHeight="1">
      <c r="A139" s="689" t="s">
        <v>1813</v>
      </c>
      <c r="B139" s="678" t="s">
        <v>1814</v>
      </c>
      <c r="C139" s="679" t="s">
        <v>1321</v>
      </c>
      <c r="D139" s="679" t="s">
        <v>1344</v>
      </c>
      <c r="G139" s="650" t="s">
        <v>762</v>
      </c>
      <c r="H139" s="650" t="s">
        <v>1815</v>
      </c>
    </row>
    <row r="140" spans="1:8" ht="14.25" customHeight="1">
      <c r="A140" s="689" t="s">
        <v>1816</v>
      </c>
      <c r="B140" s="678" t="s">
        <v>1817</v>
      </c>
      <c r="C140" s="679" t="s">
        <v>1321</v>
      </c>
      <c r="D140" s="679" t="s">
        <v>46</v>
      </c>
      <c r="G140" s="650" t="s">
        <v>763</v>
      </c>
      <c r="H140" s="650" t="s">
        <v>1818</v>
      </c>
    </row>
    <row r="141" spans="1:8" ht="14.25" customHeight="1">
      <c r="A141" s="689" t="s">
        <v>1819</v>
      </c>
      <c r="B141" s="678" t="s">
        <v>1820</v>
      </c>
      <c r="C141" s="679" t="s">
        <v>1321</v>
      </c>
      <c r="D141" s="679">
        <v>0</v>
      </c>
      <c r="G141" s="650" t="s">
        <v>764</v>
      </c>
      <c r="H141" s="650" t="s">
        <v>1821</v>
      </c>
    </row>
    <row r="142" spans="1:8" ht="14.25" customHeight="1">
      <c r="A142" s="689" t="s">
        <v>1822</v>
      </c>
      <c r="B142" s="678" t="s">
        <v>1823</v>
      </c>
      <c r="C142" s="679" t="s">
        <v>1321</v>
      </c>
      <c r="D142" s="679" t="s">
        <v>46</v>
      </c>
      <c r="G142" s="650" t="s">
        <v>765</v>
      </c>
      <c r="H142" s="650" t="s">
        <v>1824</v>
      </c>
    </row>
    <row r="143" spans="1:8" ht="14.25" customHeight="1">
      <c r="A143" s="689" t="s">
        <v>1825</v>
      </c>
      <c r="B143" s="678" t="s">
        <v>1826</v>
      </c>
      <c r="C143" s="679" t="s">
        <v>1321</v>
      </c>
      <c r="D143" s="679" t="s">
        <v>48</v>
      </c>
      <c r="G143" s="650" t="s">
        <v>766</v>
      </c>
      <c r="H143" s="650" t="s">
        <v>1827</v>
      </c>
    </row>
    <row r="144" spans="1:8" ht="14.25" customHeight="1">
      <c r="A144" s="689" t="s">
        <v>1828</v>
      </c>
      <c r="B144" s="678" t="s">
        <v>1829</v>
      </c>
      <c r="C144" s="679" t="s">
        <v>1321</v>
      </c>
      <c r="D144" s="679" t="s">
        <v>48</v>
      </c>
      <c r="G144" s="650" t="s">
        <v>767</v>
      </c>
      <c r="H144" s="650" t="s">
        <v>1830</v>
      </c>
    </row>
    <row r="145" spans="1:8" ht="14.25" customHeight="1">
      <c r="A145" s="689" t="s">
        <v>1831</v>
      </c>
      <c r="B145" s="678" t="s">
        <v>1832</v>
      </c>
      <c r="C145" s="679" t="s">
        <v>1321</v>
      </c>
      <c r="D145" s="679" t="s">
        <v>154</v>
      </c>
      <c r="G145" s="650" t="s">
        <v>768</v>
      </c>
      <c r="H145" s="650" t="s">
        <v>1833</v>
      </c>
    </row>
    <row r="146" spans="1:8" ht="14.25" customHeight="1">
      <c r="A146" s="689" t="s">
        <v>1834</v>
      </c>
      <c r="B146" s="678" t="s">
        <v>1835</v>
      </c>
      <c r="C146" s="679" t="s">
        <v>1321</v>
      </c>
      <c r="D146" s="679" t="s">
        <v>46</v>
      </c>
      <c r="G146" s="650" t="s">
        <v>769</v>
      </c>
      <c r="H146" s="650" t="s">
        <v>1836</v>
      </c>
    </row>
    <row r="147" spans="1:8" ht="14.25" customHeight="1">
      <c r="A147" s="689" t="s">
        <v>1837</v>
      </c>
      <c r="B147" s="678" t="s">
        <v>1838</v>
      </c>
      <c r="C147" s="679" t="s">
        <v>1321</v>
      </c>
      <c r="D147" s="679">
        <v>0</v>
      </c>
      <c r="G147" s="650" t="s">
        <v>770</v>
      </c>
      <c r="H147" s="650" t="s">
        <v>1839</v>
      </c>
    </row>
    <row r="148" spans="1:8" ht="14.25" customHeight="1">
      <c r="A148" s="689" t="s">
        <v>1840</v>
      </c>
      <c r="B148" s="678" t="s">
        <v>1841</v>
      </c>
      <c r="C148" s="679" t="s">
        <v>1321</v>
      </c>
      <c r="D148" s="679" t="s">
        <v>46</v>
      </c>
      <c r="G148" s="650" t="s">
        <v>962</v>
      </c>
      <c r="H148" s="650" t="s">
        <v>964</v>
      </c>
    </row>
    <row r="149" spans="1:8" ht="14.25" customHeight="1">
      <c r="A149" s="689" t="s">
        <v>1842</v>
      </c>
      <c r="B149" s="678" t="s">
        <v>1843</v>
      </c>
      <c r="C149" s="679" t="s">
        <v>1321</v>
      </c>
      <c r="D149" s="679">
        <v>0</v>
      </c>
      <c r="G149" s="650" t="s">
        <v>965</v>
      </c>
      <c r="H149" s="650" t="s">
        <v>966</v>
      </c>
    </row>
    <row r="150" spans="1:8" ht="14.25" customHeight="1">
      <c r="A150" s="689" t="s">
        <v>1844</v>
      </c>
      <c r="B150" s="678" t="s">
        <v>1845</v>
      </c>
      <c r="C150" s="679" t="s">
        <v>1321</v>
      </c>
      <c r="D150" s="679" t="s">
        <v>50</v>
      </c>
      <c r="G150" s="650" t="s">
        <v>1369</v>
      </c>
      <c r="H150" s="650" t="s">
        <v>1846</v>
      </c>
    </row>
    <row r="151" spans="1:8" ht="14.25" customHeight="1">
      <c r="A151" s="689" t="s">
        <v>1847</v>
      </c>
      <c r="B151" s="678" t="s">
        <v>1848</v>
      </c>
      <c r="C151" s="679" t="s">
        <v>1321</v>
      </c>
      <c r="D151" s="679" t="s">
        <v>50</v>
      </c>
      <c r="G151" s="650" t="s">
        <v>1409</v>
      </c>
      <c r="H151" s="650" t="s">
        <v>1408</v>
      </c>
    </row>
    <row r="152" spans="1:8" ht="14.25" customHeight="1">
      <c r="A152" s="689" t="s">
        <v>1849</v>
      </c>
      <c r="B152" s="678" t="s">
        <v>1850</v>
      </c>
      <c r="C152" s="679" t="s">
        <v>1321</v>
      </c>
      <c r="D152" s="679" t="s">
        <v>50</v>
      </c>
      <c r="G152" s="650" t="s">
        <v>1370</v>
      </c>
      <c r="H152" s="650" t="s">
        <v>1431</v>
      </c>
    </row>
    <row r="153" spans="1:8" ht="14.25" customHeight="1">
      <c r="A153" s="689" t="s">
        <v>1851</v>
      </c>
      <c r="B153" s="678" t="s">
        <v>1852</v>
      </c>
      <c r="C153" s="679" t="s">
        <v>1321</v>
      </c>
      <c r="D153" s="679" t="s">
        <v>56</v>
      </c>
      <c r="G153" s="650" t="s">
        <v>1411</v>
      </c>
      <c r="H153" s="650" t="s">
        <v>1410</v>
      </c>
    </row>
    <row r="154" spans="1:8" ht="14.25" customHeight="1">
      <c r="A154" s="689" t="s">
        <v>1853</v>
      </c>
      <c r="B154" s="678" t="s">
        <v>1854</v>
      </c>
      <c r="C154" s="679" t="s">
        <v>1321</v>
      </c>
      <c r="D154" s="679" t="s">
        <v>58</v>
      </c>
      <c r="G154" s="650" t="s">
        <v>1371</v>
      </c>
      <c r="H154" s="650" t="s">
        <v>1432</v>
      </c>
    </row>
    <row r="155" spans="1:8" ht="14.25" customHeight="1">
      <c r="A155" s="689" t="s">
        <v>1855</v>
      </c>
      <c r="B155" s="678" t="s">
        <v>1856</v>
      </c>
      <c r="C155" s="679" t="s">
        <v>1321</v>
      </c>
      <c r="D155" s="679" t="s">
        <v>50</v>
      </c>
      <c r="G155" s="650" t="s">
        <v>1413</v>
      </c>
      <c r="H155" s="650" t="s">
        <v>1412</v>
      </c>
    </row>
    <row r="156" spans="1:8" ht="14.25" customHeight="1">
      <c r="A156" s="689" t="s">
        <v>1857</v>
      </c>
      <c r="B156" s="678" t="s">
        <v>1858</v>
      </c>
      <c r="C156" s="679" t="s">
        <v>1321</v>
      </c>
      <c r="D156" s="679" t="s">
        <v>50</v>
      </c>
      <c r="G156" s="650" t="s">
        <v>967</v>
      </c>
      <c r="H156" s="650" t="s">
        <v>968</v>
      </c>
    </row>
    <row r="157" spans="1:8" ht="14.25" customHeight="1">
      <c r="A157" s="689" t="s">
        <v>1859</v>
      </c>
      <c r="B157" s="678" t="s">
        <v>1860</v>
      </c>
      <c r="C157" s="679" t="s">
        <v>1321</v>
      </c>
      <c r="D157" s="679" t="s">
        <v>60</v>
      </c>
      <c r="G157" s="650" t="s">
        <v>969</v>
      </c>
      <c r="H157" s="650" t="s">
        <v>970</v>
      </c>
    </row>
    <row r="158" spans="1:8" ht="14.25" customHeight="1">
      <c r="A158" s="689" t="s">
        <v>1861</v>
      </c>
      <c r="B158" s="678" t="s">
        <v>1862</v>
      </c>
      <c r="C158" s="679" t="s">
        <v>1321</v>
      </c>
      <c r="D158" s="679" t="s">
        <v>60</v>
      </c>
      <c r="G158" s="650" t="s">
        <v>771</v>
      </c>
      <c r="H158" s="650" t="s">
        <v>978</v>
      </c>
    </row>
    <row r="159" spans="1:8" ht="14.25" customHeight="1">
      <c r="A159" s="689" t="s">
        <v>1863</v>
      </c>
      <c r="B159" s="678" t="s">
        <v>1864</v>
      </c>
      <c r="C159" s="679" t="s">
        <v>1321</v>
      </c>
      <c r="D159" s="679" t="s">
        <v>60</v>
      </c>
      <c r="G159" s="650" t="s">
        <v>1372</v>
      </c>
      <c r="H159" s="650" t="s">
        <v>972</v>
      </c>
    </row>
    <row r="160" spans="1:8" ht="14.25" customHeight="1">
      <c r="A160" s="689" t="s">
        <v>1865</v>
      </c>
      <c r="B160" s="678" t="s">
        <v>1866</v>
      </c>
      <c r="C160" s="679" t="s">
        <v>1321</v>
      </c>
      <c r="D160" s="679" t="s">
        <v>60</v>
      </c>
      <c r="G160" s="650" t="s">
        <v>1414</v>
      </c>
      <c r="H160" s="650" t="s">
        <v>973</v>
      </c>
    </row>
    <row r="161" spans="1:8" ht="14.25" customHeight="1">
      <c r="A161" s="689" t="s">
        <v>1867</v>
      </c>
      <c r="B161" s="678" t="s">
        <v>1868</v>
      </c>
      <c r="C161" s="679" t="s">
        <v>1321</v>
      </c>
      <c r="D161" s="679" t="s">
        <v>60</v>
      </c>
      <c r="G161" s="650" t="s">
        <v>1373</v>
      </c>
      <c r="H161" s="650" t="s">
        <v>1869</v>
      </c>
    </row>
    <row r="162" spans="1:8" ht="14.25" customHeight="1">
      <c r="A162" s="689" t="s">
        <v>1870</v>
      </c>
      <c r="B162" s="678" t="s">
        <v>1871</v>
      </c>
      <c r="C162" s="679" t="s">
        <v>1321</v>
      </c>
      <c r="D162" s="679" t="s">
        <v>57</v>
      </c>
      <c r="G162" s="650" t="s">
        <v>1416</v>
      </c>
      <c r="H162" s="650" t="s">
        <v>1415</v>
      </c>
    </row>
    <row r="163" spans="1:8" ht="14.25" customHeight="1">
      <c r="A163" s="689" t="s">
        <v>1872</v>
      </c>
      <c r="B163" s="678" t="s">
        <v>1873</v>
      </c>
      <c r="C163" s="679" t="s">
        <v>1321</v>
      </c>
      <c r="D163" s="679" t="s">
        <v>60</v>
      </c>
      <c r="G163" s="650" t="s">
        <v>1374</v>
      </c>
      <c r="H163" s="650" t="s">
        <v>1435</v>
      </c>
    </row>
    <row r="164" spans="1:8" ht="14.25" customHeight="1">
      <c r="A164" s="689" t="s">
        <v>1874</v>
      </c>
      <c r="B164" s="678" t="s">
        <v>1875</v>
      </c>
      <c r="C164" s="679" t="s">
        <v>1321</v>
      </c>
      <c r="D164" s="679" t="s">
        <v>60</v>
      </c>
      <c r="G164" s="650" t="s">
        <v>1418</v>
      </c>
      <c r="H164" s="650" t="s">
        <v>1417</v>
      </c>
    </row>
    <row r="165" spans="1:8" ht="14.25" customHeight="1">
      <c r="A165" s="678" t="s">
        <v>1876</v>
      </c>
      <c r="B165" s="678" t="s">
        <v>1877</v>
      </c>
      <c r="C165" s="679" t="s">
        <v>1321</v>
      </c>
      <c r="D165" s="679" t="s">
        <v>60</v>
      </c>
      <c r="G165" s="650" t="s">
        <v>979</v>
      </c>
      <c r="H165" s="650" t="s">
        <v>980</v>
      </c>
    </row>
    <row r="166" spans="1:8" ht="14.25" customHeight="1">
      <c r="A166" s="689" t="s">
        <v>1878</v>
      </c>
      <c r="B166" s="678" t="s">
        <v>1879</v>
      </c>
      <c r="C166" s="679" t="s">
        <v>1321</v>
      </c>
      <c r="D166" s="679" t="s">
        <v>60</v>
      </c>
      <c r="G166" s="650" t="s">
        <v>981</v>
      </c>
      <c r="H166" s="650" t="s">
        <v>982</v>
      </c>
    </row>
    <row r="167" spans="1:8" ht="14.25" customHeight="1">
      <c r="A167" s="689" t="s">
        <v>1880</v>
      </c>
      <c r="B167" s="678" t="s">
        <v>1881</v>
      </c>
      <c r="C167" s="679" t="s">
        <v>1321</v>
      </c>
      <c r="D167" s="679" t="s">
        <v>60</v>
      </c>
      <c r="G167" s="650" t="s">
        <v>986</v>
      </c>
      <c r="H167" s="650" t="s">
        <v>987</v>
      </c>
    </row>
    <row r="168" spans="1:8" ht="14.25" customHeight="1">
      <c r="A168" s="689" t="s">
        <v>1882</v>
      </c>
      <c r="B168" s="678" t="s">
        <v>1883</v>
      </c>
      <c r="C168" s="679" t="s">
        <v>1321</v>
      </c>
      <c r="D168" s="679" t="s">
        <v>60</v>
      </c>
      <c r="G168" s="650" t="s">
        <v>988</v>
      </c>
      <c r="H168" s="650" t="s">
        <v>989</v>
      </c>
    </row>
    <row r="169" spans="1:8" ht="14.25" customHeight="1">
      <c r="A169" s="689" t="s">
        <v>1884</v>
      </c>
      <c r="B169" s="678" t="s">
        <v>1885</v>
      </c>
      <c r="C169" s="679" t="s">
        <v>1321</v>
      </c>
      <c r="D169" s="679" t="s">
        <v>57</v>
      </c>
      <c r="G169" s="650" t="s">
        <v>990</v>
      </c>
      <c r="H169" s="650" t="s">
        <v>991</v>
      </c>
    </row>
    <row r="170" spans="1:8" ht="14.25" customHeight="1">
      <c r="A170" s="678" t="s">
        <v>1886</v>
      </c>
      <c r="B170" s="678" t="s">
        <v>1887</v>
      </c>
      <c r="C170" s="679" t="s">
        <v>1321</v>
      </c>
      <c r="D170" s="679" t="s">
        <v>57</v>
      </c>
      <c r="G170" s="650" t="s">
        <v>992</v>
      </c>
      <c r="H170" s="650" t="s">
        <v>993</v>
      </c>
    </row>
    <row r="171" spans="1:8" ht="14.25" customHeight="1">
      <c r="A171" s="689" t="s">
        <v>1888</v>
      </c>
      <c r="B171" s="678" t="s">
        <v>1889</v>
      </c>
      <c r="C171" s="679" t="s">
        <v>1321</v>
      </c>
      <c r="D171" s="679" t="s">
        <v>60</v>
      </c>
      <c r="G171" s="650" t="s">
        <v>1376</v>
      </c>
      <c r="H171" s="650" t="s">
        <v>1433</v>
      </c>
    </row>
    <row r="172" spans="1:8" ht="14.25" customHeight="1">
      <c r="A172" s="689" t="s">
        <v>1890</v>
      </c>
      <c r="B172" s="678" t="s">
        <v>1891</v>
      </c>
      <c r="C172" s="679" t="s">
        <v>1321</v>
      </c>
      <c r="D172" s="679" t="s">
        <v>60</v>
      </c>
      <c r="G172" s="650" t="s">
        <v>1421</v>
      </c>
      <c r="H172" s="650" t="s">
        <v>1420</v>
      </c>
    </row>
    <row r="173" spans="1:8" ht="14.25" customHeight="1">
      <c r="A173" s="689" t="s">
        <v>1892</v>
      </c>
      <c r="B173" s="678" t="s">
        <v>1893</v>
      </c>
      <c r="C173" s="679" t="s">
        <v>1321</v>
      </c>
      <c r="D173" s="679" t="s">
        <v>60</v>
      </c>
      <c r="G173" s="650" t="s">
        <v>994</v>
      </c>
      <c r="H173" s="650" t="s">
        <v>995</v>
      </c>
    </row>
    <row r="174" spans="1:8" ht="14.25" customHeight="1">
      <c r="A174" s="689" t="s">
        <v>1894</v>
      </c>
      <c r="B174" s="678" t="s">
        <v>1895</v>
      </c>
      <c r="C174" s="679" t="s">
        <v>1321</v>
      </c>
      <c r="D174" s="679" t="s">
        <v>60</v>
      </c>
      <c r="G174" s="650" t="s">
        <v>996</v>
      </c>
      <c r="H174" s="650" t="s">
        <v>997</v>
      </c>
    </row>
    <row r="175" spans="1:8" ht="14.25" customHeight="1">
      <c r="A175" s="689" t="s">
        <v>1896</v>
      </c>
      <c r="B175" s="678" t="s">
        <v>1359</v>
      </c>
      <c r="C175" s="679" t="s">
        <v>1321</v>
      </c>
      <c r="D175" s="679" t="s">
        <v>60</v>
      </c>
      <c r="G175" s="650" t="s">
        <v>998</v>
      </c>
      <c r="H175" s="650" t="s">
        <v>999</v>
      </c>
    </row>
    <row r="176" spans="1:8" ht="14.25" customHeight="1">
      <c r="A176" s="678" t="s">
        <v>1897</v>
      </c>
      <c r="B176" s="678" t="s">
        <v>1898</v>
      </c>
      <c r="C176" s="679" t="s">
        <v>1321</v>
      </c>
      <c r="D176" s="679" t="s">
        <v>60</v>
      </c>
      <c r="G176" s="650" t="s">
        <v>1000</v>
      </c>
      <c r="H176" s="650" t="s">
        <v>1001</v>
      </c>
    </row>
    <row r="177" spans="1:8" ht="14.25" customHeight="1">
      <c r="A177" s="689" t="s">
        <v>1899</v>
      </c>
      <c r="B177" s="678" t="s">
        <v>1900</v>
      </c>
      <c r="C177" s="679" t="s">
        <v>1321</v>
      </c>
      <c r="D177" s="679" t="s">
        <v>60</v>
      </c>
      <c r="G177" s="650" t="s">
        <v>1006</v>
      </c>
      <c r="H177" s="650" t="s">
        <v>1007</v>
      </c>
    </row>
    <row r="178" spans="1:8" ht="14.25" customHeight="1">
      <c r="A178" s="689" t="s">
        <v>1901</v>
      </c>
      <c r="B178" s="678" t="s">
        <v>1902</v>
      </c>
      <c r="C178" s="679" t="s">
        <v>1321</v>
      </c>
      <c r="D178" s="679" t="s">
        <v>70</v>
      </c>
      <c r="G178" s="650" t="s">
        <v>1008</v>
      </c>
      <c r="H178" s="650" t="s">
        <v>1009</v>
      </c>
    </row>
    <row r="179" spans="1:8" ht="14.25" customHeight="1">
      <c r="A179" s="689" t="s">
        <v>1903</v>
      </c>
      <c r="B179" s="678" t="s">
        <v>1904</v>
      </c>
      <c r="C179" s="679" t="s">
        <v>1321</v>
      </c>
      <c r="D179" s="679" t="s">
        <v>70</v>
      </c>
      <c r="G179" s="650" t="s">
        <v>773</v>
      </c>
      <c r="H179" s="650" t="s">
        <v>1905</v>
      </c>
    </row>
    <row r="180" spans="1:8" ht="14.25" customHeight="1">
      <c r="A180" s="689" t="s">
        <v>1906</v>
      </c>
      <c r="B180" s="678" t="s">
        <v>1907</v>
      </c>
      <c r="C180" s="679" t="s">
        <v>1321</v>
      </c>
      <c r="D180" s="679" t="s">
        <v>70</v>
      </c>
      <c r="G180" s="650" t="s">
        <v>1010</v>
      </c>
      <c r="H180" s="650" t="s">
        <v>1011</v>
      </c>
    </row>
    <row r="181" spans="1:8" ht="14.25" customHeight="1">
      <c r="A181" s="689" t="s">
        <v>1908</v>
      </c>
      <c r="B181" s="678" t="s">
        <v>1909</v>
      </c>
      <c r="C181" s="679" t="s">
        <v>1321</v>
      </c>
      <c r="D181" s="679" t="s">
        <v>70</v>
      </c>
      <c r="G181" s="650" t="s">
        <v>1012</v>
      </c>
      <c r="H181" s="650" t="s">
        <v>1013</v>
      </c>
    </row>
    <row r="182" spans="1:8" ht="14.25" customHeight="1">
      <c r="A182" s="689" t="s">
        <v>1910</v>
      </c>
      <c r="B182" s="678" t="s">
        <v>1911</v>
      </c>
      <c r="C182" s="679" t="s">
        <v>1321</v>
      </c>
      <c r="D182" s="679" t="s">
        <v>74</v>
      </c>
      <c r="G182" s="650" t="s">
        <v>774</v>
      </c>
      <c r="H182" s="650" t="s">
        <v>1912</v>
      </c>
    </row>
    <row r="183" spans="1:8" ht="14.25" customHeight="1">
      <c r="A183" s="689" t="s">
        <v>1913</v>
      </c>
      <c r="B183" s="678" t="s">
        <v>1914</v>
      </c>
      <c r="C183" s="679" t="s">
        <v>1321</v>
      </c>
      <c r="D183" s="679" t="s">
        <v>74</v>
      </c>
      <c r="G183" s="650" t="s">
        <v>775</v>
      </c>
      <c r="H183" s="650" t="s">
        <v>1915</v>
      </c>
    </row>
    <row r="184" spans="1:8" ht="14.25" customHeight="1">
      <c r="A184" s="689" t="s">
        <v>1916</v>
      </c>
      <c r="B184" s="678" t="s">
        <v>1917</v>
      </c>
      <c r="C184" s="679" t="s">
        <v>1321</v>
      </c>
      <c r="D184" s="679" t="s">
        <v>74</v>
      </c>
      <c r="G184" s="650" t="s">
        <v>776</v>
      </c>
      <c r="H184" s="650" t="s">
        <v>1918</v>
      </c>
    </row>
    <row r="185" spans="1:8" ht="14.25" customHeight="1">
      <c r="A185" s="689" t="s">
        <v>1919</v>
      </c>
      <c r="B185" s="678" t="s">
        <v>1920</v>
      </c>
      <c r="C185" s="679" t="s">
        <v>1321</v>
      </c>
      <c r="D185" s="679" t="s">
        <v>74</v>
      </c>
      <c r="G185" s="650" t="s">
        <v>777</v>
      </c>
      <c r="H185" s="650" t="s">
        <v>1921</v>
      </c>
    </row>
    <row r="186" spans="1:8" ht="14.25" customHeight="1">
      <c r="A186" s="689" t="s">
        <v>1922</v>
      </c>
      <c r="B186" s="678" t="s">
        <v>1923</v>
      </c>
      <c r="C186" s="679" t="s">
        <v>1321</v>
      </c>
      <c r="D186" s="679" t="s">
        <v>74</v>
      </c>
      <c r="G186" s="650" t="s">
        <v>778</v>
      </c>
      <c r="H186" s="650" t="s">
        <v>1924</v>
      </c>
    </row>
    <row r="187" spans="1:8" ht="14.25" customHeight="1">
      <c r="A187" s="689" t="s">
        <v>1925</v>
      </c>
      <c r="B187" s="678" t="s">
        <v>1926</v>
      </c>
      <c r="C187" s="679" t="s">
        <v>1321</v>
      </c>
      <c r="D187" s="679" t="s">
        <v>74</v>
      </c>
      <c r="G187" s="650" t="s">
        <v>779</v>
      </c>
      <c r="H187" s="650" t="s">
        <v>1927</v>
      </c>
    </row>
    <row r="188" spans="1:8" ht="14.25" customHeight="1">
      <c r="A188" s="689" t="s">
        <v>1928</v>
      </c>
      <c r="B188" s="678" t="s">
        <v>1929</v>
      </c>
      <c r="C188" s="679" t="s">
        <v>1321</v>
      </c>
      <c r="D188" s="679" t="s">
        <v>77</v>
      </c>
      <c r="G188" s="650" t="s">
        <v>780</v>
      </c>
      <c r="H188" s="650" t="s">
        <v>1930</v>
      </c>
    </row>
    <row r="189" spans="1:8" ht="14.25" customHeight="1">
      <c r="A189" s="689" t="s">
        <v>1931</v>
      </c>
      <c r="B189" s="678" t="s">
        <v>1932</v>
      </c>
      <c r="C189" s="679" t="s">
        <v>1321</v>
      </c>
      <c r="D189" s="679" t="s">
        <v>77</v>
      </c>
      <c r="G189" s="650" t="s">
        <v>1014</v>
      </c>
      <c r="H189" s="650" t="s">
        <v>1933</v>
      </c>
    </row>
    <row r="190" spans="1:8" ht="14.25" customHeight="1">
      <c r="A190" s="689" t="s">
        <v>1934</v>
      </c>
      <c r="B190" s="678" t="s">
        <v>1935</v>
      </c>
      <c r="C190" s="679" t="s">
        <v>1321</v>
      </c>
      <c r="D190" s="679" t="s">
        <v>1936</v>
      </c>
      <c r="G190" s="650" t="s">
        <v>1016</v>
      </c>
      <c r="H190" s="650" t="s">
        <v>1017</v>
      </c>
    </row>
    <row r="191" spans="1:8" ht="14.25" customHeight="1">
      <c r="A191" s="689" t="s">
        <v>1937</v>
      </c>
      <c r="B191" s="678" t="s">
        <v>1938</v>
      </c>
      <c r="C191" s="679" t="s">
        <v>1321</v>
      </c>
      <c r="D191" s="679" t="s">
        <v>1936</v>
      </c>
      <c r="G191" s="650" t="s">
        <v>781</v>
      </c>
      <c r="H191" s="650" t="s">
        <v>1939</v>
      </c>
    </row>
    <row r="192" spans="1:8" ht="14.25" customHeight="1">
      <c r="A192" s="689" t="s">
        <v>1940</v>
      </c>
      <c r="B192" s="678" t="s">
        <v>1941</v>
      </c>
      <c r="C192" s="679" t="s">
        <v>1321</v>
      </c>
      <c r="D192" s="679" t="s">
        <v>77</v>
      </c>
      <c r="G192" s="650" t="s">
        <v>1018</v>
      </c>
      <c r="H192" s="650" t="s">
        <v>1942</v>
      </c>
    </row>
    <row r="193" spans="1:8" ht="14.25" customHeight="1">
      <c r="A193" s="689" t="s">
        <v>1943</v>
      </c>
      <c r="B193" s="678" t="s">
        <v>1944</v>
      </c>
      <c r="C193" s="679" t="s">
        <v>1321</v>
      </c>
      <c r="D193" s="679" t="s">
        <v>77</v>
      </c>
      <c r="G193" s="650" t="s">
        <v>1020</v>
      </c>
      <c r="H193" s="650" t="s">
        <v>1021</v>
      </c>
    </row>
    <row r="194" spans="1:8" ht="14.25" customHeight="1">
      <c r="A194" s="689" t="s">
        <v>1945</v>
      </c>
      <c r="B194" s="678" t="s">
        <v>1946</v>
      </c>
      <c r="C194" s="679" t="s">
        <v>1321</v>
      </c>
      <c r="D194" s="679" t="s">
        <v>1936</v>
      </c>
      <c r="G194" s="650" t="s">
        <v>782</v>
      </c>
      <c r="H194" s="650" t="s">
        <v>1947</v>
      </c>
    </row>
    <row r="195" spans="1:8" ht="14.25" customHeight="1">
      <c r="A195" s="689" t="s">
        <v>1948</v>
      </c>
      <c r="B195" s="678" t="s">
        <v>1949</v>
      </c>
      <c r="C195" s="679" t="s">
        <v>1321</v>
      </c>
      <c r="D195" s="679" t="s">
        <v>1936</v>
      </c>
      <c r="G195" s="650" t="s">
        <v>783</v>
      </c>
      <c r="H195" s="650" t="s">
        <v>1950</v>
      </c>
    </row>
    <row r="196" spans="1:8" ht="14.25" customHeight="1">
      <c r="A196" s="689" t="s">
        <v>1951</v>
      </c>
      <c r="B196" s="678" t="s">
        <v>1952</v>
      </c>
      <c r="C196" s="679" t="s">
        <v>1321</v>
      </c>
      <c r="D196" s="679" t="s">
        <v>76</v>
      </c>
      <c r="G196" s="650" t="s">
        <v>1022</v>
      </c>
      <c r="H196" s="650" t="s">
        <v>1023</v>
      </c>
    </row>
    <row r="197" spans="1:8" ht="14.25" customHeight="1">
      <c r="A197" s="689" t="s">
        <v>1953</v>
      </c>
      <c r="B197" s="678" t="s">
        <v>1954</v>
      </c>
      <c r="C197" s="679" t="s">
        <v>1321</v>
      </c>
      <c r="D197" s="679" t="s">
        <v>76</v>
      </c>
      <c r="G197" s="650" t="s">
        <v>1022</v>
      </c>
      <c r="H197" s="650" t="s">
        <v>1024</v>
      </c>
    </row>
    <row r="198" spans="1:8" ht="14.25" customHeight="1">
      <c r="A198" s="689" t="s">
        <v>1955</v>
      </c>
      <c r="B198" s="678" t="s">
        <v>1956</v>
      </c>
      <c r="C198" s="679" t="s">
        <v>1321</v>
      </c>
      <c r="D198" s="679" t="s">
        <v>76</v>
      </c>
      <c r="G198" s="650" t="s">
        <v>1025</v>
      </c>
      <c r="H198" s="650" t="s">
        <v>1026</v>
      </c>
    </row>
    <row r="199" spans="1:8" ht="14.25" customHeight="1">
      <c r="A199" s="689" t="s">
        <v>1957</v>
      </c>
      <c r="B199" s="678" t="s">
        <v>1958</v>
      </c>
      <c r="C199" s="679" t="s">
        <v>1321</v>
      </c>
      <c r="D199" s="679" t="s">
        <v>76</v>
      </c>
      <c r="G199" s="650" t="s">
        <v>1424</v>
      </c>
      <c r="H199" s="650" t="s">
        <v>1423</v>
      </c>
    </row>
    <row r="200" spans="1:8" ht="14.25" customHeight="1">
      <c r="A200" s="689" t="s">
        <v>1959</v>
      </c>
      <c r="B200" s="678" t="s">
        <v>897</v>
      </c>
      <c r="C200" s="679" t="s">
        <v>1321</v>
      </c>
      <c r="D200" s="679" t="s">
        <v>79</v>
      </c>
      <c r="G200" s="650" t="s">
        <v>1027</v>
      </c>
      <c r="H200" s="650" t="s">
        <v>1028</v>
      </c>
    </row>
    <row r="201" spans="1:8" ht="14.25" customHeight="1">
      <c r="A201" s="689" t="s">
        <v>1960</v>
      </c>
      <c r="B201" s="678" t="s">
        <v>1961</v>
      </c>
      <c r="C201" s="679" t="s">
        <v>1321</v>
      </c>
      <c r="D201" s="679" t="s">
        <v>1962</v>
      </c>
      <c r="G201" s="650" t="s">
        <v>1027</v>
      </c>
      <c r="H201" s="650" t="s">
        <v>1029</v>
      </c>
    </row>
    <row r="202" spans="1:8" ht="14.25" customHeight="1">
      <c r="A202" s="678" t="s">
        <v>1963</v>
      </c>
      <c r="B202" s="678" t="s">
        <v>1964</v>
      </c>
      <c r="C202" s="679" t="s">
        <v>1321</v>
      </c>
      <c r="D202" s="679" t="s">
        <v>1344</v>
      </c>
      <c r="G202" s="650" t="s">
        <v>1030</v>
      </c>
      <c r="H202" s="650" t="s">
        <v>1031</v>
      </c>
    </row>
    <row r="203" spans="1:8" ht="14.25" customHeight="1">
      <c r="A203" s="689" t="s">
        <v>1965</v>
      </c>
      <c r="B203" s="678" t="s">
        <v>1966</v>
      </c>
      <c r="C203" s="679" t="s">
        <v>1321</v>
      </c>
      <c r="D203" s="679" t="s">
        <v>47</v>
      </c>
      <c r="G203" s="650" t="s">
        <v>1030</v>
      </c>
      <c r="H203" s="650" t="s">
        <v>1032</v>
      </c>
    </row>
    <row r="204" spans="1:8" ht="14.25" customHeight="1">
      <c r="A204" s="688" t="s">
        <v>1967</v>
      </c>
      <c r="B204" s="688" t="s">
        <v>1968</v>
      </c>
      <c r="C204" s="679" t="s">
        <v>1321</v>
      </c>
      <c r="D204" s="679" t="s">
        <v>35</v>
      </c>
      <c r="G204" s="650" t="s">
        <v>1379</v>
      </c>
      <c r="H204" s="650" t="s">
        <v>1969</v>
      </c>
    </row>
    <row r="205" spans="1:8" ht="14.25" customHeight="1">
      <c r="A205" s="689" t="s">
        <v>1970</v>
      </c>
      <c r="B205" s="678" t="s">
        <v>1971</v>
      </c>
      <c r="C205" s="679" t="s">
        <v>1321</v>
      </c>
      <c r="D205" s="679" t="s">
        <v>35</v>
      </c>
      <c r="G205" s="650" t="s">
        <v>1426</v>
      </c>
      <c r="H205" s="650" t="s">
        <v>1425</v>
      </c>
    </row>
    <row r="206" spans="1:8" ht="14.25" customHeight="1">
      <c r="A206" s="689" t="s">
        <v>1972</v>
      </c>
      <c r="B206" s="678" t="s">
        <v>1973</v>
      </c>
      <c r="C206" s="679" t="s">
        <v>1321</v>
      </c>
      <c r="D206" s="679" t="s">
        <v>35</v>
      </c>
      <c r="G206" s="650" t="s">
        <v>1033</v>
      </c>
      <c r="H206" s="650" t="s">
        <v>1974</v>
      </c>
    </row>
    <row r="207" spans="1:8" ht="14.25" customHeight="1">
      <c r="A207" s="689" t="s">
        <v>1975</v>
      </c>
      <c r="B207" s="678" t="s">
        <v>1976</v>
      </c>
      <c r="C207" s="679" t="s">
        <v>1321</v>
      </c>
      <c r="D207" s="679" t="s">
        <v>35</v>
      </c>
      <c r="G207" s="650" t="s">
        <v>1033</v>
      </c>
      <c r="H207" s="650" t="s">
        <v>1035</v>
      </c>
    </row>
    <row r="208" spans="1:8" ht="14.25" customHeight="1">
      <c r="A208" s="689" t="s">
        <v>1977</v>
      </c>
      <c r="B208" s="678" t="s">
        <v>1978</v>
      </c>
      <c r="C208" s="679" t="s">
        <v>1321</v>
      </c>
      <c r="D208" s="679" t="s">
        <v>35</v>
      </c>
      <c r="G208" s="650" t="s">
        <v>1036</v>
      </c>
      <c r="H208" s="650" t="s">
        <v>1037</v>
      </c>
    </row>
    <row r="209" spans="1:8" ht="14.25" customHeight="1">
      <c r="A209" s="689" t="s">
        <v>1979</v>
      </c>
      <c r="B209" s="678" t="s">
        <v>1980</v>
      </c>
      <c r="C209" s="679" t="s">
        <v>1321</v>
      </c>
      <c r="D209" s="679" t="s">
        <v>35</v>
      </c>
      <c r="G209" s="650" t="s">
        <v>1036</v>
      </c>
      <c r="H209" s="650" t="s">
        <v>1038</v>
      </c>
    </row>
    <row r="210" spans="1:8" ht="14.25" customHeight="1">
      <c r="A210" s="689" t="s">
        <v>1981</v>
      </c>
      <c r="B210" s="678" t="s">
        <v>1982</v>
      </c>
      <c r="C210" s="679" t="s">
        <v>1321</v>
      </c>
      <c r="D210" s="679" t="s">
        <v>43</v>
      </c>
      <c r="G210" s="650" t="s">
        <v>1039</v>
      </c>
      <c r="H210" s="650" t="s">
        <v>1040</v>
      </c>
    </row>
    <row r="211" spans="1:8" ht="14.25" customHeight="1">
      <c r="A211" s="689" t="s">
        <v>1983</v>
      </c>
      <c r="B211" s="678" t="s">
        <v>1984</v>
      </c>
      <c r="C211" s="679" t="s">
        <v>1321</v>
      </c>
      <c r="D211" s="679" t="s">
        <v>43</v>
      </c>
      <c r="G211" s="650" t="s">
        <v>1041</v>
      </c>
      <c r="H211" s="650" t="s">
        <v>1042</v>
      </c>
    </row>
    <row r="212" spans="1:8" ht="14.25" customHeight="1">
      <c r="A212" s="689" t="s">
        <v>1985</v>
      </c>
      <c r="B212" s="678" t="s">
        <v>1986</v>
      </c>
      <c r="C212" s="679" t="s">
        <v>1321</v>
      </c>
      <c r="D212" s="679" t="s">
        <v>43</v>
      </c>
      <c r="G212" s="650" t="s">
        <v>1043</v>
      </c>
      <c r="H212" s="650" t="s">
        <v>1044</v>
      </c>
    </row>
    <row r="213" spans="1:8" ht="14.25" customHeight="1">
      <c r="A213" s="689" t="s">
        <v>1987</v>
      </c>
      <c r="B213" s="678" t="s">
        <v>1988</v>
      </c>
      <c r="C213" s="679" t="s">
        <v>1321</v>
      </c>
      <c r="D213" s="679" t="s">
        <v>43</v>
      </c>
      <c r="G213" s="650" t="s">
        <v>1045</v>
      </c>
      <c r="H213" s="650" t="s">
        <v>1046</v>
      </c>
    </row>
    <row r="214" spans="1:8" ht="14.25" customHeight="1">
      <c r="A214" s="689" t="s">
        <v>1989</v>
      </c>
      <c r="B214" s="678" t="s">
        <v>1990</v>
      </c>
      <c r="C214" s="679" t="s">
        <v>1321</v>
      </c>
      <c r="D214" s="679" t="s">
        <v>33</v>
      </c>
      <c r="G214" s="650" t="s">
        <v>1050</v>
      </c>
      <c r="H214" s="650" t="s">
        <v>1051</v>
      </c>
    </row>
    <row r="215" spans="1:8" ht="14.25" customHeight="1">
      <c r="A215" s="689" t="s">
        <v>1991</v>
      </c>
      <c r="B215" s="678" t="s">
        <v>1992</v>
      </c>
      <c r="C215" s="679" t="s">
        <v>1321</v>
      </c>
      <c r="D215" s="679" t="s">
        <v>43</v>
      </c>
      <c r="G215" s="650" t="s">
        <v>1052</v>
      </c>
      <c r="H215" s="650" t="s">
        <v>1053</v>
      </c>
    </row>
    <row r="216" spans="1:8" ht="14.25" customHeight="1">
      <c r="A216" s="689" t="s">
        <v>1993</v>
      </c>
      <c r="B216" s="678" t="s">
        <v>1994</v>
      </c>
      <c r="C216" s="679" t="s">
        <v>1321</v>
      </c>
      <c r="D216" s="679" t="s">
        <v>57</v>
      </c>
      <c r="G216" s="650" t="s">
        <v>1054</v>
      </c>
      <c r="H216" s="650" t="s">
        <v>1055</v>
      </c>
    </row>
    <row r="217" spans="1:8" ht="14.25" customHeight="1">
      <c r="A217" s="689" t="s">
        <v>1995</v>
      </c>
      <c r="B217" s="678" t="s">
        <v>1996</v>
      </c>
      <c r="C217" s="679" t="s">
        <v>1321</v>
      </c>
      <c r="D217" s="679" t="s">
        <v>57</v>
      </c>
      <c r="G217" s="650" t="s">
        <v>1056</v>
      </c>
      <c r="H217" s="650" t="s">
        <v>1057</v>
      </c>
    </row>
    <row r="218" spans="1:8" ht="14.25" customHeight="1">
      <c r="A218" s="689" t="s">
        <v>1997</v>
      </c>
      <c r="B218" s="678" t="s">
        <v>1998</v>
      </c>
      <c r="C218" s="679" t="s">
        <v>1321</v>
      </c>
      <c r="D218" s="679" t="s">
        <v>28</v>
      </c>
      <c r="G218" s="650" t="s">
        <v>1058</v>
      </c>
      <c r="H218" s="650" t="s">
        <v>1059</v>
      </c>
    </row>
    <row r="219" spans="1:8" ht="14.25" customHeight="1">
      <c r="A219" s="678" t="s">
        <v>1999</v>
      </c>
      <c r="B219" s="678" t="s">
        <v>2000</v>
      </c>
      <c r="C219" s="679" t="s">
        <v>1321</v>
      </c>
      <c r="D219" s="679" t="s">
        <v>55</v>
      </c>
      <c r="G219" s="650" t="s">
        <v>1060</v>
      </c>
      <c r="H219" s="650" t="s">
        <v>1061</v>
      </c>
    </row>
    <row r="220" spans="1:8" ht="14.25" customHeight="1">
      <c r="A220" s="689" t="s">
        <v>2001</v>
      </c>
      <c r="B220" s="678" t="s">
        <v>2002</v>
      </c>
      <c r="C220" s="679" t="s">
        <v>1321</v>
      </c>
      <c r="D220" s="679" t="s">
        <v>55</v>
      </c>
      <c r="G220" s="650" t="s">
        <v>1062</v>
      </c>
      <c r="H220" s="650" t="s">
        <v>1063</v>
      </c>
    </row>
    <row r="221" spans="1:8" ht="14.25" customHeight="1">
      <c r="A221" s="689" t="s">
        <v>2003</v>
      </c>
      <c r="B221" s="678" t="s">
        <v>2004</v>
      </c>
      <c r="C221" s="679" t="s">
        <v>1321</v>
      </c>
      <c r="D221" s="679" t="s">
        <v>55</v>
      </c>
      <c r="G221" s="650" t="s">
        <v>1064</v>
      </c>
      <c r="H221" s="650" t="s">
        <v>1065</v>
      </c>
    </row>
    <row r="222" spans="1:8" ht="14.25" customHeight="1">
      <c r="A222" s="689" t="s">
        <v>2005</v>
      </c>
      <c r="B222" s="678" t="s">
        <v>2006</v>
      </c>
      <c r="C222" s="679" t="s">
        <v>1321</v>
      </c>
      <c r="D222" s="679" t="s">
        <v>55</v>
      </c>
      <c r="G222" s="650" t="s">
        <v>1066</v>
      </c>
      <c r="H222" s="650" t="s">
        <v>1067</v>
      </c>
    </row>
    <row r="223" spans="1:8" ht="14.25" customHeight="1">
      <c r="A223" s="689" t="s">
        <v>2007</v>
      </c>
      <c r="B223" s="678" t="s">
        <v>936</v>
      </c>
      <c r="C223" s="679" t="s">
        <v>1321</v>
      </c>
      <c r="D223" s="679" t="s">
        <v>55</v>
      </c>
      <c r="G223" s="650" t="s">
        <v>1068</v>
      </c>
      <c r="H223" s="650" t="s">
        <v>1069</v>
      </c>
    </row>
    <row r="224" spans="1:8" ht="14.25" customHeight="1">
      <c r="A224" s="689" t="s">
        <v>2008</v>
      </c>
      <c r="B224" s="678" t="s">
        <v>2009</v>
      </c>
      <c r="C224" s="679" t="s">
        <v>1321</v>
      </c>
      <c r="D224" s="679" t="s">
        <v>39</v>
      </c>
      <c r="G224" s="650" t="s">
        <v>1070</v>
      </c>
      <c r="H224" s="650" t="s">
        <v>1071</v>
      </c>
    </row>
    <row r="225" spans="1:8" ht="14.25" customHeight="1">
      <c r="A225" s="689" t="s">
        <v>2010</v>
      </c>
      <c r="B225" s="678" t="s">
        <v>2011</v>
      </c>
      <c r="C225" s="679" t="s">
        <v>1321</v>
      </c>
      <c r="D225" s="679" t="s">
        <v>53</v>
      </c>
      <c r="G225" s="650" t="s">
        <v>1072</v>
      </c>
      <c r="H225" s="650" t="s">
        <v>1073</v>
      </c>
    </row>
    <row r="226" spans="1:8" ht="14.25" customHeight="1">
      <c r="A226" s="689" t="s">
        <v>2012</v>
      </c>
      <c r="B226" s="678" t="s">
        <v>2013</v>
      </c>
      <c r="C226" s="679" t="s">
        <v>1321</v>
      </c>
      <c r="D226" s="679" t="s">
        <v>53</v>
      </c>
      <c r="G226" s="650" t="s">
        <v>1074</v>
      </c>
      <c r="H226" s="650" t="s">
        <v>1075</v>
      </c>
    </row>
    <row r="227" spans="1:8" ht="14.25" customHeight="1">
      <c r="A227" s="689" t="s">
        <v>2014</v>
      </c>
      <c r="B227" s="678" t="s">
        <v>2015</v>
      </c>
      <c r="C227" s="679" t="s">
        <v>1321</v>
      </c>
      <c r="D227" s="679" t="s">
        <v>53</v>
      </c>
      <c r="G227" s="650" t="s">
        <v>1066</v>
      </c>
      <c r="H227" s="650" t="s">
        <v>1076</v>
      </c>
    </row>
    <row r="228" spans="1:8" ht="14.25" customHeight="1">
      <c r="A228" s="689" t="s">
        <v>2016</v>
      </c>
      <c r="B228" s="678" t="s">
        <v>2017</v>
      </c>
      <c r="C228" s="679" t="s">
        <v>1321</v>
      </c>
      <c r="D228" s="679" t="s">
        <v>53</v>
      </c>
      <c r="G228" s="650" t="s">
        <v>1077</v>
      </c>
      <c r="H228" s="650" t="s">
        <v>1142</v>
      </c>
    </row>
    <row r="229" spans="1:8" ht="14.25" customHeight="1">
      <c r="A229" s="678" t="s">
        <v>2018</v>
      </c>
      <c r="B229" s="678" t="s">
        <v>2019</v>
      </c>
      <c r="C229" s="679" t="s">
        <v>1321</v>
      </c>
      <c r="D229" s="679" t="s">
        <v>53</v>
      </c>
      <c r="G229" s="650" t="s">
        <v>1079</v>
      </c>
      <c r="H229" s="650" t="s">
        <v>1080</v>
      </c>
    </row>
    <row r="230" spans="1:8" ht="14.25" customHeight="1">
      <c r="A230" s="678" t="s">
        <v>2020</v>
      </c>
      <c r="B230" s="678" t="s">
        <v>2021</v>
      </c>
      <c r="C230" s="679" t="s">
        <v>1321</v>
      </c>
      <c r="D230" s="679" t="s">
        <v>71</v>
      </c>
      <c r="G230" s="650" t="s">
        <v>1077</v>
      </c>
      <c r="H230" s="650" t="s">
        <v>2022</v>
      </c>
    </row>
    <row r="231" spans="1:8" ht="14.25" customHeight="1">
      <c r="A231" s="689" t="s">
        <v>2023</v>
      </c>
      <c r="B231" s="678" t="s">
        <v>954</v>
      </c>
      <c r="C231" s="679" t="s">
        <v>1321</v>
      </c>
      <c r="D231" s="679" t="s">
        <v>57</v>
      </c>
      <c r="G231" s="650" t="s">
        <v>1428</v>
      </c>
      <c r="H231" s="650" t="s">
        <v>1427</v>
      </c>
    </row>
    <row r="232" spans="1:8" ht="14.25" customHeight="1">
      <c r="A232" s="689" t="s">
        <v>2024</v>
      </c>
      <c r="B232" s="678" t="s">
        <v>2025</v>
      </c>
      <c r="C232" s="679" t="s">
        <v>1321</v>
      </c>
      <c r="D232" s="679" t="s">
        <v>84</v>
      </c>
      <c r="G232" s="650" t="s">
        <v>1085</v>
      </c>
      <c r="H232" s="650" t="s">
        <v>1086</v>
      </c>
    </row>
    <row r="233" spans="1:8" ht="14.25" customHeight="1">
      <c r="A233" s="689" t="s">
        <v>2026</v>
      </c>
      <c r="B233" s="678" t="s">
        <v>2027</v>
      </c>
      <c r="C233" s="679" t="s">
        <v>1321</v>
      </c>
      <c r="D233" s="679" t="s">
        <v>86</v>
      </c>
      <c r="G233" s="650" t="s">
        <v>1087</v>
      </c>
      <c r="H233" s="650" t="s">
        <v>1088</v>
      </c>
    </row>
    <row r="234" spans="1:8" ht="14.25" customHeight="1">
      <c r="A234" s="690" t="s">
        <v>2028</v>
      </c>
      <c r="B234" s="685" t="s">
        <v>2029</v>
      </c>
      <c r="C234" s="679" t="s">
        <v>92</v>
      </c>
      <c r="D234" s="679" t="s">
        <v>97</v>
      </c>
      <c r="G234" s="650" t="s">
        <v>1089</v>
      </c>
      <c r="H234" s="650" t="s">
        <v>1090</v>
      </c>
    </row>
    <row r="235" spans="1:8" ht="14.25" customHeight="1">
      <c r="A235" s="690" t="s">
        <v>2030</v>
      </c>
      <c r="B235" s="685" t="s">
        <v>2031</v>
      </c>
      <c r="C235" s="679" t="s">
        <v>92</v>
      </c>
      <c r="D235" s="679" t="s">
        <v>97</v>
      </c>
      <c r="G235" s="650" t="s">
        <v>1091</v>
      </c>
      <c r="H235" s="650" t="s">
        <v>1092</v>
      </c>
    </row>
    <row r="236" spans="1:8" ht="14.25" customHeight="1">
      <c r="A236" s="685" t="s">
        <v>2032</v>
      </c>
      <c r="B236" s="685" t="s">
        <v>2033</v>
      </c>
      <c r="C236" s="679" t="s">
        <v>92</v>
      </c>
      <c r="D236" s="679" t="s">
        <v>97</v>
      </c>
      <c r="G236" s="650" t="s">
        <v>1093</v>
      </c>
      <c r="H236" s="650" t="s">
        <v>1094</v>
      </c>
    </row>
    <row r="237" spans="1:8" ht="14.25" customHeight="1">
      <c r="A237" s="690" t="s">
        <v>2034</v>
      </c>
      <c r="B237" s="685" t="s">
        <v>2035</v>
      </c>
      <c r="C237" s="679" t="s">
        <v>92</v>
      </c>
      <c r="D237" s="679" t="s">
        <v>97</v>
      </c>
      <c r="G237" s="650" t="s">
        <v>1095</v>
      </c>
      <c r="H237" s="650" t="s">
        <v>1096</v>
      </c>
    </row>
    <row r="238" spans="1:8" ht="14.25" customHeight="1">
      <c r="A238" s="690" t="s">
        <v>2036</v>
      </c>
      <c r="B238" s="685" t="s">
        <v>2037</v>
      </c>
      <c r="C238" s="679" t="s">
        <v>92</v>
      </c>
      <c r="D238" s="679" t="s">
        <v>97</v>
      </c>
      <c r="G238" s="650" t="s">
        <v>1097</v>
      </c>
      <c r="H238" s="650" t="s">
        <v>1098</v>
      </c>
    </row>
    <row r="239" spans="1:8" ht="14.25" customHeight="1">
      <c r="A239" s="690" t="s">
        <v>2038</v>
      </c>
      <c r="B239" s="685" t="s">
        <v>2039</v>
      </c>
      <c r="C239" s="679" t="s">
        <v>92</v>
      </c>
      <c r="D239" s="679" t="s">
        <v>97</v>
      </c>
      <c r="G239" s="650" t="s">
        <v>1099</v>
      </c>
      <c r="H239" s="650" t="s">
        <v>1100</v>
      </c>
    </row>
    <row r="240" spans="1:8" ht="14.25" customHeight="1">
      <c r="A240" s="690" t="s">
        <v>2040</v>
      </c>
      <c r="B240" s="685" t="s">
        <v>2041</v>
      </c>
      <c r="C240" s="679" t="s">
        <v>92</v>
      </c>
      <c r="D240" s="679" t="s">
        <v>97</v>
      </c>
      <c r="G240" s="650" t="s">
        <v>1101</v>
      </c>
      <c r="H240" s="650" t="s">
        <v>1102</v>
      </c>
    </row>
    <row r="241" spans="1:8" ht="14.25" customHeight="1">
      <c r="A241" s="690" t="s">
        <v>2042</v>
      </c>
      <c r="B241" s="685" t="s">
        <v>2043</v>
      </c>
      <c r="C241" s="679" t="s">
        <v>92</v>
      </c>
      <c r="D241" s="679" t="s">
        <v>97</v>
      </c>
      <c r="G241" s="650" t="s">
        <v>1103</v>
      </c>
      <c r="H241" s="650" t="s">
        <v>1104</v>
      </c>
    </row>
    <row r="242" spans="1:8" ht="14.25" customHeight="1">
      <c r="A242" s="677" t="s">
        <v>2044</v>
      </c>
      <c r="B242" s="685" t="s">
        <v>2045</v>
      </c>
      <c r="C242" s="679" t="s">
        <v>92</v>
      </c>
      <c r="D242" s="679" t="s">
        <v>98</v>
      </c>
      <c r="G242" s="650" t="s">
        <v>1105</v>
      </c>
      <c r="H242" s="650" t="s">
        <v>1106</v>
      </c>
    </row>
    <row r="243" spans="1:8" ht="14.25" customHeight="1">
      <c r="A243" s="690" t="s">
        <v>2046</v>
      </c>
      <c r="B243" s="685" t="s">
        <v>2047</v>
      </c>
      <c r="C243" s="679" t="s">
        <v>92</v>
      </c>
      <c r="D243" s="679" t="s">
        <v>97</v>
      </c>
      <c r="G243" s="650" t="s">
        <v>1105</v>
      </c>
      <c r="H243" s="650" t="s">
        <v>1107</v>
      </c>
    </row>
    <row r="244" spans="1:8" ht="14.25" customHeight="1">
      <c r="A244" s="690" t="s">
        <v>2048</v>
      </c>
      <c r="B244" s="685" t="s">
        <v>2049</v>
      </c>
      <c r="C244" s="679" t="s">
        <v>92</v>
      </c>
      <c r="D244" s="679" t="s">
        <v>97</v>
      </c>
      <c r="G244" s="650" t="s">
        <v>1108</v>
      </c>
      <c r="H244" s="650" t="s">
        <v>2050</v>
      </c>
    </row>
    <row r="245" spans="1:8" ht="14.25" customHeight="1">
      <c r="A245" s="690" t="s">
        <v>2051</v>
      </c>
      <c r="B245" s="685" t="s">
        <v>2052</v>
      </c>
      <c r="C245" s="679" t="s">
        <v>92</v>
      </c>
      <c r="D245" s="679" t="s">
        <v>97</v>
      </c>
      <c r="G245" s="650" t="s">
        <v>724</v>
      </c>
      <c r="H245" s="650" t="s">
        <v>785</v>
      </c>
    </row>
    <row r="246" spans="1:8" ht="14.25" customHeight="1">
      <c r="A246" s="690" t="s">
        <v>2053</v>
      </c>
      <c r="B246" s="685" t="s">
        <v>2054</v>
      </c>
      <c r="C246" s="679" t="s">
        <v>92</v>
      </c>
      <c r="D246" s="679" t="s">
        <v>97</v>
      </c>
      <c r="G246" s="650" t="s">
        <v>784</v>
      </c>
      <c r="H246" s="650" t="s">
        <v>2055</v>
      </c>
    </row>
    <row r="247" spans="1:8" ht="14.25" customHeight="1">
      <c r="A247" s="685" t="s">
        <v>2056</v>
      </c>
      <c r="B247" s="685" t="s">
        <v>2057</v>
      </c>
      <c r="C247" s="679" t="s">
        <v>92</v>
      </c>
      <c r="D247" s="679" t="s">
        <v>97</v>
      </c>
      <c r="G247" s="650" t="s">
        <v>1109</v>
      </c>
      <c r="H247" s="650" t="s">
        <v>2058</v>
      </c>
    </row>
    <row r="248" spans="1:8" ht="14.25" customHeight="1">
      <c r="A248" s="690" t="s">
        <v>2059</v>
      </c>
      <c r="B248" s="685" t="s">
        <v>2060</v>
      </c>
      <c r="C248" s="679" t="s">
        <v>92</v>
      </c>
      <c r="D248" s="679" t="s">
        <v>97</v>
      </c>
      <c r="G248" s="650" t="s">
        <v>1380</v>
      </c>
      <c r="H248" s="650" t="s">
        <v>2061</v>
      </c>
    </row>
    <row r="249" spans="1:8" ht="14.25" customHeight="1">
      <c r="A249" s="689" t="s">
        <v>2062</v>
      </c>
      <c r="B249" s="678" t="s">
        <v>2063</v>
      </c>
      <c r="C249" s="679" t="s">
        <v>92</v>
      </c>
      <c r="D249" s="679" t="s">
        <v>97</v>
      </c>
      <c r="G249" s="650" t="s">
        <v>1381</v>
      </c>
      <c r="H249" s="650" t="s">
        <v>2064</v>
      </c>
    </row>
    <row r="250" spans="1:8" ht="14.25" customHeight="1">
      <c r="A250" s="690" t="s">
        <v>2065</v>
      </c>
      <c r="B250" s="685" t="s">
        <v>2066</v>
      </c>
      <c r="C250" s="679" t="s">
        <v>92</v>
      </c>
      <c r="D250" s="679" t="s">
        <v>98</v>
      </c>
      <c r="G250" s="650" t="s">
        <v>1382</v>
      </c>
      <c r="H250" s="650" t="s">
        <v>2067</v>
      </c>
    </row>
    <row r="251" spans="1:8" ht="14.25" customHeight="1">
      <c r="A251" s="689" t="s">
        <v>2068</v>
      </c>
      <c r="B251" s="678" t="s">
        <v>2069</v>
      </c>
      <c r="C251" s="679" t="s">
        <v>92</v>
      </c>
      <c r="D251" s="679" t="s">
        <v>98</v>
      </c>
      <c r="G251" s="650" t="s">
        <v>1111</v>
      </c>
      <c r="H251" s="650" t="s">
        <v>2070</v>
      </c>
    </row>
    <row r="252" spans="1:8" ht="14.25" customHeight="1">
      <c r="A252" s="690" t="s">
        <v>2071</v>
      </c>
      <c r="B252" s="685" t="s">
        <v>2072</v>
      </c>
      <c r="C252" s="679" t="s">
        <v>92</v>
      </c>
      <c r="D252" s="679" t="s">
        <v>98</v>
      </c>
      <c r="G252" s="650" t="s">
        <v>786</v>
      </c>
      <c r="H252" s="650" t="s">
        <v>1113</v>
      </c>
    </row>
    <row r="253" spans="1:8" ht="14.25" customHeight="1">
      <c r="A253" s="718" t="s">
        <v>2073</v>
      </c>
      <c r="B253" s="719" t="s">
        <v>2074</v>
      </c>
      <c r="C253" s="679" t="s">
        <v>92</v>
      </c>
      <c r="D253" s="679" t="s">
        <v>98</v>
      </c>
      <c r="G253" s="650" t="s">
        <v>1383</v>
      </c>
      <c r="H253" s="650" t="s">
        <v>2075</v>
      </c>
    </row>
    <row r="254" spans="1:8" ht="14.25" customHeight="1">
      <c r="A254" s="720" t="s">
        <v>2076</v>
      </c>
      <c r="B254" s="685" t="s">
        <v>2077</v>
      </c>
      <c r="C254" s="679" t="s">
        <v>92</v>
      </c>
      <c r="D254" s="679" t="s">
        <v>97</v>
      </c>
      <c r="G254" s="650" t="s">
        <v>1384</v>
      </c>
      <c r="H254" s="650" t="s">
        <v>2078</v>
      </c>
    </row>
    <row r="255" spans="1:8" ht="14.25" customHeight="1">
      <c r="A255" s="718" t="s">
        <v>2079</v>
      </c>
      <c r="B255" s="678" t="s">
        <v>2080</v>
      </c>
      <c r="C255" s="679" t="s">
        <v>92</v>
      </c>
      <c r="D255" s="679" t="s">
        <v>97</v>
      </c>
      <c r="G255" s="650" t="s">
        <v>1385</v>
      </c>
      <c r="H255" s="650" t="s">
        <v>2081</v>
      </c>
    </row>
    <row r="256" spans="1:8" ht="14.25" customHeight="1">
      <c r="A256" s="720" t="s">
        <v>2082</v>
      </c>
      <c r="B256" s="685" t="s">
        <v>2083</v>
      </c>
      <c r="C256" s="679" t="s">
        <v>92</v>
      </c>
      <c r="D256" s="679" t="s">
        <v>98</v>
      </c>
      <c r="G256" s="650" t="s">
        <v>1114</v>
      </c>
      <c r="H256" s="650" t="s">
        <v>2084</v>
      </c>
    </row>
    <row r="257" spans="1:8" ht="14.25" customHeight="1">
      <c r="A257" s="718" t="s">
        <v>2085</v>
      </c>
      <c r="B257" s="719" t="s">
        <v>2086</v>
      </c>
      <c r="C257" s="679" t="s">
        <v>92</v>
      </c>
      <c r="D257" s="679" t="s">
        <v>98</v>
      </c>
      <c r="G257" s="650" t="s">
        <v>787</v>
      </c>
      <c r="H257" s="650" t="s">
        <v>2087</v>
      </c>
    </row>
    <row r="258" spans="1:8" ht="14.25" customHeight="1">
      <c r="A258" s="721" t="s">
        <v>2088</v>
      </c>
      <c r="B258" s="678" t="s">
        <v>2089</v>
      </c>
      <c r="C258" s="679" t="s">
        <v>92</v>
      </c>
      <c r="D258" s="679" t="s">
        <v>98</v>
      </c>
      <c r="G258" s="650" t="s">
        <v>1116</v>
      </c>
      <c r="H258" s="650" t="s">
        <v>2090</v>
      </c>
    </row>
    <row r="259" spans="1:8" ht="14.25" customHeight="1">
      <c r="A259" s="689" t="s">
        <v>2091</v>
      </c>
      <c r="B259" s="678" t="s">
        <v>2092</v>
      </c>
      <c r="C259" s="679" t="s">
        <v>92</v>
      </c>
      <c r="D259" s="679" t="s">
        <v>98</v>
      </c>
      <c r="G259" s="650" t="s">
        <v>1117</v>
      </c>
      <c r="H259" s="650" t="s">
        <v>2093</v>
      </c>
    </row>
    <row r="260" spans="1:8" ht="14.25" customHeight="1">
      <c r="A260" s="690" t="s">
        <v>2094</v>
      </c>
      <c r="B260" s="685" t="s">
        <v>2095</v>
      </c>
      <c r="C260" s="679" t="s">
        <v>92</v>
      </c>
      <c r="D260" s="679" t="s">
        <v>97</v>
      </c>
      <c r="G260" s="650" t="s">
        <v>1386</v>
      </c>
      <c r="H260" s="650" t="s">
        <v>2096</v>
      </c>
    </row>
    <row r="261" spans="1:8" ht="14.25" customHeight="1">
      <c r="A261" s="689" t="s">
        <v>2097</v>
      </c>
      <c r="B261" s="678" t="s">
        <v>2098</v>
      </c>
      <c r="C261" s="679" t="s">
        <v>92</v>
      </c>
      <c r="D261" s="679" t="s">
        <v>97</v>
      </c>
      <c r="G261" s="650" t="s">
        <v>1118</v>
      </c>
      <c r="H261" s="650" t="s">
        <v>2099</v>
      </c>
    </row>
    <row r="262" spans="1:8" ht="14.25" customHeight="1">
      <c r="A262" s="690" t="s">
        <v>2100</v>
      </c>
      <c r="B262" s="685" t="s">
        <v>2101</v>
      </c>
      <c r="C262" s="679" t="s">
        <v>92</v>
      </c>
      <c r="D262" s="679" t="s">
        <v>97</v>
      </c>
      <c r="G262" s="650" t="s">
        <v>1118</v>
      </c>
      <c r="H262" s="650" t="s">
        <v>2102</v>
      </c>
    </row>
    <row r="263" spans="1:8" ht="14.25" customHeight="1">
      <c r="A263" s="689" t="s">
        <v>2103</v>
      </c>
      <c r="B263" s="678" t="s">
        <v>2104</v>
      </c>
      <c r="C263" s="679" t="s">
        <v>92</v>
      </c>
      <c r="D263" s="679" t="s">
        <v>97</v>
      </c>
      <c r="G263" s="650" t="s">
        <v>788</v>
      </c>
      <c r="H263" s="650" t="s">
        <v>1120</v>
      </c>
    </row>
    <row r="264" spans="1:8" ht="14.25" customHeight="1">
      <c r="A264" s="690" t="s">
        <v>2105</v>
      </c>
      <c r="B264" s="685" t="s">
        <v>2106</v>
      </c>
      <c r="C264" s="679" t="s">
        <v>92</v>
      </c>
      <c r="D264" s="679" t="s">
        <v>97</v>
      </c>
      <c r="G264" s="650" t="s">
        <v>1335</v>
      </c>
      <c r="H264" s="650" t="s">
        <v>2107</v>
      </c>
    </row>
    <row r="265" spans="1:8" ht="14.25" customHeight="1">
      <c r="A265" s="689" t="s">
        <v>2108</v>
      </c>
      <c r="B265" s="678" t="s">
        <v>2109</v>
      </c>
      <c r="C265" s="679" t="s">
        <v>92</v>
      </c>
      <c r="D265" s="679" t="s">
        <v>97</v>
      </c>
      <c r="G265" s="650" t="s">
        <v>789</v>
      </c>
      <c r="H265" s="650" t="s">
        <v>2110</v>
      </c>
    </row>
    <row r="266" spans="1:8" ht="14.25" customHeight="1">
      <c r="A266" s="690" t="s">
        <v>2111</v>
      </c>
      <c r="B266" s="685" t="s">
        <v>2112</v>
      </c>
      <c r="C266" s="679" t="s">
        <v>92</v>
      </c>
      <c r="D266" s="679" t="s">
        <v>97</v>
      </c>
      <c r="G266" s="650" t="s">
        <v>1121</v>
      </c>
      <c r="H266" s="650" t="s">
        <v>2113</v>
      </c>
    </row>
    <row r="267" spans="1:8" ht="14.25" customHeight="1">
      <c r="A267" s="689" t="s">
        <v>2114</v>
      </c>
      <c r="B267" s="678" t="s">
        <v>2115</v>
      </c>
      <c r="C267" s="679" t="s">
        <v>92</v>
      </c>
      <c r="D267" s="679" t="s">
        <v>97</v>
      </c>
      <c r="G267" s="650" t="s">
        <v>1122</v>
      </c>
      <c r="H267" s="650" t="s">
        <v>2116</v>
      </c>
    </row>
    <row r="268" spans="1:8" ht="14.25" customHeight="1">
      <c r="A268" s="690" t="s">
        <v>2117</v>
      </c>
      <c r="B268" s="685" t="s">
        <v>2118</v>
      </c>
      <c r="C268" s="679" t="s">
        <v>92</v>
      </c>
      <c r="D268" s="679" t="s">
        <v>97</v>
      </c>
      <c r="G268" s="650" t="s">
        <v>790</v>
      </c>
      <c r="H268" s="650" t="s">
        <v>2119</v>
      </c>
    </row>
    <row r="269" spans="1:8" ht="14.25" customHeight="1">
      <c r="A269" s="690" t="s">
        <v>2120</v>
      </c>
      <c r="B269" s="685" t="s">
        <v>2121</v>
      </c>
      <c r="C269" s="679" t="s">
        <v>92</v>
      </c>
      <c r="D269" s="679" t="s">
        <v>97</v>
      </c>
      <c r="G269" s="650" t="s">
        <v>1123</v>
      </c>
      <c r="H269" s="650" t="s">
        <v>2122</v>
      </c>
    </row>
    <row r="270" spans="1:8" ht="14.25" customHeight="1">
      <c r="A270" s="689" t="s">
        <v>2123</v>
      </c>
      <c r="B270" s="678" t="s">
        <v>2124</v>
      </c>
      <c r="C270" s="679" t="s">
        <v>92</v>
      </c>
      <c r="D270" s="679" t="s">
        <v>97</v>
      </c>
      <c r="G270" s="650" t="s">
        <v>1124</v>
      </c>
      <c r="H270" s="650" t="s">
        <v>2125</v>
      </c>
    </row>
    <row r="271" spans="1:8" ht="14.25" customHeight="1">
      <c r="A271" s="690" t="s">
        <v>2126</v>
      </c>
      <c r="B271" s="685" t="s">
        <v>2127</v>
      </c>
      <c r="C271" s="679" t="s">
        <v>92</v>
      </c>
      <c r="D271" s="679" t="s">
        <v>97</v>
      </c>
      <c r="G271" s="650" t="s">
        <v>791</v>
      </c>
      <c r="H271" s="650" t="s">
        <v>2128</v>
      </c>
    </row>
    <row r="272" spans="1:8" ht="14.25" customHeight="1">
      <c r="A272" s="690" t="s">
        <v>2129</v>
      </c>
      <c r="B272" s="685" t="s">
        <v>2130</v>
      </c>
      <c r="C272" s="679" t="s">
        <v>92</v>
      </c>
      <c r="D272" s="679" t="s">
        <v>97</v>
      </c>
      <c r="G272" s="650" t="s">
        <v>792</v>
      </c>
      <c r="H272" s="650" t="s">
        <v>2131</v>
      </c>
    </row>
    <row r="273" spans="1:8" ht="14.25" customHeight="1">
      <c r="A273" s="685" t="s">
        <v>2132</v>
      </c>
      <c r="B273" s="685" t="s">
        <v>2033</v>
      </c>
      <c r="C273" s="679" t="s">
        <v>92</v>
      </c>
      <c r="D273" s="679" t="s">
        <v>97</v>
      </c>
      <c r="G273" s="650" t="s">
        <v>793</v>
      </c>
      <c r="H273" s="650" t="s">
        <v>2133</v>
      </c>
    </row>
    <row r="274" spans="1:8" ht="14.25" customHeight="1">
      <c r="A274" s="689" t="s">
        <v>2134</v>
      </c>
      <c r="B274" s="678" t="s">
        <v>2135</v>
      </c>
      <c r="C274" s="679" t="s">
        <v>92</v>
      </c>
      <c r="D274" s="679" t="s">
        <v>97</v>
      </c>
      <c r="G274" s="650" t="s">
        <v>1014</v>
      </c>
      <c r="H274" s="650" t="s">
        <v>2136</v>
      </c>
    </row>
    <row r="275" spans="1:8" ht="14.25" customHeight="1">
      <c r="A275" s="685" t="s">
        <v>2137</v>
      </c>
      <c r="B275" s="685" t="s">
        <v>2138</v>
      </c>
      <c r="C275" s="679" t="s">
        <v>92</v>
      </c>
      <c r="D275" s="679" t="s">
        <v>97</v>
      </c>
      <c r="G275" s="650" t="s">
        <v>1125</v>
      </c>
      <c r="H275" s="650" t="s">
        <v>2139</v>
      </c>
    </row>
    <row r="276" spans="1:8" ht="14.25" customHeight="1">
      <c r="A276" s="690" t="s">
        <v>2140</v>
      </c>
      <c r="B276" s="685" t="s">
        <v>2141</v>
      </c>
      <c r="C276" s="679" t="s">
        <v>92</v>
      </c>
      <c r="D276" s="679" t="s">
        <v>97</v>
      </c>
      <c r="G276" s="650" t="s">
        <v>1018</v>
      </c>
      <c r="H276" s="650" t="s">
        <v>2142</v>
      </c>
    </row>
    <row r="277" spans="1:8" ht="14.25" customHeight="1">
      <c r="A277" s="689" t="s">
        <v>2143</v>
      </c>
      <c r="B277" s="678" t="s">
        <v>2144</v>
      </c>
      <c r="C277" s="679" t="s">
        <v>92</v>
      </c>
      <c r="D277" s="679" t="s">
        <v>97</v>
      </c>
      <c r="G277" s="650" t="s">
        <v>1126</v>
      </c>
      <c r="H277" s="650" t="s">
        <v>2145</v>
      </c>
    </row>
    <row r="278" spans="1:8" ht="14.25" customHeight="1">
      <c r="A278" s="690" t="s">
        <v>2146</v>
      </c>
      <c r="B278" s="685" t="s">
        <v>2147</v>
      </c>
      <c r="C278" s="679" t="s">
        <v>92</v>
      </c>
      <c r="D278" s="679" t="s">
        <v>97</v>
      </c>
      <c r="G278" s="650" t="s">
        <v>1127</v>
      </c>
      <c r="H278" s="650" t="s">
        <v>2148</v>
      </c>
    </row>
    <row r="279" spans="1:8" ht="14.25" customHeight="1">
      <c r="A279" s="677" t="s">
        <v>2149</v>
      </c>
      <c r="B279" s="685" t="s">
        <v>2150</v>
      </c>
      <c r="C279" s="679" t="s">
        <v>92</v>
      </c>
      <c r="D279" s="679" t="s">
        <v>98</v>
      </c>
      <c r="G279" s="650" t="s">
        <v>1128</v>
      </c>
      <c r="H279" s="650" t="s">
        <v>2151</v>
      </c>
    </row>
    <row r="280" spans="1:8" ht="14.25" customHeight="1">
      <c r="A280" s="690" t="s">
        <v>2152</v>
      </c>
      <c r="B280" s="685" t="s">
        <v>2153</v>
      </c>
      <c r="C280" s="679" t="s">
        <v>92</v>
      </c>
      <c r="D280" s="679" t="s">
        <v>97</v>
      </c>
      <c r="G280" s="650" t="s">
        <v>1129</v>
      </c>
      <c r="H280" s="650" t="s">
        <v>2154</v>
      </c>
    </row>
    <row r="281" spans="1:8" ht="14.25" customHeight="1">
      <c r="A281" s="690" t="s">
        <v>2155</v>
      </c>
      <c r="B281" s="685" t="s">
        <v>2156</v>
      </c>
      <c r="C281" s="679" t="s">
        <v>92</v>
      </c>
      <c r="D281" s="679" t="s">
        <v>97</v>
      </c>
      <c r="G281" s="650" t="s">
        <v>794</v>
      </c>
      <c r="H281" s="650" t="s">
        <v>2157</v>
      </c>
    </row>
    <row r="282" spans="1:8" ht="14.25" customHeight="1">
      <c r="A282" s="690" t="s">
        <v>2158</v>
      </c>
      <c r="B282" s="685" t="s">
        <v>2159</v>
      </c>
      <c r="C282" s="679" t="s">
        <v>92</v>
      </c>
      <c r="D282" s="679" t="s">
        <v>97</v>
      </c>
      <c r="G282" s="650" t="s">
        <v>1130</v>
      </c>
      <c r="H282" s="650" t="s">
        <v>2160</v>
      </c>
    </row>
    <row r="283" spans="1:8" ht="14.25" customHeight="1">
      <c r="A283" s="689" t="s">
        <v>2161</v>
      </c>
      <c r="B283" s="678" t="s">
        <v>2162</v>
      </c>
      <c r="C283" s="679" t="s">
        <v>92</v>
      </c>
      <c r="D283" s="679" t="s">
        <v>97</v>
      </c>
      <c r="G283" s="650" t="s">
        <v>795</v>
      </c>
      <c r="H283" s="650" t="s">
        <v>2163</v>
      </c>
    </row>
    <row r="284" spans="1:8" ht="14.25" customHeight="1">
      <c r="A284" s="690" t="s">
        <v>2164</v>
      </c>
      <c r="B284" s="685" t="s">
        <v>2165</v>
      </c>
      <c r="C284" s="679" t="s">
        <v>92</v>
      </c>
      <c r="D284" s="679" t="s">
        <v>97</v>
      </c>
      <c r="G284" s="650" t="s">
        <v>1033</v>
      </c>
      <c r="H284" s="650" t="s">
        <v>2166</v>
      </c>
    </row>
    <row r="285" spans="1:8" ht="14.25" customHeight="1">
      <c r="A285" s="690" t="s">
        <v>2167</v>
      </c>
      <c r="B285" s="685" t="s">
        <v>2168</v>
      </c>
      <c r="C285" s="679" t="s">
        <v>92</v>
      </c>
      <c r="D285" s="679" t="s">
        <v>97</v>
      </c>
      <c r="G285" s="650" t="s">
        <v>1036</v>
      </c>
      <c r="H285" s="650" t="s">
        <v>2169</v>
      </c>
    </row>
    <row r="286" spans="1:8" ht="14.25" customHeight="1">
      <c r="A286" s="689" t="s">
        <v>2170</v>
      </c>
      <c r="B286" s="678" t="s">
        <v>2171</v>
      </c>
      <c r="C286" s="679" t="s">
        <v>92</v>
      </c>
      <c r="D286" s="679" t="s">
        <v>97</v>
      </c>
      <c r="G286" s="650" t="s">
        <v>1132</v>
      </c>
      <c r="H286" s="650" t="s">
        <v>2172</v>
      </c>
    </row>
    <row r="287" spans="1:8" ht="14.25" customHeight="1">
      <c r="A287" s="690" t="s">
        <v>2173</v>
      </c>
      <c r="B287" s="685" t="s">
        <v>2174</v>
      </c>
      <c r="C287" s="679" t="s">
        <v>92</v>
      </c>
      <c r="D287" s="679" t="s">
        <v>97</v>
      </c>
      <c r="G287" s="650" t="s">
        <v>1133</v>
      </c>
      <c r="H287" s="650" t="s">
        <v>2175</v>
      </c>
    </row>
    <row r="288" spans="1:8" ht="14.25" customHeight="1">
      <c r="A288" s="690" t="s">
        <v>2176</v>
      </c>
      <c r="B288" s="685" t="s">
        <v>2177</v>
      </c>
      <c r="C288" s="679" t="s">
        <v>92</v>
      </c>
      <c r="D288" s="679" t="s">
        <v>97</v>
      </c>
      <c r="G288" s="650" t="s">
        <v>796</v>
      </c>
      <c r="H288" s="650" t="s">
        <v>2178</v>
      </c>
    </row>
    <row r="289" spans="1:8" ht="14.25" customHeight="1">
      <c r="A289" s="689" t="s">
        <v>2179</v>
      </c>
      <c r="B289" s="678" t="s">
        <v>2180</v>
      </c>
      <c r="C289" s="679" t="s">
        <v>92</v>
      </c>
      <c r="D289" s="679" t="s">
        <v>97</v>
      </c>
      <c r="G289" s="650" t="s">
        <v>797</v>
      </c>
      <c r="H289" s="650" t="s">
        <v>2181</v>
      </c>
    </row>
    <row r="290" spans="1:8" ht="14.25" customHeight="1">
      <c r="A290" s="690" t="s">
        <v>2182</v>
      </c>
      <c r="B290" s="685" t="s">
        <v>2183</v>
      </c>
      <c r="C290" s="679" t="s">
        <v>92</v>
      </c>
      <c r="D290" s="679" t="s">
        <v>97</v>
      </c>
      <c r="G290" s="650" t="s">
        <v>1134</v>
      </c>
      <c r="H290" s="650" t="s">
        <v>2184</v>
      </c>
    </row>
    <row r="291" spans="1:8" ht="14.25" customHeight="1">
      <c r="A291" s="677" t="s">
        <v>2185</v>
      </c>
      <c r="B291" s="685" t="s">
        <v>2186</v>
      </c>
      <c r="C291" s="679" t="s">
        <v>92</v>
      </c>
      <c r="D291" s="679" t="s">
        <v>98</v>
      </c>
      <c r="G291" s="650" t="s">
        <v>1135</v>
      </c>
      <c r="H291" s="650" t="s">
        <v>2187</v>
      </c>
    </row>
    <row r="292" spans="1:8" ht="14.25" customHeight="1">
      <c r="A292" s="690" t="s">
        <v>2188</v>
      </c>
      <c r="B292" s="685" t="s">
        <v>2189</v>
      </c>
      <c r="C292" s="679" t="s">
        <v>92</v>
      </c>
      <c r="D292" s="679" t="s">
        <v>97</v>
      </c>
      <c r="G292" s="650" t="s">
        <v>1136</v>
      </c>
      <c r="H292" s="650" t="s">
        <v>2190</v>
      </c>
    </row>
    <row r="293" spans="1:8" ht="14.25" customHeight="1">
      <c r="A293" s="690" t="s">
        <v>2191</v>
      </c>
      <c r="B293" s="722" t="s">
        <v>2192</v>
      </c>
      <c r="C293" s="679" t="s">
        <v>92</v>
      </c>
      <c r="D293" s="679" t="s">
        <v>97</v>
      </c>
      <c r="G293" s="650" t="s">
        <v>1137</v>
      </c>
      <c r="H293" s="650" t="s">
        <v>2193</v>
      </c>
    </row>
    <row r="294" spans="1:8" ht="14.25" customHeight="1">
      <c r="A294" s="690" t="s">
        <v>2194</v>
      </c>
      <c r="B294" s="722" t="s">
        <v>2195</v>
      </c>
      <c r="C294" s="679" t="s">
        <v>92</v>
      </c>
      <c r="D294" s="679" t="s">
        <v>97</v>
      </c>
      <c r="G294" s="650" t="s">
        <v>1138</v>
      </c>
      <c r="H294" s="650" t="s">
        <v>2196</v>
      </c>
    </row>
    <row r="295" spans="1:8" ht="14.25" customHeight="1">
      <c r="A295" s="689" t="s">
        <v>2197</v>
      </c>
      <c r="B295" s="719" t="s">
        <v>2198</v>
      </c>
      <c r="C295" s="679" t="s">
        <v>92</v>
      </c>
      <c r="D295" s="679" t="s">
        <v>97</v>
      </c>
      <c r="G295" s="650" t="s">
        <v>1139</v>
      </c>
      <c r="H295" s="650" t="s">
        <v>2199</v>
      </c>
    </row>
    <row r="296" spans="1:8" ht="14.25" customHeight="1">
      <c r="A296" s="690" t="s">
        <v>2200</v>
      </c>
      <c r="B296" s="722" t="s">
        <v>2201</v>
      </c>
      <c r="C296" s="679" t="s">
        <v>92</v>
      </c>
      <c r="D296" s="679" t="s">
        <v>97</v>
      </c>
      <c r="G296" s="650" t="s">
        <v>1140</v>
      </c>
      <c r="H296" s="650" t="s">
        <v>2202</v>
      </c>
    </row>
    <row r="297" spans="1:8" ht="14.25" customHeight="1">
      <c r="A297" s="689" t="s">
        <v>2203</v>
      </c>
      <c r="B297" s="719" t="s">
        <v>2204</v>
      </c>
      <c r="C297" s="679" t="s">
        <v>92</v>
      </c>
      <c r="D297" s="679" t="s">
        <v>97</v>
      </c>
      <c r="G297" s="650" t="s">
        <v>1138</v>
      </c>
      <c r="H297" s="650" t="s">
        <v>2205</v>
      </c>
    </row>
    <row r="298" spans="1:8" ht="14.25" customHeight="1">
      <c r="A298" s="690" t="s">
        <v>2206</v>
      </c>
      <c r="B298" s="685" t="s">
        <v>2207</v>
      </c>
      <c r="C298" s="679" t="s">
        <v>92</v>
      </c>
      <c r="D298" s="679" t="s">
        <v>98</v>
      </c>
      <c r="G298" s="650" t="s">
        <v>1141</v>
      </c>
      <c r="H298" s="650" t="s">
        <v>2208</v>
      </c>
    </row>
    <row r="299" spans="1:8" ht="14.25" customHeight="1">
      <c r="A299" s="689" t="s">
        <v>2209</v>
      </c>
      <c r="B299" s="678" t="s">
        <v>2210</v>
      </c>
      <c r="C299" s="679" t="s">
        <v>92</v>
      </c>
      <c r="D299" s="679" t="s">
        <v>98</v>
      </c>
      <c r="G299" s="650" t="s">
        <v>1141</v>
      </c>
      <c r="H299" s="650" t="s">
        <v>2211</v>
      </c>
    </row>
    <row r="300" spans="1:8" ht="14.25" customHeight="1">
      <c r="A300" s="690" t="s">
        <v>2212</v>
      </c>
      <c r="B300" s="685" t="s">
        <v>2213</v>
      </c>
      <c r="C300" s="679" t="s">
        <v>92</v>
      </c>
      <c r="D300" s="679" t="s">
        <v>98</v>
      </c>
      <c r="G300" s="650" t="s">
        <v>1144</v>
      </c>
      <c r="H300" s="650" t="s">
        <v>2214</v>
      </c>
    </row>
    <row r="301" spans="1:8" ht="14.25" customHeight="1">
      <c r="A301" s="689" t="s">
        <v>2215</v>
      </c>
      <c r="B301" s="678" t="s">
        <v>2216</v>
      </c>
      <c r="C301" s="679" t="s">
        <v>92</v>
      </c>
      <c r="D301" s="679" t="s">
        <v>98</v>
      </c>
      <c r="G301" s="650" t="s">
        <v>1145</v>
      </c>
      <c r="H301" s="650" t="s">
        <v>2217</v>
      </c>
    </row>
    <row r="302" spans="1:8" ht="14.25" customHeight="1">
      <c r="A302" s="677" t="s">
        <v>2218</v>
      </c>
      <c r="B302" s="685" t="s">
        <v>2219</v>
      </c>
      <c r="C302" s="679" t="s">
        <v>92</v>
      </c>
      <c r="D302" s="679" t="s">
        <v>98</v>
      </c>
      <c r="G302" s="650" t="s">
        <v>1146</v>
      </c>
      <c r="H302" s="650" t="s">
        <v>2220</v>
      </c>
    </row>
    <row r="303" spans="1:8" ht="14.25" customHeight="1">
      <c r="A303" s="690" t="s">
        <v>2221</v>
      </c>
      <c r="B303" s="685" t="s">
        <v>2222</v>
      </c>
      <c r="C303" s="679" t="s">
        <v>92</v>
      </c>
      <c r="D303" s="679" t="s">
        <v>97</v>
      </c>
      <c r="G303" s="650" t="s">
        <v>1147</v>
      </c>
      <c r="H303" s="650" t="s">
        <v>2223</v>
      </c>
    </row>
    <row r="304" spans="1:8" ht="14.25" customHeight="1">
      <c r="A304" s="690" t="s">
        <v>2224</v>
      </c>
      <c r="B304" s="685" t="s">
        <v>2225</v>
      </c>
      <c r="C304" s="679" t="s">
        <v>92</v>
      </c>
      <c r="D304" s="679" t="s">
        <v>97</v>
      </c>
      <c r="G304" s="650" t="s">
        <v>1148</v>
      </c>
      <c r="H304" s="650" t="s">
        <v>2226</v>
      </c>
    </row>
    <row r="305" spans="1:8" ht="14.25" customHeight="1">
      <c r="A305" s="690" t="s">
        <v>2227</v>
      </c>
      <c r="B305" s="685" t="s">
        <v>2228</v>
      </c>
      <c r="C305" s="679" t="s">
        <v>92</v>
      </c>
      <c r="D305" s="679" t="s">
        <v>97</v>
      </c>
      <c r="G305" s="650" t="s">
        <v>1149</v>
      </c>
      <c r="H305" s="650" t="s">
        <v>2229</v>
      </c>
    </row>
    <row r="306" spans="1:8" ht="14.25" customHeight="1">
      <c r="A306" s="690" t="s">
        <v>2230</v>
      </c>
      <c r="B306" s="685" t="s">
        <v>2231</v>
      </c>
      <c r="C306" s="679" t="s">
        <v>92</v>
      </c>
      <c r="D306" s="679" t="s">
        <v>97</v>
      </c>
      <c r="G306" s="650" t="s">
        <v>1150</v>
      </c>
      <c r="H306" s="650" t="s">
        <v>2232</v>
      </c>
    </row>
    <row r="307" spans="1:8" ht="14.25" customHeight="1">
      <c r="A307" s="689" t="s">
        <v>2233</v>
      </c>
      <c r="B307" s="678" t="s">
        <v>2234</v>
      </c>
      <c r="C307" s="679" t="s">
        <v>92</v>
      </c>
      <c r="D307" s="679" t="s">
        <v>97</v>
      </c>
      <c r="G307" s="650" t="s">
        <v>1387</v>
      </c>
      <c r="H307" s="650" t="s">
        <v>1152</v>
      </c>
    </row>
    <row r="308" spans="1:8" ht="14.25" customHeight="1">
      <c r="A308" s="690" t="s">
        <v>2235</v>
      </c>
      <c r="B308" s="685" t="s">
        <v>2236</v>
      </c>
      <c r="C308" s="679" t="s">
        <v>92</v>
      </c>
      <c r="D308" s="679" t="s">
        <v>97</v>
      </c>
      <c r="G308" s="650" t="s">
        <v>1151</v>
      </c>
      <c r="H308" s="650" t="s">
        <v>2237</v>
      </c>
    </row>
    <row r="309" spans="1:8" ht="14.25" customHeight="1">
      <c r="A309" s="678" t="s">
        <v>2238</v>
      </c>
      <c r="B309" s="678" t="s">
        <v>2239</v>
      </c>
      <c r="C309" s="679" t="s">
        <v>92</v>
      </c>
      <c r="D309" s="679" t="s">
        <v>97</v>
      </c>
      <c r="G309" s="650" t="s">
        <v>725</v>
      </c>
      <c r="H309" s="650" t="s">
        <v>2240</v>
      </c>
    </row>
    <row r="310" spans="1:8" ht="14.25" customHeight="1">
      <c r="A310" s="690" t="s">
        <v>2241</v>
      </c>
      <c r="B310" s="685" t="s">
        <v>2242</v>
      </c>
      <c r="C310" s="679" t="s">
        <v>92</v>
      </c>
      <c r="D310" s="679" t="s">
        <v>97</v>
      </c>
      <c r="G310" s="650" t="s">
        <v>1153</v>
      </c>
      <c r="H310" s="650" t="s">
        <v>1155</v>
      </c>
    </row>
    <row r="311" spans="1:8" ht="14.25" customHeight="1">
      <c r="A311" s="690" t="s">
        <v>2243</v>
      </c>
      <c r="B311" s="685" t="s">
        <v>2244</v>
      </c>
      <c r="C311" s="679" t="s">
        <v>92</v>
      </c>
      <c r="D311" s="679" t="s">
        <v>97</v>
      </c>
      <c r="G311" s="650" t="s">
        <v>1156</v>
      </c>
      <c r="H311" s="650" t="s">
        <v>1157</v>
      </c>
    </row>
    <row r="312" spans="1:8" ht="14.25" customHeight="1">
      <c r="A312" s="690" t="s">
        <v>2245</v>
      </c>
      <c r="B312" s="685" t="s">
        <v>2246</v>
      </c>
      <c r="C312" s="679" t="s">
        <v>92</v>
      </c>
      <c r="D312" s="679" t="s">
        <v>97</v>
      </c>
      <c r="G312" s="650" t="s">
        <v>1158</v>
      </c>
      <c r="H312" s="650" t="s">
        <v>1159</v>
      </c>
    </row>
    <row r="313" spans="1:8" ht="14.25" customHeight="1">
      <c r="A313" s="690" t="s">
        <v>2247</v>
      </c>
      <c r="B313" s="685" t="s">
        <v>2248</v>
      </c>
      <c r="C313" s="679" t="s">
        <v>92</v>
      </c>
      <c r="D313" s="679" t="s">
        <v>97</v>
      </c>
      <c r="G313" s="650" t="s">
        <v>1160</v>
      </c>
      <c r="H313" s="650" t="s">
        <v>1161</v>
      </c>
    </row>
    <row r="314" spans="1:8" ht="14.25" customHeight="1">
      <c r="A314" s="678" t="s">
        <v>2249</v>
      </c>
      <c r="B314" s="678" t="s">
        <v>2250</v>
      </c>
      <c r="C314" s="679" t="s">
        <v>92</v>
      </c>
      <c r="D314" s="679" t="s">
        <v>97</v>
      </c>
      <c r="G314" s="650" t="s">
        <v>1162</v>
      </c>
      <c r="H314" s="650" t="s">
        <v>1163</v>
      </c>
    </row>
    <row r="315" spans="1:8" ht="14.25" customHeight="1">
      <c r="A315" s="690" t="s">
        <v>2251</v>
      </c>
      <c r="B315" s="685" t="s">
        <v>2252</v>
      </c>
      <c r="C315" s="679" t="s">
        <v>92</v>
      </c>
      <c r="D315" s="679" t="s">
        <v>97</v>
      </c>
      <c r="G315" s="650" t="s">
        <v>1164</v>
      </c>
      <c r="H315" s="650" t="s">
        <v>1165</v>
      </c>
    </row>
    <row r="316" spans="1:8" ht="14.25" customHeight="1">
      <c r="A316" s="678" t="s">
        <v>2253</v>
      </c>
      <c r="B316" s="678" t="s">
        <v>2254</v>
      </c>
      <c r="C316" s="679" t="s">
        <v>92</v>
      </c>
      <c r="D316" s="679" t="s">
        <v>97</v>
      </c>
      <c r="G316" s="650" t="s">
        <v>1166</v>
      </c>
      <c r="H316" s="650" t="s">
        <v>1167</v>
      </c>
    </row>
    <row r="317" spans="1:8" ht="14.25" customHeight="1">
      <c r="A317" s="690" t="s">
        <v>2255</v>
      </c>
      <c r="B317" s="685" t="s">
        <v>2256</v>
      </c>
      <c r="C317" s="679" t="s">
        <v>92</v>
      </c>
      <c r="D317" s="679" t="s">
        <v>97</v>
      </c>
      <c r="G317" s="650" t="s">
        <v>1168</v>
      </c>
      <c r="H317" s="650" t="s">
        <v>2257</v>
      </c>
    </row>
    <row r="318" spans="1:8" ht="14.25" customHeight="1">
      <c r="A318" s="690" t="s">
        <v>2258</v>
      </c>
      <c r="B318" s="685" t="s">
        <v>2259</v>
      </c>
      <c r="C318" s="679" t="s">
        <v>92</v>
      </c>
      <c r="D318" s="679" t="s">
        <v>97</v>
      </c>
      <c r="G318" s="650" t="s">
        <v>1169</v>
      </c>
      <c r="H318" s="650" t="s">
        <v>1170</v>
      </c>
    </row>
    <row r="319" spans="1:8" ht="14.25" customHeight="1">
      <c r="A319" s="678" t="s">
        <v>2260</v>
      </c>
      <c r="B319" s="678" t="s">
        <v>2261</v>
      </c>
      <c r="C319" s="679" t="s">
        <v>92</v>
      </c>
      <c r="D319" s="679" t="s">
        <v>97</v>
      </c>
      <c r="G319" s="650" t="s">
        <v>1171</v>
      </c>
      <c r="H319" s="650" t="s">
        <v>1172</v>
      </c>
    </row>
    <row r="320" spans="1:8" ht="14.25" customHeight="1">
      <c r="A320" s="690" t="s">
        <v>2262</v>
      </c>
      <c r="B320" s="685" t="s">
        <v>2263</v>
      </c>
      <c r="C320" s="679" t="s">
        <v>92</v>
      </c>
      <c r="D320" s="679" t="s">
        <v>98</v>
      </c>
      <c r="G320" s="650" t="s">
        <v>1173</v>
      </c>
      <c r="H320" s="650" t="s">
        <v>1174</v>
      </c>
    </row>
    <row r="321" spans="1:8" ht="14.25" customHeight="1">
      <c r="A321" s="678" t="s">
        <v>2264</v>
      </c>
      <c r="B321" s="678" t="s">
        <v>2265</v>
      </c>
      <c r="C321" s="679" t="s">
        <v>92</v>
      </c>
      <c r="D321" s="679" t="s">
        <v>98</v>
      </c>
      <c r="G321" s="650" t="s">
        <v>1175</v>
      </c>
      <c r="H321" s="650" t="s">
        <v>1176</v>
      </c>
    </row>
    <row r="322" spans="1:8" ht="14.25" customHeight="1">
      <c r="A322" s="677" t="s">
        <v>2266</v>
      </c>
      <c r="B322" s="685" t="s">
        <v>2267</v>
      </c>
      <c r="C322" s="679" t="s">
        <v>92</v>
      </c>
      <c r="D322" s="679" t="s">
        <v>98</v>
      </c>
      <c r="G322" s="650" t="s">
        <v>1177</v>
      </c>
      <c r="H322" s="650" t="s">
        <v>1178</v>
      </c>
    </row>
    <row r="323" spans="1:8" ht="14.25" customHeight="1">
      <c r="A323" s="690" t="s">
        <v>2268</v>
      </c>
      <c r="B323" s="685" t="s">
        <v>2269</v>
      </c>
      <c r="C323" s="679" t="s">
        <v>92</v>
      </c>
      <c r="D323" s="679" t="s">
        <v>97</v>
      </c>
      <c r="G323" s="650" t="s">
        <v>1179</v>
      </c>
      <c r="H323" s="650" t="s">
        <v>1180</v>
      </c>
    </row>
    <row r="324" spans="1:8" ht="14.25" customHeight="1">
      <c r="A324" s="690" t="s">
        <v>2270</v>
      </c>
      <c r="B324" s="685" t="s">
        <v>2271</v>
      </c>
      <c r="C324" s="679" t="s">
        <v>92</v>
      </c>
      <c r="D324" s="679" t="s">
        <v>97</v>
      </c>
      <c r="G324" s="650" t="s">
        <v>1181</v>
      </c>
      <c r="H324" s="650" t="s">
        <v>1182</v>
      </c>
    </row>
    <row r="325" spans="1:8" ht="14.25" customHeight="1">
      <c r="A325" s="678" t="s">
        <v>2272</v>
      </c>
      <c r="B325" s="678" t="s">
        <v>2273</v>
      </c>
      <c r="C325" s="679" t="s">
        <v>92</v>
      </c>
      <c r="D325" s="679" t="s">
        <v>97</v>
      </c>
      <c r="G325" s="650" t="s">
        <v>1185</v>
      </c>
      <c r="H325" s="650" t="s">
        <v>1186</v>
      </c>
    </row>
    <row r="326" spans="1:8" ht="14.25" customHeight="1">
      <c r="A326" s="677" t="s">
        <v>2274</v>
      </c>
      <c r="B326" s="688" t="s">
        <v>2275</v>
      </c>
      <c r="C326" s="679" t="s">
        <v>92</v>
      </c>
      <c r="D326" s="679" t="s">
        <v>106</v>
      </c>
      <c r="G326" s="650" t="s">
        <v>799</v>
      </c>
      <c r="H326" s="650" t="s">
        <v>2276</v>
      </c>
    </row>
    <row r="327" spans="1:8" ht="14.25" customHeight="1">
      <c r="A327" s="678" t="s">
        <v>2277</v>
      </c>
      <c r="B327" s="678" t="s">
        <v>2278</v>
      </c>
      <c r="C327" s="679" t="s">
        <v>92</v>
      </c>
      <c r="D327" s="679">
        <v>0</v>
      </c>
      <c r="G327" s="650" t="s">
        <v>1187</v>
      </c>
      <c r="H327" s="650" t="s">
        <v>1188</v>
      </c>
    </row>
    <row r="328" spans="1:8" ht="14.25" customHeight="1">
      <c r="A328" s="685" t="s">
        <v>2279</v>
      </c>
      <c r="B328" s="685" t="s">
        <v>2280</v>
      </c>
      <c r="C328" s="679" t="s">
        <v>92</v>
      </c>
      <c r="D328" s="679" t="s">
        <v>97</v>
      </c>
      <c r="G328" s="650" t="s">
        <v>1189</v>
      </c>
      <c r="H328" s="650" t="s">
        <v>1190</v>
      </c>
    </row>
    <row r="329" spans="1:8" ht="14.25" customHeight="1">
      <c r="A329" s="685" t="s">
        <v>2281</v>
      </c>
      <c r="B329" s="685" t="s">
        <v>2282</v>
      </c>
      <c r="C329" s="679" t="s">
        <v>92</v>
      </c>
      <c r="D329" s="679" t="s">
        <v>97</v>
      </c>
      <c r="G329" s="650" t="s">
        <v>1191</v>
      </c>
      <c r="H329" s="650" t="s">
        <v>1192</v>
      </c>
    </row>
    <row r="330" spans="1:8" ht="14.25" customHeight="1">
      <c r="A330" s="690" t="s">
        <v>2283</v>
      </c>
      <c r="B330" s="685" t="s">
        <v>2284</v>
      </c>
      <c r="C330" s="679" t="s">
        <v>92</v>
      </c>
      <c r="D330" s="679" t="s">
        <v>97</v>
      </c>
      <c r="G330" s="650" t="s">
        <v>1193</v>
      </c>
      <c r="H330" s="650" t="s">
        <v>1194</v>
      </c>
    </row>
    <row r="331" spans="1:8" ht="14.25" customHeight="1">
      <c r="A331" s="678" t="s">
        <v>2285</v>
      </c>
      <c r="B331" s="678" t="s">
        <v>2286</v>
      </c>
      <c r="C331" s="679" t="s">
        <v>92</v>
      </c>
      <c r="D331" s="679" t="s">
        <v>97</v>
      </c>
      <c r="G331" s="650" t="s">
        <v>1195</v>
      </c>
      <c r="H331" s="650" t="s">
        <v>1196</v>
      </c>
    </row>
    <row r="332" spans="1:8" ht="14.25" customHeight="1">
      <c r="A332" s="677" t="s">
        <v>2287</v>
      </c>
      <c r="B332" s="688" t="s">
        <v>2288</v>
      </c>
      <c r="C332" s="679" t="s">
        <v>92</v>
      </c>
      <c r="D332" s="679" t="s">
        <v>103</v>
      </c>
      <c r="G332" s="650" t="s">
        <v>800</v>
      </c>
      <c r="H332" s="650" t="s">
        <v>1208</v>
      </c>
    </row>
    <row r="333" spans="1:8" ht="14.25" customHeight="1">
      <c r="A333" s="678" t="s">
        <v>2289</v>
      </c>
      <c r="B333" s="678" t="s">
        <v>2290</v>
      </c>
      <c r="C333" s="679" t="s">
        <v>92</v>
      </c>
      <c r="D333" s="679" t="s">
        <v>103</v>
      </c>
      <c r="G333" s="650" t="s">
        <v>1197</v>
      </c>
      <c r="H333" s="650" t="s">
        <v>1198</v>
      </c>
    </row>
    <row r="334" spans="1:8" ht="14.25" customHeight="1">
      <c r="A334" s="689" t="s">
        <v>2291</v>
      </c>
      <c r="B334" s="678" t="s">
        <v>2292</v>
      </c>
      <c r="C334" s="679" t="s">
        <v>92</v>
      </c>
      <c r="D334" s="679" t="s">
        <v>102</v>
      </c>
      <c r="G334" s="650" t="s">
        <v>1199</v>
      </c>
      <c r="H334" s="650" t="s">
        <v>1200</v>
      </c>
    </row>
    <row r="335" spans="1:8" ht="14.25" customHeight="1">
      <c r="A335" s="678" t="s">
        <v>2293</v>
      </c>
      <c r="B335" s="678" t="s">
        <v>2294</v>
      </c>
      <c r="C335" s="679" t="s">
        <v>92</v>
      </c>
      <c r="D335" s="679" t="s">
        <v>102</v>
      </c>
      <c r="G335" s="650" t="s">
        <v>1201</v>
      </c>
      <c r="H335" s="650" t="s">
        <v>1202</v>
      </c>
    </row>
    <row r="336" spans="1:8" ht="14.25" customHeight="1">
      <c r="A336" s="689" t="s">
        <v>2295</v>
      </c>
      <c r="B336" s="678" t="s">
        <v>2296</v>
      </c>
      <c r="C336" s="679" t="s">
        <v>92</v>
      </c>
      <c r="D336" s="679" t="s">
        <v>102</v>
      </c>
      <c r="G336" s="650" t="s">
        <v>1203</v>
      </c>
      <c r="H336" s="650" t="s">
        <v>1204</v>
      </c>
    </row>
    <row r="337" spans="1:8" ht="14.25" customHeight="1">
      <c r="A337" s="678" t="s">
        <v>2297</v>
      </c>
      <c r="B337" s="678" t="s">
        <v>2298</v>
      </c>
      <c r="C337" s="679" t="s">
        <v>92</v>
      </c>
      <c r="D337" s="679" t="s">
        <v>102</v>
      </c>
      <c r="G337" s="650" t="s">
        <v>1205</v>
      </c>
      <c r="H337" s="650" t="s">
        <v>1206</v>
      </c>
    </row>
    <row r="338" spans="1:8" ht="14.25" customHeight="1">
      <c r="A338" s="677" t="s">
        <v>2299</v>
      </c>
      <c r="B338" s="685" t="s">
        <v>2052</v>
      </c>
      <c r="C338" s="679" t="s">
        <v>92</v>
      </c>
      <c r="D338" s="679" t="s">
        <v>98</v>
      </c>
      <c r="G338" s="650" t="s">
        <v>1209</v>
      </c>
      <c r="H338" s="650" t="s">
        <v>1210</v>
      </c>
    </row>
    <row r="339" spans="1:8" ht="14.25" customHeight="1">
      <c r="A339" s="690" t="s">
        <v>2300</v>
      </c>
      <c r="B339" s="685" t="s">
        <v>2301</v>
      </c>
      <c r="C339" s="679" t="s">
        <v>92</v>
      </c>
      <c r="D339" s="679" t="s">
        <v>97</v>
      </c>
      <c r="G339" s="650" t="s">
        <v>1211</v>
      </c>
      <c r="H339" s="650" t="s">
        <v>1212</v>
      </c>
    </row>
    <row r="340" spans="1:8" ht="14.25" customHeight="1">
      <c r="A340" s="690" t="s">
        <v>2302</v>
      </c>
      <c r="B340" s="685" t="s">
        <v>2303</v>
      </c>
      <c r="C340" s="679" t="s">
        <v>92</v>
      </c>
      <c r="D340" s="679" t="s">
        <v>97</v>
      </c>
      <c r="G340" s="650" t="s">
        <v>1389</v>
      </c>
      <c r="H340" s="650" t="s">
        <v>2304</v>
      </c>
    </row>
    <row r="341" spans="1:8" ht="14.25" customHeight="1">
      <c r="A341" s="690" t="s">
        <v>2305</v>
      </c>
      <c r="B341" s="685" t="s">
        <v>2306</v>
      </c>
      <c r="C341" s="679" t="s">
        <v>92</v>
      </c>
      <c r="D341" s="679" t="s">
        <v>97</v>
      </c>
      <c r="G341" s="650" t="s">
        <v>1213</v>
      </c>
      <c r="H341" s="650" t="s">
        <v>1214</v>
      </c>
    </row>
    <row r="342" spans="1:8" ht="14.25" customHeight="1">
      <c r="A342" s="678" t="s">
        <v>2307</v>
      </c>
      <c r="B342" s="678" t="s">
        <v>2308</v>
      </c>
      <c r="C342" s="679" t="s">
        <v>92</v>
      </c>
      <c r="D342" s="679" t="s">
        <v>97</v>
      </c>
      <c r="G342" s="650" t="s">
        <v>1215</v>
      </c>
      <c r="H342" s="650" t="s">
        <v>1216</v>
      </c>
    </row>
    <row r="343" spans="1:8" ht="14.25" customHeight="1">
      <c r="A343" s="690" t="s">
        <v>2309</v>
      </c>
      <c r="B343" s="685" t="s">
        <v>2310</v>
      </c>
      <c r="C343" s="679" t="s">
        <v>92</v>
      </c>
      <c r="D343" s="679" t="s">
        <v>98</v>
      </c>
      <c r="G343" s="650" t="s">
        <v>1217</v>
      </c>
      <c r="H343" s="650" t="s">
        <v>1218</v>
      </c>
    </row>
    <row r="344" spans="1:8" ht="14.25" customHeight="1">
      <c r="A344" s="678" t="s">
        <v>2311</v>
      </c>
      <c r="B344" s="678" t="s">
        <v>2312</v>
      </c>
      <c r="C344" s="679" t="s">
        <v>92</v>
      </c>
      <c r="D344" s="679" t="s">
        <v>98</v>
      </c>
      <c r="G344" s="650" t="s">
        <v>1219</v>
      </c>
      <c r="H344" s="650" t="s">
        <v>1220</v>
      </c>
    </row>
    <row r="345" spans="1:8" ht="14.25" customHeight="1">
      <c r="A345" s="689" t="s">
        <v>2313</v>
      </c>
      <c r="B345" s="678" t="s">
        <v>2314</v>
      </c>
      <c r="C345" s="679" t="s">
        <v>92</v>
      </c>
      <c r="D345" s="679" t="s">
        <v>104</v>
      </c>
      <c r="G345" s="650" t="s">
        <v>1221</v>
      </c>
      <c r="H345" s="650" t="s">
        <v>1222</v>
      </c>
    </row>
    <row r="346" spans="1:8" ht="14.25" customHeight="1">
      <c r="A346" s="678" t="s">
        <v>2315</v>
      </c>
      <c r="B346" s="678" t="s">
        <v>2316</v>
      </c>
      <c r="C346" s="679" t="s">
        <v>92</v>
      </c>
      <c r="D346" s="679" t="s">
        <v>97</v>
      </c>
      <c r="G346" s="650" t="s">
        <v>1223</v>
      </c>
      <c r="H346" s="650" t="s">
        <v>1224</v>
      </c>
    </row>
    <row r="347" spans="1:8" ht="14.25" customHeight="1">
      <c r="A347" s="677" t="s">
        <v>2317</v>
      </c>
      <c r="B347" s="688" t="s">
        <v>2318</v>
      </c>
      <c r="C347" s="679" t="s">
        <v>152</v>
      </c>
      <c r="D347" s="679" t="s">
        <v>153</v>
      </c>
      <c r="G347" s="650" t="s">
        <v>1225</v>
      </c>
      <c r="H347" s="650" t="s">
        <v>2319</v>
      </c>
    </row>
    <row r="348" spans="1:8" ht="14.25" customHeight="1">
      <c r="A348" s="677" t="s">
        <v>2320</v>
      </c>
      <c r="B348" s="688" t="s">
        <v>2321</v>
      </c>
      <c r="C348" s="679" t="s">
        <v>152</v>
      </c>
      <c r="D348" s="679" t="s">
        <v>186</v>
      </c>
      <c r="G348" s="650" t="s">
        <v>1156</v>
      </c>
      <c r="H348" s="650" t="s">
        <v>2322</v>
      </c>
    </row>
    <row r="349" spans="1:8" ht="14.25" customHeight="1">
      <c r="A349" s="678" t="s">
        <v>2323</v>
      </c>
      <c r="B349" s="678" t="s">
        <v>2324</v>
      </c>
      <c r="C349" s="679" t="s">
        <v>152</v>
      </c>
      <c r="D349" s="679" t="s">
        <v>153</v>
      </c>
      <c r="G349" s="650" t="s">
        <v>1226</v>
      </c>
      <c r="H349" s="650" t="s">
        <v>2325</v>
      </c>
    </row>
    <row r="350" spans="1:8" ht="14.25" customHeight="1">
      <c r="A350" s="677" t="s">
        <v>2326</v>
      </c>
      <c r="B350" s="688" t="s">
        <v>2327</v>
      </c>
      <c r="C350" s="679" t="s">
        <v>152</v>
      </c>
      <c r="D350" s="679" t="s">
        <v>106</v>
      </c>
      <c r="G350" s="650" t="s">
        <v>1160</v>
      </c>
      <c r="H350" s="650" t="s">
        <v>2328</v>
      </c>
    </row>
    <row r="351" spans="1:8" ht="14.25" customHeight="1">
      <c r="A351" s="678" t="s">
        <v>2329</v>
      </c>
      <c r="B351" s="678" t="s">
        <v>2330</v>
      </c>
      <c r="C351" s="679" t="s">
        <v>152</v>
      </c>
      <c r="D351" s="679" t="s">
        <v>106</v>
      </c>
      <c r="G351" s="650" t="s">
        <v>1162</v>
      </c>
      <c r="H351" s="650" t="s">
        <v>2331</v>
      </c>
    </row>
    <row r="352" spans="1:8" ht="14.25" customHeight="1">
      <c r="A352" s="677" t="s">
        <v>2332</v>
      </c>
      <c r="B352" s="688" t="s">
        <v>2333</v>
      </c>
      <c r="C352" s="679" t="s">
        <v>152</v>
      </c>
      <c r="D352" s="679" t="s">
        <v>156</v>
      </c>
      <c r="G352" s="650" t="s">
        <v>1164</v>
      </c>
      <c r="H352" s="650" t="s">
        <v>2334</v>
      </c>
    </row>
    <row r="353" spans="1:8" ht="14.25" customHeight="1">
      <c r="A353" s="678" t="s">
        <v>2335</v>
      </c>
      <c r="B353" s="678" t="s">
        <v>2336</v>
      </c>
      <c r="C353" s="679" t="s">
        <v>152</v>
      </c>
      <c r="D353" s="679" t="s">
        <v>156</v>
      </c>
      <c r="G353" s="650" t="s">
        <v>801</v>
      </c>
      <c r="H353" s="650" t="s">
        <v>2337</v>
      </c>
    </row>
    <row r="354" spans="1:8" ht="14.25" customHeight="1">
      <c r="A354" s="677" t="s">
        <v>2338</v>
      </c>
      <c r="B354" s="688" t="s">
        <v>2339</v>
      </c>
      <c r="C354" s="679" t="s">
        <v>152</v>
      </c>
      <c r="D354" s="679" t="s">
        <v>156</v>
      </c>
      <c r="G354" s="650" t="s">
        <v>1166</v>
      </c>
      <c r="H354" s="650" t="s">
        <v>2340</v>
      </c>
    </row>
    <row r="355" spans="1:8" ht="14.25" customHeight="1">
      <c r="A355" s="678" t="s">
        <v>2341</v>
      </c>
      <c r="B355" s="678" t="s">
        <v>2342</v>
      </c>
      <c r="C355" s="679" t="s">
        <v>152</v>
      </c>
      <c r="D355" s="679" t="s">
        <v>156</v>
      </c>
      <c r="G355" s="650" t="s">
        <v>1227</v>
      </c>
      <c r="H355" s="650" t="s">
        <v>2343</v>
      </c>
    </row>
    <row r="356" spans="1:8" ht="14.25" customHeight="1">
      <c r="A356" s="677" t="s">
        <v>2344</v>
      </c>
      <c r="B356" s="688" t="s">
        <v>2345</v>
      </c>
      <c r="C356" s="679" t="s">
        <v>152</v>
      </c>
      <c r="D356" s="679" t="s">
        <v>153</v>
      </c>
      <c r="G356" s="650" t="s">
        <v>802</v>
      </c>
      <c r="H356" s="650" t="s">
        <v>2346</v>
      </c>
    </row>
    <row r="357" spans="1:8" ht="14.25" customHeight="1">
      <c r="A357" s="688" t="s">
        <v>2347</v>
      </c>
      <c r="B357" s="688" t="s">
        <v>2348</v>
      </c>
      <c r="C357" s="679" t="s">
        <v>152</v>
      </c>
      <c r="D357" s="679" t="s">
        <v>153</v>
      </c>
      <c r="G357" s="650" t="s">
        <v>1169</v>
      </c>
      <c r="H357" s="650" t="s">
        <v>2349</v>
      </c>
    </row>
    <row r="358" spans="1:8" ht="14.25" customHeight="1">
      <c r="A358" s="677" t="s">
        <v>2350</v>
      </c>
      <c r="B358" s="688" t="s">
        <v>2351</v>
      </c>
      <c r="C358" s="679" t="s">
        <v>152</v>
      </c>
      <c r="D358" s="679" t="s">
        <v>153</v>
      </c>
      <c r="G358" s="650" t="s">
        <v>1171</v>
      </c>
      <c r="H358" s="650" t="s">
        <v>2352</v>
      </c>
    </row>
    <row r="359" spans="1:8" ht="14.25" customHeight="1">
      <c r="A359" s="677" t="s">
        <v>2353</v>
      </c>
      <c r="B359" s="688" t="s">
        <v>2354</v>
      </c>
      <c r="C359" s="679" t="s">
        <v>152</v>
      </c>
      <c r="D359" s="679" t="s">
        <v>153</v>
      </c>
      <c r="G359" s="650" t="s">
        <v>1173</v>
      </c>
      <c r="H359" s="650" t="s">
        <v>2355</v>
      </c>
    </row>
    <row r="360" spans="1:8" ht="14.25" customHeight="1">
      <c r="A360" s="677" t="s">
        <v>2356</v>
      </c>
      <c r="B360" s="688" t="s">
        <v>2357</v>
      </c>
      <c r="C360" s="679" t="s">
        <v>152</v>
      </c>
      <c r="D360" s="679" t="s">
        <v>153</v>
      </c>
      <c r="G360" s="650" t="s">
        <v>1228</v>
      </c>
      <c r="H360" s="650" t="s">
        <v>2358</v>
      </c>
    </row>
    <row r="361" spans="1:8" ht="14.25" customHeight="1">
      <c r="A361" s="677" t="s">
        <v>2356</v>
      </c>
      <c r="B361" s="688" t="s">
        <v>2357</v>
      </c>
      <c r="C361" s="679" t="s">
        <v>152</v>
      </c>
      <c r="D361" s="679" t="s">
        <v>153</v>
      </c>
      <c r="G361" s="650" t="s">
        <v>1229</v>
      </c>
      <c r="H361" s="650" t="s">
        <v>2359</v>
      </c>
    </row>
    <row r="362" spans="1:8" ht="14.25" customHeight="1">
      <c r="A362" s="677" t="s">
        <v>2360</v>
      </c>
      <c r="B362" s="688" t="s">
        <v>2361</v>
      </c>
      <c r="C362" s="679" t="s">
        <v>152</v>
      </c>
      <c r="D362" s="679" t="s">
        <v>186</v>
      </c>
      <c r="G362" s="650" t="s">
        <v>1179</v>
      </c>
      <c r="H362" s="650" t="s">
        <v>2362</v>
      </c>
    </row>
    <row r="363" spans="1:8" ht="14.25" customHeight="1">
      <c r="A363" s="677" t="s">
        <v>2363</v>
      </c>
      <c r="B363" s="688" t="s">
        <v>2364</v>
      </c>
      <c r="C363" s="679" t="s">
        <v>152</v>
      </c>
      <c r="D363" s="679" t="s">
        <v>186</v>
      </c>
      <c r="G363" s="650" t="s">
        <v>1181</v>
      </c>
      <c r="H363" s="650" t="s">
        <v>2365</v>
      </c>
    </row>
    <row r="364" spans="1:8" ht="14.25" customHeight="1">
      <c r="A364" s="677" t="s">
        <v>2366</v>
      </c>
      <c r="B364" s="688" t="s">
        <v>2367</v>
      </c>
      <c r="C364" s="679" t="s">
        <v>152</v>
      </c>
      <c r="D364" s="679" t="s">
        <v>186</v>
      </c>
      <c r="G364" s="650" t="s">
        <v>1231</v>
      </c>
      <c r="H364" s="650" t="s">
        <v>2368</v>
      </c>
    </row>
    <row r="365" spans="1:8" ht="14.25" customHeight="1">
      <c r="A365" s="677" t="s">
        <v>2369</v>
      </c>
      <c r="B365" s="688" t="s">
        <v>2370</v>
      </c>
      <c r="C365" s="679" t="s">
        <v>152</v>
      </c>
      <c r="D365" s="679" t="s">
        <v>153</v>
      </c>
      <c r="G365" s="650" t="s">
        <v>803</v>
      </c>
      <c r="H365" s="650" t="s">
        <v>2371</v>
      </c>
    </row>
    <row r="366" spans="1:8" ht="14.25" customHeight="1">
      <c r="A366" s="677" t="s">
        <v>2372</v>
      </c>
      <c r="B366" s="688" t="s">
        <v>2373</v>
      </c>
      <c r="C366" s="679" t="s">
        <v>152</v>
      </c>
      <c r="D366" s="679" t="s">
        <v>186</v>
      </c>
      <c r="G366" s="650" t="s">
        <v>1187</v>
      </c>
      <c r="H366" s="650" t="s">
        <v>2374</v>
      </c>
    </row>
    <row r="367" spans="1:8" ht="14.25" customHeight="1">
      <c r="A367" s="677" t="s">
        <v>1434</v>
      </c>
      <c r="B367" s="688" t="s">
        <v>2375</v>
      </c>
      <c r="C367" s="679" t="s">
        <v>161</v>
      </c>
      <c r="D367" s="679" t="s">
        <v>164</v>
      </c>
      <c r="G367" s="650" t="s">
        <v>1189</v>
      </c>
      <c r="H367" s="650" t="s">
        <v>2376</v>
      </c>
    </row>
    <row r="368" spans="1:8" ht="14.25" customHeight="1">
      <c r="A368" s="678" t="s">
        <v>2377</v>
      </c>
      <c r="B368" s="678" t="s">
        <v>2378</v>
      </c>
      <c r="C368" s="679" t="s">
        <v>161</v>
      </c>
      <c r="D368" s="679" t="s">
        <v>164</v>
      </c>
      <c r="G368" s="650" t="s">
        <v>1191</v>
      </c>
      <c r="H368" s="650" t="s">
        <v>2379</v>
      </c>
    </row>
    <row r="369" spans="1:8" ht="14.25" customHeight="1">
      <c r="A369" s="677" t="s">
        <v>2380</v>
      </c>
      <c r="B369" s="688" t="s">
        <v>2381</v>
      </c>
      <c r="C369" s="679" t="s">
        <v>161</v>
      </c>
      <c r="D369" s="679" t="s">
        <v>168</v>
      </c>
      <c r="G369" s="650" t="s">
        <v>1193</v>
      </c>
      <c r="H369" s="650" t="s">
        <v>2382</v>
      </c>
    </row>
    <row r="370" spans="1:8" ht="14.25" customHeight="1">
      <c r="A370" s="678" t="s">
        <v>2383</v>
      </c>
      <c r="B370" s="678" t="s">
        <v>2384</v>
      </c>
      <c r="C370" s="679" t="s">
        <v>161</v>
      </c>
      <c r="D370" s="679" t="s">
        <v>168</v>
      </c>
      <c r="G370" s="650" t="s">
        <v>1195</v>
      </c>
      <c r="H370" s="650" t="s">
        <v>2385</v>
      </c>
    </row>
    <row r="371" spans="1:8" ht="14.25" customHeight="1">
      <c r="A371" s="677" t="s">
        <v>2386</v>
      </c>
      <c r="B371" s="688" t="s">
        <v>2387</v>
      </c>
      <c r="C371" s="679" t="s">
        <v>161</v>
      </c>
      <c r="D371" s="679" t="s">
        <v>166</v>
      </c>
      <c r="G371" s="650" t="s">
        <v>1197</v>
      </c>
      <c r="H371" s="650" t="s">
        <v>2388</v>
      </c>
    </row>
    <row r="372" spans="1:8" ht="14.25" customHeight="1">
      <c r="A372" s="678" t="s">
        <v>2389</v>
      </c>
      <c r="B372" s="678" t="s">
        <v>2390</v>
      </c>
      <c r="C372" s="679" t="s">
        <v>161</v>
      </c>
      <c r="D372" s="679" t="s">
        <v>166</v>
      </c>
      <c r="G372" s="650" t="s">
        <v>1199</v>
      </c>
      <c r="H372" s="650" t="s">
        <v>2391</v>
      </c>
    </row>
    <row r="373" spans="1:8" ht="14.25" customHeight="1">
      <c r="A373" s="677" t="s">
        <v>2392</v>
      </c>
      <c r="B373" s="688" t="s">
        <v>2393</v>
      </c>
      <c r="C373" s="679" t="s">
        <v>161</v>
      </c>
      <c r="D373" s="679" t="s">
        <v>167</v>
      </c>
      <c r="G373" s="650" t="s">
        <v>1201</v>
      </c>
      <c r="H373" s="650" t="s">
        <v>2394</v>
      </c>
    </row>
    <row r="374" spans="1:8" ht="14.25" customHeight="1">
      <c r="A374" s="689" t="s">
        <v>2395</v>
      </c>
      <c r="B374" s="678" t="s">
        <v>2396</v>
      </c>
      <c r="C374" s="679" t="s">
        <v>161</v>
      </c>
      <c r="D374" s="679" t="s">
        <v>167</v>
      </c>
      <c r="G374" s="650" t="s">
        <v>1203</v>
      </c>
      <c r="H374" s="650" t="s">
        <v>2397</v>
      </c>
    </row>
    <row r="375" spans="1:8" ht="14.25" customHeight="1">
      <c r="A375" s="677" t="s">
        <v>2398</v>
      </c>
      <c r="B375" s="688" t="s">
        <v>2399</v>
      </c>
      <c r="C375" s="679" t="s">
        <v>161</v>
      </c>
      <c r="D375" s="679" t="s">
        <v>166</v>
      </c>
      <c r="G375" s="650" t="s">
        <v>1232</v>
      </c>
      <c r="H375" s="650" t="s">
        <v>2400</v>
      </c>
    </row>
    <row r="376" spans="1:8" ht="14.25" customHeight="1">
      <c r="A376" s="689" t="s">
        <v>2401</v>
      </c>
      <c r="B376" s="678" t="s">
        <v>2402</v>
      </c>
      <c r="C376" s="679" t="s">
        <v>161</v>
      </c>
      <c r="D376" s="679" t="s">
        <v>166</v>
      </c>
      <c r="G376" s="650" t="s">
        <v>1209</v>
      </c>
      <c r="H376" s="650" t="s">
        <v>2403</v>
      </c>
    </row>
    <row r="377" spans="1:8" ht="14.25" customHeight="1">
      <c r="A377" s="677" t="s">
        <v>2404</v>
      </c>
      <c r="B377" s="688" t="s">
        <v>2405</v>
      </c>
      <c r="C377" s="679" t="s">
        <v>1325</v>
      </c>
      <c r="D377" s="679" t="s">
        <v>172</v>
      </c>
      <c r="G377" s="650" t="s">
        <v>1211</v>
      </c>
      <c r="H377" s="650" t="s">
        <v>2406</v>
      </c>
    </row>
    <row r="378" spans="1:8" ht="14.25" customHeight="1">
      <c r="A378" s="677" t="s">
        <v>2407</v>
      </c>
      <c r="B378" s="688" t="s">
        <v>2408</v>
      </c>
      <c r="C378" s="679" t="s">
        <v>180</v>
      </c>
      <c r="D378" s="679" t="s">
        <v>192</v>
      </c>
      <c r="G378" s="650" t="s">
        <v>1389</v>
      </c>
      <c r="H378" s="650" t="s">
        <v>2409</v>
      </c>
    </row>
    <row r="379" spans="1:8" ht="14.25" customHeight="1">
      <c r="A379" s="689" t="s">
        <v>2410</v>
      </c>
      <c r="B379" s="678" t="s">
        <v>2411</v>
      </c>
      <c r="C379" s="679" t="s">
        <v>161</v>
      </c>
      <c r="D379" s="679" t="s">
        <v>97</v>
      </c>
      <c r="G379" s="650" t="s">
        <v>1235</v>
      </c>
      <c r="H379" s="650" t="s">
        <v>2412</v>
      </c>
    </row>
    <row r="380" spans="1:8" ht="14.25" customHeight="1">
      <c r="A380" s="677" t="s">
        <v>2413</v>
      </c>
      <c r="B380" s="688" t="s">
        <v>2414</v>
      </c>
      <c r="C380" s="679" t="s">
        <v>161</v>
      </c>
      <c r="D380" s="679" t="s">
        <v>1339</v>
      </c>
      <c r="G380" s="650" t="s">
        <v>1236</v>
      </c>
      <c r="H380" s="650" t="s">
        <v>2415</v>
      </c>
    </row>
    <row r="381" spans="1:8" ht="14.25" customHeight="1">
      <c r="A381" s="677" t="s">
        <v>2416</v>
      </c>
      <c r="B381" s="688" t="s">
        <v>2417</v>
      </c>
      <c r="C381" s="679" t="s">
        <v>161</v>
      </c>
      <c r="D381" s="679" t="s">
        <v>172</v>
      </c>
      <c r="G381" s="650" t="s">
        <v>1237</v>
      </c>
      <c r="H381" s="650" t="s">
        <v>2418</v>
      </c>
    </row>
    <row r="382" spans="1:8" ht="14.25" customHeight="1">
      <c r="A382" s="689" t="s">
        <v>2419</v>
      </c>
      <c r="B382" s="678" t="s">
        <v>2420</v>
      </c>
      <c r="C382" s="679" t="s">
        <v>161</v>
      </c>
      <c r="D382" s="679" t="s">
        <v>172</v>
      </c>
      <c r="G382" s="650" t="s">
        <v>1238</v>
      </c>
      <c r="H382" s="650" t="s">
        <v>2421</v>
      </c>
    </row>
    <row r="383" spans="1:8" ht="14.25" customHeight="1">
      <c r="A383" s="677" t="s">
        <v>2422</v>
      </c>
      <c r="B383" s="688" t="s">
        <v>2423</v>
      </c>
      <c r="C383" s="679" t="s">
        <v>161</v>
      </c>
      <c r="D383" s="679" t="s">
        <v>172</v>
      </c>
      <c r="G383" s="650" t="s">
        <v>1239</v>
      </c>
      <c r="H383" s="650" t="s">
        <v>2424</v>
      </c>
    </row>
    <row r="384" spans="1:8" ht="14.25" customHeight="1">
      <c r="A384" s="689" t="s">
        <v>2425</v>
      </c>
      <c r="B384" s="678" t="s">
        <v>2426</v>
      </c>
      <c r="C384" s="679" t="s">
        <v>161</v>
      </c>
      <c r="D384" s="679" t="s">
        <v>172</v>
      </c>
      <c r="G384" s="650" t="s">
        <v>1240</v>
      </c>
      <c r="H384" s="650" t="s">
        <v>2427</v>
      </c>
    </row>
    <row r="385" spans="1:8" ht="14.25" customHeight="1">
      <c r="A385" s="677" t="s">
        <v>2428</v>
      </c>
      <c r="B385" s="688" t="s">
        <v>2429</v>
      </c>
      <c r="C385" s="679" t="s">
        <v>161</v>
      </c>
      <c r="D385" s="679" t="s">
        <v>172</v>
      </c>
      <c r="G385" s="650" t="s">
        <v>1241</v>
      </c>
      <c r="H385" s="650" t="s">
        <v>2430</v>
      </c>
    </row>
    <row r="386" spans="1:8" ht="14.25" customHeight="1">
      <c r="A386" s="678" t="s">
        <v>2431</v>
      </c>
      <c r="B386" s="678" t="s">
        <v>2432</v>
      </c>
      <c r="C386" s="679" t="s">
        <v>161</v>
      </c>
      <c r="D386" s="679" t="s">
        <v>172</v>
      </c>
      <c r="G386" s="650" t="s">
        <v>1243</v>
      </c>
      <c r="H386" s="650" t="s">
        <v>2433</v>
      </c>
    </row>
    <row r="387" spans="1:8" ht="14.25" customHeight="1">
      <c r="A387" s="677" t="s">
        <v>2434</v>
      </c>
      <c r="B387" s="688" t="s">
        <v>2435</v>
      </c>
      <c r="C387" s="679" t="s">
        <v>176</v>
      </c>
      <c r="D387" s="679" t="s">
        <v>177</v>
      </c>
      <c r="G387" s="650" t="s">
        <v>1166</v>
      </c>
      <c r="H387" s="650" t="s">
        <v>2436</v>
      </c>
    </row>
    <row r="388" spans="1:8" ht="14.25" customHeight="1">
      <c r="A388" s="678" t="s">
        <v>2437</v>
      </c>
      <c r="B388" s="678" t="s">
        <v>2438</v>
      </c>
      <c r="C388" s="679" t="s">
        <v>176</v>
      </c>
      <c r="D388" s="679" t="s">
        <v>177</v>
      </c>
      <c r="G388" s="650" t="s">
        <v>1169</v>
      </c>
      <c r="H388" s="650" t="s">
        <v>2439</v>
      </c>
    </row>
    <row r="389" spans="1:8" ht="14.25" customHeight="1">
      <c r="A389" s="677" t="s">
        <v>2440</v>
      </c>
      <c r="B389" s="688" t="s">
        <v>2441</v>
      </c>
      <c r="C389" s="679" t="s">
        <v>176</v>
      </c>
      <c r="D389" s="679" t="s">
        <v>177</v>
      </c>
      <c r="G389" s="650" t="s">
        <v>1171</v>
      </c>
      <c r="H389" s="650" t="s">
        <v>2442</v>
      </c>
    </row>
    <row r="390" spans="1:8" ht="14.25" customHeight="1">
      <c r="A390" s="678" t="s">
        <v>2443</v>
      </c>
      <c r="B390" s="678" t="s">
        <v>2444</v>
      </c>
      <c r="C390" s="679" t="s">
        <v>176</v>
      </c>
      <c r="D390" s="679" t="s">
        <v>177</v>
      </c>
      <c r="G390" s="650" t="s">
        <v>1244</v>
      </c>
      <c r="H390" s="650" t="s">
        <v>2445</v>
      </c>
    </row>
    <row r="391" spans="1:8" ht="14.25" customHeight="1">
      <c r="A391" s="677" t="s">
        <v>2446</v>
      </c>
      <c r="B391" s="688" t="s">
        <v>2447</v>
      </c>
      <c r="C391" s="679" t="s">
        <v>176</v>
      </c>
      <c r="D391" s="679" t="s">
        <v>177</v>
      </c>
      <c r="G391" s="650" t="s">
        <v>1175</v>
      </c>
      <c r="H391" s="650" t="s">
        <v>2448</v>
      </c>
    </row>
    <row r="392" spans="1:8" ht="14.25" customHeight="1">
      <c r="A392" s="678" t="s">
        <v>2449</v>
      </c>
      <c r="B392" s="678" t="s">
        <v>2450</v>
      </c>
      <c r="C392" s="679" t="s">
        <v>176</v>
      </c>
      <c r="D392" s="679" t="s">
        <v>177</v>
      </c>
      <c r="G392" s="650" t="s">
        <v>1245</v>
      </c>
      <c r="H392" s="650" t="s">
        <v>2451</v>
      </c>
    </row>
    <row r="393" spans="1:8" ht="14.25" customHeight="1">
      <c r="A393" s="677" t="s">
        <v>2452</v>
      </c>
      <c r="B393" s="688" t="s">
        <v>2453</v>
      </c>
      <c r="C393" s="679" t="s">
        <v>152</v>
      </c>
      <c r="D393" s="679" t="s">
        <v>153</v>
      </c>
      <c r="G393" s="650" t="s">
        <v>1247</v>
      </c>
      <c r="H393" s="650" t="s">
        <v>2454</v>
      </c>
    </row>
    <row r="394" spans="1:8" ht="14.25" customHeight="1">
      <c r="A394" s="678" t="s">
        <v>2455</v>
      </c>
      <c r="B394" s="678" t="s">
        <v>2456</v>
      </c>
      <c r="C394" s="679" t="s">
        <v>152</v>
      </c>
      <c r="D394" s="679" t="s">
        <v>153</v>
      </c>
      <c r="G394" s="650" t="s">
        <v>1179</v>
      </c>
      <c r="H394" s="650" t="s">
        <v>2457</v>
      </c>
    </row>
    <row r="395" spans="1:8" ht="14.25" customHeight="1">
      <c r="A395" s="677" t="s">
        <v>2458</v>
      </c>
      <c r="B395" s="688" t="s">
        <v>2459</v>
      </c>
      <c r="C395" s="679" t="s">
        <v>152</v>
      </c>
      <c r="D395" s="679" t="s">
        <v>153</v>
      </c>
      <c r="G395" s="650" t="s">
        <v>1181</v>
      </c>
      <c r="H395" s="650" t="s">
        <v>2460</v>
      </c>
    </row>
    <row r="396" spans="1:8" ht="14.25" customHeight="1">
      <c r="A396" s="678" t="s">
        <v>2461</v>
      </c>
      <c r="B396" s="678" t="s">
        <v>2462</v>
      </c>
      <c r="C396" s="679" t="s">
        <v>152</v>
      </c>
      <c r="D396" s="679" t="s">
        <v>153</v>
      </c>
      <c r="G396" s="650" t="s">
        <v>1248</v>
      </c>
      <c r="H396" s="650" t="s">
        <v>2463</v>
      </c>
    </row>
    <row r="397" spans="1:8" ht="14.25" customHeight="1">
      <c r="A397" s="677" t="s">
        <v>2464</v>
      </c>
      <c r="B397" s="688" t="s">
        <v>2465</v>
      </c>
      <c r="C397" s="679" t="s">
        <v>152</v>
      </c>
      <c r="D397" s="679" t="s">
        <v>153</v>
      </c>
      <c r="G397" s="650" t="s">
        <v>1231</v>
      </c>
      <c r="H397" s="650" t="s">
        <v>2466</v>
      </c>
    </row>
    <row r="398" spans="1:8" ht="14.25" customHeight="1">
      <c r="A398" s="678" t="s">
        <v>2467</v>
      </c>
      <c r="B398" s="678" t="s">
        <v>2468</v>
      </c>
      <c r="C398" s="679" t="s">
        <v>152</v>
      </c>
      <c r="D398" s="679" t="s">
        <v>153</v>
      </c>
      <c r="G398" s="650" t="s">
        <v>804</v>
      </c>
      <c r="H398" s="650" t="s">
        <v>2469</v>
      </c>
    </row>
    <row r="399" spans="1:8" ht="14.25" customHeight="1">
      <c r="A399" s="677" t="s">
        <v>2470</v>
      </c>
      <c r="B399" s="688" t="s">
        <v>2471</v>
      </c>
      <c r="C399" s="679" t="s">
        <v>152</v>
      </c>
      <c r="D399" s="679" t="s">
        <v>153</v>
      </c>
      <c r="G399" s="650" t="s">
        <v>1249</v>
      </c>
      <c r="H399" s="650" t="s">
        <v>2472</v>
      </c>
    </row>
    <row r="400" spans="1:8" ht="14.25" customHeight="1">
      <c r="A400" s="677" t="s">
        <v>2473</v>
      </c>
      <c r="B400" s="688" t="s">
        <v>2474</v>
      </c>
      <c r="C400" s="679" t="s">
        <v>152</v>
      </c>
      <c r="D400" s="679" t="s">
        <v>153</v>
      </c>
      <c r="G400" s="650" t="s">
        <v>1187</v>
      </c>
      <c r="H400" s="650" t="s">
        <v>2475</v>
      </c>
    </row>
    <row r="401" spans="1:8" ht="14.25" customHeight="1">
      <c r="A401" s="678" t="s">
        <v>2476</v>
      </c>
      <c r="B401" s="678" t="s">
        <v>2477</v>
      </c>
      <c r="C401" s="679" t="s">
        <v>152</v>
      </c>
      <c r="D401" s="679" t="s">
        <v>153</v>
      </c>
      <c r="G401" s="650" t="s">
        <v>1189</v>
      </c>
      <c r="H401" s="650" t="s">
        <v>2478</v>
      </c>
    </row>
    <row r="402" spans="1:8" ht="14.25" customHeight="1">
      <c r="A402" s="677" t="s">
        <v>2479</v>
      </c>
      <c r="B402" s="688" t="s">
        <v>2480</v>
      </c>
      <c r="C402" s="679" t="s">
        <v>152</v>
      </c>
      <c r="D402" s="679" t="s">
        <v>153</v>
      </c>
      <c r="G402" s="650" t="s">
        <v>1191</v>
      </c>
      <c r="H402" s="650" t="s">
        <v>2481</v>
      </c>
    </row>
    <row r="403" spans="1:8" ht="14.25" customHeight="1">
      <c r="A403" s="678" t="s">
        <v>2482</v>
      </c>
      <c r="B403" s="678" t="s">
        <v>2483</v>
      </c>
      <c r="C403" s="679" t="s">
        <v>152</v>
      </c>
      <c r="D403" s="679" t="s">
        <v>153</v>
      </c>
      <c r="G403" s="650" t="s">
        <v>1250</v>
      </c>
      <c r="H403" s="650" t="s">
        <v>2484</v>
      </c>
    </row>
    <row r="404" spans="1:8" ht="14.25" customHeight="1">
      <c r="A404" s="677" t="s">
        <v>2485</v>
      </c>
      <c r="B404" s="688" t="s">
        <v>2486</v>
      </c>
      <c r="C404" s="679" t="s">
        <v>152</v>
      </c>
      <c r="D404" s="679" t="s">
        <v>153</v>
      </c>
      <c r="G404" s="650" t="s">
        <v>1195</v>
      </c>
      <c r="H404" s="650" t="s">
        <v>2487</v>
      </c>
    </row>
    <row r="405" spans="1:8" ht="14.25" customHeight="1">
      <c r="A405" s="678" t="s">
        <v>2488</v>
      </c>
      <c r="B405" s="678" t="s">
        <v>2489</v>
      </c>
      <c r="C405" s="679" t="s">
        <v>152</v>
      </c>
      <c r="D405" s="679" t="s">
        <v>153</v>
      </c>
      <c r="G405" s="650" t="s">
        <v>1197</v>
      </c>
      <c r="H405" s="650" t="s">
        <v>2490</v>
      </c>
    </row>
    <row r="406" spans="1:8" ht="14.25" customHeight="1">
      <c r="A406" s="677" t="s">
        <v>2491</v>
      </c>
      <c r="B406" s="688" t="s">
        <v>2492</v>
      </c>
      <c r="C406" s="679" t="s">
        <v>152</v>
      </c>
      <c r="D406" s="679" t="s">
        <v>153</v>
      </c>
      <c r="G406" s="650" t="s">
        <v>1199</v>
      </c>
      <c r="H406" s="650" t="s">
        <v>2493</v>
      </c>
    </row>
    <row r="407" spans="1:8" ht="14.25" customHeight="1">
      <c r="A407" s="678" t="s">
        <v>2494</v>
      </c>
      <c r="B407" s="678" t="s">
        <v>2495</v>
      </c>
      <c r="C407" s="679" t="s">
        <v>152</v>
      </c>
      <c r="D407" s="679" t="s">
        <v>153</v>
      </c>
      <c r="G407" s="650" t="s">
        <v>1201</v>
      </c>
      <c r="H407" s="650" t="s">
        <v>2496</v>
      </c>
    </row>
    <row r="408" spans="1:8" ht="14.25" customHeight="1">
      <c r="A408" s="677" t="s">
        <v>2497</v>
      </c>
      <c r="B408" s="688" t="s">
        <v>2498</v>
      </c>
      <c r="C408" s="679" t="s">
        <v>152</v>
      </c>
      <c r="D408" s="679" t="s">
        <v>153</v>
      </c>
      <c r="G408" s="650" t="s">
        <v>1203</v>
      </c>
      <c r="H408" s="650" t="s">
        <v>2499</v>
      </c>
    </row>
    <row r="409" spans="1:8" ht="14.25" customHeight="1">
      <c r="A409" s="677" t="s">
        <v>2500</v>
      </c>
      <c r="B409" s="688" t="s">
        <v>2501</v>
      </c>
      <c r="C409" s="679" t="s">
        <v>152</v>
      </c>
      <c r="D409" s="679" t="s">
        <v>153</v>
      </c>
      <c r="G409" s="650" t="s">
        <v>1251</v>
      </c>
      <c r="H409" s="650" t="s">
        <v>2502</v>
      </c>
    </row>
    <row r="410" spans="1:8" ht="14.25" customHeight="1">
      <c r="A410" s="678" t="s">
        <v>2503</v>
      </c>
      <c r="B410" s="678" t="s">
        <v>2504</v>
      </c>
      <c r="C410" s="679" t="s">
        <v>152</v>
      </c>
      <c r="D410" s="679" t="s">
        <v>153</v>
      </c>
      <c r="G410" s="650" t="s">
        <v>1209</v>
      </c>
      <c r="H410" s="650" t="s">
        <v>2505</v>
      </c>
    </row>
    <row r="411" spans="1:8" ht="14.25" customHeight="1">
      <c r="A411" s="677" t="s">
        <v>2506</v>
      </c>
      <c r="B411" s="688" t="s">
        <v>2507</v>
      </c>
      <c r="C411" s="679" t="s">
        <v>152</v>
      </c>
      <c r="D411" s="679" t="s">
        <v>153</v>
      </c>
      <c r="G411" s="650" t="s">
        <v>1211</v>
      </c>
      <c r="H411" s="650" t="s">
        <v>2508</v>
      </c>
    </row>
    <row r="412" spans="1:8" ht="14.25" customHeight="1">
      <c r="A412" s="678" t="s">
        <v>2509</v>
      </c>
      <c r="B412" s="678" t="s">
        <v>2510</v>
      </c>
      <c r="C412" s="679" t="s">
        <v>152</v>
      </c>
      <c r="D412" s="679" t="s">
        <v>153</v>
      </c>
      <c r="G412" s="650" t="s">
        <v>1389</v>
      </c>
      <c r="H412" s="650" t="s">
        <v>2511</v>
      </c>
    </row>
    <row r="413" spans="1:8" ht="14.25" customHeight="1">
      <c r="A413" s="677" t="s">
        <v>2512</v>
      </c>
      <c r="B413" s="688" t="s">
        <v>2513</v>
      </c>
      <c r="C413" s="679" t="s">
        <v>152</v>
      </c>
      <c r="D413" s="679" t="s">
        <v>153</v>
      </c>
      <c r="G413" s="650" t="s">
        <v>1254</v>
      </c>
      <c r="H413" s="650" t="s">
        <v>2514</v>
      </c>
    </row>
    <row r="414" spans="1:8" ht="14.25" customHeight="1">
      <c r="A414" s="677" t="s">
        <v>2515</v>
      </c>
      <c r="B414" s="688" t="s">
        <v>2516</v>
      </c>
      <c r="C414" s="679" t="s">
        <v>152</v>
      </c>
      <c r="D414" s="679" t="s">
        <v>153</v>
      </c>
      <c r="G414" s="650" t="s">
        <v>1256</v>
      </c>
      <c r="H414" s="650" t="s">
        <v>2517</v>
      </c>
    </row>
    <row r="415" spans="1:8" ht="14.25" customHeight="1">
      <c r="A415" s="677" t="s">
        <v>2518</v>
      </c>
      <c r="B415" s="688" t="s">
        <v>2519</v>
      </c>
      <c r="C415" s="679" t="s">
        <v>152</v>
      </c>
      <c r="D415" s="679" t="s">
        <v>153</v>
      </c>
      <c r="G415" s="650" t="s">
        <v>1257</v>
      </c>
      <c r="H415" s="650" t="s">
        <v>2520</v>
      </c>
    </row>
    <row r="416" spans="1:8" ht="14.25" customHeight="1">
      <c r="A416" s="678" t="s">
        <v>2521</v>
      </c>
      <c r="B416" s="678" t="s">
        <v>2522</v>
      </c>
      <c r="C416" s="679" t="s">
        <v>152</v>
      </c>
      <c r="D416" s="679" t="s">
        <v>153</v>
      </c>
      <c r="G416" s="650" t="s">
        <v>1258</v>
      </c>
      <c r="H416" s="650" t="s">
        <v>2523</v>
      </c>
    </row>
    <row r="417" spans="1:8" ht="14.25" customHeight="1">
      <c r="A417" s="677" t="s">
        <v>2524</v>
      </c>
      <c r="B417" s="688" t="s">
        <v>2525</v>
      </c>
      <c r="C417" s="679" t="s">
        <v>152</v>
      </c>
      <c r="D417" s="679" t="s">
        <v>153</v>
      </c>
      <c r="G417" s="650" t="s">
        <v>1259</v>
      </c>
      <c r="H417" s="650" t="s">
        <v>2526</v>
      </c>
    </row>
    <row r="418" spans="1:8" ht="14.25" customHeight="1">
      <c r="A418" s="677" t="s">
        <v>2527</v>
      </c>
      <c r="B418" s="688" t="s">
        <v>2528</v>
      </c>
      <c r="C418" s="679" t="s">
        <v>152</v>
      </c>
      <c r="D418" s="679" t="s">
        <v>153</v>
      </c>
      <c r="G418" s="650" t="s">
        <v>1260</v>
      </c>
      <c r="H418" s="650" t="s">
        <v>2529</v>
      </c>
    </row>
    <row r="419" spans="1:8" ht="14.25" customHeight="1">
      <c r="A419" s="677" t="s">
        <v>2530</v>
      </c>
      <c r="B419" s="688" t="s">
        <v>2531</v>
      </c>
      <c r="C419" s="679" t="s">
        <v>152</v>
      </c>
      <c r="D419" s="679" t="s">
        <v>154</v>
      </c>
      <c r="G419" s="650" t="s">
        <v>1261</v>
      </c>
      <c r="H419" s="650" t="s">
        <v>2532</v>
      </c>
    </row>
    <row r="420" spans="1:8" ht="14.25" customHeight="1">
      <c r="A420" s="678" t="s">
        <v>2533</v>
      </c>
      <c r="B420" s="678" t="s">
        <v>2534</v>
      </c>
      <c r="C420" s="679" t="s">
        <v>152</v>
      </c>
      <c r="D420" s="679" t="s">
        <v>154</v>
      </c>
      <c r="G420" s="650" t="s">
        <v>1158</v>
      </c>
      <c r="H420" s="650" t="s">
        <v>2535</v>
      </c>
    </row>
    <row r="421" spans="1:8" ht="14.25" customHeight="1">
      <c r="A421" s="677" t="s">
        <v>2536</v>
      </c>
      <c r="B421" s="688" t="s">
        <v>2537</v>
      </c>
      <c r="C421" s="679" t="s">
        <v>152</v>
      </c>
      <c r="D421" s="679" t="s">
        <v>154</v>
      </c>
      <c r="G421" s="650" t="s">
        <v>805</v>
      </c>
      <c r="H421" s="650" t="s">
        <v>2538</v>
      </c>
    </row>
    <row r="422" spans="1:8" ht="14.25" customHeight="1">
      <c r="A422" s="677" t="s">
        <v>2539</v>
      </c>
      <c r="B422" s="688" t="s">
        <v>2540</v>
      </c>
      <c r="C422" s="679" t="s">
        <v>152</v>
      </c>
      <c r="D422" s="679" t="s">
        <v>154</v>
      </c>
      <c r="G422" s="650" t="s">
        <v>1166</v>
      </c>
      <c r="H422" s="650" t="s">
        <v>2541</v>
      </c>
    </row>
    <row r="423" spans="1:8" ht="14.25" customHeight="1">
      <c r="A423" s="689" t="s">
        <v>2542</v>
      </c>
      <c r="B423" s="678" t="s">
        <v>2543</v>
      </c>
      <c r="C423" s="679" t="s">
        <v>152</v>
      </c>
      <c r="D423" s="679" t="s">
        <v>154</v>
      </c>
      <c r="G423" s="650" t="s">
        <v>806</v>
      </c>
      <c r="H423" s="650" t="s">
        <v>2544</v>
      </c>
    </row>
    <row r="424" spans="1:8" ht="14.25" customHeight="1">
      <c r="A424" s="677" t="s">
        <v>2545</v>
      </c>
      <c r="B424" s="688" t="s">
        <v>2546</v>
      </c>
      <c r="C424" s="679" t="s">
        <v>152</v>
      </c>
      <c r="D424" s="679" t="s">
        <v>154</v>
      </c>
      <c r="G424" s="650" t="s">
        <v>1169</v>
      </c>
      <c r="H424" s="650" t="s">
        <v>2547</v>
      </c>
    </row>
    <row r="425" spans="1:8" ht="14.25" customHeight="1">
      <c r="A425" s="677" t="s">
        <v>2548</v>
      </c>
      <c r="B425" s="688" t="s">
        <v>2549</v>
      </c>
      <c r="C425" s="679" t="s">
        <v>152</v>
      </c>
      <c r="D425" s="679" t="s">
        <v>154</v>
      </c>
      <c r="G425" s="650" t="s">
        <v>1171</v>
      </c>
      <c r="H425" s="650" t="s">
        <v>2550</v>
      </c>
    </row>
    <row r="426" spans="1:8" ht="14.25" customHeight="1">
      <c r="A426" s="677" t="s">
        <v>2551</v>
      </c>
      <c r="B426" s="688" t="s">
        <v>2552</v>
      </c>
      <c r="C426" s="679" t="s">
        <v>152</v>
      </c>
      <c r="D426" s="679" t="s">
        <v>154</v>
      </c>
      <c r="G426" s="650" t="s">
        <v>1244</v>
      </c>
      <c r="H426" s="650" t="s">
        <v>2553</v>
      </c>
    </row>
    <row r="427" spans="1:8" ht="14.25" customHeight="1">
      <c r="A427" s="677" t="s">
        <v>2554</v>
      </c>
      <c r="B427" s="688" t="s">
        <v>2555</v>
      </c>
      <c r="C427" s="679" t="s">
        <v>152</v>
      </c>
      <c r="D427" s="679" t="s">
        <v>154</v>
      </c>
      <c r="G427" s="650" t="s">
        <v>1175</v>
      </c>
      <c r="H427" s="650" t="s">
        <v>2556</v>
      </c>
    </row>
    <row r="428" spans="1:8" ht="14.25" customHeight="1">
      <c r="A428" s="677" t="s">
        <v>2557</v>
      </c>
      <c r="B428" s="688" t="s">
        <v>2558</v>
      </c>
      <c r="C428" s="679" t="s">
        <v>152</v>
      </c>
      <c r="D428" s="679" t="s">
        <v>154</v>
      </c>
      <c r="G428" s="650" t="s">
        <v>1245</v>
      </c>
      <c r="H428" s="650" t="s">
        <v>2559</v>
      </c>
    </row>
    <row r="429" spans="1:8" ht="14.25" customHeight="1">
      <c r="A429" s="689" t="s">
        <v>2560</v>
      </c>
      <c r="B429" s="678" t="s">
        <v>2561</v>
      </c>
      <c r="C429" s="679" t="s">
        <v>152</v>
      </c>
      <c r="D429" s="679" t="s">
        <v>154</v>
      </c>
      <c r="G429" s="650" t="s">
        <v>1229</v>
      </c>
      <c r="H429" s="650" t="s">
        <v>2562</v>
      </c>
    </row>
    <row r="430" spans="1:8" ht="14.25" customHeight="1">
      <c r="A430" s="677" t="s">
        <v>2563</v>
      </c>
      <c r="B430" s="688" t="s">
        <v>2564</v>
      </c>
      <c r="C430" s="679" t="s">
        <v>152</v>
      </c>
      <c r="D430" s="679" t="s">
        <v>154</v>
      </c>
      <c r="G430" s="650" t="s">
        <v>1179</v>
      </c>
      <c r="H430" s="650" t="s">
        <v>2565</v>
      </c>
    </row>
    <row r="431" spans="1:8" ht="14.25" customHeight="1">
      <c r="A431" s="677" t="s">
        <v>2566</v>
      </c>
      <c r="B431" s="688" t="s">
        <v>2567</v>
      </c>
      <c r="C431" s="679" t="s">
        <v>152</v>
      </c>
      <c r="D431" s="679" t="s">
        <v>154</v>
      </c>
      <c r="G431" s="650" t="s">
        <v>1181</v>
      </c>
      <c r="H431" s="650" t="s">
        <v>2568</v>
      </c>
    </row>
    <row r="432" spans="1:8" ht="14.25" customHeight="1">
      <c r="A432" s="677" t="s">
        <v>2569</v>
      </c>
      <c r="B432" s="688" t="s">
        <v>2570</v>
      </c>
      <c r="C432" s="679" t="s">
        <v>152</v>
      </c>
      <c r="D432" s="679" t="s">
        <v>154</v>
      </c>
      <c r="G432" s="650" t="s">
        <v>1231</v>
      </c>
      <c r="H432" s="650" t="s">
        <v>2571</v>
      </c>
    </row>
    <row r="433" spans="1:8" ht="14.25" customHeight="1">
      <c r="A433" s="677" t="s">
        <v>2572</v>
      </c>
      <c r="B433" s="688" t="s">
        <v>2573</v>
      </c>
      <c r="C433" s="679" t="s">
        <v>152</v>
      </c>
      <c r="D433" s="679" t="s">
        <v>154</v>
      </c>
      <c r="G433" s="650" t="s">
        <v>807</v>
      </c>
      <c r="H433" s="650" t="s">
        <v>2574</v>
      </c>
    </row>
    <row r="434" spans="1:8" ht="14.25" customHeight="1">
      <c r="A434" s="677" t="s">
        <v>2575</v>
      </c>
      <c r="B434" s="688" t="s">
        <v>2576</v>
      </c>
      <c r="C434" s="679" t="s">
        <v>152</v>
      </c>
      <c r="D434" s="679" t="s">
        <v>154</v>
      </c>
      <c r="G434" s="650" t="s">
        <v>1187</v>
      </c>
      <c r="H434" s="650" t="s">
        <v>2577</v>
      </c>
    </row>
    <row r="435" spans="1:8" ht="14.25" customHeight="1">
      <c r="A435" s="689" t="s">
        <v>2578</v>
      </c>
      <c r="B435" s="678" t="s">
        <v>2579</v>
      </c>
      <c r="C435" s="679" t="s">
        <v>152</v>
      </c>
      <c r="D435" s="679" t="s">
        <v>154</v>
      </c>
      <c r="G435" s="650" t="s">
        <v>1395</v>
      </c>
      <c r="H435" s="650" t="s">
        <v>2580</v>
      </c>
    </row>
    <row r="436" spans="1:8" ht="14.25" customHeight="1">
      <c r="A436" s="677" t="s">
        <v>2581</v>
      </c>
      <c r="B436" s="688" t="s">
        <v>2582</v>
      </c>
      <c r="C436" s="679" t="s">
        <v>152</v>
      </c>
      <c r="D436" s="679" t="s">
        <v>154</v>
      </c>
      <c r="G436" s="650" t="s">
        <v>1191</v>
      </c>
      <c r="H436" s="650" t="s">
        <v>2583</v>
      </c>
    </row>
    <row r="437" spans="1:8" ht="14.25" customHeight="1">
      <c r="A437" s="677" t="s">
        <v>2584</v>
      </c>
      <c r="B437" s="688" t="s">
        <v>2585</v>
      </c>
      <c r="C437" s="679" t="s">
        <v>152</v>
      </c>
      <c r="D437" s="679" t="s">
        <v>154</v>
      </c>
      <c r="G437" s="650" t="s">
        <v>1193</v>
      </c>
      <c r="H437" s="650" t="s">
        <v>2586</v>
      </c>
    </row>
    <row r="438" spans="1:8" ht="14.25" customHeight="1">
      <c r="A438" s="689" t="s">
        <v>2587</v>
      </c>
      <c r="B438" s="678" t="s">
        <v>2588</v>
      </c>
      <c r="C438" s="679" t="s">
        <v>152</v>
      </c>
      <c r="D438" s="679" t="s">
        <v>153</v>
      </c>
      <c r="G438" s="650" t="s">
        <v>1195</v>
      </c>
      <c r="H438" s="650" t="s">
        <v>2589</v>
      </c>
    </row>
    <row r="439" spans="1:8" ht="14.25" customHeight="1">
      <c r="A439" s="689" t="s">
        <v>2590</v>
      </c>
      <c r="B439" s="678" t="s">
        <v>2591</v>
      </c>
      <c r="C439" s="679" t="s">
        <v>152</v>
      </c>
      <c r="D439" s="679" t="s">
        <v>153</v>
      </c>
      <c r="G439" s="650" t="s">
        <v>808</v>
      </c>
      <c r="H439" s="650" t="s">
        <v>1267</v>
      </c>
    </row>
    <row r="440" spans="1:8" ht="14.25" customHeight="1">
      <c r="A440" s="677" t="s">
        <v>2592</v>
      </c>
      <c r="B440" s="688" t="s">
        <v>2593</v>
      </c>
      <c r="C440" s="679" t="s">
        <v>152</v>
      </c>
      <c r="D440" s="679" t="s">
        <v>153</v>
      </c>
      <c r="G440" s="650" t="s">
        <v>1197</v>
      </c>
      <c r="H440" s="650" t="s">
        <v>2594</v>
      </c>
    </row>
    <row r="441" spans="1:8" ht="14.25" customHeight="1">
      <c r="A441" s="689" t="s">
        <v>2595</v>
      </c>
      <c r="B441" s="678" t="s">
        <v>2596</v>
      </c>
      <c r="C441" s="679" t="s">
        <v>152</v>
      </c>
      <c r="D441" s="679" t="s">
        <v>153</v>
      </c>
      <c r="G441" s="650" t="s">
        <v>1199</v>
      </c>
      <c r="H441" s="650" t="s">
        <v>2597</v>
      </c>
    </row>
    <row r="442" spans="1:8" ht="14.25" customHeight="1">
      <c r="A442" s="677" t="s">
        <v>2598</v>
      </c>
      <c r="B442" s="688" t="s">
        <v>2599</v>
      </c>
      <c r="C442" s="679" t="s">
        <v>152</v>
      </c>
      <c r="D442" s="679" t="s">
        <v>154</v>
      </c>
      <c r="G442" s="650" t="s">
        <v>1201</v>
      </c>
      <c r="H442" s="650" t="s">
        <v>2600</v>
      </c>
    </row>
    <row r="443" spans="1:8" ht="14.25" customHeight="1">
      <c r="A443" s="689" t="s">
        <v>2601</v>
      </c>
      <c r="B443" s="678" t="s">
        <v>2602</v>
      </c>
      <c r="C443" s="679" t="s">
        <v>152</v>
      </c>
      <c r="D443" s="679" t="s">
        <v>154</v>
      </c>
      <c r="G443" s="650" t="s">
        <v>1203</v>
      </c>
      <c r="H443" s="650" t="s">
        <v>2603</v>
      </c>
    </row>
    <row r="444" spans="1:8" ht="14.25" customHeight="1">
      <c r="A444" s="689" t="s">
        <v>2604</v>
      </c>
      <c r="B444" s="678" t="s">
        <v>2605</v>
      </c>
      <c r="C444" s="679" t="s">
        <v>152</v>
      </c>
      <c r="D444" s="679" t="s">
        <v>154</v>
      </c>
      <c r="G444" s="650" t="s">
        <v>1265</v>
      </c>
      <c r="H444" s="650" t="s">
        <v>2606</v>
      </c>
    </row>
    <row r="445" spans="1:8" ht="14.25" customHeight="1">
      <c r="A445" s="689" t="s">
        <v>2607</v>
      </c>
      <c r="B445" s="678" t="s">
        <v>2608</v>
      </c>
      <c r="C445" s="679" t="s">
        <v>152</v>
      </c>
      <c r="D445" s="679" t="s">
        <v>154</v>
      </c>
      <c r="G445" s="650" t="s">
        <v>1209</v>
      </c>
      <c r="H445" s="650" t="s">
        <v>2609</v>
      </c>
    </row>
    <row r="446" spans="1:8" ht="14.25" customHeight="1">
      <c r="A446" s="677" t="s">
        <v>1078</v>
      </c>
      <c r="B446" s="688" t="s">
        <v>2610</v>
      </c>
      <c r="C446" s="679" t="s">
        <v>180</v>
      </c>
      <c r="D446" s="679" t="s">
        <v>182</v>
      </c>
      <c r="G446" s="650" t="s">
        <v>1211</v>
      </c>
      <c r="H446" s="650" t="s">
        <v>2611</v>
      </c>
    </row>
    <row r="447" spans="1:8" ht="14.25" customHeight="1">
      <c r="A447" s="689" t="s">
        <v>2612</v>
      </c>
      <c r="B447" s="678" t="s">
        <v>2613</v>
      </c>
      <c r="C447" s="679" t="s">
        <v>180</v>
      </c>
      <c r="D447" s="679" t="s">
        <v>97</v>
      </c>
      <c r="G447" s="650" t="s">
        <v>1389</v>
      </c>
      <c r="H447" s="650" t="s">
        <v>2614</v>
      </c>
    </row>
    <row r="448" spans="1:8" ht="14.25" customHeight="1">
      <c r="A448" s="678" t="s">
        <v>2615</v>
      </c>
      <c r="B448" s="678" t="s">
        <v>2616</v>
      </c>
      <c r="C448" s="679"/>
      <c r="D448" s="679"/>
      <c r="G448" s="650" t="s">
        <v>809</v>
      </c>
      <c r="H448" s="650" t="s">
        <v>2617</v>
      </c>
    </row>
    <row r="449" spans="1:8" ht="14.25" customHeight="1">
      <c r="A449" s="677" t="s">
        <v>2618</v>
      </c>
      <c r="B449" s="688" t="s">
        <v>2619</v>
      </c>
      <c r="C449" s="679" t="s">
        <v>180</v>
      </c>
      <c r="D449" s="679" t="s">
        <v>184</v>
      </c>
      <c r="G449" s="650" t="s">
        <v>1268</v>
      </c>
      <c r="H449" s="650" t="s">
        <v>2620</v>
      </c>
    </row>
    <row r="450" spans="1:8" ht="14.25" customHeight="1">
      <c r="A450" s="689" t="s">
        <v>2621</v>
      </c>
      <c r="B450" s="678" t="s">
        <v>2622</v>
      </c>
      <c r="C450" s="679" t="s">
        <v>180</v>
      </c>
      <c r="D450" s="679" t="s">
        <v>184</v>
      </c>
      <c r="G450" s="650" t="s">
        <v>1269</v>
      </c>
      <c r="H450" s="650" t="s">
        <v>2623</v>
      </c>
    </row>
    <row r="451" spans="1:8" ht="14.25" customHeight="1">
      <c r="A451" s="688" t="s">
        <v>2624</v>
      </c>
      <c r="B451" s="688" t="s">
        <v>2616</v>
      </c>
      <c r="C451" s="679"/>
      <c r="D451" s="679"/>
      <c r="G451" s="650" t="s">
        <v>1270</v>
      </c>
      <c r="H451" s="650" t="s">
        <v>2625</v>
      </c>
    </row>
    <row r="452" spans="1:8" ht="14.25" customHeight="1">
      <c r="A452" s="688" t="s">
        <v>1084</v>
      </c>
      <c r="B452" s="688" t="s">
        <v>2626</v>
      </c>
      <c r="C452" s="679" t="s">
        <v>180</v>
      </c>
      <c r="D452" s="679" t="s">
        <v>185</v>
      </c>
      <c r="G452" s="650" t="s">
        <v>1271</v>
      </c>
      <c r="H452" s="650" t="s">
        <v>2627</v>
      </c>
    </row>
    <row r="453" spans="1:8" ht="14.25" customHeight="1">
      <c r="A453" s="689" t="s">
        <v>2628</v>
      </c>
      <c r="B453" s="678" t="s">
        <v>2629</v>
      </c>
      <c r="C453" s="679" t="s">
        <v>180</v>
      </c>
      <c r="D453" s="679" t="s">
        <v>185</v>
      </c>
      <c r="G453" s="650" t="s">
        <v>1272</v>
      </c>
      <c r="H453" s="650" t="s">
        <v>2630</v>
      </c>
    </row>
    <row r="454" spans="1:8" ht="14.25" customHeight="1">
      <c r="A454" s="689" t="s">
        <v>2631</v>
      </c>
      <c r="B454" s="678" t="s">
        <v>2616</v>
      </c>
      <c r="C454" s="679"/>
      <c r="D454" s="679"/>
      <c r="G454" s="650" t="s">
        <v>1273</v>
      </c>
      <c r="H454" s="650" t="s">
        <v>2632</v>
      </c>
    </row>
    <row r="455" spans="1:8" ht="14.25" customHeight="1">
      <c r="A455" s="688" t="s">
        <v>2633</v>
      </c>
      <c r="B455" s="688" t="s">
        <v>2634</v>
      </c>
      <c r="C455" s="679" t="s">
        <v>180</v>
      </c>
      <c r="D455" s="679" t="s">
        <v>184</v>
      </c>
      <c r="G455" s="650" t="s">
        <v>810</v>
      </c>
      <c r="H455" s="650" t="s">
        <v>2635</v>
      </c>
    </row>
    <row r="456" spans="1:8" ht="14.25" customHeight="1">
      <c r="A456" s="689" t="s">
        <v>2636</v>
      </c>
      <c r="B456" s="678" t="s">
        <v>2637</v>
      </c>
      <c r="C456" s="679" t="s">
        <v>180</v>
      </c>
      <c r="D456" s="679" t="s">
        <v>184</v>
      </c>
      <c r="G456" s="650" t="s">
        <v>811</v>
      </c>
      <c r="H456" s="650" t="s">
        <v>2638</v>
      </c>
    </row>
    <row r="457" spans="1:8" ht="14.25" customHeight="1">
      <c r="A457" s="677" t="s">
        <v>2639</v>
      </c>
      <c r="B457" s="688" t="s">
        <v>2640</v>
      </c>
      <c r="C457" s="679" t="s">
        <v>180</v>
      </c>
      <c r="D457" s="679" t="s">
        <v>182</v>
      </c>
      <c r="G457" s="650" t="s">
        <v>812</v>
      </c>
      <c r="H457" s="650" t="s">
        <v>2641</v>
      </c>
    </row>
    <row r="458" spans="1:8" ht="14.25" customHeight="1">
      <c r="A458" s="677" t="s">
        <v>2642</v>
      </c>
      <c r="B458" s="688" t="s">
        <v>2643</v>
      </c>
      <c r="C458" s="679" t="s">
        <v>180</v>
      </c>
      <c r="D458" s="679" t="s">
        <v>194</v>
      </c>
      <c r="G458" s="650" t="s">
        <v>813</v>
      </c>
      <c r="H458" s="650" t="s">
        <v>2644</v>
      </c>
    </row>
    <row r="459" spans="1:8" ht="14.25" customHeight="1">
      <c r="A459" s="689" t="s">
        <v>2645</v>
      </c>
      <c r="B459" s="678" t="s">
        <v>2646</v>
      </c>
      <c r="C459" s="679" t="s">
        <v>1325</v>
      </c>
      <c r="D459" s="679" t="s">
        <v>97</v>
      </c>
      <c r="G459" s="650" t="s">
        <v>1158</v>
      </c>
      <c r="H459" s="650" t="s">
        <v>2647</v>
      </c>
    </row>
    <row r="460" spans="1:8" ht="14.25" customHeight="1">
      <c r="A460" s="677" t="s">
        <v>2648</v>
      </c>
      <c r="B460" s="688" t="s">
        <v>2649</v>
      </c>
      <c r="C460" s="679" t="s">
        <v>1325</v>
      </c>
      <c r="D460" s="679" t="s">
        <v>183</v>
      </c>
      <c r="G460" s="650" t="s">
        <v>1397</v>
      </c>
      <c r="H460" s="650" t="s">
        <v>2650</v>
      </c>
    </row>
    <row r="461" spans="1:8" ht="14.25" customHeight="1">
      <c r="A461" s="688" t="s">
        <v>2651</v>
      </c>
      <c r="B461" s="688" t="s">
        <v>2652</v>
      </c>
      <c r="C461" s="679" t="s">
        <v>180</v>
      </c>
      <c r="D461" s="679" t="s">
        <v>183</v>
      </c>
      <c r="G461" s="650" t="s">
        <v>1166</v>
      </c>
      <c r="H461" s="650" t="s">
        <v>2653</v>
      </c>
    </row>
    <row r="462" spans="1:8" ht="14.25" customHeight="1">
      <c r="A462" s="689" t="s">
        <v>2654</v>
      </c>
      <c r="B462" s="678" t="s">
        <v>2655</v>
      </c>
      <c r="C462" s="679" t="s">
        <v>180</v>
      </c>
      <c r="D462" s="679" t="s">
        <v>97</v>
      </c>
      <c r="G462" s="650" t="s">
        <v>1274</v>
      </c>
      <c r="H462" s="650" t="s">
        <v>2656</v>
      </c>
    </row>
    <row r="463" spans="1:8" ht="14.25" customHeight="1">
      <c r="A463" s="688" t="s">
        <v>2657</v>
      </c>
      <c r="B463" s="688" t="s">
        <v>2658</v>
      </c>
      <c r="C463" s="679" t="s">
        <v>180</v>
      </c>
      <c r="D463" s="679" t="s">
        <v>183</v>
      </c>
      <c r="G463" s="650" t="s">
        <v>1171</v>
      </c>
      <c r="H463" s="650" t="s">
        <v>2659</v>
      </c>
    </row>
    <row r="464" spans="1:8" ht="14.25" customHeight="1">
      <c r="A464" s="689" t="s">
        <v>2660</v>
      </c>
      <c r="B464" s="678" t="s">
        <v>2661</v>
      </c>
      <c r="C464" s="679" t="s">
        <v>180</v>
      </c>
      <c r="D464" s="679" t="s">
        <v>97</v>
      </c>
      <c r="G464" s="650" t="s">
        <v>1173</v>
      </c>
      <c r="H464" s="650" t="s">
        <v>2662</v>
      </c>
    </row>
    <row r="465" spans="1:8" ht="14.25" customHeight="1">
      <c r="A465" s="677" t="s">
        <v>2663</v>
      </c>
      <c r="B465" s="688" t="s">
        <v>2664</v>
      </c>
      <c r="C465" s="679" t="s">
        <v>180</v>
      </c>
      <c r="D465" s="679" t="s">
        <v>183</v>
      </c>
      <c r="G465" s="650" t="s">
        <v>1175</v>
      </c>
      <c r="H465" s="650" t="s">
        <v>2665</v>
      </c>
    </row>
    <row r="466" spans="1:8" ht="14.25" customHeight="1">
      <c r="A466" s="689" t="s">
        <v>2666</v>
      </c>
      <c r="B466" s="678" t="s">
        <v>2667</v>
      </c>
      <c r="C466" s="679" t="s">
        <v>1325</v>
      </c>
      <c r="D466" s="679" t="s">
        <v>183</v>
      </c>
      <c r="G466" s="650" t="s">
        <v>1275</v>
      </c>
      <c r="H466" s="650" t="s">
        <v>2668</v>
      </c>
    </row>
    <row r="467" spans="1:8" ht="14.25" customHeight="1">
      <c r="A467" s="677" t="s">
        <v>2669</v>
      </c>
      <c r="B467" s="688" t="s">
        <v>2670</v>
      </c>
      <c r="C467" s="679" t="s">
        <v>180</v>
      </c>
      <c r="D467" s="679" t="s">
        <v>186</v>
      </c>
      <c r="G467" s="650" t="s">
        <v>1179</v>
      </c>
      <c r="H467" s="650" t="s">
        <v>2671</v>
      </c>
    </row>
    <row r="468" spans="1:8" ht="14.25" customHeight="1">
      <c r="A468" s="689" t="s">
        <v>2672</v>
      </c>
      <c r="B468" s="678" t="s">
        <v>2673</v>
      </c>
      <c r="C468" s="679" t="s">
        <v>180</v>
      </c>
      <c r="D468" s="679" t="s">
        <v>97</v>
      </c>
      <c r="G468" s="650" t="s">
        <v>1181</v>
      </c>
      <c r="H468" s="650" t="s">
        <v>2674</v>
      </c>
    </row>
    <row r="469" spans="1:8" ht="14.25" customHeight="1">
      <c r="A469" s="677" t="s">
        <v>2675</v>
      </c>
      <c r="B469" s="688" t="s">
        <v>2676</v>
      </c>
      <c r="C469" s="679" t="s">
        <v>180</v>
      </c>
      <c r="D469" s="679" t="s">
        <v>186</v>
      </c>
      <c r="G469" s="650" t="s">
        <v>1276</v>
      </c>
      <c r="H469" s="650" t="s">
        <v>2677</v>
      </c>
    </row>
    <row r="470" spans="1:8" ht="14.25" customHeight="1">
      <c r="A470" s="689" t="s">
        <v>2678</v>
      </c>
      <c r="B470" s="678" t="s">
        <v>2679</v>
      </c>
      <c r="C470" s="679" t="s">
        <v>1325</v>
      </c>
      <c r="D470" s="679" t="s">
        <v>97</v>
      </c>
      <c r="G470" s="650" t="s">
        <v>1231</v>
      </c>
      <c r="H470" s="650" t="s">
        <v>2680</v>
      </c>
    </row>
    <row r="471" spans="1:8" ht="14.25" customHeight="1">
      <c r="A471" s="677" t="s">
        <v>2681</v>
      </c>
      <c r="B471" s="688" t="s">
        <v>2682</v>
      </c>
      <c r="C471" s="679" t="s">
        <v>180</v>
      </c>
      <c r="D471" s="679" t="s">
        <v>2683</v>
      </c>
      <c r="G471" s="650" t="s">
        <v>1187</v>
      </c>
      <c r="H471" s="650" t="s">
        <v>2684</v>
      </c>
    </row>
    <row r="472" spans="1:8" ht="14.25" customHeight="1">
      <c r="A472" s="689" t="s">
        <v>2685</v>
      </c>
      <c r="B472" s="678" t="s">
        <v>2686</v>
      </c>
      <c r="C472" s="679" t="s">
        <v>180</v>
      </c>
      <c r="D472" s="679" t="s">
        <v>97</v>
      </c>
      <c r="G472" s="650" t="s">
        <v>1189</v>
      </c>
      <c r="H472" s="650" t="s">
        <v>2687</v>
      </c>
    </row>
    <row r="473" spans="1:8" ht="14.25" customHeight="1">
      <c r="A473" s="677" t="s">
        <v>2688</v>
      </c>
      <c r="B473" s="688" t="s">
        <v>2689</v>
      </c>
      <c r="C473" s="679" t="s">
        <v>180</v>
      </c>
      <c r="D473" s="679" t="s">
        <v>191</v>
      </c>
      <c r="G473" s="650" t="s">
        <v>1191</v>
      </c>
      <c r="H473" s="650" t="s">
        <v>2690</v>
      </c>
    </row>
    <row r="474" spans="1:8" ht="14.25" customHeight="1">
      <c r="A474" s="689" t="s">
        <v>2691</v>
      </c>
      <c r="B474" s="678" t="s">
        <v>2692</v>
      </c>
      <c r="C474" s="679" t="s">
        <v>1325</v>
      </c>
      <c r="D474" s="679" t="s">
        <v>97</v>
      </c>
      <c r="G474" s="650" t="s">
        <v>1193</v>
      </c>
      <c r="H474" s="650" t="s">
        <v>2693</v>
      </c>
    </row>
    <row r="475" spans="1:8" ht="14.25" customHeight="1">
      <c r="A475" s="685" t="s">
        <v>2694</v>
      </c>
      <c r="B475" s="685" t="s">
        <v>2695</v>
      </c>
      <c r="C475" s="679" t="s">
        <v>92</v>
      </c>
      <c r="D475" s="679" t="s">
        <v>97</v>
      </c>
      <c r="G475" s="650" t="s">
        <v>1195</v>
      </c>
      <c r="H475" s="650" t="s">
        <v>2696</v>
      </c>
    </row>
    <row r="476" spans="1:8" ht="14.25" customHeight="1">
      <c r="A476" s="690" t="s">
        <v>2697</v>
      </c>
      <c r="B476" s="685" t="s">
        <v>2057</v>
      </c>
      <c r="C476" s="679" t="s">
        <v>92</v>
      </c>
      <c r="D476" s="679" t="s">
        <v>97</v>
      </c>
      <c r="G476" s="650" t="s">
        <v>1197</v>
      </c>
      <c r="H476" s="650" t="s">
        <v>2698</v>
      </c>
    </row>
    <row r="477" spans="1:8" ht="14.25" customHeight="1">
      <c r="A477" s="690" t="s">
        <v>2699</v>
      </c>
      <c r="B477" s="685" t="s">
        <v>2700</v>
      </c>
      <c r="C477" s="679" t="s">
        <v>92</v>
      </c>
      <c r="D477" s="679" t="s">
        <v>97</v>
      </c>
      <c r="G477" s="650" t="s">
        <v>1199</v>
      </c>
      <c r="H477" s="650" t="s">
        <v>2701</v>
      </c>
    </row>
    <row r="478" spans="1:8" ht="14.25" customHeight="1">
      <c r="A478" s="690" t="s">
        <v>2702</v>
      </c>
      <c r="B478" s="685" t="s">
        <v>2703</v>
      </c>
      <c r="C478" s="679" t="s">
        <v>92</v>
      </c>
      <c r="D478" s="679" t="s">
        <v>98</v>
      </c>
      <c r="G478" s="650" t="s">
        <v>1201</v>
      </c>
      <c r="H478" s="650" t="s">
        <v>2704</v>
      </c>
    </row>
    <row r="479" spans="1:8" ht="14.25" customHeight="1">
      <c r="A479" s="720" t="s">
        <v>2705</v>
      </c>
      <c r="B479" s="722" t="s">
        <v>2706</v>
      </c>
      <c r="C479" s="679" t="s">
        <v>92</v>
      </c>
      <c r="D479" s="679" t="s">
        <v>98</v>
      </c>
      <c r="G479" s="650" t="s">
        <v>1203</v>
      </c>
      <c r="H479" s="650" t="s">
        <v>2707</v>
      </c>
    </row>
    <row r="480" spans="1:8" ht="14.25" customHeight="1">
      <c r="A480" s="690" t="s">
        <v>2708</v>
      </c>
      <c r="B480" s="685" t="s">
        <v>2709</v>
      </c>
      <c r="C480" s="679" t="s">
        <v>92</v>
      </c>
      <c r="D480" s="679" t="s">
        <v>97</v>
      </c>
      <c r="G480" s="650" t="s">
        <v>1277</v>
      </c>
      <c r="H480" s="650" t="s">
        <v>2710</v>
      </c>
    </row>
    <row r="481" spans="1:8" ht="14.25" customHeight="1">
      <c r="A481" s="690" t="s">
        <v>2711</v>
      </c>
      <c r="B481" s="685" t="s">
        <v>2712</v>
      </c>
      <c r="C481" s="679" t="s">
        <v>92</v>
      </c>
      <c r="D481" s="679" t="s">
        <v>98</v>
      </c>
      <c r="G481" s="650" t="s">
        <v>1209</v>
      </c>
      <c r="H481" s="650" t="s">
        <v>2713</v>
      </c>
    </row>
    <row r="482" spans="1:8" ht="14.25" customHeight="1">
      <c r="A482" s="677" t="s">
        <v>2714</v>
      </c>
      <c r="B482" s="688" t="s">
        <v>2715</v>
      </c>
      <c r="C482" s="679" t="s">
        <v>92</v>
      </c>
      <c r="D482" s="679" t="s">
        <v>98</v>
      </c>
      <c r="G482" s="650" t="s">
        <v>1211</v>
      </c>
      <c r="H482" s="650" t="s">
        <v>2716</v>
      </c>
    </row>
    <row r="483" spans="1:8" ht="14.25" customHeight="1">
      <c r="A483" s="690" t="s">
        <v>2717</v>
      </c>
      <c r="B483" s="685" t="s">
        <v>2718</v>
      </c>
      <c r="C483" s="679" t="s">
        <v>92</v>
      </c>
      <c r="D483" s="679" t="s">
        <v>97</v>
      </c>
      <c r="G483" s="650" t="s">
        <v>1389</v>
      </c>
      <c r="H483" s="650" t="s">
        <v>2719</v>
      </c>
    </row>
    <row r="484" spans="1:8" ht="14.25" customHeight="1">
      <c r="A484" s="690" t="s">
        <v>2720</v>
      </c>
      <c r="B484" s="685" t="s">
        <v>2721</v>
      </c>
      <c r="C484" s="679" t="s">
        <v>92</v>
      </c>
      <c r="D484" s="679" t="s">
        <v>97</v>
      </c>
      <c r="G484" s="650" t="s">
        <v>814</v>
      </c>
      <c r="H484" s="650" t="s">
        <v>2722</v>
      </c>
    </row>
    <row r="485" spans="1:8" ht="14.25" customHeight="1">
      <c r="A485" s="690" t="s">
        <v>2723</v>
      </c>
      <c r="B485" s="685" t="s">
        <v>2724</v>
      </c>
      <c r="C485" s="679" t="s">
        <v>92</v>
      </c>
      <c r="D485" s="679" t="s">
        <v>97</v>
      </c>
      <c r="G485" s="650" t="s">
        <v>1279</v>
      </c>
      <c r="H485" s="650" t="s">
        <v>2725</v>
      </c>
    </row>
    <row r="486" spans="1:8" ht="14.25" customHeight="1">
      <c r="A486" s="690" t="s">
        <v>2726</v>
      </c>
      <c r="B486" s="685" t="s">
        <v>2727</v>
      </c>
      <c r="C486" s="679" t="s">
        <v>92</v>
      </c>
      <c r="D486" s="679" t="s">
        <v>97</v>
      </c>
      <c r="G486" s="650" t="s">
        <v>1280</v>
      </c>
      <c r="H486" s="650" t="s">
        <v>2728</v>
      </c>
    </row>
    <row r="487" spans="1:8" ht="14.25" customHeight="1">
      <c r="A487" s="690" t="s">
        <v>2729</v>
      </c>
      <c r="B487" s="685" t="s">
        <v>2730</v>
      </c>
      <c r="C487" s="679" t="s">
        <v>92</v>
      </c>
      <c r="D487" s="679" t="s">
        <v>97</v>
      </c>
      <c r="G487" s="650" t="s">
        <v>1281</v>
      </c>
      <c r="H487" s="650" t="s">
        <v>2731</v>
      </c>
    </row>
    <row r="488" spans="1:8" ht="14.25" customHeight="1">
      <c r="A488" s="690" t="s">
        <v>2732</v>
      </c>
      <c r="B488" s="685" t="s">
        <v>2733</v>
      </c>
      <c r="C488" s="679" t="s">
        <v>92</v>
      </c>
      <c r="D488" s="679" t="s">
        <v>97</v>
      </c>
      <c r="G488" s="650" t="s">
        <v>1282</v>
      </c>
      <c r="H488" s="650" t="s">
        <v>2734</v>
      </c>
    </row>
    <row r="489" spans="1:8" ht="14.25" customHeight="1">
      <c r="A489" s="690" t="s">
        <v>2735</v>
      </c>
      <c r="B489" s="685" t="s">
        <v>2736</v>
      </c>
      <c r="C489" s="679" t="s">
        <v>92</v>
      </c>
      <c r="D489" s="679" t="s">
        <v>97</v>
      </c>
      <c r="G489" s="650" t="s">
        <v>1283</v>
      </c>
      <c r="H489" s="650" t="s">
        <v>2737</v>
      </c>
    </row>
    <row r="490" spans="1:8" ht="14.25" customHeight="1">
      <c r="A490" s="690" t="s">
        <v>2738</v>
      </c>
      <c r="B490" s="685" t="s">
        <v>2739</v>
      </c>
      <c r="C490" s="679" t="s">
        <v>92</v>
      </c>
      <c r="D490" s="679" t="s">
        <v>97</v>
      </c>
      <c r="G490" s="650" t="s">
        <v>1284</v>
      </c>
      <c r="H490" s="650" t="s">
        <v>2740</v>
      </c>
    </row>
    <row r="491" spans="1:8" ht="14.25" customHeight="1">
      <c r="A491" s="685" t="s">
        <v>2741</v>
      </c>
      <c r="B491" s="685" t="s">
        <v>2739</v>
      </c>
      <c r="C491" s="679" t="s">
        <v>92</v>
      </c>
      <c r="D491" s="679" t="s">
        <v>97</v>
      </c>
      <c r="G491" s="650" t="s">
        <v>726</v>
      </c>
      <c r="H491" s="650" t="s">
        <v>2742</v>
      </c>
    </row>
    <row r="492" spans="1:8" ht="14.25" customHeight="1">
      <c r="A492" s="690" t="s">
        <v>2743</v>
      </c>
      <c r="B492" s="685" t="s">
        <v>2744</v>
      </c>
      <c r="C492" s="679" t="s">
        <v>92</v>
      </c>
      <c r="D492" s="679" t="s">
        <v>97</v>
      </c>
      <c r="G492" s="650" t="s">
        <v>727</v>
      </c>
      <c r="H492" s="650" t="s">
        <v>2745</v>
      </c>
    </row>
    <row r="493" spans="1:8" ht="14.25" customHeight="1">
      <c r="A493" s="690" t="s">
        <v>2746</v>
      </c>
      <c r="B493" s="685" t="s">
        <v>2747</v>
      </c>
      <c r="C493" s="679" t="s">
        <v>92</v>
      </c>
      <c r="D493" s="679" t="s">
        <v>97</v>
      </c>
      <c r="G493" s="650" t="s">
        <v>728</v>
      </c>
      <c r="H493" s="650" t="s">
        <v>2748</v>
      </c>
    </row>
    <row r="494" spans="1:8" ht="14.25" customHeight="1">
      <c r="A494" s="690" t="s">
        <v>2749</v>
      </c>
      <c r="B494" s="685" t="s">
        <v>2750</v>
      </c>
      <c r="C494" s="679" t="s">
        <v>92</v>
      </c>
      <c r="D494" s="679" t="s">
        <v>97</v>
      </c>
      <c r="G494" s="650" t="s">
        <v>1287</v>
      </c>
      <c r="H494" s="650" t="s">
        <v>2751</v>
      </c>
    </row>
    <row r="495" spans="1:8" ht="14.25" customHeight="1">
      <c r="A495" s="677" t="s">
        <v>2752</v>
      </c>
      <c r="B495" s="685" t="s">
        <v>2753</v>
      </c>
      <c r="C495" s="679" t="s">
        <v>92</v>
      </c>
      <c r="D495" s="679" t="s">
        <v>98</v>
      </c>
      <c r="G495" s="650" t="s">
        <v>1288</v>
      </c>
      <c r="H495" s="650" t="s">
        <v>1289</v>
      </c>
    </row>
    <row r="496" spans="1:8" ht="14.25" customHeight="1">
      <c r="A496" s="690" t="s">
        <v>2754</v>
      </c>
      <c r="B496" s="685" t="s">
        <v>2755</v>
      </c>
      <c r="C496" s="679" t="s">
        <v>92</v>
      </c>
      <c r="D496" s="679" t="s">
        <v>97</v>
      </c>
      <c r="G496" s="650" t="s">
        <v>1400</v>
      </c>
      <c r="H496" s="650" t="s">
        <v>2756</v>
      </c>
    </row>
    <row r="497" spans="1:8" ht="14.25" customHeight="1">
      <c r="A497" s="698" t="s">
        <v>2757</v>
      </c>
      <c r="B497" s="679" t="s">
        <v>2758</v>
      </c>
      <c r="C497" s="679" t="s">
        <v>92</v>
      </c>
      <c r="D497" s="679" t="s">
        <v>97</v>
      </c>
      <c r="G497" s="650" t="s">
        <v>1290</v>
      </c>
      <c r="H497" s="650" t="s">
        <v>1291</v>
      </c>
    </row>
    <row r="498" spans="1:8" ht="14.25" customHeight="1">
      <c r="A498" s="690" t="s">
        <v>2759</v>
      </c>
      <c r="B498" s="685" t="s">
        <v>2760</v>
      </c>
      <c r="C498" s="679" t="s">
        <v>92</v>
      </c>
      <c r="D498" s="679" t="s">
        <v>97</v>
      </c>
      <c r="G498" s="650" t="s">
        <v>1294</v>
      </c>
      <c r="H498" s="650" t="s">
        <v>1295</v>
      </c>
    </row>
    <row r="499" spans="1:8" ht="14.25" customHeight="1">
      <c r="A499" s="690" t="s">
        <v>2761</v>
      </c>
      <c r="B499" s="685" t="s">
        <v>2762</v>
      </c>
      <c r="C499" s="679" t="s">
        <v>92</v>
      </c>
      <c r="D499" s="679" t="s">
        <v>97</v>
      </c>
      <c r="G499" s="650" t="s">
        <v>1297</v>
      </c>
      <c r="H499" s="650" t="s">
        <v>2763</v>
      </c>
    </row>
    <row r="500" spans="1:8" ht="14.25" customHeight="1">
      <c r="A500" s="690" t="s">
        <v>2764</v>
      </c>
      <c r="B500" s="685" t="s">
        <v>2765</v>
      </c>
      <c r="C500" s="679" t="s">
        <v>92</v>
      </c>
      <c r="D500" s="679" t="s">
        <v>97</v>
      </c>
      <c r="G500" s="650" t="s">
        <v>1298</v>
      </c>
      <c r="H500" s="650" t="s">
        <v>2766</v>
      </c>
    </row>
    <row r="501" spans="1:8" ht="14.25" customHeight="1">
      <c r="A501" s="690" t="s">
        <v>2767</v>
      </c>
      <c r="B501" s="685" t="s">
        <v>2768</v>
      </c>
      <c r="C501" s="679" t="s">
        <v>92</v>
      </c>
      <c r="D501" s="679" t="s">
        <v>97</v>
      </c>
      <c r="G501" s="650" t="s">
        <v>1301</v>
      </c>
      <c r="H501" s="650" t="s">
        <v>2769</v>
      </c>
    </row>
    <row r="502" spans="1:8" ht="14.25" customHeight="1">
      <c r="A502" s="698" t="s">
        <v>2770</v>
      </c>
      <c r="B502" s="722" t="s">
        <v>2771</v>
      </c>
      <c r="C502" s="679" t="s">
        <v>92</v>
      </c>
      <c r="D502" s="679" t="s">
        <v>97</v>
      </c>
      <c r="G502" s="650" t="s">
        <v>1302</v>
      </c>
      <c r="H502" s="650" t="s">
        <v>2772</v>
      </c>
    </row>
    <row r="503" spans="1:8" ht="14.25" customHeight="1">
      <c r="A503" s="690" t="s">
        <v>2773</v>
      </c>
      <c r="B503" s="723" t="s">
        <v>2774</v>
      </c>
      <c r="C503" s="679" t="s">
        <v>92</v>
      </c>
      <c r="D503" s="679" t="s">
        <v>97</v>
      </c>
      <c r="G503" s="650" t="s">
        <v>1303</v>
      </c>
      <c r="H503" s="650" t="s">
        <v>2775</v>
      </c>
    </row>
    <row r="504" spans="1:8" ht="14.25" customHeight="1">
      <c r="A504" s="702" t="s">
        <v>2776</v>
      </c>
      <c r="B504" s="724" t="s">
        <v>2777</v>
      </c>
      <c r="C504" s="679" t="s">
        <v>92</v>
      </c>
      <c r="D504" s="679" t="s">
        <v>98</v>
      </c>
      <c r="G504" s="650" t="s">
        <v>1306</v>
      </c>
      <c r="H504" s="650" t="s">
        <v>2778</v>
      </c>
    </row>
    <row r="505" spans="1:8" ht="14.25" customHeight="1">
      <c r="A505" s="698" t="s">
        <v>2779</v>
      </c>
      <c r="B505" s="722" t="s">
        <v>2780</v>
      </c>
      <c r="C505" s="679" t="s">
        <v>92</v>
      </c>
      <c r="D505" s="679" t="s">
        <v>97</v>
      </c>
      <c r="G505" s="650" t="s">
        <v>1309</v>
      </c>
      <c r="H505" s="650" t="s">
        <v>2781</v>
      </c>
    </row>
    <row r="506" spans="1:8" ht="14.25" customHeight="1">
      <c r="A506" s="690" t="s">
        <v>2782</v>
      </c>
      <c r="B506" s="722" t="s">
        <v>2783</v>
      </c>
      <c r="C506" s="679" t="s">
        <v>92</v>
      </c>
      <c r="D506" s="679" t="s">
        <v>97</v>
      </c>
      <c r="G506" s="650" t="s">
        <v>1312</v>
      </c>
      <c r="H506" s="650" t="s">
        <v>1310</v>
      </c>
    </row>
    <row r="507" spans="1:8" ht="14.25" customHeight="1">
      <c r="A507" s="690" t="s">
        <v>2784</v>
      </c>
      <c r="B507" s="685" t="s">
        <v>2785</v>
      </c>
      <c r="C507" s="679" t="s">
        <v>92</v>
      </c>
      <c r="D507" s="679" t="s">
        <v>97</v>
      </c>
      <c r="G507" s="650" t="s">
        <v>1313</v>
      </c>
      <c r="H507" s="650" t="s">
        <v>1315</v>
      </c>
    </row>
    <row r="508" spans="1:8" ht="14.25" customHeight="1">
      <c r="A508" s="690" t="s">
        <v>2786</v>
      </c>
      <c r="B508" s="685" t="s">
        <v>2787</v>
      </c>
      <c r="C508" s="679" t="s">
        <v>92</v>
      </c>
      <c r="D508" s="679" t="s">
        <v>97</v>
      </c>
      <c r="G508" s="650" t="s">
        <v>1404</v>
      </c>
      <c r="H508" s="650" t="s">
        <v>2788</v>
      </c>
    </row>
    <row r="509" spans="1:8" ht="14.25" customHeight="1">
      <c r="A509" s="690" t="s">
        <v>2789</v>
      </c>
      <c r="B509" s="685" t="s">
        <v>2790</v>
      </c>
      <c r="C509" s="679" t="s">
        <v>92</v>
      </c>
      <c r="D509" s="679" t="s">
        <v>98</v>
      </c>
      <c r="G509" s="650" t="s">
        <v>1316</v>
      </c>
      <c r="H509" s="650" t="s">
        <v>2791</v>
      </c>
    </row>
    <row r="510" spans="1:8" ht="14.25" customHeight="1">
      <c r="A510" s="690" t="s">
        <v>2792</v>
      </c>
      <c r="B510" s="685" t="s">
        <v>2793</v>
      </c>
      <c r="C510" s="679" t="s">
        <v>92</v>
      </c>
      <c r="D510" s="679" t="s">
        <v>98</v>
      </c>
      <c r="G510" s="650" t="s">
        <v>1405</v>
      </c>
      <c r="H510" s="650" t="s">
        <v>2794</v>
      </c>
    </row>
    <row r="511" spans="1:8" ht="14.25" customHeight="1">
      <c r="A511" s="677" t="s">
        <v>2795</v>
      </c>
      <c r="B511" s="685" t="s">
        <v>2796</v>
      </c>
      <c r="C511" s="679" t="s">
        <v>92</v>
      </c>
      <c r="D511" s="679" t="s">
        <v>98</v>
      </c>
    </row>
    <row r="512" spans="1:8" ht="14.25" customHeight="1">
      <c r="A512" s="690" t="s">
        <v>2797</v>
      </c>
      <c r="B512" s="685" t="s">
        <v>2798</v>
      </c>
      <c r="C512" s="679" t="s">
        <v>92</v>
      </c>
      <c r="D512" s="679" t="s">
        <v>97</v>
      </c>
    </row>
    <row r="513" spans="1:4" ht="14.25" customHeight="1">
      <c r="A513" s="690" t="s">
        <v>2799</v>
      </c>
      <c r="B513" s="685" t="s">
        <v>2800</v>
      </c>
      <c r="C513" s="679" t="s">
        <v>92</v>
      </c>
      <c r="D513" s="679" t="s">
        <v>97</v>
      </c>
    </row>
    <row r="514" spans="1:4" ht="14.25" customHeight="1">
      <c r="A514" s="690" t="s">
        <v>2801</v>
      </c>
      <c r="B514" s="685" t="s">
        <v>2802</v>
      </c>
      <c r="C514" s="679" t="s">
        <v>92</v>
      </c>
      <c r="D514" s="679" t="s">
        <v>97</v>
      </c>
    </row>
    <row r="515" spans="1:4" ht="14.25" customHeight="1">
      <c r="A515" s="690" t="s">
        <v>2803</v>
      </c>
      <c r="B515" s="685" t="s">
        <v>2804</v>
      </c>
      <c r="C515" s="679" t="s">
        <v>92</v>
      </c>
      <c r="D515" s="679" t="s">
        <v>97</v>
      </c>
    </row>
    <row r="516" spans="1:4" ht="14.25" customHeight="1">
      <c r="A516" s="690" t="s">
        <v>2805</v>
      </c>
      <c r="B516" s="685" t="s">
        <v>2806</v>
      </c>
      <c r="C516" s="679" t="s">
        <v>92</v>
      </c>
      <c r="D516" s="679" t="s">
        <v>97</v>
      </c>
    </row>
    <row r="517" spans="1:4" ht="14.25" customHeight="1">
      <c r="A517" s="690" t="s">
        <v>2807</v>
      </c>
      <c r="B517" s="685" t="s">
        <v>2808</v>
      </c>
      <c r="C517" s="679" t="s">
        <v>92</v>
      </c>
      <c r="D517" s="679" t="s">
        <v>97</v>
      </c>
    </row>
    <row r="518" spans="1:4" ht="14.25" customHeight="1">
      <c r="A518" s="690" t="s">
        <v>2809</v>
      </c>
      <c r="B518" s="685" t="s">
        <v>2810</v>
      </c>
      <c r="C518" s="679" t="s">
        <v>92</v>
      </c>
      <c r="D518" s="679" t="s">
        <v>97</v>
      </c>
    </row>
    <row r="519" spans="1:4" ht="14.25" customHeight="1">
      <c r="A519" s="690" t="s">
        <v>2811</v>
      </c>
      <c r="B519" s="685" t="s">
        <v>2812</v>
      </c>
      <c r="C519" s="679" t="s">
        <v>92</v>
      </c>
      <c r="D519" s="679" t="s">
        <v>97</v>
      </c>
    </row>
    <row r="520" spans="1:4" ht="14.25" customHeight="1">
      <c r="A520" s="690" t="s">
        <v>2813</v>
      </c>
      <c r="B520" s="685" t="s">
        <v>2814</v>
      </c>
      <c r="C520" s="679" t="s">
        <v>92</v>
      </c>
      <c r="D520" s="679" t="s">
        <v>97</v>
      </c>
    </row>
    <row r="521" spans="1:4" ht="14.25" customHeight="1">
      <c r="A521" s="690" t="s">
        <v>2815</v>
      </c>
      <c r="B521" s="685" t="s">
        <v>2816</v>
      </c>
      <c r="C521" s="679" t="s">
        <v>92</v>
      </c>
      <c r="D521" s="679" t="s">
        <v>97</v>
      </c>
    </row>
    <row r="522" spans="1:4" ht="14.25" customHeight="1">
      <c r="A522" s="690" t="s">
        <v>2817</v>
      </c>
      <c r="B522" s="685" t="s">
        <v>2818</v>
      </c>
      <c r="C522" s="679" t="s">
        <v>92</v>
      </c>
      <c r="D522" s="679" t="s">
        <v>97</v>
      </c>
    </row>
    <row r="523" spans="1:4" ht="14.25" customHeight="1">
      <c r="A523" s="690" t="s">
        <v>2819</v>
      </c>
      <c r="B523" s="685" t="s">
        <v>2820</v>
      </c>
      <c r="C523" s="679" t="s">
        <v>92</v>
      </c>
      <c r="D523" s="679" t="s">
        <v>97</v>
      </c>
    </row>
    <row r="524" spans="1:4" ht="14.25" customHeight="1">
      <c r="A524" s="690" t="s">
        <v>2821</v>
      </c>
      <c r="B524" s="685" t="s">
        <v>2822</v>
      </c>
      <c r="C524" s="679" t="s">
        <v>92</v>
      </c>
      <c r="D524" s="679" t="s">
        <v>98</v>
      </c>
    </row>
    <row r="525" spans="1:4" ht="14.25" customHeight="1">
      <c r="A525" s="677" t="s">
        <v>2823</v>
      </c>
      <c r="B525" s="685" t="s">
        <v>2824</v>
      </c>
      <c r="C525" s="679" t="s">
        <v>92</v>
      </c>
      <c r="D525" s="679" t="s">
        <v>98</v>
      </c>
    </row>
    <row r="526" spans="1:4" ht="14.25" customHeight="1">
      <c r="A526" s="690" t="s">
        <v>2825</v>
      </c>
      <c r="B526" s="685" t="s">
        <v>2826</v>
      </c>
      <c r="C526" s="679" t="s">
        <v>92</v>
      </c>
      <c r="D526" s="679" t="s">
        <v>97</v>
      </c>
    </row>
    <row r="527" spans="1:4" ht="14.25" customHeight="1">
      <c r="A527" s="685" t="s">
        <v>2827</v>
      </c>
      <c r="B527" s="685" t="s">
        <v>2828</v>
      </c>
      <c r="C527" s="679" t="s">
        <v>92</v>
      </c>
      <c r="D527" s="679" t="s">
        <v>97</v>
      </c>
    </row>
    <row r="528" spans="1:4" ht="14.25" customHeight="1">
      <c r="A528" s="677" t="s">
        <v>2829</v>
      </c>
      <c r="B528" s="688" t="s">
        <v>2830</v>
      </c>
      <c r="C528" s="679" t="s">
        <v>92</v>
      </c>
      <c r="D528" s="679" t="s">
        <v>106</v>
      </c>
    </row>
    <row r="529" spans="1:4" ht="14.25" customHeight="1">
      <c r="A529" s="685" t="s">
        <v>2831</v>
      </c>
      <c r="B529" s="685" t="s">
        <v>2832</v>
      </c>
      <c r="C529" s="679" t="s">
        <v>92</v>
      </c>
      <c r="D529" s="679" t="s">
        <v>97</v>
      </c>
    </row>
    <row r="530" spans="1:4" ht="14.25" customHeight="1">
      <c r="A530" s="685" t="s">
        <v>2833</v>
      </c>
      <c r="B530" s="685" t="s">
        <v>2834</v>
      </c>
      <c r="C530" s="679" t="s">
        <v>92</v>
      </c>
      <c r="D530" s="679" t="s">
        <v>97</v>
      </c>
    </row>
    <row r="531" spans="1:4" ht="14.25" customHeight="1">
      <c r="A531" s="690" t="s">
        <v>2835</v>
      </c>
      <c r="B531" s="685" t="s">
        <v>2836</v>
      </c>
      <c r="C531" s="679" t="s">
        <v>92</v>
      </c>
      <c r="D531" s="679" t="s">
        <v>97</v>
      </c>
    </row>
    <row r="532" spans="1:4" ht="14.25" customHeight="1">
      <c r="A532" s="677" t="s">
        <v>2837</v>
      </c>
      <c r="B532" s="688" t="s">
        <v>2838</v>
      </c>
      <c r="C532" s="679" t="s">
        <v>92</v>
      </c>
      <c r="D532" s="679" t="s">
        <v>103</v>
      </c>
    </row>
    <row r="533" spans="1:4" ht="14.25" customHeight="1">
      <c r="A533" s="689" t="s">
        <v>2839</v>
      </c>
      <c r="B533" s="678" t="s">
        <v>2840</v>
      </c>
      <c r="C533" s="679" t="s">
        <v>92</v>
      </c>
      <c r="D533" s="679" t="s">
        <v>102</v>
      </c>
    </row>
    <row r="534" spans="1:4" ht="14.25" customHeight="1">
      <c r="A534" s="689" t="s">
        <v>2841</v>
      </c>
      <c r="B534" s="678" t="s">
        <v>2842</v>
      </c>
      <c r="C534" s="679" t="s">
        <v>92</v>
      </c>
      <c r="D534" s="679" t="s">
        <v>102</v>
      </c>
    </row>
    <row r="535" spans="1:4" ht="14.25" customHeight="1">
      <c r="A535" s="677" t="s">
        <v>2843</v>
      </c>
      <c r="B535" s="685" t="s">
        <v>2844</v>
      </c>
      <c r="C535" s="679" t="s">
        <v>92</v>
      </c>
      <c r="D535" s="679" t="s">
        <v>98</v>
      </c>
    </row>
    <row r="536" spans="1:4" ht="14.25" customHeight="1">
      <c r="A536" s="690" t="s">
        <v>2845</v>
      </c>
      <c r="B536" s="685" t="s">
        <v>2846</v>
      </c>
      <c r="C536" s="679" t="s">
        <v>92</v>
      </c>
      <c r="D536" s="679" t="s">
        <v>97</v>
      </c>
    </row>
    <row r="537" spans="1:4" ht="14.25" customHeight="1">
      <c r="A537" s="690" t="s">
        <v>2847</v>
      </c>
      <c r="B537" s="685" t="s">
        <v>2848</v>
      </c>
      <c r="C537" s="679" t="s">
        <v>92</v>
      </c>
      <c r="D537" s="679" t="s">
        <v>97</v>
      </c>
    </row>
    <row r="538" spans="1:4" ht="14.25" customHeight="1">
      <c r="A538" s="690" t="s">
        <v>2849</v>
      </c>
      <c r="B538" s="685" t="s">
        <v>2850</v>
      </c>
      <c r="C538" s="679" t="s">
        <v>92</v>
      </c>
      <c r="D538" s="679" t="s">
        <v>97</v>
      </c>
    </row>
    <row r="539" spans="1:4" ht="14.25" customHeight="1">
      <c r="A539" s="690" t="s">
        <v>2851</v>
      </c>
      <c r="B539" s="685" t="s">
        <v>2852</v>
      </c>
      <c r="C539" s="679" t="s">
        <v>92</v>
      </c>
      <c r="D539" s="679" t="s">
        <v>98</v>
      </c>
    </row>
    <row r="540" spans="1:4" ht="14.25" customHeight="1">
      <c r="A540" s="677" t="s">
        <v>2853</v>
      </c>
      <c r="B540" s="688" t="s">
        <v>2854</v>
      </c>
      <c r="C540" s="679" t="s">
        <v>152</v>
      </c>
      <c r="D540" s="679" t="s">
        <v>153</v>
      </c>
    </row>
    <row r="541" spans="1:4" ht="14.25" customHeight="1">
      <c r="A541" s="677" t="s">
        <v>2855</v>
      </c>
      <c r="B541" s="688" t="s">
        <v>2856</v>
      </c>
      <c r="C541" s="679" t="s">
        <v>152</v>
      </c>
      <c r="D541" s="679" t="s">
        <v>186</v>
      </c>
    </row>
    <row r="542" spans="1:4" ht="14.25" customHeight="1">
      <c r="A542" s="677" t="s">
        <v>2857</v>
      </c>
      <c r="B542" s="688" t="s">
        <v>2858</v>
      </c>
      <c r="C542" s="679" t="s">
        <v>152</v>
      </c>
      <c r="D542" s="679" t="s">
        <v>186</v>
      </c>
    </row>
    <row r="543" spans="1:4" ht="14.25" customHeight="1">
      <c r="A543" s="725" t="s">
        <v>2859</v>
      </c>
      <c r="B543" s="726" t="s">
        <v>2860</v>
      </c>
      <c r="C543" s="679" t="s">
        <v>152</v>
      </c>
      <c r="D543" s="679" t="s">
        <v>106</v>
      </c>
    </row>
    <row r="544" spans="1:4" ht="14.25" customHeight="1">
      <c r="A544" s="677" t="s">
        <v>2861</v>
      </c>
      <c r="B544" s="688" t="s">
        <v>2862</v>
      </c>
      <c r="C544" s="679" t="s">
        <v>152</v>
      </c>
      <c r="D544" s="679" t="s">
        <v>156</v>
      </c>
    </row>
    <row r="545" spans="1:4" ht="14.25" customHeight="1">
      <c r="A545" s="677" t="s">
        <v>2863</v>
      </c>
      <c r="B545" s="688" t="s">
        <v>2864</v>
      </c>
      <c r="C545" s="679" t="s">
        <v>152</v>
      </c>
      <c r="D545" s="679" t="s">
        <v>156</v>
      </c>
    </row>
    <row r="546" spans="1:4" ht="14.25" customHeight="1">
      <c r="A546" s="677" t="s">
        <v>2865</v>
      </c>
      <c r="B546" s="688" t="s">
        <v>2866</v>
      </c>
      <c r="C546" s="679" t="s">
        <v>152</v>
      </c>
      <c r="D546" s="679" t="s">
        <v>153</v>
      </c>
    </row>
    <row r="547" spans="1:4" ht="14.25" customHeight="1">
      <c r="A547" s="677" t="s">
        <v>2867</v>
      </c>
      <c r="B547" s="688" t="s">
        <v>2868</v>
      </c>
      <c r="C547" s="679" t="s">
        <v>152</v>
      </c>
      <c r="D547" s="679" t="s">
        <v>153</v>
      </c>
    </row>
    <row r="548" spans="1:4" ht="14.25" customHeight="1">
      <c r="A548" s="688" t="s">
        <v>2869</v>
      </c>
      <c r="B548" s="688" t="s">
        <v>2870</v>
      </c>
      <c r="C548" s="679" t="s">
        <v>152</v>
      </c>
      <c r="D548" s="679" t="s">
        <v>153</v>
      </c>
    </row>
    <row r="549" spans="1:4" ht="14.25" customHeight="1">
      <c r="A549" s="688" t="s">
        <v>2871</v>
      </c>
      <c r="B549" s="688" t="s">
        <v>2872</v>
      </c>
      <c r="C549" s="679" t="s">
        <v>152</v>
      </c>
      <c r="D549" s="679" t="s">
        <v>153</v>
      </c>
    </row>
    <row r="550" spans="1:4" ht="14.25" customHeight="1">
      <c r="A550" s="677" t="s">
        <v>2873</v>
      </c>
      <c r="B550" s="688" t="s">
        <v>2874</v>
      </c>
      <c r="C550" s="679" t="s">
        <v>152</v>
      </c>
      <c r="D550" s="679" t="s">
        <v>153</v>
      </c>
    </row>
    <row r="551" spans="1:4" ht="14.25" customHeight="1">
      <c r="A551" s="677" t="s">
        <v>2875</v>
      </c>
      <c r="B551" s="688" t="s">
        <v>2876</v>
      </c>
      <c r="C551" s="679" t="s">
        <v>152</v>
      </c>
      <c r="D551" s="679" t="s">
        <v>153</v>
      </c>
    </row>
    <row r="552" spans="1:4" ht="14.25" customHeight="1">
      <c r="A552" s="677" t="s">
        <v>2877</v>
      </c>
      <c r="B552" s="688" t="s">
        <v>2878</v>
      </c>
      <c r="C552" s="679" t="s">
        <v>152</v>
      </c>
      <c r="D552" s="679" t="s">
        <v>153</v>
      </c>
    </row>
    <row r="553" spans="1:4" ht="14.25" customHeight="1">
      <c r="A553" s="677" t="s">
        <v>2879</v>
      </c>
      <c r="B553" s="688" t="s">
        <v>2880</v>
      </c>
      <c r="C553" s="679" t="s">
        <v>152</v>
      </c>
      <c r="D553" s="679" t="s">
        <v>153</v>
      </c>
    </row>
    <row r="554" spans="1:4" ht="14.25" customHeight="1">
      <c r="A554" s="677" t="s">
        <v>2881</v>
      </c>
      <c r="B554" s="688" t="s">
        <v>2882</v>
      </c>
      <c r="C554" s="679" t="s">
        <v>152</v>
      </c>
      <c r="D554" s="679" t="s">
        <v>153</v>
      </c>
    </row>
    <row r="555" spans="1:4" ht="14.25" customHeight="1">
      <c r="A555" s="677" t="s">
        <v>2881</v>
      </c>
      <c r="B555" s="688" t="s">
        <v>2882</v>
      </c>
      <c r="C555" s="679" t="s">
        <v>152</v>
      </c>
      <c r="D555" s="679" t="s">
        <v>153</v>
      </c>
    </row>
    <row r="556" spans="1:4" ht="14.25" customHeight="1">
      <c r="A556" s="677" t="s">
        <v>2883</v>
      </c>
      <c r="B556" s="688" t="s">
        <v>2884</v>
      </c>
      <c r="C556" s="679" t="s">
        <v>152</v>
      </c>
      <c r="D556" s="679" t="s">
        <v>153</v>
      </c>
    </row>
    <row r="557" spans="1:4" ht="14.25" customHeight="1">
      <c r="A557" s="677" t="s">
        <v>2883</v>
      </c>
      <c r="B557" s="688" t="s">
        <v>2884</v>
      </c>
      <c r="C557" s="679" t="s">
        <v>152</v>
      </c>
      <c r="D557" s="679" t="s">
        <v>153</v>
      </c>
    </row>
    <row r="558" spans="1:4" ht="14.25" customHeight="1">
      <c r="A558" s="677" t="s">
        <v>2885</v>
      </c>
      <c r="B558" s="688" t="s">
        <v>2886</v>
      </c>
      <c r="C558" s="679" t="s">
        <v>152</v>
      </c>
      <c r="D558" s="679" t="s">
        <v>153</v>
      </c>
    </row>
    <row r="559" spans="1:4" ht="14.25" customHeight="1">
      <c r="A559" s="677" t="s">
        <v>2887</v>
      </c>
      <c r="B559" s="688" t="s">
        <v>2888</v>
      </c>
      <c r="C559" s="679" t="s">
        <v>152</v>
      </c>
      <c r="D559" s="679" t="s">
        <v>186</v>
      </c>
    </row>
    <row r="560" spans="1:4" ht="14.25" customHeight="1">
      <c r="A560" s="677" t="s">
        <v>2889</v>
      </c>
      <c r="B560" s="688" t="s">
        <v>2890</v>
      </c>
      <c r="C560" s="679" t="s">
        <v>152</v>
      </c>
      <c r="D560" s="679" t="s">
        <v>153</v>
      </c>
    </row>
    <row r="561" spans="1:4" ht="14.25" customHeight="1">
      <c r="A561" s="677" t="s">
        <v>2891</v>
      </c>
      <c r="B561" s="688" t="s">
        <v>2892</v>
      </c>
      <c r="C561" s="679" t="s">
        <v>152</v>
      </c>
      <c r="D561" s="679" t="s">
        <v>186</v>
      </c>
    </row>
    <row r="562" spans="1:4" ht="14.25" customHeight="1">
      <c r="A562" s="677" t="s">
        <v>2893</v>
      </c>
      <c r="B562" s="688" t="s">
        <v>2894</v>
      </c>
      <c r="C562" s="679" t="s">
        <v>152</v>
      </c>
      <c r="D562" s="679" t="s">
        <v>153</v>
      </c>
    </row>
    <row r="563" spans="1:4" ht="14.25" customHeight="1">
      <c r="A563" s="677" t="s">
        <v>2895</v>
      </c>
      <c r="B563" s="688" t="s">
        <v>2896</v>
      </c>
      <c r="C563" s="679" t="s">
        <v>152</v>
      </c>
      <c r="D563" s="679" t="s">
        <v>186</v>
      </c>
    </row>
    <row r="564" spans="1:4" ht="14.25" customHeight="1">
      <c r="A564" s="677" t="s">
        <v>2897</v>
      </c>
      <c r="B564" s="688" t="s">
        <v>2898</v>
      </c>
      <c r="C564" s="679" t="s">
        <v>152</v>
      </c>
      <c r="D564" s="679" t="s">
        <v>153</v>
      </c>
    </row>
    <row r="565" spans="1:4" ht="14.25" customHeight="1">
      <c r="A565" s="677" t="s">
        <v>2899</v>
      </c>
      <c r="B565" s="688" t="s">
        <v>2900</v>
      </c>
      <c r="C565" s="679" t="s">
        <v>152</v>
      </c>
      <c r="D565" s="679" t="s">
        <v>153</v>
      </c>
    </row>
    <row r="566" spans="1:4" ht="14.25" customHeight="1">
      <c r="A566" s="677" t="s">
        <v>2901</v>
      </c>
      <c r="B566" s="688" t="s">
        <v>2902</v>
      </c>
      <c r="C566" s="679" t="s">
        <v>152</v>
      </c>
      <c r="D566" s="679" t="s">
        <v>153</v>
      </c>
    </row>
    <row r="567" spans="1:4" ht="14.25" customHeight="1">
      <c r="A567" s="677" t="s">
        <v>2903</v>
      </c>
      <c r="B567" s="688" t="s">
        <v>2904</v>
      </c>
      <c r="C567" s="679" t="s">
        <v>152</v>
      </c>
      <c r="D567" s="679" t="s">
        <v>186</v>
      </c>
    </row>
    <row r="568" spans="1:4" ht="14.25" customHeight="1">
      <c r="A568" s="688" t="s">
        <v>2903</v>
      </c>
      <c r="B568" s="688" t="s">
        <v>2904</v>
      </c>
      <c r="C568" s="679" t="s">
        <v>152</v>
      </c>
      <c r="D568" s="679" t="s">
        <v>186</v>
      </c>
    </row>
    <row r="569" spans="1:4" ht="14.25" customHeight="1">
      <c r="A569" s="688" t="s">
        <v>2905</v>
      </c>
      <c r="B569" s="688" t="s">
        <v>2906</v>
      </c>
      <c r="C569" s="679" t="s">
        <v>152</v>
      </c>
      <c r="D569" s="679" t="s">
        <v>153</v>
      </c>
    </row>
    <row r="570" spans="1:4" ht="14.25" customHeight="1">
      <c r="A570" s="677" t="s">
        <v>2907</v>
      </c>
      <c r="B570" s="688" t="s">
        <v>2908</v>
      </c>
      <c r="C570" s="679" t="s">
        <v>161</v>
      </c>
      <c r="D570" s="679" t="s">
        <v>164</v>
      </c>
    </row>
    <row r="571" spans="1:4" ht="14.25" customHeight="1">
      <c r="A571" s="677" t="s">
        <v>2909</v>
      </c>
      <c r="B571" s="688" t="s">
        <v>2910</v>
      </c>
      <c r="C571" s="679" t="s">
        <v>161</v>
      </c>
      <c r="D571" s="679" t="s">
        <v>168</v>
      </c>
    </row>
    <row r="572" spans="1:4" ht="14.25" customHeight="1">
      <c r="A572" s="677" t="s">
        <v>2911</v>
      </c>
      <c r="B572" s="688" t="s">
        <v>2912</v>
      </c>
      <c r="C572" s="679" t="s">
        <v>161</v>
      </c>
      <c r="D572" s="679" t="s">
        <v>166</v>
      </c>
    </row>
    <row r="573" spans="1:4" ht="14.25" customHeight="1">
      <c r="A573" s="677" t="s">
        <v>2913</v>
      </c>
      <c r="B573" s="727" t="s">
        <v>2914</v>
      </c>
      <c r="C573" s="679" t="s">
        <v>161</v>
      </c>
      <c r="D573" s="679" t="s">
        <v>167</v>
      </c>
    </row>
    <row r="574" spans="1:4" ht="14.25" customHeight="1">
      <c r="A574" s="677" t="s">
        <v>2915</v>
      </c>
      <c r="B574" s="688" t="s">
        <v>2916</v>
      </c>
      <c r="C574" s="679" t="s">
        <v>161</v>
      </c>
      <c r="D574" s="679" t="s">
        <v>169</v>
      </c>
    </row>
    <row r="575" spans="1:4" ht="14.25" customHeight="1">
      <c r="A575" s="677" t="s">
        <v>2917</v>
      </c>
      <c r="B575" s="688" t="s">
        <v>2918</v>
      </c>
      <c r="C575" s="679" t="s">
        <v>161</v>
      </c>
      <c r="D575" s="679" t="s">
        <v>166</v>
      </c>
    </row>
    <row r="576" spans="1:4" ht="14.25" customHeight="1">
      <c r="A576" s="677" t="s">
        <v>2919</v>
      </c>
      <c r="B576" s="688" t="s">
        <v>2920</v>
      </c>
      <c r="C576" s="679" t="s">
        <v>1325</v>
      </c>
      <c r="D576" s="679" t="s">
        <v>172</v>
      </c>
    </row>
    <row r="577" spans="1:4" ht="14.25" customHeight="1">
      <c r="A577" s="677" t="s">
        <v>2921</v>
      </c>
      <c r="B577" s="688" t="s">
        <v>2922</v>
      </c>
      <c r="C577" s="679" t="s">
        <v>180</v>
      </c>
      <c r="D577" s="679" t="s">
        <v>192</v>
      </c>
    </row>
    <row r="578" spans="1:4" ht="14.25" customHeight="1">
      <c r="A578" s="677" t="s">
        <v>2923</v>
      </c>
      <c r="B578" s="688" t="s">
        <v>2924</v>
      </c>
      <c r="C578" s="679" t="s">
        <v>161</v>
      </c>
      <c r="D578" s="679" t="s">
        <v>1339</v>
      </c>
    </row>
    <row r="579" spans="1:4" ht="14.25" customHeight="1">
      <c r="A579" s="677" t="s">
        <v>2925</v>
      </c>
      <c r="B579" s="688" t="s">
        <v>2926</v>
      </c>
      <c r="C579" s="679" t="s">
        <v>161</v>
      </c>
      <c r="D579" s="679" t="s">
        <v>172</v>
      </c>
    </row>
    <row r="580" spans="1:4" ht="14.25" customHeight="1">
      <c r="A580" s="677" t="s">
        <v>2927</v>
      </c>
      <c r="B580" s="688" t="s">
        <v>2928</v>
      </c>
      <c r="C580" s="679" t="s">
        <v>161</v>
      </c>
      <c r="D580" s="679" t="s">
        <v>172</v>
      </c>
    </row>
    <row r="581" spans="1:4" ht="14.25" customHeight="1">
      <c r="A581" s="677" t="s">
        <v>2929</v>
      </c>
      <c r="B581" s="688" t="s">
        <v>2930</v>
      </c>
      <c r="C581" s="679" t="s">
        <v>161</v>
      </c>
      <c r="D581" s="679" t="s">
        <v>172</v>
      </c>
    </row>
    <row r="582" spans="1:4" ht="14.25" customHeight="1">
      <c r="A582" s="677" t="s">
        <v>2931</v>
      </c>
      <c r="B582" s="688" t="s">
        <v>2932</v>
      </c>
      <c r="C582" s="679" t="s">
        <v>176</v>
      </c>
      <c r="D582" s="679" t="s">
        <v>177</v>
      </c>
    </row>
    <row r="583" spans="1:4" ht="14.25" customHeight="1">
      <c r="A583" s="677" t="s">
        <v>2933</v>
      </c>
      <c r="B583" s="688" t="s">
        <v>2934</v>
      </c>
      <c r="C583" s="679" t="s">
        <v>176</v>
      </c>
      <c r="D583" s="679" t="s">
        <v>177</v>
      </c>
    </row>
    <row r="584" spans="1:4" ht="14.25" customHeight="1">
      <c r="A584" s="677" t="s">
        <v>2935</v>
      </c>
      <c r="B584" s="688" t="s">
        <v>2936</v>
      </c>
      <c r="C584" s="679" t="s">
        <v>176</v>
      </c>
      <c r="D584" s="679" t="s">
        <v>177</v>
      </c>
    </row>
    <row r="585" spans="1:4" ht="14.25" customHeight="1">
      <c r="A585" s="677" t="s">
        <v>2937</v>
      </c>
      <c r="B585" s="688" t="s">
        <v>2938</v>
      </c>
      <c r="C585" s="679" t="s">
        <v>152</v>
      </c>
      <c r="D585" s="679" t="s">
        <v>153</v>
      </c>
    </row>
    <row r="586" spans="1:4" ht="14.25" customHeight="1">
      <c r="A586" s="677" t="s">
        <v>2939</v>
      </c>
      <c r="B586" s="688" t="s">
        <v>2940</v>
      </c>
      <c r="C586" s="679" t="s">
        <v>152</v>
      </c>
      <c r="D586" s="679" t="s">
        <v>153</v>
      </c>
    </row>
    <row r="587" spans="1:4" ht="14.25" customHeight="1">
      <c r="A587" s="677" t="s">
        <v>2941</v>
      </c>
      <c r="B587" s="688" t="s">
        <v>2942</v>
      </c>
      <c r="C587" s="679" t="s">
        <v>152</v>
      </c>
      <c r="D587" s="679" t="s">
        <v>153</v>
      </c>
    </row>
    <row r="588" spans="1:4" ht="14.25" customHeight="1">
      <c r="A588" s="677" t="s">
        <v>2943</v>
      </c>
      <c r="B588" s="688" t="s">
        <v>2944</v>
      </c>
      <c r="C588" s="679" t="s">
        <v>152</v>
      </c>
      <c r="D588" s="679" t="s">
        <v>153</v>
      </c>
    </row>
    <row r="589" spans="1:4" ht="14.25" customHeight="1">
      <c r="A589" s="677" t="s">
        <v>2945</v>
      </c>
      <c r="B589" s="688" t="s">
        <v>2946</v>
      </c>
      <c r="C589" s="679" t="s">
        <v>152</v>
      </c>
      <c r="D589" s="679" t="s">
        <v>153</v>
      </c>
    </row>
    <row r="590" spans="1:4" ht="14.25" customHeight="1">
      <c r="A590" s="677" t="s">
        <v>2947</v>
      </c>
      <c r="B590" s="688" t="s">
        <v>2948</v>
      </c>
      <c r="C590" s="679" t="s">
        <v>152</v>
      </c>
      <c r="D590" s="679" t="s">
        <v>153</v>
      </c>
    </row>
    <row r="591" spans="1:4" ht="14.25" customHeight="1">
      <c r="A591" s="677" t="s">
        <v>2949</v>
      </c>
      <c r="B591" s="688" t="s">
        <v>2950</v>
      </c>
      <c r="C591" s="679" t="s">
        <v>152</v>
      </c>
      <c r="D591" s="679" t="s">
        <v>153</v>
      </c>
    </row>
    <row r="592" spans="1:4" ht="14.25" customHeight="1">
      <c r="A592" s="677" t="s">
        <v>2951</v>
      </c>
      <c r="B592" s="688" t="s">
        <v>2952</v>
      </c>
      <c r="C592" s="679" t="s">
        <v>152</v>
      </c>
      <c r="D592" s="679" t="s">
        <v>153</v>
      </c>
    </row>
    <row r="593" spans="1:4" ht="14.25" customHeight="1">
      <c r="A593" s="677" t="s">
        <v>2953</v>
      </c>
      <c r="B593" s="688" t="s">
        <v>2954</v>
      </c>
      <c r="C593" s="679" t="s">
        <v>152</v>
      </c>
      <c r="D593" s="679" t="s">
        <v>153</v>
      </c>
    </row>
    <row r="594" spans="1:4" ht="14.25" customHeight="1">
      <c r="A594" s="677" t="s">
        <v>2955</v>
      </c>
      <c r="B594" s="688" t="s">
        <v>2956</v>
      </c>
      <c r="C594" s="679" t="s">
        <v>152</v>
      </c>
      <c r="D594" s="679" t="s">
        <v>153</v>
      </c>
    </row>
    <row r="595" spans="1:4" ht="14.25" customHeight="1">
      <c r="A595" s="677" t="s">
        <v>2957</v>
      </c>
      <c r="B595" s="688" t="s">
        <v>2958</v>
      </c>
      <c r="C595" s="679" t="s">
        <v>152</v>
      </c>
      <c r="D595" s="679" t="s">
        <v>153</v>
      </c>
    </row>
    <row r="596" spans="1:4" ht="14.25" customHeight="1">
      <c r="A596" s="677" t="s">
        <v>2959</v>
      </c>
      <c r="B596" s="688" t="s">
        <v>2960</v>
      </c>
      <c r="C596" s="679" t="s">
        <v>152</v>
      </c>
      <c r="D596" s="679" t="s">
        <v>153</v>
      </c>
    </row>
    <row r="597" spans="1:4" ht="14.25" customHeight="1">
      <c r="A597" s="677" t="s">
        <v>2961</v>
      </c>
      <c r="B597" s="688" t="s">
        <v>2962</v>
      </c>
      <c r="C597" s="679" t="s">
        <v>152</v>
      </c>
      <c r="D597" s="679" t="s">
        <v>153</v>
      </c>
    </row>
    <row r="598" spans="1:4" ht="14.25" customHeight="1">
      <c r="A598" s="677" t="s">
        <v>2963</v>
      </c>
      <c r="B598" s="688" t="s">
        <v>2964</v>
      </c>
      <c r="C598" s="679" t="s">
        <v>152</v>
      </c>
      <c r="D598" s="679" t="s">
        <v>153</v>
      </c>
    </row>
    <row r="599" spans="1:4" ht="14.25" customHeight="1">
      <c r="A599" s="677" t="s">
        <v>2965</v>
      </c>
      <c r="B599" s="688" t="s">
        <v>2966</v>
      </c>
      <c r="C599" s="679" t="s">
        <v>152</v>
      </c>
      <c r="D599" s="679" t="s">
        <v>153</v>
      </c>
    </row>
    <row r="600" spans="1:4" ht="14.25" customHeight="1">
      <c r="A600" s="677" t="s">
        <v>2967</v>
      </c>
      <c r="B600" s="688" t="s">
        <v>2968</v>
      </c>
      <c r="C600" s="679" t="s">
        <v>152</v>
      </c>
      <c r="D600" s="679" t="s">
        <v>153</v>
      </c>
    </row>
    <row r="601" spans="1:4" ht="14.25" customHeight="1">
      <c r="A601" s="677" t="s">
        <v>2969</v>
      </c>
      <c r="B601" s="726" t="s">
        <v>2970</v>
      </c>
      <c r="C601" s="679" t="s">
        <v>152</v>
      </c>
      <c r="D601" s="679" t="s">
        <v>154</v>
      </c>
    </row>
    <row r="602" spans="1:4" ht="14.25" customHeight="1">
      <c r="A602" s="677" t="s">
        <v>2971</v>
      </c>
      <c r="B602" s="726" t="s">
        <v>2972</v>
      </c>
      <c r="C602" s="679" t="s">
        <v>152</v>
      </c>
      <c r="D602" s="679" t="s">
        <v>154</v>
      </c>
    </row>
    <row r="603" spans="1:4" ht="14.25" customHeight="1">
      <c r="A603" s="677" t="s">
        <v>2973</v>
      </c>
      <c r="B603" s="688" t="s">
        <v>2974</v>
      </c>
      <c r="C603" s="679" t="s">
        <v>152</v>
      </c>
      <c r="D603" s="679" t="s">
        <v>154</v>
      </c>
    </row>
    <row r="604" spans="1:4" ht="14.25" customHeight="1">
      <c r="A604" s="677" t="s">
        <v>2975</v>
      </c>
      <c r="B604" s="688" t="s">
        <v>2976</v>
      </c>
      <c r="C604" s="679" t="s">
        <v>152</v>
      </c>
      <c r="D604" s="679" t="s">
        <v>154</v>
      </c>
    </row>
    <row r="605" spans="1:4" ht="14.25" customHeight="1">
      <c r="A605" s="677" t="s">
        <v>2977</v>
      </c>
      <c r="B605" s="688" t="s">
        <v>2978</v>
      </c>
      <c r="C605" s="679" t="s">
        <v>152</v>
      </c>
      <c r="D605" s="679" t="s">
        <v>154</v>
      </c>
    </row>
    <row r="606" spans="1:4" ht="14.25" customHeight="1">
      <c r="A606" s="677" t="s">
        <v>2979</v>
      </c>
      <c r="B606" s="688" t="s">
        <v>2980</v>
      </c>
      <c r="C606" s="679" t="s">
        <v>152</v>
      </c>
      <c r="D606" s="679" t="s">
        <v>154</v>
      </c>
    </row>
    <row r="607" spans="1:4" ht="14.25" customHeight="1">
      <c r="A607" s="677" t="s">
        <v>2981</v>
      </c>
      <c r="B607" s="688" t="s">
        <v>2982</v>
      </c>
      <c r="C607" s="679" t="s">
        <v>152</v>
      </c>
      <c r="D607" s="679" t="s">
        <v>154</v>
      </c>
    </row>
    <row r="608" spans="1:4" ht="14.25" customHeight="1">
      <c r="A608" s="677" t="s">
        <v>2983</v>
      </c>
      <c r="B608" s="688" t="s">
        <v>2984</v>
      </c>
      <c r="C608" s="679" t="s">
        <v>152</v>
      </c>
      <c r="D608" s="679" t="s">
        <v>154</v>
      </c>
    </row>
    <row r="609" spans="1:4" ht="14.25" customHeight="1">
      <c r="A609" s="677" t="s">
        <v>2985</v>
      </c>
      <c r="B609" s="688" t="s">
        <v>2986</v>
      </c>
      <c r="C609" s="679" t="s">
        <v>152</v>
      </c>
      <c r="D609" s="679" t="s">
        <v>154</v>
      </c>
    </row>
    <row r="610" spans="1:4" ht="14.25" customHeight="1">
      <c r="A610" s="677" t="s">
        <v>2987</v>
      </c>
      <c r="B610" s="688" t="s">
        <v>2988</v>
      </c>
      <c r="C610" s="679" t="s">
        <v>152</v>
      </c>
      <c r="D610" s="679" t="s">
        <v>154</v>
      </c>
    </row>
    <row r="611" spans="1:4" ht="14.25" customHeight="1">
      <c r="A611" s="677" t="s">
        <v>2989</v>
      </c>
      <c r="B611" s="688" t="s">
        <v>2990</v>
      </c>
      <c r="C611" s="679" t="s">
        <v>152</v>
      </c>
      <c r="D611" s="679" t="s">
        <v>154</v>
      </c>
    </row>
    <row r="612" spans="1:4" ht="14.25" customHeight="1">
      <c r="A612" s="677" t="s">
        <v>2991</v>
      </c>
      <c r="B612" s="688" t="s">
        <v>2992</v>
      </c>
      <c r="C612" s="679" t="s">
        <v>152</v>
      </c>
      <c r="D612" s="679" t="s">
        <v>154</v>
      </c>
    </row>
    <row r="613" spans="1:4" ht="14.25" customHeight="1">
      <c r="A613" s="677" t="s">
        <v>2993</v>
      </c>
      <c r="B613" s="688" t="s">
        <v>2994</v>
      </c>
      <c r="C613" s="679" t="s">
        <v>152</v>
      </c>
      <c r="D613" s="679" t="s">
        <v>154</v>
      </c>
    </row>
    <row r="614" spans="1:4" ht="14.25" customHeight="1">
      <c r="A614" s="677" t="s">
        <v>2995</v>
      </c>
      <c r="B614" s="688" t="s">
        <v>2996</v>
      </c>
      <c r="C614" s="679" t="s">
        <v>152</v>
      </c>
      <c r="D614" s="679" t="s">
        <v>153</v>
      </c>
    </row>
    <row r="615" spans="1:4" ht="14.25" customHeight="1">
      <c r="A615" s="677" t="s">
        <v>2997</v>
      </c>
      <c r="B615" s="688" t="s">
        <v>2998</v>
      </c>
      <c r="C615" s="679" t="s">
        <v>152</v>
      </c>
      <c r="D615" s="679" t="s">
        <v>153</v>
      </c>
    </row>
    <row r="616" spans="1:4" ht="14.25" customHeight="1">
      <c r="A616" s="689" t="s">
        <v>2999</v>
      </c>
      <c r="B616" s="678" t="s">
        <v>3000</v>
      </c>
      <c r="C616" s="679" t="s">
        <v>152</v>
      </c>
      <c r="D616" s="679" t="s">
        <v>154</v>
      </c>
    </row>
    <row r="617" spans="1:4" ht="14.25" customHeight="1">
      <c r="A617" s="677" t="s">
        <v>3001</v>
      </c>
      <c r="B617" s="688" t="s">
        <v>3002</v>
      </c>
      <c r="C617" s="679" t="s">
        <v>180</v>
      </c>
      <c r="D617" s="679" t="s">
        <v>182</v>
      </c>
    </row>
    <row r="618" spans="1:4" ht="14.25" customHeight="1">
      <c r="A618" s="678" t="s">
        <v>3003</v>
      </c>
      <c r="B618" s="678" t="s">
        <v>3004</v>
      </c>
      <c r="C618" s="679"/>
      <c r="D618" s="679"/>
    </row>
    <row r="619" spans="1:4" ht="14.25" customHeight="1">
      <c r="A619" s="688" t="s">
        <v>3005</v>
      </c>
      <c r="B619" s="688" t="s">
        <v>3006</v>
      </c>
      <c r="C619" s="679" t="s">
        <v>180</v>
      </c>
      <c r="D619" s="679" t="s">
        <v>184</v>
      </c>
    </row>
    <row r="620" spans="1:4" ht="14.25" customHeight="1">
      <c r="A620" s="689" t="s">
        <v>3007</v>
      </c>
      <c r="B620" s="678" t="s">
        <v>3004</v>
      </c>
      <c r="C620" s="679"/>
      <c r="D620" s="679"/>
    </row>
    <row r="621" spans="1:4" ht="14.25" customHeight="1">
      <c r="A621" s="688" t="s">
        <v>3008</v>
      </c>
      <c r="B621" s="688" t="s">
        <v>3009</v>
      </c>
      <c r="C621" s="679" t="s">
        <v>180</v>
      </c>
      <c r="D621" s="679" t="s">
        <v>185</v>
      </c>
    </row>
    <row r="622" spans="1:4" ht="14.25" customHeight="1">
      <c r="A622" s="689" t="s">
        <v>3010</v>
      </c>
      <c r="B622" s="678" t="s">
        <v>3004</v>
      </c>
      <c r="C622" s="679"/>
      <c r="D622" s="679"/>
    </row>
    <row r="623" spans="1:4" ht="14.25" customHeight="1">
      <c r="A623" s="688" t="s">
        <v>3011</v>
      </c>
      <c r="B623" s="688" t="s">
        <v>3012</v>
      </c>
      <c r="C623" s="679" t="s">
        <v>180</v>
      </c>
      <c r="D623" s="679" t="s">
        <v>184</v>
      </c>
    </row>
    <row r="624" spans="1:4" ht="14.25" customHeight="1">
      <c r="A624" s="677" t="s">
        <v>3013</v>
      </c>
      <c r="B624" s="688" t="s">
        <v>3014</v>
      </c>
      <c r="C624" s="679" t="s">
        <v>180</v>
      </c>
      <c r="D624" s="679" t="s">
        <v>182</v>
      </c>
    </row>
    <row r="625" spans="1:4" ht="14.25" customHeight="1">
      <c r="A625" s="677" t="s">
        <v>3015</v>
      </c>
      <c r="B625" s="688" t="s">
        <v>3016</v>
      </c>
      <c r="C625" s="679" t="s">
        <v>180</v>
      </c>
      <c r="D625" s="679" t="s">
        <v>194</v>
      </c>
    </row>
    <row r="626" spans="1:4" ht="14.25" customHeight="1">
      <c r="A626" s="677" t="s">
        <v>3017</v>
      </c>
      <c r="B626" s="688" t="s">
        <v>2920</v>
      </c>
      <c r="C626" s="679" t="s">
        <v>161</v>
      </c>
      <c r="D626" s="679" t="s">
        <v>1339</v>
      </c>
    </row>
    <row r="627" spans="1:4" ht="14.25" customHeight="1">
      <c r="A627" s="688" t="s">
        <v>3018</v>
      </c>
      <c r="B627" s="688" t="s">
        <v>3019</v>
      </c>
      <c r="C627" s="679" t="s">
        <v>180</v>
      </c>
      <c r="D627" s="679" t="s">
        <v>183</v>
      </c>
    </row>
    <row r="628" spans="1:4" ht="14.25" customHeight="1">
      <c r="A628" s="688" t="s">
        <v>3020</v>
      </c>
      <c r="B628" s="688" t="s">
        <v>3021</v>
      </c>
      <c r="C628" s="679" t="s">
        <v>180</v>
      </c>
      <c r="D628" s="679" t="s">
        <v>183</v>
      </c>
    </row>
    <row r="629" spans="1:4" ht="14.25" customHeight="1">
      <c r="A629" s="677" t="s">
        <v>3022</v>
      </c>
      <c r="B629" s="688" t="s">
        <v>3023</v>
      </c>
      <c r="C629" s="679" t="s">
        <v>180</v>
      </c>
      <c r="D629" s="679" t="s">
        <v>183</v>
      </c>
    </row>
    <row r="630" spans="1:4" ht="14.25" customHeight="1">
      <c r="A630" s="677" t="s">
        <v>3024</v>
      </c>
      <c r="B630" s="688" t="s">
        <v>3025</v>
      </c>
      <c r="C630" s="679" t="s">
        <v>180</v>
      </c>
      <c r="D630" s="679" t="s">
        <v>186</v>
      </c>
    </row>
    <row r="631" spans="1:4" ht="14.25" customHeight="1">
      <c r="A631" s="677" t="s">
        <v>3026</v>
      </c>
      <c r="B631" s="688" t="s">
        <v>3027</v>
      </c>
      <c r="C631" s="679" t="s">
        <v>180</v>
      </c>
      <c r="D631" s="679" t="s">
        <v>186</v>
      </c>
    </row>
    <row r="632" spans="1:4" ht="14.25" customHeight="1">
      <c r="A632" s="677" t="s">
        <v>3028</v>
      </c>
      <c r="B632" s="688" t="s">
        <v>3029</v>
      </c>
      <c r="C632" s="679" t="s">
        <v>180</v>
      </c>
      <c r="D632" s="679" t="s">
        <v>2683</v>
      </c>
    </row>
    <row r="633" spans="1:4" ht="14.25" customHeight="1">
      <c r="A633" s="677" t="s">
        <v>3030</v>
      </c>
      <c r="B633" s="688" t="s">
        <v>3031</v>
      </c>
      <c r="C633" s="679" t="s">
        <v>180</v>
      </c>
      <c r="D633" s="679" t="s">
        <v>191</v>
      </c>
    </row>
    <row r="634" spans="1:4" ht="14.25" customHeight="1">
      <c r="A634" s="677" t="s">
        <v>3032</v>
      </c>
      <c r="B634" s="688" t="s">
        <v>3033</v>
      </c>
      <c r="C634" s="679" t="s">
        <v>1325</v>
      </c>
      <c r="D634" s="679" t="s">
        <v>183</v>
      </c>
    </row>
    <row r="635" spans="1:4" ht="14.25" customHeight="1">
      <c r="A635" s="677" t="s">
        <v>3034</v>
      </c>
      <c r="B635" s="688" t="s">
        <v>3035</v>
      </c>
      <c r="C635" s="679" t="s">
        <v>180</v>
      </c>
      <c r="D635" s="679" t="s">
        <v>188</v>
      </c>
    </row>
    <row r="636" spans="1:4" ht="14.25" customHeight="1">
      <c r="A636" s="677" t="s">
        <v>3036</v>
      </c>
      <c r="B636" s="688" t="s">
        <v>2938</v>
      </c>
      <c r="C636" s="679" t="s">
        <v>152</v>
      </c>
      <c r="D636" s="679" t="s">
        <v>153</v>
      </c>
    </row>
    <row r="637" spans="1:4" ht="14.25" customHeight="1">
      <c r="A637" s="677" t="s">
        <v>3037</v>
      </c>
      <c r="B637" s="688" t="s">
        <v>2940</v>
      </c>
      <c r="C637" s="679" t="s">
        <v>152</v>
      </c>
      <c r="D637" s="679" t="s">
        <v>153</v>
      </c>
    </row>
    <row r="638" spans="1:4" ht="14.25" customHeight="1">
      <c r="A638" s="677" t="s">
        <v>3038</v>
      </c>
      <c r="B638" s="688" t="s">
        <v>2942</v>
      </c>
      <c r="C638" s="679" t="s">
        <v>152</v>
      </c>
      <c r="D638" s="679" t="s">
        <v>153</v>
      </c>
    </row>
    <row r="639" spans="1:4" ht="14.25" customHeight="1">
      <c r="A639" s="677" t="s">
        <v>3039</v>
      </c>
      <c r="B639" s="688" t="s">
        <v>2944</v>
      </c>
      <c r="C639" s="679" t="s">
        <v>152</v>
      </c>
      <c r="D639" s="679" t="s">
        <v>153</v>
      </c>
    </row>
    <row r="640" spans="1:4" ht="14.25" customHeight="1">
      <c r="A640" s="702" t="s">
        <v>3040</v>
      </c>
      <c r="B640" s="727" t="s">
        <v>2946</v>
      </c>
      <c r="C640" s="679" t="s">
        <v>152</v>
      </c>
      <c r="D640" s="679" t="s">
        <v>153</v>
      </c>
    </row>
    <row r="641" spans="1:4" ht="14.25" customHeight="1">
      <c r="A641" s="677" t="s">
        <v>3041</v>
      </c>
      <c r="B641" s="688" t="s">
        <v>2948</v>
      </c>
      <c r="C641" s="679" t="s">
        <v>152</v>
      </c>
      <c r="D641" s="679" t="s">
        <v>153</v>
      </c>
    </row>
    <row r="642" spans="1:4" ht="14.25" customHeight="1">
      <c r="A642" s="677" t="s">
        <v>3042</v>
      </c>
      <c r="B642" s="688" t="s">
        <v>2950</v>
      </c>
      <c r="C642" s="679" t="s">
        <v>152</v>
      </c>
      <c r="D642" s="679" t="s">
        <v>153</v>
      </c>
    </row>
    <row r="643" spans="1:4" ht="14.25" customHeight="1">
      <c r="A643" s="677" t="s">
        <v>3043</v>
      </c>
      <c r="B643" s="688" t="s">
        <v>2952</v>
      </c>
      <c r="C643" s="679" t="s">
        <v>152</v>
      </c>
      <c r="D643" s="679" t="s">
        <v>153</v>
      </c>
    </row>
    <row r="644" spans="1:4" ht="14.25" customHeight="1">
      <c r="A644" s="677" t="s">
        <v>3044</v>
      </c>
      <c r="B644" s="688" t="s">
        <v>2954</v>
      </c>
      <c r="C644" s="679" t="s">
        <v>152</v>
      </c>
      <c r="D644" s="679" t="s">
        <v>153</v>
      </c>
    </row>
    <row r="645" spans="1:4" ht="14.25" customHeight="1">
      <c r="A645" s="677" t="s">
        <v>3045</v>
      </c>
      <c r="B645" s="688" t="s">
        <v>2956</v>
      </c>
      <c r="C645" s="679" t="s">
        <v>152</v>
      </c>
      <c r="D645" s="679" t="s">
        <v>153</v>
      </c>
    </row>
    <row r="646" spans="1:4" ht="14.25" customHeight="1">
      <c r="A646" s="677" t="s">
        <v>3046</v>
      </c>
      <c r="B646" s="688" t="s">
        <v>2958</v>
      </c>
      <c r="C646" s="679" t="s">
        <v>152</v>
      </c>
      <c r="D646" s="679" t="s">
        <v>153</v>
      </c>
    </row>
    <row r="647" spans="1:4" ht="14.25" customHeight="1">
      <c r="A647" s="677" t="s">
        <v>3047</v>
      </c>
      <c r="B647" s="688" t="s">
        <v>2960</v>
      </c>
      <c r="C647" s="679" t="s">
        <v>152</v>
      </c>
      <c r="D647" s="679" t="s">
        <v>153</v>
      </c>
    </row>
    <row r="648" spans="1:4" ht="14.25" customHeight="1">
      <c r="A648" s="677" t="s">
        <v>3048</v>
      </c>
      <c r="B648" s="688" t="s">
        <v>2962</v>
      </c>
      <c r="C648" s="679" t="s">
        <v>152</v>
      </c>
      <c r="D648" s="679" t="s">
        <v>153</v>
      </c>
    </row>
    <row r="649" spans="1:4" ht="14.25" customHeight="1">
      <c r="A649" s="677" t="s">
        <v>3049</v>
      </c>
      <c r="B649" s="688" t="s">
        <v>2964</v>
      </c>
      <c r="C649" s="679" t="s">
        <v>152</v>
      </c>
      <c r="D649" s="679" t="s">
        <v>153</v>
      </c>
    </row>
    <row r="650" spans="1:4" ht="14.25" customHeight="1">
      <c r="A650" s="702" t="s">
        <v>3050</v>
      </c>
      <c r="B650" s="703" t="s">
        <v>2966</v>
      </c>
      <c r="C650" s="679" t="s">
        <v>152</v>
      </c>
      <c r="D650" s="679" t="s">
        <v>153</v>
      </c>
    </row>
    <row r="651" spans="1:4" ht="14.25" customHeight="1">
      <c r="A651" s="677" t="s">
        <v>3051</v>
      </c>
      <c r="B651" s="685" t="s">
        <v>2984</v>
      </c>
      <c r="C651" s="679" t="s">
        <v>152</v>
      </c>
      <c r="D651" s="679" t="s">
        <v>154</v>
      </c>
    </row>
    <row r="652" spans="1:4" ht="14.25" customHeight="1">
      <c r="A652" s="677" t="s">
        <v>3052</v>
      </c>
      <c r="B652" s="688" t="s">
        <v>3053</v>
      </c>
      <c r="C652" s="679" t="s">
        <v>152</v>
      </c>
      <c r="D652" s="679" t="s">
        <v>154</v>
      </c>
    </row>
    <row r="653" spans="1:4" ht="14.25" customHeight="1">
      <c r="A653" s="677" t="s">
        <v>3054</v>
      </c>
      <c r="B653" s="688" t="s">
        <v>3055</v>
      </c>
      <c r="C653" s="679" t="s">
        <v>152</v>
      </c>
      <c r="D653" s="679" t="s">
        <v>154</v>
      </c>
    </row>
    <row r="654" spans="1:4" ht="14.25" customHeight="1">
      <c r="A654" s="677" t="s">
        <v>3056</v>
      </c>
      <c r="B654" s="688" t="s">
        <v>3057</v>
      </c>
      <c r="C654" s="679" t="s">
        <v>152</v>
      </c>
      <c r="D654" s="679" t="s">
        <v>153</v>
      </c>
    </row>
    <row r="655" spans="1:4" ht="14.25" customHeight="1">
      <c r="A655" s="677" t="s">
        <v>3058</v>
      </c>
      <c r="B655" s="688" t="s">
        <v>2998</v>
      </c>
      <c r="C655" s="679" t="s">
        <v>152</v>
      </c>
      <c r="D655" s="679" t="s">
        <v>153</v>
      </c>
    </row>
    <row r="656" spans="1:4" ht="14.25" customHeight="1">
      <c r="A656" s="677" t="s">
        <v>3059</v>
      </c>
      <c r="B656" s="688" t="s">
        <v>3060</v>
      </c>
      <c r="C656" s="679" t="s">
        <v>152</v>
      </c>
      <c r="D656" s="679" t="s">
        <v>154</v>
      </c>
    </row>
    <row r="657" spans="1:4" ht="14.25" customHeight="1">
      <c r="A657" s="689" t="s">
        <v>3061</v>
      </c>
      <c r="B657" s="678" t="s">
        <v>3000</v>
      </c>
      <c r="C657" s="679" t="s">
        <v>152</v>
      </c>
      <c r="D657" s="679" t="s">
        <v>154</v>
      </c>
    </row>
    <row r="658" spans="1:4" ht="14.25" customHeight="1">
      <c r="A658" s="677" t="s">
        <v>3062</v>
      </c>
      <c r="B658" s="688" t="s">
        <v>1153</v>
      </c>
      <c r="C658" s="679" t="s">
        <v>92</v>
      </c>
      <c r="D658" s="679" t="s">
        <v>111</v>
      </c>
    </row>
    <row r="659" spans="1:4" ht="14.25" customHeight="1">
      <c r="A659" s="677" t="s">
        <v>3063</v>
      </c>
      <c r="B659" s="688" t="s">
        <v>1156</v>
      </c>
      <c r="C659" s="679" t="s">
        <v>92</v>
      </c>
      <c r="D659" s="679" t="s">
        <v>112</v>
      </c>
    </row>
    <row r="660" spans="1:4" ht="14.25" customHeight="1">
      <c r="A660" s="677" t="s">
        <v>3064</v>
      </c>
      <c r="B660" s="688" t="s">
        <v>1158</v>
      </c>
      <c r="C660" s="679" t="s">
        <v>92</v>
      </c>
      <c r="D660" s="679" t="s">
        <v>114</v>
      </c>
    </row>
    <row r="661" spans="1:4" ht="14.25" customHeight="1">
      <c r="A661" s="677" t="s">
        <v>3065</v>
      </c>
      <c r="B661" s="688" t="s">
        <v>3066</v>
      </c>
      <c r="C661" s="679" t="s">
        <v>92</v>
      </c>
      <c r="D661" s="679" t="s">
        <v>115</v>
      </c>
    </row>
    <row r="662" spans="1:4" ht="14.25" customHeight="1">
      <c r="A662" s="677" t="s">
        <v>3067</v>
      </c>
      <c r="B662" s="688" t="s">
        <v>1162</v>
      </c>
      <c r="C662" s="679" t="s">
        <v>92</v>
      </c>
      <c r="D662" s="679" t="s">
        <v>117</v>
      </c>
    </row>
    <row r="663" spans="1:4" ht="14.25" customHeight="1">
      <c r="A663" s="677" t="s">
        <v>3068</v>
      </c>
      <c r="B663" s="688" t="s">
        <v>1164</v>
      </c>
      <c r="C663" s="679" t="s">
        <v>92</v>
      </c>
      <c r="D663" s="679" t="s">
        <v>113</v>
      </c>
    </row>
    <row r="664" spans="1:4" ht="14.25" customHeight="1">
      <c r="A664" s="677" t="s">
        <v>3069</v>
      </c>
      <c r="B664" s="688" t="s">
        <v>1166</v>
      </c>
      <c r="C664" s="679" t="s">
        <v>92</v>
      </c>
      <c r="D664" s="679" t="s">
        <v>116</v>
      </c>
    </row>
    <row r="665" spans="1:4" ht="14.25" customHeight="1">
      <c r="A665" s="677" t="s">
        <v>3070</v>
      </c>
      <c r="B665" s="688" t="s">
        <v>3071</v>
      </c>
      <c r="C665" s="679" t="s">
        <v>92</v>
      </c>
      <c r="D665" s="679" t="s">
        <v>116</v>
      </c>
    </row>
    <row r="666" spans="1:4" ht="14.25" customHeight="1">
      <c r="A666" s="677" t="s">
        <v>3072</v>
      </c>
      <c r="B666" s="727" t="s">
        <v>3073</v>
      </c>
      <c r="C666" s="679" t="s">
        <v>92</v>
      </c>
      <c r="D666" s="679" t="s">
        <v>116</v>
      </c>
    </row>
    <row r="667" spans="1:4" ht="14.25" customHeight="1">
      <c r="A667" s="677" t="s">
        <v>3074</v>
      </c>
      <c r="B667" s="688" t="s">
        <v>1169</v>
      </c>
      <c r="C667" s="679" t="s">
        <v>92</v>
      </c>
      <c r="D667" s="679" t="s">
        <v>204</v>
      </c>
    </row>
    <row r="668" spans="1:4" ht="14.25" customHeight="1">
      <c r="A668" s="677" t="s">
        <v>3075</v>
      </c>
      <c r="B668" s="688" t="s">
        <v>3076</v>
      </c>
      <c r="C668" s="679" t="s">
        <v>92</v>
      </c>
      <c r="D668" s="679" t="s">
        <v>120</v>
      </c>
    </row>
    <row r="669" spans="1:4" ht="14.25" customHeight="1">
      <c r="A669" s="677" t="s">
        <v>3077</v>
      </c>
      <c r="B669" s="688" t="s">
        <v>1173</v>
      </c>
      <c r="C669" s="679" t="s">
        <v>92</v>
      </c>
      <c r="D669" s="679" t="s">
        <v>121</v>
      </c>
    </row>
    <row r="670" spans="1:4" ht="14.25" customHeight="1">
      <c r="A670" s="677" t="s">
        <v>3078</v>
      </c>
      <c r="B670" s="688" t="s">
        <v>1175</v>
      </c>
      <c r="C670" s="679" t="s">
        <v>92</v>
      </c>
      <c r="D670" s="679" t="s">
        <v>122</v>
      </c>
    </row>
    <row r="671" spans="1:4" ht="14.25" customHeight="1">
      <c r="A671" s="677" t="s">
        <v>3079</v>
      </c>
      <c r="B671" s="688" t="s">
        <v>1177</v>
      </c>
      <c r="C671" s="679" t="s">
        <v>92</v>
      </c>
      <c r="D671" s="679" t="s">
        <v>124</v>
      </c>
    </row>
    <row r="672" spans="1:4" ht="14.25" customHeight="1">
      <c r="A672" s="677" t="s">
        <v>3080</v>
      </c>
      <c r="B672" s="688" t="s">
        <v>1179</v>
      </c>
      <c r="C672" s="679" t="s">
        <v>92</v>
      </c>
      <c r="D672" s="679" t="s">
        <v>127</v>
      </c>
    </row>
    <row r="673" spans="1:4" ht="14.25" customHeight="1">
      <c r="A673" s="677" t="s">
        <v>3081</v>
      </c>
      <c r="B673" s="688" t="s">
        <v>1181</v>
      </c>
      <c r="C673" s="679" t="s">
        <v>92</v>
      </c>
      <c r="D673" s="679" t="s">
        <v>125</v>
      </c>
    </row>
    <row r="674" spans="1:4" ht="14.25" customHeight="1">
      <c r="A674" s="688" t="s">
        <v>3082</v>
      </c>
      <c r="B674" s="688" t="s">
        <v>1185</v>
      </c>
      <c r="C674" s="679" t="s">
        <v>92</v>
      </c>
      <c r="D674" s="679" t="s">
        <v>126</v>
      </c>
    </row>
    <row r="675" spans="1:4" ht="14.25" customHeight="1">
      <c r="A675" s="677" t="s">
        <v>3083</v>
      </c>
      <c r="B675" s="688" t="s">
        <v>1187</v>
      </c>
      <c r="C675" s="679" t="s">
        <v>92</v>
      </c>
      <c r="D675" s="679" t="s">
        <v>135</v>
      </c>
    </row>
    <row r="676" spans="1:4" ht="14.25" customHeight="1">
      <c r="A676" s="677" t="s">
        <v>3084</v>
      </c>
      <c r="B676" s="688" t="s">
        <v>1189</v>
      </c>
      <c r="C676" s="679" t="s">
        <v>161</v>
      </c>
      <c r="D676" s="679" t="s">
        <v>136</v>
      </c>
    </row>
    <row r="677" spans="1:4" ht="14.25" customHeight="1">
      <c r="A677" s="677" t="s">
        <v>3085</v>
      </c>
      <c r="B677" s="688" t="s">
        <v>1191</v>
      </c>
      <c r="C677" s="679" t="s">
        <v>92</v>
      </c>
      <c r="D677" s="679" t="s">
        <v>141</v>
      </c>
    </row>
    <row r="678" spans="1:4" ht="14.25" customHeight="1">
      <c r="A678" s="677" t="s">
        <v>3086</v>
      </c>
      <c r="B678" s="688" t="s">
        <v>1193</v>
      </c>
      <c r="C678" s="679" t="s">
        <v>92</v>
      </c>
      <c r="D678" s="679" t="s">
        <v>131</v>
      </c>
    </row>
    <row r="679" spans="1:4" ht="14.25" customHeight="1">
      <c r="A679" s="677" t="s">
        <v>3087</v>
      </c>
      <c r="B679" s="688" t="s">
        <v>1195</v>
      </c>
      <c r="C679" s="679" t="s">
        <v>92</v>
      </c>
      <c r="D679" s="679" t="s">
        <v>139</v>
      </c>
    </row>
    <row r="680" spans="1:4" ht="14.25" customHeight="1">
      <c r="A680" s="677" t="s">
        <v>3088</v>
      </c>
      <c r="B680" s="688" t="s">
        <v>1197</v>
      </c>
      <c r="C680" s="679" t="s">
        <v>92</v>
      </c>
      <c r="D680" s="679" t="s">
        <v>132</v>
      </c>
    </row>
    <row r="681" spans="1:4" ht="14.25" customHeight="1">
      <c r="A681" s="677" t="s">
        <v>3089</v>
      </c>
      <c r="B681" s="688" t="s">
        <v>1199</v>
      </c>
      <c r="C681" s="679" t="s">
        <v>92</v>
      </c>
      <c r="D681" s="679" t="s">
        <v>137</v>
      </c>
    </row>
    <row r="682" spans="1:4" ht="14.25" customHeight="1">
      <c r="A682" s="677" t="s">
        <v>3090</v>
      </c>
      <c r="B682" s="688" t="s">
        <v>1201</v>
      </c>
      <c r="C682" s="679" t="s">
        <v>92</v>
      </c>
      <c r="D682" s="679" t="s">
        <v>138</v>
      </c>
    </row>
    <row r="683" spans="1:4" ht="14.25" customHeight="1">
      <c r="A683" s="677" t="s">
        <v>3091</v>
      </c>
      <c r="B683" s="688" t="s">
        <v>1203</v>
      </c>
      <c r="C683" s="679" t="s">
        <v>92</v>
      </c>
      <c r="D683" s="679" t="s">
        <v>140</v>
      </c>
    </row>
    <row r="684" spans="1:4" ht="14.25" customHeight="1">
      <c r="A684" s="677" t="s">
        <v>3092</v>
      </c>
      <c r="B684" s="688" t="s">
        <v>1205</v>
      </c>
      <c r="C684" s="679" t="s">
        <v>92</v>
      </c>
      <c r="D684" s="679" t="s">
        <v>133</v>
      </c>
    </row>
    <row r="685" spans="1:4" ht="14.25" customHeight="1">
      <c r="A685" s="677" t="s">
        <v>3093</v>
      </c>
      <c r="B685" s="688" t="s">
        <v>1209</v>
      </c>
      <c r="C685" s="679" t="s">
        <v>92</v>
      </c>
      <c r="D685" s="679" t="s">
        <v>134</v>
      </c>
    </row>
    <row r="686" spans="1:4" ht="14.25" customHeight="1">
      <c r="A686" s="677" t="s">
        <v>3094</v>
      </c>
      <c r="B686" s="688" t="s">
        <v>1211</v>
      </c>
      <c r="C686" s="679" t="s">
        <v>1325</v>
      </c>
      <c r="D686" s="679" t="s">
        <v>221</v>
      </c>
    </row>
    <row r="687" spans="1:4" ht="14.25" customHeight="1">
      <c r="A687" s="677" t="s">
        <v>3095</v>
      </c>
      <c r="B687" s="688" t="s">
        <v>1389</v>
      </c>
      <c r="C687" s="679" t="s">
        <v>1325</v>
      </c>
      <c r="D687" s="679" t="s">
        <v>213</v>
      </c>
    </row>
    <row r="688" spans="1:4" ht="14.25" customHeight="1">
      <c r="A688" s="677" t="s">
        <v>3096</v>
      </c>
      <c r="B688" s="688" t="s">
        <v>1213</v>
      </c>
      <c r="C688" s="679" t="s">
        <v>1325</v>
      </c>
      <c r="D688" s="679" t="s">
        <v>210</v>
      </c>
    </row>
    <row r="689" spans="1:4" ht="14.25" customHeight="1">
      <c r="A689" s="677" t="s">
        <v>3097</v>
      </c>
      <c r="B689" s="688" t="s">
        <v>1215</v>
      </c>
      <c r="C689" s="679" t="s">
        <v>92</v>
      </c>
      <c r="D689" s="679" t="s">
        <v>205</v>
      </c>
    </row>
    <row r="690" spans="1:4" ht="14.25" customHeight="1">
      <c r="A690" s="677" t="s">
        <v>3098</v>
      </c>
      <c r="B690" s="688" t="s">
        <v>1217</v>
      </c>
      <c r="C690" s="679" t="s">
        <v>1325</v>
      </c>
      <c r="D690" s="679" t="s">
        <v>209</v>
      </c>
    </row>
    <row r="691" spans="1:4" ht="14.25" customHeight="1">
      <c r="A691" s="677" t="s">
        <v>3099</v>
      </c>
      <c r="B691" s="688" t="s">
        <v>1219</v>
      </c>
      <c r="C691" s="679" t="s">
        <v>1325</v>
      </c>
      <c r="D691" s="679" t="s">
        <v>206</v>
      </c>
    </row>
    <row r="692" spans="1:4" ht="14.25" customHeight="1">
      <c r="A692" s="677" t="s">
        <v>3100</v>
      </c>
      <c r="B692" s="688" t="s">
        <v>3101</v>
      </c>
      <c r="C692" s="679" t="s">
        <v>1325</v>
      </c>
      <c r="D692" s="679" t="s">
        <v>208</v>
      </c>
    </row>
    <row r="693" spans="1:4" ht="14.25" customHeight="1">
      <c r="A693" s="677" t="s">
        <v>3102</v>
      </c>
      <c r="B693" s="688" t="s">
        <v>1221</v>
      </c>
      <c r="C693" s="679" t="s">
        <v>1325</v>
      </c>
      <c r="D693" s="679" t="s">
        <v>207</v>
      </c>
    </row>
    <row r="694" spans="1:4" ht="14.25" customHeight="1">
      <c r="A694" s="677" t="s">
        <v>3103</v>
      </c>
      <c r="B694" s="688" t="s">
        <v>1223</v>
      </c>
      <c r="C694" s="679" t="s">
        <v>1325</v>
      </c>
      <c r="D694" s="679" t="s">
        <v>211</v>
      </c>
    </row>
    <row r="695" spans="1:4" ht="14.25" customHeight="1">
      <c r="A695" s="677" t="s">
        <v>3104</v>
      </c>
      <c r="B695" s="688" t="s">
        <v>1390</v>
      </c>
      <c r="C695" s="679" t="s">
        <v>1325</v>
      </c>
      <c r="D695" s="679" t="s">
        <v>214</v>
      </c>
    </row>
    <row r="696" spans="1:4" ht="14.25" customHeight="1">
      <c r="A696" s="677" t="s">
        <v>3105</v>
      </c>
      <c r="B696" s="688" t="s">
        <v>1225</v>
      </c>
      <c r="C696" s="679" t="s">
        <v>152</v>
      </c>
      <c r="D696" s="679" t="s">
        <v>111</v>
      </c>
    </row>
    <row r="697" spans="1:4" ht="14.25" customHeight="1">
      <c r="A697" s="677" t="s">
        <v>3106</v>
      </c>
      <c r="B697" s="688" t="s">
        <v>1156</v>
      </c>
      <c r="C697" s="679" t="s">
        <v>152</v>
      </c>
      <c r="D697" s="679" t="s">
        <v>112</v>
      </c>
    </row>
    <row r="698" spans="1:4" ht="14.25" customHeight="1">
      <c r="A698" s="677" t="s">
        <v>3107</v>
      </c>
      <c r="B698" s="688" t="s">
        <v>1226</v>
      </c>
      <c r="C698" s="679" t="s">
        <v>152</v>
      </c>
      <c r="D698" s="679" t="s">
        <v>114</v>
      </c>
    </row>
    <row r="699" spans="1:4" ht="14.25" customHeight="1">
      <c r="A699" s="677" t="s">
        <v>3108</v>
      </c>
      <c r="B699" s="688" t="s">
        <v>3066</v>
      </c>
      <c r="C699" s="679" t="s">
        <v>152</v>
      </c>
      <c r="D699" s="679" t="s">
        <v>115</v>
      </c>
    </row>
    <row r="700" spans="1:4" ht="14.25" customHeight="1">
      <c r="A700" s="677" t="s">
        <v>3109</v>
      </c>
      <c r="B700" s="688" t="s">
        <v>1162</v>
      </c>
      <c r="C700" s="679" t="s">
        <v>1325</v>
      </c>
      <c r="D700" s="679" t="s">
        <v>223</v>
      </c>
    </row>
    <row r="701" spans="1:4" ht="14.25" customHeight="1">
      <c r="A701" s="677" t="s">
        <v>3110</v>
      </c>
      <c r="B701" s="688" t="s">
        <v>1164</v>
      </c>
      <c r="C701" s="679" t="s">
        <v>152</v>
      </c>
      <c r="D701" s="679" t="s">
        <v>113</v>
      </c>
    </row>
    <row r="702" spans="1:4" ht="14.25" customHeight="1">
      <c r="A702" s="677" t="s">
        <v>3111</v>
      </c>
      <c r="B702" s="688" t="s">
        <v>1166</v>
      </c>
      <c r="C702" s="679" t="s">
        <v>152</v>
      </c>
      <c r="D702" s="679" t="s">
        <v>116</v>
      </c>
    </row>
    <row r="703" spans="1:4" ht="14.25" customHeight="1">
      <c r="A703" s="677" t="s">
        <v>3112</v>
      </c>
      <c r="B703" s="688" t="s">
        <v>3113</v>
      </c>
      <c r="C703" s="679" t="s">
        <v>152</v>
      </c>
      <c r="D703" s="679" t="s">
        <v>116</v>
      </c>
    </row>
    <row r="704" spans="1:4" ht="14.25" customHeight="1">
      <c r="A704" s="677" t="s">
        <v>3114</v>
      </c>
      <c r="B704" s="688" t="s">
        <v>1169</v>
      </c>
      <c r="C704" s="679" t="s">
        <v>152</v>
      </c>
      <c r="D704" s="679" t="s">
        <v>204</v>
      </c>
    </row>
    <row r="705" spans="1:4" ht="14.25" customHeight="1">
      <c r="A705" s="677" t="s">
        <v>3115</v>
      </c>
      <c r="B705" s="688" t="s">
        <v>3076</v>
      </c>
      <c r="C705" s="679" t="s">
        <v>152</v>
      </c>
      <c r="D705" s="679" t="s">
        <v>120</v>
      </c>
    </row>
    <row r="706" spans="1:4" ht="14.25" customHeight="1">
      <c r="A706" s="677" t="s">
        <v>3116</v>
      </c>
      <c r="B706" s="688" t="s">
        <v>1173</v>
      </c>
      <c r="C706" s="679" t="s">
        <v>152</v>
      </c>
      <c r="D706" s="679" t="s">
        <v>121</v>
      </c>
    </row>
    <row r="707" spans="1:4" ht="14.25" customHeight="1">
      <c r="A707" s="677" t="s">
        <v>3117</v>
      </c>
      <c r="B707" s="688" t="s">
        <v>1228</v>
      </c>
      <c r="C707" s="679" t="s">
        <v>152</v>
      </c>
      <c r="D707" s="679" t="s">
        <v>122</v>
      </c>
    </row>
    <row r="708" spans="1:4" ht="14.25" customHeight="1">
      <c r="A708" s="677" t="s">
        <v>3118</v>
      </c>
      <c r="B708" s="688" t="s">
        <v>1229</v>
      </c>
      <c r="C708" s="679" t="s">
        <v>152</v>
      </c>
      <c r="D708" s="679" t="s">
        <v>124</v>
      </c>
    </row>
    <row r="709" spans="1:4" ht="14.25" customHeight="1">
      <c r="A709" s="677" t="s">
        <v>3119</v>
      </c>
      <c r="B709" s="688" t="s">
        <v>1179</v>
      </c>
      <c r="C709" s="679" t="s">
        <v>152</v>
      </c>
      <c r="D709" s="679" t="s">
        <v>127</v>
      </c>
    </row>
    <row r="710" spans="1:4" ht="14.25" customHeight="1">
      <c r="A710" s="677" t="s">
        <v>3120</v>
      </c>
      <c r="B710" s="688" t="s">
        <v>1181</v>
      </c>
      <c r="C710" s="679" t="s">
        <v>152</v>
      </c>
      <c r="D710" s="679" t="s">
        <v>125</v>
      </c>
    </row>
    <row r="711" spans="1:4" ht="14.25" customHeight="1">
      <c r="A711" s="688" t="s">
        <v>3121</v>
      </c>
      <c r="B711" s="688" t="s">
        <v>1231</v>
      </c>
      <c r="C711" s="679" t="s">
        <v>152</v>
      </c>
      <c r="D711" s="679" t="s">
        <v>126</v>
      </c>
    </row>
    <row r="712" spans="1:4" ht="14.25" customHeight="1">
      <c r="A712" s="677" t="s">
        <v>3122</v>
      </c>
      <c r="B712" s="688" t="s">
        <v>1187</v>
      </c>
      <c r="C712" s="679" t="s">
        <v>152</v>
      </c>
      <c r="D712" s="679" t="s">
        <v>135</v>
      </c>
    </row>
    <row r="713" spans="1:4" ht="14.25" customHeight="1">
      <c r="A713" s="677" t="s">
        <v>3123</v>
      </c>
      <c r="B713" s="688" t="s">
        <v>1189</v>
      </c>
      <c r="C713" s="679" t="s">
        <v>161</v>
      </c>
      <c r="D713" s="679" t="s">
        <v>136</v>
      </c>
    </row>
    <row r="714" spans="1:4" ht="14.25" customHeight="1">
      <c r="A714" s="677" t="s">
        <v>3124</v>
      </c>
      <c r="B714" s="688" t="s">
        <v>1191</v>
      </c>
      <c r="C714" s="679" t="s">
        <v>152</v>
      </c>
      <c r="D714" s="679" t="s">
        <v>141</v>
      </c>
    </row>
    <row r="715" spans="1:4" ht="14.25" customHeight="1">
      <c r="A715" s="677" t="s">
        <v>3125</v>
      </c>
      <c r="B715" s="688" t="s">
        <v>1193</v>
      </c>
      <c r="C715" s="679" t="s">
        <v>152</v>
      </c>
      <c r="D715" s="679" t="s">
        <v>131</v>
      </c>
    </row>
    <row r="716" spans="1:4" ht="14.25" customHeight="1">
      <c r="A716" s="677" t="s">
        <v>3126</v>
      </c>
      <c r="B716" s="688" t="s">
        <v>1195</v>
      </c>
      <c r="C716" s="679" t="s">
        <v>152</v>
      </c>
      <c r="D716" s="679" t="s">
        <v>139</v>
      </c>
    </row>
    <row r="717" spans="1:4" ht="14.25" customHeight="1">
      <c r="A717" s="677" t="s">
        <v>3127</v>
      </c>
      <c r="B717" s="688" t="s">
        <v>1197</v>
      </c>
      <c r="C717" s="679" t="s">
        <v>152</v>
      </c>
      <c r="D717" s="679" t="s">
        <v>132</v>
      </c>
    </row>
    <row r="718" spans="1:4" ht="14.25" customHeight="1">
      <c r="A718" s="677" t="s">
        <v>3128</v>
      </c>
      <c r="B718" s="688" t="s">
        <v>1199</v>
      </c>
      <c r="C718" s="679" t="s">
        <v>152</v>
      </c>
      <c r="D718" s="679" t="s">
        <v>137</v>
      </c>
    </row>
    <row r="719" spans="1:4" ht="14.25" customHeight="1">
      <c r="A719" s="677" t="s">
        <v>3129</v>
      </c>
      <c r="B719" s="688" t="s">
        <v>1201</v>
      </c>
      <c r="C719" s="679" t="s">
        <v>152</v>
      </c>
      <c r="D719" s="679" t="s">
        <v>138</v>
      </c>
    </row>
    <row r="720" spans="1:4" ht="14.25" customHeight="1">
      <c r="A720" s="677" t="s">
        <v>3130</v>
      </c>
      <c r="B720" s="688" t="s">
        <v>1203</v>
      </c>
      <c r="C720" s="679" t="s">
        <v>3131</v>
      </c>
      <c r="D720" s="679" t="s">
        <v>140</v>
      </c>
    </row>
    <row r="721" spans="1:4" ht="14.25" customHeight="1">
      <c r="A721" s="677" t="s">
        <v>3132</v>
      </c>
      <c r="B721" s="688" t="s">
        <v>1232</v>
      </c>
      <c r="C721" s="679" t="s">
        <v>152</v>
      </c>
      <c r="D721" s="679" t="s">
        <v>133</v>
      </c>
    </row>
    <row r="722" spans="1:4" ht="14.25" customHeight="1">
      <c r="A722" s="677" t="s">
        <v>3133</v>
      </c>
      <c r="B722" s="688" t="s">
        <v>1209</v>
      </c>
      <c r="C722" s="679" t="s">
        <v>152</v>
      </c>
      <c r="D722" s="679" t="s">
        <v>134</v>
      </c>
    </row>
    <row r="723" spans="1:4" ht="14.25" customHeight="1">
      <c r="A723" s="677" t="s">
        <v>3134</v>
      </c>
      <c r="B723" s="688" t="s">
        <v>1211</v>
      </c>
      <c r="C723" s="679" t="s">
        <v>1325</v>
      </c>
      <c r="D723" s="679" t="s">
        <v>221</v>
      </c>
    </row>
    <row r="724" spans="1:4" ht="14.25" customHeight="1">
      <c r="A724" s="677" t="s">
        <v>3135</v>
      </c>
      <c r="B724" s="688" t="s">
        <v>1389</v>
      </c>
      <c r="C724" s="679" t="s">
        <v>1325</v>
      </c>
      <c r="D724" s="679" t="s">
        <v>213</v>
      </c>
    </row>
    <row r="725" spans="1:4" ht="14.25" customHeight="1">
      <c r="A725" s="677" t="s">
        <v>3136</v>
      </c>
      <c r="B725" s="688" t="s">
        <v>1235</v>
      </c>
      <c r="C725" s="679" t="s">
        <v>152</v>
      </c>
      <c r="D725" s="679" t="s">
        <v>210</v>
      </c>
    </row>
    <row r="726" spans="1:4" ht="14.25" customHeight="1">
      <c r="A726" s="677" t="s">
        <v>3137</v>
      </c>
      <c r="B726" s="688" t="s">
        <v>1236</v>
      </c>
      <c r="C726" s="679" t="s">
        <v>152</v>
      </c>
      <c r="D726" s="679" t="s">
        <v>205</v>
      </c>
    </row>
    <row r="727" spans="1:4" ht="14.25" customHeight="1">
      <c r="A727" s="677" t="s">
        <v>3138</v>
      </c>
      <c r="B727" s="688" t="s">
        <v>1237</v>
      </c>
      <c r="C727" s="679" t="s">
        <v>152</v>
      </c>
      <c r="D727" s="679" t="s">
        <v>209</v>
      </c>
    </row>
    <row r="728" spans="1:4" ht="14.25" customHeight="1">
      <c r="A728" s="677" t="s">
        <v>3139</v>
      </c>
      <c r="B728" s="688" t="s">
        <v>1238</v>
      </c>
      <c r="C728" s="679" t="s">
        <v>152</v>
      </c>
      <c r="D728" s="679" t="s">
        <v>206</v>
      </c>
    </row>
    <row r="729" spans="1:4" ht="14.25" customHeight="1">
      <c r="A729" s="677" t="s">
        <v>3140</v>
      </c>
      <c r="B729" s="688" t="s">
        <v>3141</v>
      </c>
      <c r="C729" s="679" t="s">
        <v>152</v>
      </c>
      <c r="D729" s="679" t="s">
        <v>208</v>
      </c>
    </row>
    <row r="730" spans="1:4" ht="14.25" customHeight="1">
      <c r="A730" s="677" t="s">
        <v>3142</v>
      </c>
      <c r="B730" s="688" t="s">
        <v>1239</v>
      </c>
      <c r="C730" s="679" t="s">
        <v>152</v>
      </c>
      <c r="D730" s="679" t="s">
        <v>207</v>
      </c>
    </row>
    <row r="731" spans="1:4" ht="14.25" customHeight="1">
      <c r="A731" s="677" t="s">
        <v>3143</v>
      </c>
      <c r="B731" s="688" t="s">
        <v>1240</v>
      </c>
      <c r="C731" s="679" t="s">
        <v>152</v>
      </c>
      <c r="D731" s="679" t="s">
        <v>211</v>
      </c>
    </row>
    <row r="732" spans="1:4" ht="14.25" customHeight="1">
      <c r="A732" s="677" t="s">
        <v>3144</v>
      </c>
      <c r="B732" s="688" t="s">
        <v>1392</v>
      </c>
      <c r="C732" s="679" t="s">
        <v>152</v>
      </c>
      <c r="D732" s="679" t="s">
        <v>1331</v>
      </c>
    </row>
    <row r="733" spans="1:4" ht="14.25" customHeight="1">
      <c r="A733" s="677" t="s">
        <v>3145</v>
      </c>
      <c r="B733" s="703" t="s">
        <v>1241</v>
      </c>
      <c r="C733" s="679" t="s">
        <v>161</v>
      </c>
      <c r="D733" s="679" t="s">
        <v>130</v>
      </c>
    </row>
    <row r="734" spans="1:4" ht="14.25" customHeight="1">
      <c r="A734" s="677" t="s">
        <v>3146</v>
      </c>
      <c r="B734" s="688" t="s">
        <v>1243</v>
      </c>
      <c r="C734" s="679" t="s">
        <v>161</v>
      </c>
      <c r="D734" s="679" t="s">
        <v>130</v>
      </c>
    </row>
    <row r="735" spans="1:4" ht="14.25" customHeight="1">
      <c r="A735" s="677" t="s">
        <v>3147</v>
      </c>
      <c r="B735" s="688" t="s">
        <v>1166</v>
      </c>
      <c r="C735" s="679" t="s">
        <v>161</v>
      </c>
      <c r="D735" s="679" t="s">
        <v>129</v>
      </c>
    </row>
    <row r="736" spans="1:4" ht="14.25" customHeight="1">
      <c r="A736" s="677" t="s">
        <v>3148</v>
      </c>
      <c r="B736" s="688" t="s">
        <v>1169</v>
      </c>
      <c r="C736" s="679" t="s">
        <v>161</v>
      </c>
      <c r="D736" s="679" t="s">
        <v>204</v>
      </c>
    </row>
    <row r="737" spans="1:4" ht="14.25" customHeight="1">
      <c r="A737" s="677" t="s">
        <v>3149</v>
      </c>
      <c r="B737" s="688" t="s">
        <v>3076</v>
      </c>
      <c r="C737" s="679" t="s">
        <v>161</v>
      </c>
      <c r="D737" s="679" t="s">
        <v>120</v>
      </c>
    </row>
    <row r="738" spans="1:4" ht="14.25" customHeight="1">
      <c r="A738" s="677" t="s">
        <v>3150</v>
      </c>
      <c r="B738" s="688" t="s">
        <v>1244</v>
      </c>
      <c r="C738" s="679" t="s">
        <v>161</v>
      </c>
      <c r="D738" s="679" t="s">
        <v>121</v>
      </c>
    </row>
    <row r="739" spans="1:4" ht="14.25" customHeight="1">
      <c r="A739" s="677" t="s">
        <v>3151</v>
      </c>
      <c r="B739" s="688" t="s">
        <v>1175</v>
      </c>
      <c r="C739" s="679" t="s">
        <v>161</v>
      </c>
      <c r="D739" s="679" t="s">
        <v>122</v>
      </c>
    </row>
    <row r="740" spans="1:4" ht="14.25" customHeight="1">
      <c r="A740" s="677" t="s">
        <v>3152</v>
      </c>
      <c r="B740" s="688" t="s">
        <v>1245</v>
      </c>
      <c r="C740" s="679" t="s">
        <v>161</v>
      </c>
      <c r="D740" s="679" t="s">
        <v>123</v>
      </c>
    </row>
    <row r="741" spans="1:4" ht="14.25" customHeight="1">
      <c r="A741" s="677" t="s">
        <v>3153</v>
      </c>
      <c r="B741" s="688" t="s">
        <v>1247</v>
      </c>
      <c r="C741" s="679" t="s">
        <v>161</v>
      </c>
      <c r="D741" s="679" t="s">
        <v>124</v>
      </c>
    </row>
    <row r="742" spans="1:4" ht="14.25" customHeight="1">
      <c r="A742" s="677" t="s">
        <v>3154</v>
      </c>
      <c r="B742" s="688" t="s">
        <v>1179</v>
      </c>
      <c r="C742" s="679" t="s">
        <v>161</v>
      </c>
      <c r="D742" s="679" t="s">
        <v>127</v>
      </c>
    </row>
    <row r="743" spans="1:4" ht="14.25" customHeight="1">
      <c r="A743" s="677" t="s">
        <v>3155</v>
      </c>
      <c r="B743" s="688" t="s">
        <v>1181</v>
      </c>
      <c r="C743" s="679" t="s">
        <v>161</v>
      </c>
      <c r="D743" s="679" t="s">
        <v>125</v>
      </c>
    </row>
    <row r="744" spans="1:4" ht="14.25" customHeight="1">
      <c r="A744" s="688" t="s">
        <v>3156</v>
      </c>
      <c r="B744" s="688" t="s">
        <v>1248</v>
      </c>
      <c r="C744" s="679" t="s">
        <v>161</v>
      </c>
      <c r="D744" s="679" t="s">
        <v>126</v>
      </c>
    </row>
    <row r="745" spans="1:4" ht="14.25" customHeight="1">
      <c r="A745" s="688" t="s">
        <v>3157</v>
      </c>
      <c r="B745" s="688" t="s">
        <v>1231</v>
      </c>
      <c r="C745" s="679" t="s">
        <v>161</v>
      </c>
      <c r="D745" s="679" t="s">
        <v>126</v>
      </c>
    </row>
    <row r="746" spans="1:4" ht="14.25" customHeight="1">
      <c r="A746" s="677" t="s">
        <v>3158</v>
      </c>
      <c r="B746" s="688" t="s">
        <v>1249</v>
      </c>
      <c r="C746" s="679" t="s">
        <v>161</v>
      </c>
      <c r="D746" s="679" t="s">
        <v>130</v>
      </c>
    </row>
    <row r="747" spans="1:4" ht="14.25" customHeight="1">
      <c r="A747" s="677" t="s">
        <v>3159</v>
      </c>
      <c r="B747" s="688" t="s">
        <v>1187</v>
      </c>
      <c r="C747" s="679" t="s">
        <v>161</v>
      </c>
      <c r="D747" s="679" t="s">
        <v>135</v>
      </c>
    </row>
    <row r="748" spans="1:4" ht="14.25" customHeight="1">
      <c r="A748" s="677" t="s">
        <v>3160</v>
      </c>
      <c r="B748" s="688" t="s">
        <v>1189</v>
      </c>
      <c r="C748" s="679" t="s">
        <v>161</v>
      </c>
      <c r="D748" s="679" t="s">
        <v>136</v>
      </c>
    </row>
    <row r="749" spans="1:4" ht="14.25" customHeight="1">
      <c r="A749" s="677" t="s">
        <v>3161</v>
      </c>
      <c r="B749" s="688" t="s">
        <v>1191</v>
      </c>
      <c r="C749" s="679" t="s">
        <v>161</v>
      </c>
      <c r="D749" s="679" t="s">
        <v>141</v>
      </c>
    </row>
    <row r="750" spans="1:4" ht="14.25" customHeight="1">
      <c r="A750" s="677" t="s">
        <v>3162</v>
      </c>
      <c r="B750" s="688" t="s">
        <v>1250</v>
      </c>
      <c r="C750" s="679" t="s">
        <v>161</v>
      </c>
      <c r="D750" s="679" t="s">
        <v>131</v>
      </c>
    </row>
    <row r="751" spans="1:4" ht="14.25" customHeight="1">
      <c r="A751" s="677" t="s">
        <v>3163</v>
      </c>
      <c r="B751" s="688" t="s">
        <v>1195</v>
      </c>
      <c r="C751" s="679" t="s">
        <v>161</v>
      </c>
      <c r="D751" s="679" t="s">
        <v>139</v>
      </c>
    </row>
    <row r="752" spans="1:4" ht="14.25" customHeight="1">
      <c r="A752" s="677" t="s">
        <v>3164</v>
      </c>
      <c r="B752" s="727" t="s">
        <v>1197</v>
      </c>
      <c r="C752" s="679" t="s">
        <v>161</v>
      </c>
      <c r="D752" s="679" t="s">
        <v>132</v>
      </c>
    </row>
    <row r="753" spans="1:4" ht="14.25" customHeight="1">
      <c r="A753" s="677" t="s">
        <v>3165</v>
      </c>
      <c r="B753" s="688" t="s">
        <v>1199</v>
      </c>
      <c r="C753" s="679" t="s">
        <v>161</v>
      </c>
      <c r="D753" s="679" t="s">
        <v>137</v>
      </c>
    </row>
    <row r="754" spans="1:4" ht="14.25" customHeight="1">
      <c r="A754" s="677" t="s">
        <v>3166</v>
      </c>
      <c r="B754" s="688" t="s">
        <v>1201</v>
      </c>
      <c r="C754" s="679" t="s">
        <v>161</v>
      </c>
      <c r="D754" s="679" t="s">
        <v>138</v>
      </c>
    </row>
    <row r="755" spans="1:4" ht="14.25" customHeight="1">
      <c r="A755" s="677" t="s">
        <v>3167</v>
      </c>
      <c r="B755" s="688" t="s">
        <v>1203</v>
      </c>
      <c r="C755" s="679" t="s">
        <v>161</v>
      </c>
      <c r="D755" s="679" t="s">
        <v>140</v>
      </c>
    </row>
    <row r="756" spans="1:4" ht="14.25" customHeight="1">
      <c r="A756" s="677" t="s">
        <v>3168</v>
      </c>
      <c r="B756" s="688" t="s">
        <v>1251</v>
      </c>
      <c r="C756" s="679" t="s">
        <v>161</v>
      </c>
      <c r="D756" s="679" t="s">
        <v>133</v>
      </c>
    </row>
    <row r="757" spans="1:4" ht="14.25" customHeight="1">
      <c r="A757" s="677" t="s">
        <v>3169</v>
      </c>
      <c r="B757" s="688" t="s">
        <v>1209</v>
      </c>
      <c r="C757" s="679" t="s">
        <v>161</v>
      </c>
      <c r="D757" s="679" t="s">
        <v>134</v>
      </c>
    </row>
    <row r="758" spans="1:4" ht="14.25" customHeight="1">
      <c r="A758" s="677" t="s">
        <v>3170</v>
      </c>
      <c r="B758" s="688" t="s">
        <v>1211</v>
      </c>
      <c r="C758" s="679" t="s">
        <v>1325</v>
      </c>
      <c r="D758" s="679" t="s">
        <v>221</v>
      </c>
    </row>
    <row r="759" spans="1:4" ht="14.25" customHeight="1">
      <c r="A759" s="677" t="s">
        <v>3171</v>
      </c>
      <c r="B759" s="688" t="s">
        <v>1389</v>
      </c>
      <c r="C759" s="679" t="s">
        <v>1325</v>
      </c>
      <c r="D759" s="679" t="s">
        <v>213</v>
      </c>
    </row>
    <row r="760" spans="1:4" ht="14.25" customHeight="1">
      <c r="A760" s="677" t="s">
        <v>3172</v>
      </c>
      <c r="B760" s="688" t="s">
        <v>1254</v>
      </c>
      <c r="C760" s="679" t="s">
        <v>1325</v>
      </c>
      <c r="D760" s="679" t="s">
        <v>212</v>
      </c>
    </row>
    <row r="761" spans="1:4" ht="14.25" customHeight="1">
      <c r="A761" s="677" t="s">
        <v>3173</v>
      </c>
      <c r="B761" s="688" t="s">
        <v>1256</v>
      </c>
      <c r="C761" s="679" t="s">
        <v>161</v>
      </c>
      <c r="D761" s="679" t="s">
        <v>210</v>
      </c>
    </row>
    <row r="762" spans="1:4" ht="14.25" customHeight="1">
      <c r="A762" s="677" t="s">
        <v>3174</v>
      </c>
      <c r="B762" s="688" t="s">
        <v>1257</v>
      </c>
      <c r="C762" s="679" t="s">
        <v>161</v>
      </c>
      <c r="D762" s="679" t="s">
        <v>205</v>
      </c>
    </row>
    <row r="763" spans="1:4" ht="14.25" customHeight="1">
      <c r="A763" s="677" t="s">
        <v>3175</v>
      </c>
      <c r="B763" s="688" t="s">
        <v>1258</v>
      </c>
      <c r="C763" s="679" t="s">
        <v>161</v>
      </c>
      <c r="D763" s="679" t="s">
        <v>209</v>
      </c>
    </row>
    <row r="764" spans="1:4" ht="14.25" customHeight="1">
      <c r="A764" s="677" t="s">
        <v>3176</v>
      </c>
      <c r="B764" s="688" t="s">
        <v>1259</v>
      </c>
      <c r="C764" s="679" t="s">
        <v>161</v>
      </c>
      <c r="D764" s="679" t="s">
        <v>206</v>
      </c>
    </row>
    <row r="765" spans="1:4" ht="14.25" customHeight="1">
      <c r="A765" s="677" t="s">
        <v>3177</v>
      </c>
      <c r="B765" s="688" t="s">
        <v>3178</v>
      </c>
      <c r="C765" s="679" t="s">
        <v>161</v>
      </c>
      <c r="D765" s="679" t="s">
        <v>208</v>
      </c>
    </row>
    <row r="766" spans="1:4" ht="14.25" customHeight="1">
      <c r="A766" s="677" t="s">
        <v>3179</v>
      </c>
      <c r="B766" s="688" t="s">
        <v>1260</v>
      </c>
      <c r="C766" s="679" t="s">
        <v>161</v>
      </c>
      <c r="D766" s="679" t="s">
        <v>207</v>
      </c>
    </row>
    <row r="767" spans="1:4" ht="14.25" customHeight="1">
      <c r="A767" s="677" t="s">
        <v>3180</v>
      </c>
      <c r="B767" s="688" t="s">
        <v>1261</v>
      </c>
      <c r="C767" s="679" t="s">
        <v>161</v>
      </c>
      <c r="D767" s="679" t="s">
        <v>211</v>
      </c>
    </row>
    <row r="768" spans="1:4" ht="14.25" customHeight="1">
      <c r="A768" s="677" t="s">
        <v>3181</v>
      </c>
      <c r="B768" s="688" t="s">
        <v>1393</v>
      </c>
      <c r="C768" s="679" t="s">
        <v>161</v>
      </c>
      <c r="D768" s="679" t="s">
        <v>1331</v>
      </c>
    </row>
    <row r="769" spans="1:4" ht="14.25" customHeight="1">
      <c r="A769" s="677" t="s">
        <v>3182</v>
      </c>
      <c r="B769" s="688" t="s">
        <v>1158</v>
      </c>
      <c r="C769" s="679" t="s">
        <v>176</v>
      </c>
      <c r="D769" s="679" t="s">
        <v>130</v>
      </c>
    </row>
    <row r="770" spans="1:4" ht="14.25" customHeight="1">
      <c r="A770" s="677" t="s">
        <v>3183</v>
      </c>
      <c r="B770" s="688" t="s">
        <v>1397</v>
      </c>
      <c r="C770" s="679" t="s">
        <v>176</v>
      </c>
      <c r="D770" s="679" t="s">
        <v>130</v>
      </c>
    </row>
    <row r="771" spans="1:4" ht="14.25" customHeight="1">
      <c r="A771" s="677" t="s">
        <v>3184</v>
      </c>
      <c r="B771" s="688" t="s">
        <v>1169</v>
      </c>
      <c r="C771" s="679" t="s">
        <v>176</v>
      </c>
      <c r="D771" s="679" t="s">
        <v>204</v>
      </c>
    </row>
    <row r="772" spans="1:4" ht="14.25" customHeight="1">
      <c r="A772" s="677" t="s">
        <v>3185</v>
      </c>
      <c r="B772" s="688" t="s">
        <v>3076</v>
      </c>
      <c r="C772" s="679" t="s">
        <v>176</v>
      </c>
      <c r="D772" s="679" t="s">
        <v>120</v>
      </c>
    </row>
    <row r="773" spans="1:4" ht="14.25" customHeight="1">
      <c r="A773" s="677" t="s">
        <v>3186</v>
      </c>
      <c r="B773" s="688" t="s">
        <v>1244</v>
      </c>
      <c r="C773" s="679" t="s">
        <v>176</v>
      </c>
      <c r="D773" s="679" t="s">
        <v>121</v>
      </c>
    </row>
    <row r="774" spans="1:4" ht="14.25" customHeight="1">
      <c r="A774" s="702" t="s">
        <v>3187</v>
      </c>
      <c r="B774" s="726" t="s">
        <v>1175</v>
      </c>
      <c r="C774" s="679" t="s">
        <v>176</v>
      </c>
      <c r="D774" s="679" t="s">
        <v>122</v>
      </c>
    </row>
    <row r="775" spans="1:4" ht="14.25" customHeight="1">
      <c r="A775" s="677" t="s">
        <v>3188</v>
      </c>
      <c r="B775" s="688" t="s">
        <v>1245</v>
      </c>
      <c r="C775" s="679" t="s">
        <v>176</v>
      </c>
      <c r="D775" s="679" t="s">
        <v>123</v>
      </c>
    </row>
    <row r="776" spans="1:4" ht="14.25" customHeight="1">
      <c r="A776" s="677" t="s">
        <v>3189</v>
      </c>
      <c r="B776" s="688" t="s">
        <v>1229</v>
      </c>
      <c r="C776" s="679" t="s">
        <v>176</v>
      </c>
      <c r="D776" s="679" t="s">
        <v>124</v>
      </c>
    </row>
    <row r="777" spans="1:4" ht="14.25" customHeight="1">
      <c r="A777" s="677" t="s">
        <v>3190</v>
      </c>
      <c r="B777" s="688" t="s">
        <v>1179</v>
      </c>
      <c r="C777" s="679" t="s">
        <v>176</v>
      </c>
      <c r="D777" s="679" t="s">
        <v>127</v>
      </c>
    </row>
    <row r="778" spans="1:4" ht="14.25" customHeight="1">
      <c r="A778" s="677" t="s">
        <v>3191</v>
      </c>
      <c r="B778" s="688" t="s">
        <v>1181</v>
      </c>
      <c r="C778" s="679" t="s">
        <v>176</v>
      </c>
      <c r="D778" s="679" t="s">
        <v>125</v>
      </c>
    </row>
    <row r="779" spans="1:4" ht="14.25" customHeight="1">
      <c r="A779" s="688" t="s">
        <v>3192</v>
      </c>
      <c r="B779" s="688" t="s">
        <v>1231</v>
      </c>
      <c r="C779" s="679" t="s">
        <v>176</v>
      </c>
      <c r="D779" s="679" t="s">
        <v>126</v>
      </c>
    </row>
    <row r="780" spans="1:4" ht="14.25" customHeight="1">
      <c r="A780" s="677" t="s">
        <v>3193</v>
      </c>
      <c r="B780" s="688" t="s">
        <v>1249</v>
      </c>
      <c r="C780" s="679" t="s">
        <v>176</v>
      </c>
      <c r="D780" s="679" t="s">
        <v>130</v>
      </c>
    </row>
    <row r="781" spans="1:4" ht="14.25" customHeight="1">
      <c r="A781" s="677" t="s">
        <v>3194</v>
      </c>
      <c r="B781" s="688" t="s">
        <v>1187</v>
      </c>
      <c r="C781" s="679" t="s">
        <v>176</v>
      </c>
      <c r="D781" s="679" t="s">
        <v>135</v>
      </c>
    </row>
    <row r="782" spans="1:4" ht="14.25" customHeight="1">
      <c r="A782" s="677" t="s">
        <v>3195</v>
      </c>
      <c r="B782" s="688" t="s">
        <v>1395</v>
      </c>
      <c r="C782" s="679" t="s">
        <v>176</v>
      </c>
      <c r="D782" s="679" t="s">
        <v>136</v>
      </c>
    </row>
    <row r="783" spans="1:4" ht="14.25" customHeight="1">
      <c r="A783" s="677" t="s">
        <v>3196</v>
      </c>
      <c r="B783" s="688" t="s">
        <v>1191</v>
      </c>
      <c r="C783" s="679" t="s">
        <v>176</v>
      </c>
      <c r="D783" s="679" t="s">
        <v>141</v>
      </c>
    </row>
    <row r="784" spans="1:4" ht="14.25" customHeight="1">
      <c r="A784" s="677" t="s">
        <v>3197</v>
      </c>
      <c r="B784" s="688" t="s">
        <v>1193</v>
      </c>
      <c r="C784" s="679" t="s">
        <v>176</v>
      </c>
      <c r="D784" s="679" t="s">
        <v>131</v>
      </c>
    </row>
    <row r="785" spans="1:4" ht="14.25" customHeight="1">
      <c r="A785" s="677" t="s">
        <v>3198</v>
      </c>
      <c r="B785" s="688" t="s">
        <v>1195</v>
      </c>
      <c r="C785" s="679" t="s">
        <v>176</v>
      </c>
      <c r="D785" s="679" t="s">
        <v>139</v>
      </c>
    </row>
    <row r="786" spans="1:4" ht="14.25" customHeight="1">
      <c r="A786" s="677" t="s">
        <v>3199</v>
      </c>
      <c r="B786" s="688" t="s">
        <v>1197</v>
      </c>
      <c r="C786" s="679" t="s">
        <v>176</v>
      </c>
      <c r="D786" s="679" t="s">
        <v>132</v>
      </c>
    </row>
    <row r="787" spans="1:4" ht="14.25" customHeight="1">
      <c r="A787" s="677" t="s">
        <v>3200</v>
      </c>
      <c r="B787" s="688" t="s">
        <v>1199</v>
      </c>
      <c r="C787" s="679" t="s">
        <v>176</v>
      </c>
      <c r="D787" s="679" t="s">
        <v>137</v>
      </c>
    </row>
    <row r="788" spans="1:4" ht="14.25" customHeight="1">
      <c r="A788" s="677" t="s">
        <v>3201</v>
      </c>
      <c r="B788" s="688" t="s">
        <v>1201</v>
      </c>
      <c r="C788" s="679" t="s">
        <v>176</v>
      </c>
      <c r="D788" s="679" t="s">
        <v>138</v>
      </c>
    </row>
    <row r="789" spans="1:4" ht="14.25" customHeight="1">
      <c r="A789" s="677" t="s">
        <v>3202</v>
      </c>
      <c r="B789" s="688" t="s">
        <v>1203</v>
      </c>
      <c r="C789" s="679" t="s">
        <v>176</v>
      </c>
      <c r="D789" s="679" t="s">
        <v>140</v>
      </c>
    </row>
    <row r="790" spans="1:4" ht="14.25" customHeight="1">
      <c r="A790" s="677" t="s">
        <v>3203</v>
      </c>
      <c r="B790" s="688" t="s">
        <v>1265</v>
      </c>
      <c r="C790" s="679" t="s">
        <v>176</v>
      </c>
      <c r="D790" s="679" t="s">
        <v>133</v>
      </c>
    </row>
    <row r="791" spans="1:4" ht="14.25" customHeight="1">
      <c r="A791" s="677" t="s">
        <v>3204</v>
      </c>
      <c r="B791" s="688" t="s">
        <v>1209</v>
      </c>
      <c r="C791" s="679" t="s">
        <v>176</v>
      </c>
      <c r="D791" s="679" t="s">
        <v>134</v>
      </c>
    </row>
    <row r="792" spans="1:4" ht="14.25" customHeight="1">
      <c r="A792" s="677" t="s">
        <v>3205</v>
      </c>
      <c r="B792" s="688" t="s">
        <v>1211</v>
      </c>
      <c r="C792" s="679" t="s">
        <v>1325</v>
      </c>
      <c r="D792" s="679" t="s">
        <v>221</v>
      </c>
    </row>
    <row r="793" spans="1:4" ht="14.25" customHeight="1">
      <c r="A793" s="677" t="s">
        <v>3206</v>
      </c>
      <c r="B793" s="688" t="s">
        <v>1389</v>
      </c>
      <c r="C793" s="679" t="s">
        <v>1325</v>
      </c>
      <c r="D793" s="679" t="s">
        <v>213</v>
      </c>
    </row>
    <row r="794" spans="1:4" ht="14.25" customHeight="1">
      <c r="A794" s="677" t="s">
        <v>3207</v>
      </c>
      <c r="B794" s="688" t="s">
        <v>1268</v>
      </c>
      <c r="C794" s="679" t="s">
        <v>176</v>
      </c>
      <c r="D794" s="679" t="s">
        <v>210</v>
      </c>
    </row>
    <row r="795" spans="1:4" ht="14.25" customHeight="1">
      <c r="A795" s="677" t="s">
        <v>3208</v>
      </c>
      <c r="B795" s="688" t="s">
        <v>1269</v>
      </c>
      <c r="C795" s="679" t="s">
        <v>176</v>
      </c>
      <c r="D795" s="679" t="s">
        <v>205</v>
      </c>
    </row>
    <row r="796" spans="1:4" ht="14.25" customHeight="1">
      <c r="A796" s="677" t="s">
        <v>3209</v>
      </c>
      <c r="B796" s="688" t="s">
        <v>1270</v>
      </c>
      <c r="C796" s="679" t="s">
        <v>1325</v>
      </c>
      <c r="D796" s="679" t="s">
        <v>209</v>
      </c>
    </row>
    <row r="797" spans="1:4" ht="14.25" customHeight="1">
      <c r="A797" s="677" t="s">
        <v>3210</v>
      </c>
      <c r="B797" s="688" t="s">
        <v>1271</v>
      </c>
      <c r="C797" s="679" t="s">
        <v>176</v>
      </c>
      <c r="D797" s="679" t="s">
        <v>206</v>
      </c>
    </row>
    <row r="798" spans="1:4" ht="14.25" customHeight="1">
      <c r="A798" s="677" t="s">
        <v>3211</v>
      </c>
      <c r="B798" s="688" t="s">
        <v>3212</v>
      </c>
      <c r="C798" s="679" t="s">
        <v>176</v>
      </c>
      <c r="D798" s="679" t="s">
        <v>208</v>
      </c>
    </row>
    <row r="799" spans="1:4" ht="14.25" customHeight="1">
      <c r="A799" s="677" t="s">
        <v>3213</v>
      </c>
      <c r="B799" s="688" t="s">
        <v>1272</v>
      </c>
      <c r="C799" s="679" t="s">
        <v>176</v>
      </c>
      <c r="D799" s="679" t="s">
        <v>207</v>
      </c>
    </row>
    <row r="800" spans="1:4" ht="14.25" customHeight="1">
      <c r="A800" s="688" t="s">
        <v>3214</v>
      </c>
      <c r="B800" s="688" t="s">
        <v>1273</v>
      </c>
      <c r="C800" s="679" t="s">
        <v>176</v>
      </c>
      <c r="D800" s="679" t="s">
        <v>211</v>
      </c>
    </row>
    <row r="801" spans="1:4" ht="14.25" customHeight="1">
      <c r="A801" s="677" t="s">
        <v>3215</v>
      </c>
      <c r="B801" s="688" t="s">
        <v>1396</v>
      </c>
      <c r="C801" s="679" t="s">
        <v>176</v>
      </c>
      <c r="D801" s="679" t="s">
        <v>1331</v>
      </c>
    </row>
    <row r="802" spans="1:4" ht="14.25" customHeight="1">
      <c r="A802" s="677" t="s">
        <v>3216</v>
      </c>
      <c r="B802" s="688" t="s">
        <v>1158</v>
      </c>
      <c r="C802" s="679" t="s">
        <v>180</v>
      </c>
      <c r="D802" s="679" t="s">
        <v>130</v>
      </c>
    </row>
    <row r="803" spans="1:4" ht="14.25" customHeight="1">
      <c r="A803" s="677" t="s">
        <v>3217</v>
      </c>
      <c r="B803" s="688" t="s">
        <v>1397</v>
      </c>
      <c r="C803" s="679" t="s">
        <v>180</v>
      </c>
      <c r="D803" s="679" t="s">
        <v>130</v>
      </c>
    </row>
    <row r="804" spans="1:4" ht="14.25" customHeight="1">
      <c r="A804" s="677" t="s">
        <v>3218</v>
      </c>
      <c r="B804" s="688" t="s">
        <v>1166</v>
      </c>
      <c r="C804" s="679" t="s">
        <v>180</v>
      </c>
      <c r="D804" s="679" t="s">
        <v>129</v>
      </c>
    </row>
    <row r="805" spans="1:4" ht="14.25" customHeight="1">
      <c r="A805" s="677" t="s">
        <v>3219</v>
      </c>
      <c r="B805" s="688" t="s">
        <v>1274</v>
      </c>
      <c r="C805" s="679" t="s">
        <v>180</v>
      </c>
      <c r="D805" s="679" t="s">
        <v>204</v>
      </c>
    </row>
    <row r="806" spans="1:4" ht="14.25" customHeight="1">
      <c r="A806" s="677" t="s">
        <v>3220</v>
      </c>
      <c r="B806" s="688" t="s">
        <v>3076</v>
      </c>
      <c r="C806" s="679" t="s">
        <v>180</v>
      </c>
      <c r="D806" s="679" t="s">
        <v>120</v>
      </c>
    </row>
    <row r="807" spans="1:4" ht="14.25" customHeight="1">
      <c r="A807" s="677" t="s">
        <v>3221</v>
      </c>
      <c r="B807" s="688" t="s">
        <v>1173</v>
      </c>
      <c r="C807" s="679" t="s">
        <v>180</v>
      </c>
      <c r="D807" s="679" t="s">
        <v>121</v>
      </c>
    </row>
    <row r="808" spans="1:4" ht="14.25" customHeight="1">
      <c r="A808" s="677" t="s">
        <v>3222</v>
      </c>
      <c r="B808" s="688" t="s">
        <v>1175</v>
      </c>
      <c r="C808" s="679" t="s">
        <v>180</v>
      </c>
      <c r="D808" s="679" t="s">
        <v>122</v>
      </c>
    </row>
    <row r="809" spans="1:4" ht="14.25" customHeight="1">
      <c r="A809" s="677" t="s">
        <v>3223</v>
      </c>
      <c r="B809" s="688" t="s">
        <v>1275</v>
      </c>
      <c r="C809" s="679" t="s">
        <v>180</v>
      </c>
      <c r="D809" s="679" t="s">
        <v>124</v>
      </c>
    </row>
    <row r="810" spans="1:4" ht="14.25" customHeight="1">
      <c r="A810" s="677" t="s">
        <v>3224</v>
      </c>
      <c r="B810" s="688" t="s">
        <v>1179</v>
      </c>
      <c r="C810" s="679" t="s">
        <v>180</v>
      </c>
      <c r="D810" s="679" t="s">
        <v>127</v>
      </c>
    </row>
    <row r="811" spans="1:4" ht="14.25" customHeight="1">
      <c r="A811" s="688" t="s">
        <v>3225</v>
      </c>
      <c r="B811" s="688" t="s">
        <v>1181</v>
      </c>
      <c r="C811" s="679" t="s">
        <v>180</v>
      </c>
      <c r="D811" s="679" t="s">
        <v>125</v>
      </c>
    </row>
    <row r="812" spans="1:4" ht="14.25" customHeight="1">
      <c r="A812" s="688" t="s">
        <v>3226</v>
      </c>
      <c r="B812" s="688" t="s">
        <v>1276</v>
      </c>
      <c r="C812" s="679" t="s">
        <v>180</v>
      </c>
      <c r="D812" s="679" t="s">
        <v>126</v>
      </c>
    </row>
    <row r="813" spans="1:4" ht="14.25" customHeight="1">
      <c r="A813" s="677" t="s">
        <v>3227</v>
      </c>
      <c r="B813" s="688" t="s">
        <v>1231</v>
      </c>
      <c r="C813" s="679" t="s">
        <v>180</v>
      </c>
      <c r="D813" s="679" t="s">
        <v>126</v>
      </c>
    </row>
    <row r="814" spans="1:4" ht="14.25" customHeight="1">
      <c r="A814" s="677" t="s">
        <v>3228</v>
      </c>
      <c r="B814" s="688" t="s">
        <v>1187</v>
      </c>
      <c r="C814" s="679" t="s">
        <v>180</v>
      </c>
      <c r="D814" s="679" t="s">
        <v>135</v>
      </c>
    </row>
    <row r="815" spans="1:4" ht="14.25" customHeight="1">
      <c r="A815" s="677" t="s">
        <v>3229</v>
      </c>
      <c r="B815" s="688" t="s">
        <v>1189</v>
      </c>
      <c r="C815" s="679" t="s">
        <v>161</v>
      </c>
      <c r="D815" s="679" t="s">
        <v>136</v>
      </c>
    </row>
    <row r="816" spans="1:4" ht="14.25" customHeight="1">
      <c r="A816" s="677" t="s">
        <v>3230</v>
      </c>
      <c r="B816" s="688" t="s">
        <v>1191</v>
      </c>
      <c r="C816" s="679" t="s">
        <v>180</v>
      </c>
      <c r="D816" s="679" t="s">
        <v>141</v>
      </c>
    </row>
    <row r="817" spans="1:4" ht="14.25" customHeight="1">
      <c r="A817" s="677" t="s">
        <v>3231</v>
      </c>
      <c r="B817" s="688" t="s">
        <v>1193</v>
      </c>
      <c r="C817" s="679" t="s">
        <v>180</v>
      </c>
      <c r="D817" s="679" t="s">
        <v>131</v>
      </c>
    </row>
    <row r="818" spans="1:4" ht="14.25" customHeight="1">
      <c r="A818" s="677" t="s">
        <v>3232</v>
      </c>
      <c r="B818" s="688" t="s">
        <v>1195</v>
      </c>
      <c r="C818" s="679" t="s">
        <v>180</v>
      </c>
      <c r="D818" s="679" t="s">
        <v>139</v>
      </c>
    </row>
    <row r="819" spans="1:4" ht="14.25" customHeight="1">
      <c r="A819" s="677" t="s">
        <v>3233</v>
      </c>
      <c r="B819" s="688" t="s">
        <v>1197</v>
      </c>
      <c r="C819" s="679" t="s">
        <v>180</v>
      </c>
      <c r="D819" s="679" t="s">
        <v>132</v>
      </c>
    </row>
    <row r="820" spans="1:4" ht="14.25" customHeight="1">
      <c r="A820" s="677" t="s">
        <v>3234</v>
      </c>
      <c r="B820" s="688" t="s">
        <v>1199</v>
      </c>
      <c r="C820" s="679" t="s">
        <v>180</v>
      </c>
      <c r="D820" s="679" t="s">
        <v>137</v>
      </c>
    </row>
    <row r="821" spans="1:4" ht="14.25" customHeight="1">
      <c r="A821" s="677" t="s">
        <v>3235</v>
      </c>
      <c r="B821" s="688" t="s">
        <v>1201</v>
      </c>
      <c r="C821" s="679" t="s">
        <v>180</v>
      </c>
      <c r="D821" s="679" t="s">
        <v>138</v>
      </c>
    </row>
    <row r="822" spans="1:4" ht="14.25" customHeight="1">
      <c r="A822" s="677" t="s">
        <v>3236</v>
      </c>
      <c r="B822" s="688" t="s">
        <v>1203</v>
      </c>
      <c r="C822" s="679" t="s">
        <v>180</v>
      </c>
      <c r="D822" s="679" t="s">
        <v>140</v>
      </c>
    </row>
    <row r="823" spans="1:4" ht="14.25" customHeight="1">
      <c r="A823" s="677" t="s">
        <v>3237</v>
      </c>
      <c r="B823" s="688" t="s">
        <v>1277</v>
      </c>
      <c r="C823" s="679" t="s">
        <v>180</v>
      </c>
      <c r="D823" s="679" t="s">
        <v>133</v>
      </c>
    </row>
    <row r="824" spans="1:4" ht="14.25" customHeight="1">
      <c r="A824" s="677" t="s">
        <v>3238</v>
      </c>
      <c r="B824" s="688" t="s">
        <v>1209</v>
      </c>
      <c r="C824" s="679" t="s">
        <v>180</v>
      </c>
      <c r="D824" s="679" t="s">
        <v>134</v>
      </c>
    </row>
    <row r="825" spans="1:4" ht="14.25" customHeight="1">
      <c r="A825" s="677" t="s">
        <v>3239</v>
      </c>
      <c r="B825" s="688" t="s">
        <v>1211</v>
      </c>
      <c r="C825" s="679" t="s">
        <v>1325</v>
      </c>
      <c r="D825" s="679" t="s">
        <v>221</v>
      </c>
    </row>
    <row r="826" spans="1:4" ht="14.25" customHeight="1">
      <c r="A826" s="677" t="s">
        <v>3240</v>
      </c>
      <c r="B826" s="688" t="s">
        <v>1389</v>
      </c>
      <c r="C826" s="679" t="s">
        <v>1325</v>
      </c>
      <c r="D826" s="679" t="s">
        <v>213</v>
      </c>
    </row>
    <row r="827" spans="1:4" ht="14.25" customHeight="1">
      <c r="A827" s="677" t="s">
        <v>3241</v>
      </c>
      <c r="B827" s="688" t="s">
        <v>1279</v>
      </c>
      <c r="C827" s="679" t="s">
        <v>180</v>
      </c>
      <c r="D827" s="679" t="s">
        <v>210</v>
      </c>
    </row>
    <row r="828" spans="1:4" ht="14.25" customHeight="1">
      <c r="A828" s="677" t="s">
        <v>3242</v>
      </c>
      <c r="B828" s="688" t="s">
        <v>1280</v>
      </c>
      <c r="C828" s="679" t="s">
        <v>180</v>
      </c>
      <c r="D828" s="679" t="s">
        <v>205</v>
      </c>
    </row>
    <row r="829" spans="1:4" ht="14.25" customHeight="1">
      <c r="A829" s="677" t="s">
        <v>3243</v>
      </c>
      <c r="B829" s="688" t="s">
        <v>1281</v>
      </c>
      <c r="C829" s="679" t="s">
        <v>180</v>
      </c>
      <c r="D829" s="679" t="s">
        <v>209</v>
      </c>
    </row>
    <row r="830" spans="1:4" ht="14.25" customHeight="1">
      <c r="A830" s="677" t="s">
        <v>3244</v>
      </c>
      <c r="B830" s="688" t="s">
        <v>1282</v>
      </c>
      <c r="C830" s="679" t="s">
        <v>180</v>
      </c>
      <c r="D830" s="679" t="s">
        <v>206</v>
      </c>
    </row>
    <row r="831" spans="1:4" ht="14.25" customHeight="1">
      <c r="A831" s="677" t="s">
        <v>3245</v>
      </c>
      <c r="B831" s="688" t="s">
        <v>3246</v>
      </c>
      <c r="C831" s="679" t="s">
        <v>180</v>
      </c>
      <c r="D831" s="679" t="s">
        <v>208</v>
      </c>
    </row>
    <row r="832" spans="1:4" ht="14.25" customHeight="1">
      <c r="A832" s="677" t="s">
        <v>3247</v>
      </c>
      <c r="B832" s="688" t="s">
        <v>1283</v>
      </c>
      <c r="C832" s="679" t="s">
        <v>180</v>
      </c>
      <c r="D832" s="679" t="s">
        <v>207</v>
      </c>
    </row>
    <row r="833" spans="1:4" ht="14.25" customHeight="1">
      <c r="A833" s="677" t="s">
        <v>3248</v>
      </c>
      <c r="B833" s="688" t="s">
        <v>1284</v>
      </c>
      <c r="C833" s="679" t="s">
        <v>180</v>
      </c>
      <c r="D833" s="679" t="s">
        <v>211</v>
      </c>
    </row>
    <row r="834" spans="1:4" ht="14.25" customHeight="1">
      <c r="A834" s="677" t="s">
        <v>3249</v>
      </c>
      <c r="B834" s="688" t="s">
        <v>1398</v>
      </c>
      <c r="C834" s="679" t="s">
        <v>180</v>
      </c>
      <c r="D834" s="679" t="s">
        <v>1331</v>
      </c>
    </row>
    <row r="835" spans="1:4" ht="14.25" customHeight="1">
      <c r="A835" s="689" t="s">
        <v>3250</v>
      </c>
      <c r="B835" s="678" t="s">
        <v>3251</v>
      </c>
      <c r="C835" s="679" t="s">
        <v>1325</v>
      </c>
      <c r="D835" s="679"/>
    </row>
    <row r="836" spans="1:4" ht="14.25" customHeight="1">
      <c r="A836" s="688" t="s">
        <v>3252</v>
      </c>
      <c r="B836" s="688" t="s">
        <v>3253</v>
      </c>
      <c r="C836" s="679" t="s">
        <v>180</v>
      </c>
      <c r="D836" s="679" t="s">
        <v>188</v>
      </c>
    </row>
    <row r="837" spans="1:4" ht="14.25" customHeight="1">
      <c r="A837" s="688" t="s">
        <v>3254</v>
      </c>
      <c r="B837" s="688" t="s">
        <v>3255</v>
      </c>
      <c r="C837" s="679" t="s">
        <v>1325</v>
      </c>
      <c r="D837" s="679" t="s">
        <v>3256</v>
      </c>
    </row>
    <row r="838" spans="1:4" ht="14.25" customHeight="1">
      <c r="A838" s="677" t="s">
        <v>3257</v>
      </c>
      <c r="B838" s="688" t="s">
        <v>3258</v>
      </c>
      <c r="C838" s="679" t="s">
        <v>92</v>
      </c>
      <c r="D838" s="679" t="s">
        <v>145</v>
      </c>
    </row>
    <row r="839" spans="1:4" ht="14.25" customHeight="1">
      <c r="A839" s="677" t="s">
        <v>3259</v>
      </c>
      <c r="B839" s="688" t="s">
        <v>3260</v>
      </c>
      <c r="C839" s="679" t="s">
        <v>92</v>
      </c>
      <c r="D839" s="679" t="s">
        <v>148</v>
      </c>
    </row>
    <row r="840" spans="1:4" ht="14.25" customHeight="1">
      <c r="A840" s="677" t="s">
        <v>3261</v>
      </c>
      <c r="B840" s="688" t="s">
        <v>3262</v>
      </c>
      <c r="C840" s="679" t="s">
        <v>1325</v>
      </c>
      <c r="D840" s="679"/>
    </row>
    <row r="841" spans="1:4" ht="14.25" customHeight="1">
      <c r="A841" s="677" t="s">
        <v>3263</v>
      </c>
      <c r="B841" s="688" t="s">
        <v>3264</v>
      </c>
      <c r="C841" s="679" t="s">
        <v>92</v>
      </c>
      <c r="D841" s="679" t="s">
        <v>105</v>
      </c>
    </row>
    <row r="842" spans="1:4" ht="14.25" customHeight="1">
      <c r="A842" s="677" t="s">
        <v>3265</v>
      </c>
      <c r="B842" s="688" t="s">
        <v>3266</v>
      </c>
      <c r="C842" s="679" t="s">
        <v>92</v>
      </c>
      <c r="D842" s="679" t="s">
        <v>105</v>
      </c>
    </row>
    <row r="843" spans="1:4" ht="14.25" customHeight="1">
      <c r="A843" s="689" t="s">
        <v>3267</v>
      </c>
      <c r="B843" s="678" t="s">
        <v>3268</v>
      </c>
      <c r="C843" s="679" t="s">
        <v>1325</v>
      </c>
      <c r="D843" s="679" t="s">
        <v>97</v>
      </c>
    </row>
    <row r="844" spans="1:4" ht="14.25" customHeight="1">
      <c r="A844" s="677" t="s">
        <v>3269</v>
      </c>
      <c r="B844" s="688" t="s">
        <v>3270</v>
      </c>
      <c r="C844" s="679" t="s">
        <v>152</v>
      </c>
      <c r="D844" s="679" t="s">
        <v>105</v>
      </c>
    </row>
    <row r="845" spans="1:4" ht="14.25" customHeight="1">
      <c r="A845" s="689" t="s">
        <v>3271</v>
      </c>
      <c r="B845" s="678" t="s">
        <v>3272</v>
      </c>
      <c r="C845" s="679" t="s">
        <v>152</v>
      </c>
      <c r="D845" s="679" t="s">
        <v>105</v>
      </c>
    </row>
    <row r="846" spans="1:4" ht="14.25" customHeight="1">
      <c r="A846" s="677" t="s">
        <v>3273</v>
      </c>
      <c r="B846" s="688" t="s">
        <v>3274</v>
      </c>
      <c r="C846" s="679" t="s">
        <v>152</v>
      </c>
      <c r="D846" s="679"/>
    </row>
    <row r="847" spans="1:4" ht="14.25" customHeight="1">
      <c r="A847" s="677" t="s">
        <v>3275</v>
      </c>
      <c r="B847" s="688" t="s">
        <v>3276</v>
      </c>
      <c r="C847" s="679" t="s">
        <v>92</v>
      </c>
      <c r="D847" s="679" t="s">
        <v>105</v>
      </c>
    </row>
    <row r="848" spans="1:4" ht="14.25" customHeight="1">
      <c r="A848" s="689" t="s">
        <v>3277</v>
      </c>
      <c r="B848" s="678" t="s">
        <v>3278</v>
      </c>
      <c r="C848" s="679" t="s">
        <v>92</v>
      </c>
      <c r="D848" s="679">
        <v>0</v>
      </c>
    </row>
    <row r="849" spans="1:4" ht="14.25" customHeight="1">
      <c r="A849" s="688" t="s">
        <v>3279</v>
      </c>
      <c r="B849" s="688" t="s">
        <v>3280</v>
      </c>
      <c r="C849" s="679" t="s">
        <v>152</v>
      </c>
      <c r="D849" s="679"/>
    </row>
    <row r="850" spans="1:4" ht="14.25" customHeight="1">
      <c r="A850" s="689" t="s">
        <v>3281</v>
      </c>
      <c r="B850" s="678" t="s">
        <v>3282</v>
      </c>
      <c r="C850" s="679" t="s">
        <v>152</v>
      </c>
      <c r="D850" s="679" t="s">
        <v>153</v>
      </c>
    </row>
    <row r="851" spans="1:4" ht="14.25" customHeight="1">
      <c r="A851" s="677" t="s">
        <v>3283</v>
      </c>
      <c r="B851" s="688" t="s">
        <v>3284</v>
      </c>
      <c r="C851" s="679" t="s">
        <v>92</v>
      </c>
      <c r="D851" s="679" t="s">
        <v>106</v>
      </c>
    </row>
    <row r="852" spans="1:4" ht="14.25" customHeight="1">
      <c r="A852" s="689" t="s">
        <v>3285</v>
      </c>
      <c r="B852" s="678" t="s">
        <v>3286</v>
      </c>
      <c r="C852" s="679" t="s">
        <v>92</v>
      </c>
      <c r="D852" s="679">
        <v>0</v>
      </c>
    </row>
    <row r="853" spans="1:4" ht="14.25" customHeight="1">
      <c r="A853" s="677" t="s">
        <v>3287</v>
      </c>
      <c r="B853" s="688" t="s">
        <v>3288</v>
      </c>
      <c r="C853" s="679" t="s">
        <v>92</v>
      </c>
      <c r="D853" s="679" t="s">
        <v>106</v>
      </c>
    </row>
    <row r="854" spans="1:4" ht="14.25" customHeight="1">
      <c r="A854" s="689" t="s">
        <v>3289</v>
      </c>
      <c r="B854" s="678" t="s">
        <v>3290</v>
      </c>
      <c r="C854" s="679" t="s">
        <v>92</v>
      </c>
      <c r="D854" s="679">
        <v>0</v>
      </c>
    </row>
    <row r="855" spans="1:4" ht="14.25" customHeight="1">
      <c r="A855" s="677" t="s">
        <v>3291</v>
      </c>
      <c r="B855" s="688" t="s">
        <v>3292</v>
      </c>
      <c r="C855" s="679" t="s">
        <v>152</v>
      </c>
      <c r="D855" s="679" t="s">
        <v>106</v>
      </c>
    </row>
    <row r="856" spans="1:4" ht="14.25" customHeight="1">
      <c r="A856" s="689" t="s">
        <v>3293</v>
      </c>
      <c r="B856" s="678" t="s">
        <v>3294</v>
      </c>
      <c r="C856" s="679" t="s">
        <v>152</v>
      </c>
      <c r="D856" s="679" t="s">
        <v>106</v>
      </c>
    </row>
    <row r="857" spans="1:4" ht="14.25" customHeight="1">
      <c r="A857" s="677" t="s">
        <v>3295</v>
      </c>
      <c r="B857" s="688" t="s">
        <v>3296</v>
      </c>
      <c r="C857" s="679" t="s">
        <v>152</v>
      </c>
      <c r="D857" s="679" t="s">
        <v>106</v>
      </c>
    </row>
    <row r="858" spans="1:4" ht="14.25" customHeight="1">
      <c r="A858" s="689" t="s">
        <v>3297</v>
      </c>
      <c r="B858" s="678" t="s">
        <v>3298</v>
      </c>
      <c r="C858" s="679" t="s">
        <v>152</v>
      </c>
      <c r="D858" s="679" t="s">
        <v>106</v>
      </c>
    </row>
    <row r="859" spans="1:4" ht="14.25" customHeight="1">
      <c r="A859" s="688" t="s">
        <v>3299</v>
      </c>
      <c r="B859" s="688" t="s">
        <v>3300</v>
      </c>
      <c r="C859" s="679" t="s">
        <v>1325</v>
      </c>
      <c r="D859" s="679" t="s">
        <v>149</v>
      </c>
    </row>
    <row r="860" spans="1:4" ht="14.25" customHeight="1">
      <c r="A860" s="688" t="s">
        <v>3301</v>
      </c>
      <c r="B860" s="688" t="s">
        <v>3302</v>
      </c>
      <c r="C860" s="679" t="s">
        <v>1325</v>
      </c>
      <c r="D860" s="679" t="s">
        <v>3256</v>
      </c>
    </row>
    <row r="861" spans="1:4" ht="14.25" customHeight="1">
      <c r="A861" s="688" t="s">
        <v>3303</v>
      </c>
      <c r="B861" s="688" t="s">
        <v>3304</v>
      </c>
      <c r="C861" s="679" t="s">
        <v>1325</v>
      </c>
      <c r="D861" s="679" t="s">
        <v>223</v>
      </c>
    </row>
    <row r="862" spans="1:4" ht="14.25" customHeight="1">
      <c r="A862" s="688" t="s">
        <v>3305</v>
      </c>
      <c r="B862" s="688" t="s">
        <v>3306</v>
      </c>
      <c r="C862" s="679" t="s">
        <v>1325</v>
      </c>
      <c r="D862" s="679" t="s">
        <v>222</v>
      </c>
    </row>
    <row r="863" spans="1:4" ht="14.25" customHeight="1">
      <c r="A863" s="688" t="s">
        <v>3307</v>
      </c>
      <c r="B863" s="688" t="s">
        <v>1316</v>
      </c>
      <c r="C863" s="679" t="s">
        <v>1325</v>
      </c>
      <c r="D863" s="679" t="s">
        <v>223</v>
      </c>
    </row>
    <row r="864" spans="1:4" ht="14.25" customHeight="1">
      <c r="A864" s="688" t="s">
        <v>3308</v>
      </c>
      <c r="B864" s="688" t="s">
        <v>1405</v>
      </c>
      <c r="C864" s="679" t="s">
        <v>1325</v>
      </c>
      <c r="D864" s="679" t="s">
        <v>142</v>
      </c>
    </row>
    <row r="865" spans="1:4" ht="14.25" customHeight="1">
      <c r="A865" s="677"/>
      <c r="B865" s="685"/>
      <c r="C865" s="679"/>
      <c r="D865" s="679"/>
    </row>
    <row r="866" spans="1:4" ht="14.25" customHeight="1">
      <c r="A866" s="677"/>
      <c r="B866" s="685"/>
      <c r="C866" s="679"/>
      <c r="D866" s="679"/>
    </row>
    <row r="867" spans="1:4" ht="14.25" customHeight="1">
      <c r="A867" s="677"/>
      <c r="B867" s="685"/>
      <c r="C867" s="679"/>
      <c r="D867" s="679"/>
    </row>
    <row r="868" spans="1:4" ht="14.25" customHeight="1">
      <c r="A868" s="677"/>
      <c r="B868" s="685"/>
      <c r="C868" s="679"/>
      <c r="D868" s="679"/>
    </row>
    <row r="869" spans="1:4" ht="14.25" customHeight="1">
      <c r="A869" s="677"/>
      <c r="B869" s="685"/>
      <c r="C869" s="679"/>
      <c r="D869" s="679"/>
    </row>
    <row r="870" spans="1:4" ht="14.25" customHeight="1">
      <c r="A870" s="677"/>
      <c r="B870" s="685"/>
      <c r="C870" s="679"/>
      <c r="D870" s="679"/>
    </row>
    <row r="871" spans="1:4" ht="14.25" customHeight="1">
      <c r="A871" s="677"/>
      <c r="B871" s="685"/>
      <c r="C871" s="679"/>
      <c r="D871" s="679"/>
    </row>
    <row r="872" spans="1:4" ht="14.25" customHeight="1">
      <c r="A872" s="728"/>
      <c r="B872" s="722"/>
      <c r="C872" s="679"/>
      <c r="D872" s="679"/>
    </row>
    <row r="873" spans="1:4" ht="14.25" customHeight="1">
      <c r="A873" s="677"/>
      <c r="B873" s="685"/>
      <c r="C873" s="679"/>
      <c r="D873" s="679"/>
    </row>
    <row r="874" spans="1:4" ht="14.25" customHeight="1">
      <c r="A874" s="677"/>
      <c r="B874" s="685"/>
      <c r="C874" s="679"/>
      <c r="D874" s="679"/>
    </row>
    <row r="875" spans="1:4" ht="14.25" customHeight="1">
      <c r="A875" s="677"/>
      <c r="B875" s="685"/>
      <c r="C875" s="679"/>
      <c r="D875" s="679"/>
    </row>
    <row r="876" spans="1:4" ht="14.25" customHeight="1">
      <c r="A876" s="677"/>
      <c r="B876" s="685"/>
      <c r="C876" s="679"/>
      <c r="D876" s="679"/>
    </row>
    <row r="877" spans="1:4" ht="14.25" customHeight="1">
      <c r="A877" s="677"/>
      <c r="B877" s="685"/>
      <c r="C877" s="679"/>
      <c r="D877" s="679"/>
    </row>
    <row r="878" spans="1:4" ht="14.25" customHeight="1">
      <c r="A878" s="677"/>
      <c r="B878" s="685"/>
      <c r="C878" s="679"/>
      <c r="D878" s="679"/>
    </row>
    <row r="879" spans="1:4" ht="14.25" customHeight="1">
      <c r="A879" s="677"/>
      <c r="B879" s="685"/>
      <c r="C879" s="679"/>
      <c r="D879" s="679"/>
    </row>
    <row r="880" spans="1:4" ht="14.25" customHeight="1">
      <c r="A880" s="677"/>
      <c r="B880" s="685"/>
      <c r="C880" s="679"/>
      <c r="D880" s="679"/>
    </row>
    <row r="881" spans="1:4" ht="14.25" customHeight="1">
      <c r="A881" s="677"/>
      <c r="B881" s="685"/>
      <c r="C881" s="679"/>
      <c r="D881" s="679"/>
    </row>
    <row r="882" spans="1:4" ht="14.25" customHeight="1">
      <c r="A882" s="677"/>
      <c r="B882" s="685"/>
      <c r="C882" s="679"/>
      <c r="D882" s="679"/>
    </row>
    <row r="883" spans="1:4" ht="14.25" customHeight="1">
      <c r="A883" s="677"/>
      <c r="B883" s="685"/>
      <c r="C883" s="679"/>
      <c r="D883" s="679"/>
    </row>
    <row r="884" spans="1:4" ht="14.25" customHeight="1">
      <c r="A884" s="704"/>
      <c r="B884" s="685"/>
      <c r="C884" s="679"/>
      <c r="D884" s="679"/>
    </row>
    <row r="885" spans="1:4" ht="14.25" customHeight="1">
      <c r="A885" s="704"/>
      <c r="B885" s="685"/>
      <c r="C885" s="679"/>
      <c r="D885" s="679"/>
    </row>
    <row r="886" spans="1:4" ht="14.25" customHeight="1">
      <c r="A886" s="677"/>
      <c r="B886" s="685"/>
      <c r="C886" s="679"/>
      <c r="D886" s="679"/>
    </row>
    <row r="887" spans="1:4" ht="14.25" customHeight="1">
      <c r="A887" s="677"/>
      <c r="B887" s="685"/>
      <c r="C887" s="679"/>
      <c r="D887" s="679"/>
    </row>
    <row r="888" spans="1:4" ht="14.25" customHeight="1">
      <c r="A888" s="677"/>
      <c r="B888" s="685"/>
      <c r="C888" s="679"/>
      <c r="D888" s="679"/>
    </row>
    <row r="889" spans="1:4" ht="14.25" customHeight="1">
      <c r="A889" s="702"/>
      <c r="B889" s="724"/>
      <c r="C889" s="679"/>
      <c r="D889" s="679"/>
    </row>
    <row r="890" spans="1:4" ht="14.25" customHeight="1">
      <c r="A890" s="677"/>
      <c r="B890" s="685"/>
      <c r="C890" s="679"/>
      <c r="D890" s="679"/>
    </row>
    <row r="891" spans="1:4" ht="14.25" customHeight="1">
      <c r="A891" s="677"/>
      <c r="B891" s="685"/>
      <c r="C891" s="679"/>
      <c r="D891" s="679"/>
    </row>
    <row r="892" spans="1:4" ht="14.25" customHeight="1">
      <c r="A892" s="677"/>
      <c r="B892" s="685"/>
      <c r="C892" s="679"/>
      <c r="D892" s="679"/>
    </row>
    <row r="893" spans="1:4" ht="14.25" customHeight="1">
      <c r="A893" s="677"/>
      <c r="B893" s="685"/>
      <c r="C893" s="679"/>
      <c r="D893" s="679"/>
    </row>
    <row r="894" spans="1:4" ht="14.25" customHeight="1">
      <c r="A894" s="677"/>
      <c r="B894" s="685"/>
      <c r="C894" s="679"/>
      <c r="D894" s="679"/>
    </row>
    <row r="895" spans="1:4" ht="14.25" customHeight="1">
      <c r="A895" s="677"/>
      <c r="B895" s="685"/>
      <c r="C895" s="679"/>
      <c r="D895" s="679"/>
    </row>
    <row r="896" spans="1:4" ht="14.25" customHeight="1">
      <c r="A896" s="677"/>
      <c r="B896" s="685"/>
      <c r="C896" s="679"/>
      <c r="D896" s="679"/>
    </row>
    <row r="897" spans="1:4" ht="14.25" customHeight="1">
      <c r="A897" s="677"/>
      <c r="B897" s="685"/>
      <c r="C897" s="679"/>
      <c r="D897" s="679"/>
    </row>
    <row r="898" spans="1:4" ht="14.25" customHeight="1">
      <c r="A898" s="677"/>
      <c r="B898" s="685"/>
      <c r="C898" s="679"/>
      <c r="D898" s="679"/>
    </row>
    <row r="899" spans="1:4" ht="14.25" customHeight="1">
      <c r="A899" s="677"/>
      <c r="B899" s="679"/>
      <c r="C899" s="679"/>
      <c r="D899" s="679"/>
    </row>
    <row r="900" spans="1:4" ht="14.25" customHeight="1">
      <c r="A900" s="677"/>
      <c r="B900" s="685"/>
      <c r="C900" s="679"/>
      <c r="D900" s="679"/>
    </row>
    <row r="901" spans="1:4" ht="14.25" customHeight="1">
      <c r="A901" s="677"/>
      <c r="B901" s="685"/>
      <c r="C901" s="679"/>
      <c r="D901" s="679"/>
    </row>
    <row r="902" spans="1:4" ht="14.25" customHeight="1">
      <c r="A902" s="677"/>
      <c r="B902" s="685"/>
      <c r="C902" s="679"/>
      <c r="D902" s="679"/>
    </row>
    <row r="903" spans="1:4" ht="14.25" customHeight="1">
      <c r="A903" s="677"/>
      <c r="B903" s="685"/>
      <c r="C903" s="679"/>
      <c r="D903" s="679"/>
    </row>
    <row r="904" spans="1:4" ht="14.25" customHeight="1">
      <c r="A904" s="677"/>
      <c r="B904" s="685"/>
      <c r="C904" s="679"/>
      <c r="D904" s="679"/>
    </row>
    <row r="905" spans="1:4" ht="14.25" customHeight="1">
      <c r="A905" s="677"/>
      <c r="B905" s="685"/>
      <c r="C905" s="679"/>
      <c r="D905" s="679"/>
    </row>
    <row r="906" spans="1:4" ht="14.25" customHeight="1">
      <c r="A906" s="677"/>
      <c r="B906" s="685"/>
      <c r="C906" s="679"/>
      <c r="D906" s="679"/>
    </row>
    <row r="907" spans="1:4" ht="14.25" customHeight="1">
      <c r="A907" s="677"/>
      <c r="B907" s="685"/>
      <c r="C907" s="679"/>
      <c r="D907" s="679"/>
    </row>
    <row r="908" spans="1:4" ht="14.25" customHeight="1">
      <c r="A908" s="677"/>
      <c r="B908" s="685"/>
      <c r="C908" s="679"/>
      <c r="D908" s="679"/>
    </row>
    <row r="909" spans="1:4" ht="14.25" customHeight="1">
      <c r="A909" s="677"/>
      <c r="B909" s="685"/>
      <c r="C909" s="679"/>
      <c r="D909" s="679"/>
    </row>
    <row r="910" spans="1:4" ht="14.25" customHeight="1">
      <c r="A910" s="677"/>
      <c r="B910" s="685"/>
      <c r="C910" s="679"/>
      <c r="D910" s="679"/>
    </row>
    <row r="911" spans="1:4" ht="14.25" customHeight="1">
      <c r="A911" s="677"/>
      <c r="B911" s="685"/>
      <c r="C911" s="679"/>
      <c r="D911" s="679"/>
    </row>
    <row r="912" spans="1:4" ht="14.25" customHeight="1">
      <c r="A912" s="677"/>
      <c r="B912" s="685"/>
      <c r="C912" s="679"/>
      <c r="D912" s="679"/>
    </row>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D1"/>
  <dataValidations count="3">
    <dataValidation type="list" allowBlank="1" showErrorMessage="1" sqref="C2:C912">
      <formula1>$J$1:$J$11</formula1>
    </dataValidation>
    <dataValidation type="list" allowBlank="1" showErrorMessage="1" sqref="D1:D860">
      <formula1>$L$1:$L$140</formula1>
    </dataValidation>
    <dataValidation type="list" allowBlank="1" showErrorMessage="1" sqref="D861:D912">
      <formula1>$L$1:$L$134</formula1>
    </dataValidation>
  </dataValidations>
  <pageMargins left="0.7" right="0.7" top="0.75" bottom="0.75"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Feuilles de calcul</vt:lpstr>
      </vt:variant>
      <vt:variant>
        <vt:i4>20</vt:i4>
      </vt:variant>
      <vt:variant>
        <vt:lpstr>Graphiques</vt:lpstr>
      </vt:variant>
      <vt:variant>
        <vt:i4>1</vt:i4>
      </vt:variant>
      <vt:variant>
        <vt:lpstr>Plages nommées</vt:lpstr>
      </vt:variant>
      <vt:variant>
        <vt:i4>2</vt:i4>
      </vt:variant>
    </vt:vector>
  </HeadingPairs>
  <TitlesOfParts>
    <vt:vector size="23" baseType="lpstr">
      <vt:lpstr>Parametres</vt:lpstr>
      <vt:lpstr>Bilan</vt:lpstr>
      <vt:lpstr>Budget original</vt:lpstr>
      <vt:lpstr>Réel 2024</vt:lpstr>
      <vt:lpstr>Capex</vt:lpstr>
      <vt:lpstr>Inventaire_Used</vt:lpstr>
      <vt:lpstr>Inventaire_Neuf</vt:lpstr>
      <vt:lpstr>2pager</vt:lpstr>
      <vt:lpstr>Print_Mois</vt:lpstr>
      <vt:lpstr>Démo</vt:lpstr>
      <vt:lpstr>Wholesale</vt:lpstr>
      <vt:lpstr>Vol &amp; Taux MOIS</vt:lpstr>
      <vt:lpstr>Print_AAD</vt:lpstr>
      <vt:lpstr>Mix Produits Volks Mois</vt:lpstr>
      <vt:lpstr>Vol &amp; Taux AAJ</vt:lpstr>
      <vt:lpstr>Mix Produits Volks AAJ</vt:lpstr>
      <vt:lpstr>BV_Data_An_Cour</vt:lpstr>
      <vt:lpstr>Data_Validation</vt:lpstr>
      <vt:lpstr>BV_Data_An_Prec</vt:lpstr>
      <vt:lpstr>Feuil1</vt:lpstr>
      <vt:lpstr>Chart1</vt:lpstr>
      <vt:lpstr>Print_AAD!Zone_d_impression</vt:lpstr>
      <vt:lpstr>Print_Mois!Zone_d_impression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GPA</dc:creator>
  <cp:lastModifiedBy>User</cp:lastModifiedBy>
  <cp:lastPrinted>2024-12-12T21:50:12Z</cp:lastPrinted>
  <dcterms:created xsi:type="dcterms:W3CDTF">2023-01-24T17:19:21Z</dcterms:created>
  <dcterms:modified xsi:type="dcterms:W3CDTF">2025-03-12T11:12:30Z</dcterms:modified>
</cp:coreProperties>
</file>